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vairavan/Desktop/cases in fm/valuation/"/>
    </mc:Choice>
  </mc:AlternateContent>
  <xr:revisionPtr revIDLastSave="0" documentId="13_ncr:1_{B2F99BBB-D622-0040-8A6F-AFB0FACB6230}" xr6:coauthVersionLast="47" xr6:coauthVersionMax="47" xr10:uidLastSave="{00000000-0000-0000-0000-000000000000}"/>
  <bookViews>
    <workbookView xWindow="0" yWindow="500" windowWidth="28800" windowHeight="16280" firstSheet="5" activeTab="13" xr2:uid="{00000000-000D-0000-FFFF-FFFF00000000}"/>
  </bookViews>
  <sheets>
    <sheet name="INCOME STATEMENT" sheetId="1" r:id="rId1"/>
    <sheet name="BALANCE SHEET" sheetId="2" r:id="rId2"/>
    <sheet name="PRIOR YEAR ENDED BALANCE SHEETS" sheetId="15" r:id="rId3"/>
    <sheet name="CAPEX" sheetId="3" r:id="rId4"/>
    <sheet name="KEY FINANCIAL RATIOS" sheetId="4" r:id="rId5"/>
    <sheet name="WACC" sheetId="5" r:id="rId6"/>
    <sheet name="COMPARABLE ANALYSIS" sheetId="6" r:id="rId7"/>
    <sheet name="PRECEDENT TRANSACTION" sheetId="7" r:id="rId8"/>
    <sheet name="DCF BASELINE" sheetId="14" r:id="rId9"/>
    <sheet name="DCF OPTIMISM " sheetId="10" r:id="rId10"/>
    <sheet name="DCF PESSIMISM" sheetId="11" r:id="rId11"/>
    <sheet name="FOOTBALL FIELD" sheetId="12" r:id="rId12"/>
    <sheet name="CONCLUSION " sheetId="18" r:id="rId13"/>
    <sheet name="Reference link "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 i="5" l="1"/>
  <c r="D73" i="14"/>
  <c r="D72" i="10"/>
  <c r="E6" i="6"/>
  <c r="E13" i="12"/>
  <c r="E15" i="12"/>
  <c r="E14" i="12"/>
  <c r="C53" i="14"/>
  <c r="G8" i="7"/>
  <c r="I39" i="11"/>
  <c r="C68" i="11" s="1"/>
  <c r="G4" i="1"/>
  <c r="G16" i="5"/>
  <c r="C8" i="5"/>
  <c r="G59" i="11" s="1"/>
  <c r="H59" i="11" s="1"/>
  <c r="I59" i="11" s="1"/>
  <c r="J59" i="11" s="1"/>
  <c r="K59" i="11" s="1"/>
  <c r="L59" i="11" s="1"/>
  <c r="M59" i="11" s="1"/>
  <c r="G61" i="14"/>
  <c r="G60" i="10" l="1"/>
  <c r="H60" i="10" s="1"/>
  <c r="I60" i="10" s="1"/>
  <c r="J60" i="10" s="1"/>
  <c r="K60" i="10" s="1"/>
  <c r="L60" i="10" s="1"/>
  <c r="M60" i="10" s="1"/>
  <c r="K15" i="6" l="1"/>
  <c r="M15" i="6"/>
  <c r="K14" i="6"/>
  <c r="M14" i="6"/>
  <c r="M11" i="6"/>
  <c r="K11" i="6"/>
  <c r="C15" i="5"/>
  <c r="C14" i="5"/>
  <c r="C13" i="5"/>
  <c r="C10" i="5"/>
  <c r="F34" i="14"/>
  <c r="D34" i="14"/>
  <c r="D33" i="14"/>
  <c r="D35" i="14" s="1"/>
  <c r="D37" i="14" s="1"/>
  <c r="C26" i="11"/>
  <c r="C24" i="11"/>
  <c r="C23" i="11"/>
  <c r="C22" i="11"/>
  <c r="C21" i="11"/>
  <c r="C20" i="11"/>
  <c r="C19" i="11"/>
  <c r="C18" i="11"/>
  <c r="C17" i="11"/>
  <c r="C16" i="11"/>
  <c r="C15" i="11"/>
  <c r="C14" i="11"/>
  <c r="C13" i="11"/>
  <c r="C12" i="11"/>
  <c r="C11" i="11"/>
  <c r="C9" i="11"/>
  <c r="C8" i="11"/>
  <c r="C7" i="11"/>
  <c r="C26" i="10"/>
  <c r="C24" i="10"/>
  <c r="C23" i="10"/>
  <c r="C22" i="10"/>
  <c r="C21" i="10"/>
  <c r="C20" i="10"/>
  <c r="C19" i="10"/>
  <c r="C18" i="10"/>
  <c r="C17" i="10"/>
  <c r="C16" i="10"/>
  <c r="C15" i="10"/>
  <c r="C14" i="10"/>
  <c r="C13" i="10"/>
  <c r="C12" i="10"/>
  <c r="C11" i="10"/>
  <c r="C9" i="10"/>
  <c r="C8" i="10"/>
  <c r="C7" i="10"/>
  <c r="C26" i="14"/>
  <c r="C15" i="14"/>
  <c r="C31" i="14" s="1"/>
  <c r="C16" i="14"/>
  <c r="C17" i="14"/>
  <c r="C34" i="14" s="1"/>
  <c r="C18" i="14"/>
  <c r="C19" i="14"/>
  <c r="C20" i="14"/>
  <c r="C33" i="14" s="1"/>
  <c r="C21" i="14"/>
  <c r="C22" i="14"/>
  <c r="C23" i="14"/>
  <c r="C24" i="14"/>
  <c r="C8" i="14"/>
  <c r="C9" i="14"/>
  <c r="C28" i="14" s="1"/>
  <c r="C30" i="14" s="1"/>
  <c r="C11" i="14"/>
  <c r="C12" i="14"/>
  <c r="C13" i="14"/>
  <c r="C32" i="14" s="1"/>
  <c r="C14" i="14"/>
  <c r="C7" i="14"/>
  <c r="C35" i="14" l="1"/>
  <c r="C37" i="14" s="1"/>
  <c r="F68" i="11"/>
  <c r="E65" i="11"/>
  <c r="E68" i="11"/>
  <c r="D68" i="11"/>
  <c r="F65" i="11"/>
  <c r="F49" i="11"/>
  <c r="F62" i="11" s="1"/>
  <c r="F63" i="11" s="1"/>
  <c r="E49" i="11"/>
  <c r="E62" i="11" s="1"/>
  <c r="E63" i="11" s="1"/>
  <c r="D49" i="11"/>
  <c r="D62" i="11" s="1"/>
  <c r="D63" i="11" s="1"/>
  <c r="F47" i="11"/>
  <c r="F56" i="11" s="1"/>
  <c r="E47" i="11"/>
  <c r="E53" i="11" s="1"/>
  <c r="D47" i="11"/>
  <c r="D61" i="11" s="1"/>
  <c r="F34" i="11"/>
  <c r="E34" i="11"/>
  <c r="D34" i="11"/>
  <c r="F33" i="11"/>
  <c r="E33" i="11"/>
  <c r="D33" i="11"/>
  <c r="F32" i="11"/>
  <c r="E32" i="11"/>
  <c r="D32" i="11"/>
  <c r="F31" i="11"/>
  <c r="E31" i="11"/>
  <c r="D31" i="11"/>
  <c r="F28" i="11"/>
  <c r="F30" i="11" s="1"/>
  <c r="E28" i="11"/>
  <c r="E30" i="11" s="1"/>
  <c r="D28" i="11"/>
  <c r="D30" i="11" s="1"/>
  <c r="J5" i="11"/>
  <c r="I5" i="11"/>
  <c r="H5" i="11"/>
  <c r="G5" i="11"/>
  <c r="F5" i="11"/>
  <c r="E5" i="11"/>
  <c r="F66" i="10"/>
  <c r="E69" i="10"/>
  <c r="D69" i="10"/>
  <c r="E66" i="10"/>
  <c r="F50" i="10"/>
  <c r="F63" i="10" s="1"/>
  <c r="F64" i="10" s="1"/>
  <c r="E50" i="10"/>
  <c r="E63" i="10" s="1"/>
  <c r="E64" i="10" s="1"/>
  <c r="D50" i="10"/>
  <c r="D63" i="10" s="1"/>
  <c r="D64" i="10" s="1"/>
  <c r="F48" i="10"/>
  <c r="E48" i="10"/>
  <c r="D48" i="10"/>
  <c r="D57" i="10" s="1"/>
  <c r="F34" i="10"/>
  <c r="E34" i="10"/>
  <c r="D34" i="10"/>
  <c r="F33" i="10"/>
  <c r="F35" i="10" s="1"/>
  <c r="F37" i="10" s="1"/>
  <c r="E33" i="10"/>
  <c r="D33" i="10"/>
  <c r="F32" i="10"/>
  <c r="E32" i="10"/>
  <c r="D32" i="10"/>
  <c r="F31" i="10"/>
  <c r="E31" i="10"/>
  <c r="D31" i="10"/>
  <c r="F28" i="10"/>
  <c r="F30" i="10" s="1"/>
  <c r="E28" i="10"/>
  <c r="E30" i="10" s="1"/>
  <c r="D28" i="10"/>
  <c r="D30" i="10" s="1"/>
  <c r="I38" i="10"/>
  <c r="C69" i="10" s="1"/>
  <c r="J5" i="10"/>
  <c r="I5" i="10"/>
  <c r="H5" i="10"/>
  <c r="G5" i="10"/>
  <c r="F5" i="10"/>
  <c r="E5" i="10"/>
  <c r="F70" i="14"/>
  <c r="F67" i="14"/>
  <c r="E67" i="14"/>
  <c r="D67" i="14"/>
  <c r="D68" i="14" s="1"/>
  <c r="H61" i="14"/>
  <c r="I61" i="14" s="1"/>
  <c r="J61" i="14" s="1"/>
  <c r="K61" i="14" s="1"/>
  <c r="L61" i="14" s="1"/>
  <c r="M61" i="14" s="1"/>
  <c r="F52" i="14"/>
  <c r="E52" i="14"/>
  <c r="D52" i="14"/>
  <c r="F49" i="14"/>
  <c r="E49" i="14"/>
  <c r="D49" i="14"/>
  <c r="E34" i="14"/>
  <c r="F33" i="14"/>
  <c r="E33" i="14"/>
  <c r="F32" i="14"/>
  <c r="E32" i="14"/>
  <c r="D32" i="14"/>
  <c r="F31" i="14"/>
  <c r="E31" i="14"/>
  <c r="D31" i="14"/>
  <c r="F28" i="14"/>
  <c r="F30" i="14" s="1"/>
  <c r="E28" i="14"/>
  <c r="E30" i="14" s="1"/>
  <c r="D28" i="14"/>
  <c r="D30" i="14" s="1"/>
  <c r="I39" i="14"/>
  <c r="C70" i="14" s="1"/>
  <c r="J5" i="14"/>
  <c r="I5" i="14"/>
  <c r="H5" i="14"/>
  <c r="G5" i="14"/>
  <c r="F5" i="14"/>
  <c r="E5" i="14"/>
  <c r="L11" i="7"/>
  <c r="I6" i="6"/>
  <c r="I24" i="6"/>
  <c r="I41" i="6"/>
  <c r="G4" i="6"/>
  <c r="H3" i="6"/>
  <c r="H4" i="6"/>
  <c r="G3" i="6"/>
  <c r="F5" i="6"/>
  <c r="G5" i="6"/>
  <c r="F4" i="6"/>
  <c r="F3" i="6"/>
  <c r="E3" i="6"/>
  <c r="I9" i="7"/>
  <c r="I8" i="7"/>
  <c r="M6" i="6"/>
  <c r="M4" i="6"/>
  <c r="M3" i="6"/>
  <c r="E11" i="7"/>
  <c r="G9" i="7"/>
  <c r="L9" i="7" s="1"/>
  <c r="O9" i="7" s="1"/>
  <c r="L8" i="7"/>
  <c r="N8" i="7" s="1"/>
  <c r="F38" i="10" l="1"/>
  <c r="E57" i="10"/>
  <c r="E62" i="10"/>
  <c r="E54" i="10"/>
  <c r="F66" i="11"/>
  <c r="F61" i="11"/>
  <c r="F67" i="10"/>
  <c r="E50" i="11"/>
  <c r="F50" i="11"/>
  <c r="E61" i="11"/>
  <c r="D50" i="11"/>
  <c r="D53" i="11"/>
  <c r="F48" i="11"/>
  <c r="E35" i="11"/>
  <c r="E37" i="11" s="1"/>
  <c r="E38" i="11" s="1"/>
  <c r="E48" i="11"/>
  <c r="D35" i="11"/>
  <c r="D37" i="11" s="1"/>
  <c r="D38" i="11" s="1"/>
  <c r="F35" i="11"/>
  <c r="F37" i="11" s="1"/>
  <c r="F38" i="11" s="1"/>
  <c r="F53" i="11"/>
  <c r="F49" i="10"/>
  <c r="G48" i="10"/>
  <c r="H48" i="10" s="1"/>
  <c r="I48" i="10" s="1"/>
  <c r="J48" i="10" s="1"/>
  <c r="K48" i="10" s="1"/>
  <c r="L48" i="10" s="1"/>
  <c r="M48" i="10" s="1"/>
  <c r="E35" i="10"/>
  <c r="E36" i="10" s="1"/>
  <c r="D62" i="10"/>
  <c r="P9" i="7"/>
  <c r="P8" i="7"/>
  <c r="D14" i="7" s="1"/>
  <c r="D19" i="7" s="1"/>
  <c r="D24" i="7" s="1"/>
  <c r="D29" i="7" s="1"/>
  <c r="E35" i="14"/>
  <c r="F35" i="14"/>
  <c r="F36" i="14" s="1"/>
  <c r="D38" i="14"/>
  <c r="D63" i="14"/>
  <c r="D56" i="14"/>
  <c r="E50" i="14"/>
  <c r="E63" i="14"/>
  <c r="E56" i="14"/>
  <c r="F50" i="14"/>
  <c r="G49" i="14"/>
  <c r="F63" i="14"/>
  <c r="F59" i="14"/>
  <c r="F56" i="14"/>
  <c r="D64" i="14"/>
  <c r="D65" i="14" s="1"/>
  <c r="D53" i="14"/>
  <c r="F54" i="10"/>
  <c r="F51" i="10"/>
  <c r="F62" i="10"/>
  <c r="E51" i="10"/>
  <c r="F57" i="10"/>
  <c r="D51" i="10"/>
  <c r="D54" i="10"/>
  <c r="G54" i="10" s="1"/>
  <c r="D35" i="10"/>
  <c r="D37" i="10" s="1"/>
  <c r="D38" i="10" s="1"/>
  <c r="E49" i="10"/>
  <c r="D69" i="11"/>
  <c r="E69" i="11"/>
  <c r="F69" i="11"/>
  <c r="F71" i="11" s="1"/>
  <c r="D65" i="11"/>
  <c r="D66" i="11" s="1"/>
  <c r="D56" i="11"/>
  <c r="E56" i="11"/>
  <c r="G47" i="11"/>
  <c r="D70" i="10"/>
  <c r="E70" i="10"/>
  <c r="G57" i="10"/>
  <c r="F69" i="10"/>
  <c r="F70" i="10" s="1"/>
  <c r="F72" i="10" s="1"/>
  <c r="D66" i="10"/>
  <c r="D67" i="10" s="1"/>
  <c r="F36" i="10"/>
  <c r="E64" i="14"/>
  <c r="E65" i="14" s="1"/>
  <c r="E53" i="14"/>
  <c r="F64" i="14"/>
  <c r="F65" i="14" s="1"/>
  <c r="F53" i="14"/>
  <c r="D36" i="14"/>
  <c r="E68" i="14"/>
  <c r="F37" i="14"/>
  <c r="F38" i="14" s="1"/>
  <c r="D70" i="14"/>
  <c r="D71" i="14" s="1"/>
  <c r="D59" i="14"/>
  <c r="E70" i="14"/>
  <c r="E59" i="14"/>
  <c r="E37" i="14"/>
  <c r="E38" i="14" s="1"/>
  <c r="E36" i="14"/>
  <c r="F68" i="14"/>
  <c r="D16" i="7"/>
  <c r="D21" i="7" s="1"/>
  <c r="D26" i="7" s="1"/>
  <c r="D31" i="7" s="1"/>
  <c r="O8" i="7"/>
  <c r="C16" i="7" s="1"/>
  <c r="C21" i="7" s="1"/>
  <c r="C26" i="7" s="1"/>
  <c r="C31" i="7" s="1"/>
  <c r="D15" i="12" s="1"/>
  <c r="N9" i="7"/>
  <c r="B16" i="7" s="1"/>
  <c r="B21" i="7" s="1"/>
  <c r="B26" i="7" s="1"/>
  <c r="B31" i="7" s="1"/>
  <c r="C15" i="12" s="1"/>
  <c r="E23" i="12" l="1"/>
  <c r="E25" i="12"/>
  <c r="C36" i="14"/>
  <c r="C59" i="14"/>
  <c r="G59" i="14" s="1"/>
  <c r="F39" i="14"/>
  <c r="C56" i="14"/>
  <c r="G56" i="14" s="1"/>
  <c r="G67" i="14" s="1"/>
  <c r="G68" i="14" s="1"/>
  <c r="G56" i="11"/>
  <c r="H56" i="11" s="1"/>
  <c r="F36" i="11"/>
  <c r="G53" i="11"/>
  <c r="H53" i="11" s="1"/>
  <c r="I53" i="11" s="1"/>
  <c r="J53" i="11" s="1"/>
  <c r="M17" i="10"/>
  <c r="D36" i="11"/>
  <c r="D71" i="11"/>
  <c r="E36" i="11"/>
  <c r="E37" i="10"/>
  <c r="E38" i="10" s="1"/>
  <c r="D15" i="7"/>
  <c r="D20" i="7" s="1"/>
  <c r="D25" i="7" s="1"/>
  <c r="D30" i="7" s="1"/>
  <c r="C74" i="12"/>
  <c r="C15" i="7"/>
  <c r="C20" i="7" s="1"/>
  <c r="C25" i="7" s="1"/>
  <c r="C30" i="7" s="1"/>
  <c r="D14" i="12" s="1"/>
  <c r="C14" i="7"/>
  <c r="C19" i="7" s="1"/>
  <c r="C24" i="7" s="1"/>
  <c r="C29" i="7" s="1"/>
  <c r="D13" i="12" s="1"/>
  <c r="B14" i="7"/>
  <c r="B19" i="7" s="1"/>
  <c r="B24" i="7" s="1"/>
  <c r="B29" i="7" s="1"/>
  <c r="C13" i="12" s="1"/>
  <c r="C38" i="14"/>
  <c r="E71" i="14"/>
  <c r="E73" i="14" s="1"/>
  <c r="G50" i="14"/>
  <c r="G63" i="14" s="1"/>
  <c r="H49" i="14"/>
  <c r="I49" i="14" s="1"/>
  <c r="J49" i="14" s="1"/>
  <c r="K49" i="14" s="1"/>
  <c r="L49" i="14" s="1"/>
  <c r="G49" i="10"/>
  <c r="G62" i="10" s="1"/>
  <c r="D36" i="10"/>
  <c r="H54" i="10"/>
  <c r="I54" i="10" s="1"/>
  <c r="E66" i="11"/>
  <c r="E71" i="11" s="1"/>
  <c r="E67" i="10"/>
  <c r="E72" i="10" s="1"/>
  <c r="G48" i="11"/>
  <c r="G61" i="11" s="1"/>
  <c r="H47" i="11"/>
  <c r="G66" i="10"/>
  <c r="G67" i="10" s="1"/>
  <c r="G69" i="10"/>
  <c r="G70" i="10" s="1"/>
  <c r="H57" i="10"/>
  <c r="G56" i="10"/>
  <c r="F71" i="14"/>
  <c r="F73" i="14" s="1"/>
  <c r="B15" i="7"/>
  <c r="B20" i="7" s="1"/>
  <c r="B25" i="7" s="1"/>
  <c r="B30" i="7" s="1"/>
  <c r="C23" i="12" l="1"/>
  <c r="C35" i="12" s="1"/>
  <c r="C25" i="12"/>
  <c r="C37" i="12" s="1"/>
  <c r="D25" i="12"/>
  <c r="H56" i="14"/>
  <c r="I56" i="14" s="1"/>
  <c r="G68" i="11"/>
  <c r="G69" i="11" s="1"/>
  <c r="G65" i="11"/>
  <c r="G66" i="11" s="1"/>
  <c r="G55" i="11"/>
  <c r="C14" i="12"/>
  <c r="C73" i="12"/>
  <c r="M49" i="14"/>
  <c r="M50" i="14" s="1"/>
  <c r="L50" i="14"/>
  <c r="J54" i="10"/>
  <c r="H65" i="11"/>
  <c r="H68" i="11"/>
  <c r="H69" i="11" s="1"/>
  <c r="H48" i="11"/>
  <c r="H61" i="11" s="1"/>
  <c r="I47" i="11"/>
  <c r="K53" i="11"/>
  <c r="L53" i="11" s="1"/>
  <c r="H55" i="11"/>
  <c r="I56" i="11"/>
  <c r="H56" i="10"/>
  <c r="I57" i="10"/>
  <c r="H66" i="10"/>
  <c r="H67" i="10" s="1"/>
  <c r="H69" i="10"/>
  <c r="H70" i="10" s="1"/>
  <c r="H49" i="10"/>
  <c r="H62" i="10" s="1"/>
  <c r="H59" i="14"/>
  <c r="H70" i="14" s="1"/>
  <c r="G58" i="14"/>
  <c r="H67" i="14"/>
  <c r="H68" i="14" s="1"/>
  <c r="H50" i="14"/>
  <c r="H63" i="14" s="1"/>
  <c r="I50" i="14"/>
  <c r="J56" i="14"/>
  <c r="G70" i="14"/>
  <c r="G71" i="14" s="1"/>
  <c r="D23" i="12"/>
  <c r="D37" i="12" l="1"/>
  <c r="E37" i="12" s="1"/>
  <c r="H66" i="11"/>
  <c r="K56" i="14"/>
  <c r="L56" i="14"/>
  <c r="K54" i="10"/>
  <c r="L54" i="10" s="1"/>
  <c r="M54" i="10" s="1"/>
  <c r="M53" i="11"/>
  <c r="I65" i="11"/>
  <c r="I66" i="11" s="1"/>
  <c r="J47" i="11"/>
  <c r="I48" i="11"/>
  <c r="I61" i="11" s="1"/>
  <c r="I68" i="11"/>
  <c r="I69" i="11" s="1"/>
  <c r="I55" i="11"/>
  <c r="J56" i="11"/>
  <c r="I56" i="10"/>
  <c r="J57" i="10"/>
  <c r="I66" i="10"/>
  <c r="I67" i="10" s="1"/>
  <c r="I69" i="10"/>
  <c r="I70" i="10" s="1"/>
  <c r="I49" i="10"/>
  <c r="I62" i="10" s="1"/>
  <c r="I67" i="14"/>
  <c r="I68" i="14" s="1"/>
  <c r="I63" i="14"/>
  <c r="J50" i="14"/>
  <c r="H58" i="14"/>
  <c r="I59" i="14"/>
  <c r="I70" i="14" s="1"/>
  <c r="I71" i="14" s="1"/>
  <c r="H71" i="14"/>
  <c r="D35" i="12"/>
  <c r="E35" i="12" s="1"/>
  <c r="M10" i="2"/>
  <c r="L10" i="2"/>
  <c r="M9" i="2"/>
  <c r="L9" i="2"/>
  <c r="M22" i="2"/>
  <c r="M56" i="14" l="1"/>
  <c r="J65" i="11"/>
  <c r="J66" i="11" s="1"/>
  <c r="J68" i="11"/>
  <c r="J69" i="11" s="1"/>
  <c r="J48" i="11"/>
  <c r="J61" i="11" s="1"/>
  <c r="K47" i="11"/>
  <c r="J55" i="11"/>
  <c r="K56" i="11"/>
  <c r="J56" i="10"/>
  <c r="K57" i="10"/>
  <c r="J66" i="10"/>
  <c r="J67" i="10" s="1"/>
  <c r="J69" i="10"/>
  <c r="J70" i="10" s="1"/>
  <c r="J49" i="10"/>
  <c r="J62" i="10" s="1"/>
  <c r="I58" i="14"/>
  <c r="J59" i="14"/>
  <c r="J70" i="14" s="1"/>
  <c r="J71" i="14" s="1"/>
  <c r="J67" i="14"/>
  <c r="J68" i="14" s="1"/>
  <c r="J63" i="14"/>
  <c r="K50" i="14"/>
  <c r="L56" i="11" l="1"/>
  <c r="K55" i="11"/>
  <c r="K68" i="11"/>
  <c r="K69" i="11" s="1"/>
  <c r="K48" i="11"/>
  <c r="K61" i="11" s="1"/>
  <c r="L47" i="11"/>
  <c r="K65" i="11"/>
  <c r="K66" i="11" s="1"/>
  <c r="L57" i="10"/>
  <c r="K56" i="10"/>
  <c r="K49" i="10"/>
  <c r="K62" i="10" s="1"/>
  <c r="K69" i="10"/>
  <c r="K70" i="10" s="1"/>
  <c r="K66" i="10"/>
  <c r="K67" i="10" s="1"/>
  <c r="J58" i="14"/>
  <c r="K59" i="14"/>
  <c r="K70" i="14" s="1"/>
  <c r="K71" i="14" s="1"/>
  <c r="K63" i="14"/>
  <c r="K67" i="14"/>
  <c r="K68" i="14" s="1"/>
  <c r="L68" i="11" l="1"/>
  <c r="L69" i="11" s="1"/>
  <c r="L48" i="11"/>
  <c r="L61" i="11" s="1"/>
  <c r="M47" i="11"/>
  <c r="L65" i="11"/>
  <c r="L66" i="11" s="1"/>
  <c r="M56" i="11"/>
  <c r="L55" i="11"/>
  <c r="L69" i="10"/>
  <c r="L70" i="10" s="1"/>
  <c r="L49" i="10"/>
  <c r="L62" i="10" s="1"/>
  <c r="L66" i="10"/>
  <c r="L67" i="10" s="1"/>
  <c r="M57" i="10"/>
  <c r="L56" i="10"/>
  <c r="L63" i="14"/>
  <c r="L67" i="14"/>
  <c r="L68" i="14" s="1"/>
  <c r="L59" i="14"/>
  <c r="K58" i="14"/>
  <c r="N22" i="2"/>
  <c r="O22" i="2"/>
  <c r="M55" i="11" l="1"/>
  <c r="M68" i="11"/>
  <c r="M69" i="11" s="1"/>
  <c r="M48" i="11"/>
  <c r="M61" i="11" s="1"/>
  <c r="M65" i="11"/>
  <c r="M66" i="11" s="1"/>
  <c r="M69" i="10"/>
  <c r="M70" i="10" s="1"/>
  <c r="M49" i="10"/>
  <c r="M62" i="10" s="1"/>
  <c r="M66" i="10"/>
  <c r="M67" i="10" s="1"/>
  <c r="M56" i="10"/>
  <c r="M59" i="14"/>
  <c r="M58" i="14" s="1"/>
  <c r="L58" i="14"/>
  <c r="M70" i="14"/>
  <c r="M63" i="14"/>
  <c r="M67" i="14"/>
  <c r="M68" i="14" s="1"/>
  <c r="L70" i="14"/>
  <c r="L71" i="14" s="1"/>
  <c r="M71" i="14" l="1"/>
  <c r="M12" i="6"/>
  <c r="K12" i="6" l="1"/>
  <c r="K13" i="6"/>
  <c r="C51" i="10" l="1"/>
  <c r="C50" i="11"/>
  <c r="C18" i="5"/>
  <c r="C17" i="5"/>
  <c r="G49" i="11" l="1"/>
  <c r="G50" i="11" s="1"/>
  <c r="G62" i="11" s="1"/>
  <c r="G63" i="11" s="1"/>
  <c r="G71" i="11" s="1"/>
  <c r="H49" i="11"/>
  <c r="H50" i="11" s="1"/>
  <c r="H62" i="11" s="1"/>
  <c r="H63" i="11" s="1"/>
  <c r="H71" i="11" s="1"/>
  <c r="I49" i="11"/>
  <c r="I50" i="11" s="1"/>
  <c r="I62" i="11" s="1"/>
  <c r="I63" i="11" s="1"/>
  <c r="I71" i="11" s="1"/>
  <c r="J49" i="11"/>
  <c r="J50" i="11" s="1"/>
  <c r="J62" i="11" s="1"/>
  <c r="J63" i="11" s="1"/>
  <c r="J71" i="11" s="1"/>
  <c r="K49" i="11"/>
  <c r="K50" i="11" s="1"/>
  <c r="K62" i="11" s="1"/>
  <c r="K63" i="11" s="1"/>
  <c r="K71" i="11" s="1"/>
  <c r="L49" i="11"/>
  <c r="L50" i="11" s="1"/>
  <c r="L62" i="11" s="1"/>
  <c r="L63" i="11" s="1"/>
  <c r="L71" i="11" s="1"/>
  <c r="M49" i="11"/>
  <c r="M50" i="11" s="1"/>
  <c r="M62" i="11" s="1"/>
  <c r="M63" i="11" s="1"/>
  <c r="M71" i="11" s="1"/>
  <c r="C74" i="11" s="1"/>
  <c r="G50" i="10"/>
  <c r="G51" i="10" s="1"/>
  <c r="G63" i="10" s="1"/>
  <c r="G64" i="10" s="1"/>
  <c r="G72" i="10" s="1"/>
  <c r="H50" i="10"/>
  <c r="H51" i="10" s="1"/>
  <c r="H63" i="10" s="1"/>
  <c r="H64" i="10" s="1"/>
  <c r="H72" i="10" s="1"/>
  <c r="I50" i="10"/>
  <c r="I51" i="10" s="1"/>
  <c r="I63" i="10" s="1"/>
  <c r="I64" i="10" s="1"/>
  <c r="I72" i="10" s="1"/>
  <c r="J50" i="10"/>
  <c r="J51" i="10" s="1"/>
  <c r="J63" i="10" s="1"/>
  <c r="J64" i="10" s="1"/>
  <c r="J72" i="10" s="1"/>
  <c r="K50" i="10"/>
  <c r="K51" i="10" s="1"/>
  <c r="K63" i="10" s="1"/>
  <c r="K64" i="10" s="1"/>
  <c r="K72" i="10" s="1"/>
  <c r="L50" i="10"/>
  <c r="L51" i="10" s="1"/>
  <c r="L63" i="10" s="1"/>
  <c r="L64" i="10" s="1"/>
  <c r="L72" i="10" s="1"/>
  <c r="M50" i="10"/>
  <c r="M51" i="10" s="1"/>
  <c r="M63" i="10" s="1"/>
  <c r="M64" i="10" s="1"/>
  <c r="M72" i="10" s="1"/>
  <c r="G52" i="14"/>
  <c r="G53" i="14" s="1"/>
  <c r="H52" i="14"/>
  <c r="H53" i="14" s="1"/>
  <c r="H64" i="14" s="1"/>
  <c r="H65" i="14" s="1"/>
  <c r="H73" i="14" s="1"/>
  <c r="I52" i="14"/>
  <c r="I53" i="14" s="1"/>
  <c r="I64" i="14" s="1"/>
  <c r="I65" i="14" s="1"/>
  <c r="I73" i="14" s="1"/>
  <c r="J52" i="14"/>
  <c r="J53" i="14" s="1"/>
  <c r="J64" i="14" s="1"/>
  <c r="J65" i="14" s="1"/>
  <c r="J73" i="14" s="1"/>
  <c r="K52" i="14"/>
  <c r="K53" i="14" s="1"/>
  <c r="K64" i="14" s="1"/>
  <c r="K65" i="14" s="1"/>
  <c r="K73" i="14" s="1"/>
  <c r="L52" i="14"/>
  <c r="L53" i="14" s="1"/>
  <c r="L64" i="14" s="1"/>
  <c r="L65" i="14" s="1"/>
  <c r="L73" i="14" s="1"/>
  <c r="M52" i="14"/>
  <c r="M53" i="14" s="1"/>
  <c r="B40" i="6"/>
  <c r="B33" i="6"/>
  <c r="B26" i="6"/>
  <c r="F20" i="6"/>
  <c r="E20" i="6"/>
  <c r="F19" i="6"/>
  <c r="F14" i="6"/>
  <c r="E14" i="6"/>
  <c r="F13" i="6"/>
  <c r="E13" i="6"/>
  <c r="F12" i="6"/>
  <c r="E12" i="6"/>
  <c r="E18" i="6" s="1"/>
  <c r="F11" i="6"/>
  <c r="F18" i="6" s="1"/>
  <c r="E11" i="6"/>
  <c r="N6" i="6"/>
  <c r="M5" i="6"/>
  <c r="M13" i="6" s="1"/>
  <c r="H5" i="6"/>
  <c r="E5" i="6"/>
  <c r="I5" i="6" s="1"/>
  <c r="I4" i="6"/>
  <c r="E4" i="6"/>
  <c r="C19" i="5"/>
  <c r="C6" i="5" s="1"/>
  <c r="C9" i="5" s="1"/>
  <c r="C7" i="5"/>
  <c r="H6" i="6"/>
  <c r="G9" i="5"/>
  <c r="C11" i="5" l="1"/>
  <c r="D82" i="10" s="1"/>
  <c r="C77" i="10" s="1"/>
  <c r="G64" i="14"/>
  <c r="G65" i="14" s="1"/>
  <c r="G73" i="14" s="1"/>
  <c r="M64" i="14"/>
  <c r="M65" i="14" s="1"/>
  <c r="M73" i="14" s="1"/>
  <c r="D82" i="11"/>
  <c r="C75" i="11"/>
  <c r="D83" i="11"/>
  <c r="C12" i="6"/>
  <c r="D12" i="6"/>
  <c r="I3" i="6"/>
  <c r="C11" i="6" s="1"/>
  <c r="D13" i="6"/>
  <c r="B13" i="6"/>
  <c r="C13" i="6"/>
  <c r="E19" i="6"/>
  <c r="B12" i="6"/>
  <c r="C78" i="10" l="1"/>
  <c r="D84" i="10"/>
  <c r="D85" i="10"/>
  <c r="D84" i="11"/>
  <c r="D87" i="11" s="1"/>
  <c r="D89" i="11" s="1"/>
  <c r="F82" i="11" s="1"/>
  <c r="D11" i="6"/>
  <c r="D20" i="6" s="1"/>
  <c r="K26" i="6" s="1"/>
  <c r="K31" i="6" s="1"/>
  <c r="K36" i="6" s="1"/>
  <c r="K41" i="6" s="1"/>
  <c r="E7" i="12" s="1"/>
  <c r="B11" i="6"/>
  <c r="B19" i="6" s="1"/>
  <c r="I25" i="6" s="1"/>
  <c r="I30" i="6" s="1"/>
  <c r="I35" i="6" s="1"/>
  <c r="I40" i="6" s="1"/>
  <c r="C31" i="5"/>
  <c r="D84" i="14" s="1"/>
  <c r="C78" i="14" s="1"/>
  <c r="D86" i="14" s="1"/>
  <c r="B23" i="6"/>
  <c r="C18" i="6"/>
  <c r="J24" i="6" s="1"/>
  <c r="J29" i="6" s="1"/>
  <c r="J34" i="6" s="1"/>
  <c r="J39" i="6" s="1"/>
  <c r="D5" i="12" s="1"/>
  <c r="C20" i="6"/>
  <c r="J26" i="6" s="1"/>
  <c r="J31" i="6" s="1"/>
  <c r="J36" i="6" s="1"/>
  <c r="J41" i="6" s="1"/>
  <c r="D7" i="12" s="1"/>
  <c r="C19" i="6"/>
  <c r="D14" i="6"/>
  <c r="C14" i="6"/>
  <c r="B14" i="6"/>
  <c r="D86" i="10" l="1"/>
  <c r="D89" i="10" s="1"/>
  <c r="D91" i="10" s="1"/>
  <c r="F84" i="10" s="1"/>
  <c r="E21" i="12"/>
  <c r="C21" i="12"/>
  <c r="C79" i="14"/>
  <c r="D87" i="14"/>
  <c r="C71" i="12"/>
  <c r="C6" i="12"/>
  <c r="B18" i="6"/>
  <c r="I29" i="6" s="1"/>
  <c r="I34" i="6" s="1"/>
  <c r="I39" i="6" s="1"/>
  <c r="C5" i="12" s="1"/>
  <c r="D19" i="6"/>
  <c r="D18" i="6"/>
  <c r="K24" i="6" s="1"/>
  <c r="K29" i="6" s="1"/>
  <c r="K34" i="6" s="1"/>
  <c r="K39" i="6" s="1"/>
  <c r="E5" i="12" s="1"/>
  <c r="B20" i="6"/>
  <c r="I26" i="6" s="1"/>
  <c r="I31" i="6" s="1"/>
  <c r="I36" i="6" s="1"/>
  <c r="C7" i="12" s="1"/>
  <c r="J25" i="6"/>
  <c r="J30" i="6" s="1"/>
  <c r="J35" i="6" s="1"/>
  <c r="J40" i="6" s="1"/>
  <c r="D6" i="12" s="1"/>
  <c r="B30" i="6"/>
  <c r="B31" i="6" s="1"/>
  <c r="B32" i="6" s="1"/>
  <c r="B34" i="6" s="1"/>
  <c r="B24" i="6"/>
  <c r="B25" i="6" s="1"/>
  <c r="B27" i="6" s="1"/>
  <c r="C19" i="12" l="1"/>
  <c r="C31" i="12" s="1"/>
  <c r="D21" i="12"/>
  <c r="C33" i="12"/>
  <c r="D88" i="14"/>
  <c r="D91" i="14" s="1"/>
  <c r="E19" i="12"/>
  <c r="K25" i="6"/>
  <c r="K30" i="6" s="1"/>
  <c r="K35" i="6" s="1"/>
  <c r="K40" i="6" s="1"/>
  <c r="B37" i="6"/>
  <c r="B38" i="6" s="1"/>
  <c r="B39" i="6" s="1"/>
  <c r="B41" i="6" s="1"/>
  <c r="D19" i="12"/>
  <c r="C76" i="12"/>
  <c r="E27" i="12" s="1"/>
  <c r="D93" i="14" l="1"/>
  <c r="F86" i="14" s="1"/>
  <c r="D31" i="12"/>
  <c r="E31" i="12" s="1"/>
  <c r="E6" i="12"/>
  <c r="D33" i="12" s="1"/>
  <c r="E33" i="12" s="1"/>
  <c r="C72" i="12"/>
  <c r="C77" i="12"/>
  <c r="C27" i="12" s="1"/>
  <c r="C39" i="12" l="1"/>
  <c r="C75" i="12"/>
  <c r="D27" i="12" s="1"/>
  <c r="D39" i="12" l="1"/>
  <c r="E39"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G6" authorId="0" shapeId="0" xr:uid="{3F65FAD1-4513-49CA-A67A-2653C3200C72}">
      <text>
        <r>
          <rPr>
            <sz val="10"/>
            <color rgb="FF000000"/>
            <rFont val="Arial"/>
            <family val="2"/>
          </rPr>
          <t xml:space="preserve">10 year treasury yield from FRED
</t>
        </r>
      </text>
    </comment>
    <comment ref="G7" authorId="0" shapeId="0" xr:uid="{4B5A7FA0-3BBE-4C8F-A805-39FA78ECD4B9}">
      <text>
        <r>
          <rPr>
            <sz val="10"/>
            <color rgb="FF000000"/>
            <rFont val="Arial"/>
            <family val="2"/>
          </rPr>
          <t xml:space="preserve">5 Year Monthly beta as of 10/5/2023 from YAHOO.
</t>
        </r>
      </text>
    </comment>
    <comment ref="C8" authorId="0" shapeId="0" xr:uid="{20571BFA-5D8B-41FB-BB45-FAFF4510C2AE}">
      <text>
        <r>
          <rPr>
            <sz val="10"/>
            <color rgb="FF000000"/>
            <rFont val="Arial"/>
            <family val="2"/>
          </rPr>
          <t xml:space="preserve">By taking the average effective tax rate from past quarterly data. The average % has been taken.
</t>
        </r>
      </text>
    </comment>
    <comment ref="G8" authorId="0" shapeId="0" xr:uid="{AD2342FD-B7C9-4316-9DA4-8D2A222277D0}">
      <text>
        <r>
          <rPr>
            <sz val="10"/>
            <color rgb="FF000000"/>
            <rFont val="Arial"/>
            <family val="2"/>
          </rPr>
          <t xml:space="preserve">MRP is assumed to be 5% because this is the average difference between the historical return of the S&amp;P 500 and the historical return of Treasury bills.
</t>
        </r>
      </text>
    </comment>
    <comment ref="G13" authorId="0" shapeId="0" xr:uid="{FE0255B7-0456-408B-BC93-9105086704A8}">
      <text>
        <r>
          <rPr>
            <sz val="10"/>
            <color rgb="FF000000"/>
            <rFont val="Arial"/>
            <family val="2"/>
            <scheme val="minor"/>
          </rPr>
          <t xml:space="preserve">
 XOM has the third highest rating in Moody's Long-term Corporate Obligation Rating.
Obligations rated Aa2 are judged to be of high quality and are subject to very low credit risk.
</t>
        </r>
      </text>
    </comment>
    <comment ref="G14" authorId="0" shapeId="0" xr:uid="{E83F71C1-09E0-4DC4-A356-EDC0D4BE4FC6}">
      <text>
        <r>
          <rPr>
            <sz val="10"/>
            <color rgb="FF000000"/>
            <rFont val="Arial"/>
            <family val="2"/>
          </rPr>
          <t xml:space="preserve">From FRED as of 10/05/2023
</t>
        </r>
      </text>
    </comment>
    <comment ref="G15" authorId="0" shapeId="0" xr:uid="{410A4EEB-8E53-40E3-8211-19EDAA1DC7B7}">
      <text>
        <r>
          <rPr>
            <sz val="10"/>
            <color rgb="FF000000"/>
            <rFont val="Arial"/>
            <family val="2"/>
          </rPr>
          <t xml:space="preserve">From PROF DAMODARAN website.The Historical spread of AA/Aa2 has been taken.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B35" authorId="0" shapeId="0" xr:uid="{CC957BAC-B97D-473F-9ADB-261EE1F6CC88}">
      <text>
        <r>
          <rPr>
            <sz val="10"/>
            <color rgb="FF000000"/>
            <rFont val="Arial"/>
            <family val="2"/>
          </rPr>
          <t xml:space="preserve">
</t>
        </r>
        <r>
          <rPr>
            <sz val="10"/>
            <color rgb="FF000000"/>
            <rFont val="Arial"/>
            <family val="2"/>
          </rPr>
          <t>Information for M&amp;A's was taken from FINANCIAL TIMES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Guest User</author>
  </authors>
  <commentList>
    <comment ref="M50" authorId="0" shapeId="0" xr:uid="{579812BF-B54D-CE45-B5E4-BFEFCAB1075E}">
      <text>
        <r>
          <rPr>
            <b/>
            <sz val="14"/>
            <color rgb="FF000000"/>
            <rFont val="Times New Roman"/>
            <family val="18"/>
          </rPr>
          <t xml:space="preserve">As of the date  we started valuation  there was a negotiation going on for Exxon to acquire Pioneers  so I expect  it to have an impact this year by having a drop in  revenue by 17%  and would  recover gradually in upcoming years  </t>
        </r>
        <r>
          <rPr>
            <b/>
            <sz val="14"/>
            <color rgb="FF000000"/>
            <rFont val="Times New Roman"/>
            <family val="18"/>
          </rPr>
          <t xml:space="preserve">
</t>
        </r>
      </text>
    </comment>
    <comment ref="C53" authorId="1" shapeId="0" xr:uid="{C8C7B80D-AB4B-4E9A-A28B-8779C91A1B6F}">
      <text>
        <r>
          <rPr>
            <sz val="10"/>
            <color rgb="FF000000"/>
            <rFont val="Arial"/>
            <family val="2"/>
          </rPr>
          <t xml:space="preserve">EBIT Margin for Projection data of 16.33  is been taken from comparable analysis.
</t>
        </r>
        <r>
          <rPr>
            <sz val="10"/>
            <color rgb="FF000000"/>
            <rFont val="Arial"/>
            <family val="2"/>
          </rPr>
          <t xml:space="preserve">It is calculated by taking the average of the peers. We assume the EBIT MARGIN to remain stable for the following years. 
</t>
        </r>
        <r>
          <rPr>
            <sz val="10"/>
            <color rgb="FF000000"/>
            <rFont val="Arial"/>
            <family val="2"/>
          </rPr>
          <t xml:space="preserve">
</t>
        </r>
      </text>
    </comment>
    <comment ref="C56" authorId="1" shapeId="0" xr:uid="{EB6F1A67-CB26-4AC3-BFBD-517E0CE62669}">
      <text>
        <r>
          <rPr>
            <sz val="10"/>
            <color rgb="FF000000"/>
            <rFont val="Arial"/>
            <family val="2"/>
          </rPr>
          <t xml:space="preserve">XOM net fixed assets are expected to change over year by year due to its investment in new growth projects, maintenance and replacement, and increased production volumes.
</t>
        </r>
      </text>
    </comment>
    <comment ref="C59" authorId="1" shapeId="0" xr:uid="{85CF84E1-9D83-4FC0-9C25-7B42561E73B3}">
      <text>
        <r>
          <rPr>
            <sz val="10"/>
            <color rgb="FF000000"/>
            <rFont val="Arial"/>
            <family val="2"/>
          </rPr>
          <t xml:space="preserve">XOM net operating working capital is expected to remain stable in the coming years. This is due to the company's strong operating performance, its focus on working capital management, and the favorable industry outlook.
</t>
        </r>
      </text>
    </comment>
    <comment ref="D83" authorId="0" shapeId="0" xr:uid="{5481E504-6FF5-4143-96F4-138E1F00584F}">
      <text>
        <r>
          <rPr>
            <sz val="18"/>
            <color rgb="FF000000"/>
            <rFont val="Times New Roman"/>
            <family val="18"/>
          </rPr>
          <t xml:space="preserve">Analyst estimates for ExxonMobil's future growth rate range from 2% to 4%. A 3% growth rate is a reasonable assumption, given the company's strong fundamentals and the expected growth in the global energy demand.
</t>
        </r>
        <r>
          <rPr>
            <sz val="18"/>
            <color rgb="FF000000"/>
            <rFont val="Times New Roman"/>
            <family val="18"/>
          </rPr>
          <t xml:space="preserve">
</t>
        </r>
      </text>
    </comment>
    <comment ref="D84" authorId="1" shapeId="0" xr:uid="{8E30829D-F735-4501-B6F7-74A301F6B190}">
      <text>
        <r>
          <rPr>
            <sz val="14"/>
            <color rgb="FF000000"/>
            <rFont val="Arial"/>
            <family val="2"/>
          </rPr>
          <t>WACC is calculated using the weights and costs of both the debt and equity.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49" authorId="0" shapeId="0" xr:uid="{0A781F8F-6426-C549-9753-70E1003EC815}">
      <text>
        <r>
          <rPr>
            <b/>
            <sz val="16"/>
            <color rgb="FF000000"/>
            <rFont val="Times New Roman"/>
            <family val="18"/>
          </rPr>
          <t>The revenue will grow by 5% from 2023 to 2024 in the case of Optimism because the demand for oil and gas has been steady and diversification may have an increase in revenue for Exxon</t>
        </r>
        <r>
          <rPr>
            <b/>
            <sz val="16"/>
            <color rgb="FF000000"/>
            <rFont val="Times New Roman"/>
            <family val="18"/>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48" authorId="0" shapeId="0" xr:uid="{A086CE17-4665-6E4F-A35D-DE69C94F2159}">
      <text>
        <r>
          <rPr>
            <b/>
            <sz val="16"/>
            <color rgb="FF000000"/>
            <rFont val="Times New Roman"/>
            <family val="18"/>
          </rPr>
          <t>The revenue growth is  considered to  fall  for the next couple of years as there are challenges for the company in terms of oil pricing and this case could occur if the company fails to adapt to the changing environment .</t>
        </r>
        <r>
          <rPr>
            <b/>
            <sz val="16"/>
            <color rgb="FF000000"/>
            <rFont val="Times New Roman"/>
            <family val="18"/>
          </rPr>
          <t xml:space="preserve">
</t>
        </r>
      </text>
    </comment>
  </commentList>
</comments>
</file>

<file path=xl/sharedStrings.xml><?xml version="1.0" encoding="utf-8"?>
<sst xmlns="http://schemas.openxmlformats.org/spreadsheetml/2006/main" count="647" uniqueCount="313">
  <si>
    <t>CONDENSED CONSOLIDATED STATEMENT OF INCOME</t>
  </si>
  <si>
    <t>MIillions of dollars, unless noted)</t>
  </si>
  <si>
    <t>Three Months Ended
June 30,</t>
  </si>
  <si>
    <t>Six Months Ended
June 30,</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</si>
  <si>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</si>
  <si>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</si>
  <si>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</si>
  <si>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</si>
  <si>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</si>
  <si>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</si>
  <si>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</si>
  <si>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</si>
  <si>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</si>
  <si>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 (includes impairments)</t>
  </si>
  <si>
    <t>Exploration expenses, including dry holes</t>
  </si>
  <si>
    <t>Non-service pension and postretirement benefit expense</t>
  </si>
  <si>
    <t>Interest expense</t>
  </si>
  <si>
    <t>Other taxes and duties</t>
  </si>
  <si>
    <t>Total costs and other deductions</t>
  </si>
  <si>
    <t>Income (loss) before income taxes</t>
  </si>
  <si>
    <t>Income tax expense (benefit)</t>
  </si>
  <si>
    <t>Net income (loss) including noncontrolling interests</t>
  </si>
  <si>
    <t>Net income (loss) attributable to noncontrolling interests</t>
  </si>
  <si>
    <t>Net income (loss) attributable to ExxonMobil</t>
  </si>
  <si>
    <t>Earnings (loss) per common share (dollars)</t>
  </si>
  <si>
    <t>CONDENSED CONSOLIDATED BALANCE SHEET</t>
  </si>
  <si>
    <t>(millions of dollars, unless noted)</t>
  </si>
  <si>
    <t>ASSETS</t>
  </si>
  <si>
    <t>Current assets</t>
  </si>
  <si>
    <t>Cash and cash equivalents</t>
  </si>
  <si>
    <t>Cash and cash equivalents – restricted</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</si>
  <si>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</si>
  <si>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</si>
  <si>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</si>
  <si>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</si>
  <si>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</si>
  <si>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</si>
  <si>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</si>
  <si>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</si>
  <si>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</si>
  <si>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</si>
  <si>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NOWC</t>
  </si>
  <si>
    <t>CA-CL:</t>
  </si>
  <si>
    <t>LIABILITIES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</si>
  <si>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</si>
  <si>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</si>
  <si>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</si>
  <si>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</si>
  <si>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</si>
  <si>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</si>
  <si>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</si>
  <si>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</si>
  <si>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</si>
  <si>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</si>
  <si>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</si>
  <si>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</si>
  <si>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EQUITY</t>
  </si>
  <si>
    <t>Common stock without par value
(9,000 million shares authorized, 8,019 million shares issued)</t>
  </si>
  <si>
    <t>Earnings reinvested</t>
  </si>
  <si>
    <t>Accumulated other comprehensive income</t>
  </si>
  <si>
    <t>Common stock held in treasury
(4,016 million shares at June 30, 2023 and
3,937 million shares at December 31, 2022)</t>
  </si>
  <si>
    <t>ExxonMobil share of equity</t>
  </si>
  <si>
    <t>Noncontrolling interests</t>
  </si>
  <si>
    <t>Total Equity</t>
  </si>
  <si>
    <t>Total Liabilities and Equity</t>
  </si>
  <si>
    <t>SUMMARY BALANCE SHEET AT YEAR END</t>
  </si>
  <si>
    <t>(millions of dollars)</t>
  </si>
  <si>
    <t>Assets</t>
  </si>
  <si>
    <t>  Cash and cash equivalents</t>
  </si>
  <si>
    <t>  Cash and cash equivalents-restricted</t>
  </si>
  <si>
    <t> </t>
  </si>
  <si>
    <t>  Notes and accounts receivable, less estimated doubtful amounts</t>
  </si>
  <si>
    <t>  Inventories</t>
  </si>
  <si>
    <t>    Crude oil, products and merchandise</t>
  </si>
  <si>
    <t>    Materials and supplies</t>
  </si>
  <si>
    <t>  Other current assets</t>
  </si>
  <si>
    <t>Property, plant and equipment, at cost, less accumulated depreciation and depletion</t>
  </si>
  <si>
    <t>Other assets, including intangibles, net</t>
  </si>
  <si>
    <t>Total assets</t>
  </si>
  <si>
    <t>Liabilities</t>
  </si>
  <si>
    <t>  Notes and loans payable</t>
  </si>
  <si>
    <t>  Accounts payable and accrued liabilities</t>
  </si>
  <si>
    <t>  Income taxes payable</t>
  </si>
  <si>
    <t>Total liabilities</t>
  </si>
  <si>
    <t>Equity</t>
  </si>
  <si>
    <t xml:space="preserve">Common stock without par value </t>
  </si>
  <si>
    <t>Common stock held in treasury</t>
  </si>
  <si>
    <t>Total equity</t>
  </si>
  <si>
    <t>Total liabilities and equity</t>
  </si>
  <si>
    <t>CAPITAL AND EXPLORATION EXPENDITURES</t>
  </si>
  <si>
    <t>Millions of dollars)</t>
  </si>
  <si>
    <t>Upstream (including exploration expenses)</t>
  </si>
  <si>
    <t>Energy Products</t>
  </si>
  <si>
    <t>Chemical Products</t>
  </si>
  <si>
    <t>Specialty Products</t>
  </si>
  <si>
    <t>Other</t>
  </si>
  <si>
    <t>Total</t>
  </si>
  <si>
    <t>Capital and exploration expenditures in the second quarter of 2023 were $6.2 billion, up 34% from the second quarter of 2022.</t>
  </si>
  <si>
    <t>Capital and exploration expenditures in the first six months of 2023 were $12.5 billion, up 32% from the first six months of 2022. The Corporation plans to invest in the range of $23 billion to $25 billion in 2023. Actual spending could vary depending on the progress of individual projects and property acquisitions.</t>
  </si>
  <si>
    <t>PEER ANALYSIS</t>
  </si>
  <si>
    <t>Revenue (TTM)</t>
  </si>
  <si>
    <t>Net Income (TTM)</t>
  </si>
  <si>
    <t>Market Cap</t>
  </si>
  <si>
    <t>Conoco Phillips</t>
  </si>
  <si>
    <t>Chevron Corporation</t>
  </si>
  <si>
    <t>Valero Energy Corporation</t>
  </si>
  <si>
    <t>Exxon Mobil Corp</t>
  </si>
  <si>
    <t>EXXON MERGERS AND AQUISITION ( In Billions)</t>
  </si>
  <si>
    <t>Acquired Company</t>
  </si>
  <si>
    <t>Date</t>
  </si>
  <si>
    <t>Deal</t>
  </si>
  <si>
    <t>Pioneer Natural Resources Co</t>
  </si>
  <si>
    <t>Denbury Inc</t>
  </si>
  <si>
    <t>Segment</t>
  </si>
  <si>
    <t>Earnings (in Millions)</t>
  </si>
  <si>
    <t>Upstream</t>
  </si>
  <si>
    <t>Downstream</t>
  </si>
  <si>
    <t>Chemical</t>
  </si>
  <si>
    <t>Speciality Products</t>
  </si>
  <si>
    <t>Corporate and Financing</t>
  </si>
  <si>
    <t>WACC</t>
  </si>
  <si>
    <t>COST OF EQUITY</t>
  </si>
  <si>
    <t>W_D</t>
  </si>
  <si>
    <t>R_F</t>
  </si>
  <si>
    <t>(Jun 30 2023)
II. Quarter</t>
  </si>
  <si>
    <t>(Mar 31 2023)
I. Quarter</t>
  </si>
  <si>
    <t>(Dec 31 2022)
IV. Quarter</t>
  </si>
  <si>
    <t>(Sep 30 2022)
III. Quarter</t>
  </si>
  <si>
    <t>(Jun 30 2022)
II. Quarter</t>
  </si>
  <si>
    <t>R_D</t>
  </si>
  <si>
    <t>BETA</t>
  </si>
  <si>
    <t>T</t>
  </si>
  <si>
    <t>MRP</t>
  </si>
  <si>
    <t>W_E</t>
  </si>
  <si>
    <t>R_E</t>
  </si>
  <si>
    <t>COST OF DEBT</t>
  </si>
  <si>
    <t>TOTAL DEBT</t>
  </si>
  <si>
    <t>EXXON credit rating</t>
  </si>
  <si>
    <t>AA / Aa2</t>
  </si>
  <si>
    <t>SHORT-TERM DEBT</t>
  </si>
  <si>
    <t>Yield on AA bonds</t>
  </si>
  <si>
    <t>LONG TERM DEBT</t>
  </si>
  <si>
    <t>Historical Spread AA/Aa2</t>
  </si>
  <si>
    <t>STOCK PRICE</t>
  </si>
  <si>
    <t># OF SHARES OUTSTANDING</t>
  </si>
  <si>
    <t>MARKET VALUE OF EQUITY</t>
  </si>
  <si>
    <t>Conisdering the Tax rate to be constant at 27%, we find the weights of the both the debt and equity, also the beta with respect to the market.</t>
  </si>
  <si>
    <t>WACC is calculated using the weights and costs of both the debt and equity.</t>
  </si>
  <si>
    <t>WACC = r_D*w_D*(1-tax) + r_E*w_E</t>
  </si>
  <si>
    <t>Company Name</t>
  </si>
  <si>
    <t>Valero</t>
  </si>
  <si>
    <t>Conocophillips</t>
  </si>
  <si>
    <t>Chevron</t>
  </si>
  <si>
    <t>EXXON</t>
  </si>
  <si>
    <t>Exxon has a lower WACC when compared with its competitors.</t>
  </si>
  <si>
    <t>Hence, Exxon looks more attractive than its peers because it is more likely to earn a higher rate of return on its investments.</t>
  </si>
  <si>
    <t>Ticker</t>
  </si>
  <si>
    <t>Close Price (10-05-2023)</t>
  </si>
  <si>
    <t>Shares Outstanding ( In Millions)</t>
  </si>
  <si>
    <t>Market Capitalization</t>
  </si>
  <si>
    <t>Cash</t>
  </si>
  <si>
    <t>Total Debt</t>
  </si>
  <si>
    <t>Net Debt</t>
  </si>
  <si>
    <t>Enterprise Value</t>
  </si>
  <si>
    <t>Revenue</t>
  </si>
  <si>
    <t>EBIT</t>
  </si>
  <si>
    <t>Depreciation and Amortization</t>
  </si>
  <si>
    <t>EBITDA</t>
  </si>
  <si>
    <t>EPS</t>
  </si>
  <si>
    <t>VALERO</t>
  </si>
  <si>
    <t>VLO</t>
  </si>
  <si>
    <t>CONOCO PHILLIPS</t>
  </si>
  <si>
    <t>COP</t>
  </si>
  <si>
    <t>CHEVRON</t>
  </si>
  <si>
    <t>CVX</t>
  </si>
  <si>
    <t>XOM</t>
  </si>
  <si>
    <t>EV/SALES</t>
  </si>
  <si>
    <t>EV/EBIT</t>
  </si>
  <si>
    <t>EV/EBITDA</t>
  </si>
  <si>
    <t>P/E</t>
  </si>
  <si>
    <t>P/S</t>
  </si>
  <si>
    <t>EBIT MARGIN</t>
  </si>
  <si>
    <t>EBITDA MARGIN</t>
  </si>
  <si>
    <t>Min</t>
  </si>
  <si>
    <t>Mean</t>
  </si>
  <si>
    <t>Max</t>
  </si>
  <si>
    <t>Average EV/SALES</t>
  </si>
  <si>
    <t>EV/Sales</t>
  </si>
  <si>
    <t>EV/Ebit</t>
  </si>
  <si>
    <t>Implied EV</t>
  </si>
  <si>
    <t>Implied equity</t>
  </si>
  <si>
    <t>No. of shares outstanding</t>
  </si>
  <si>
    <t>Implied stock price</t>
  </si>
  <si>
    <t>Average EV/EBIT</t>
  </si>
  <si>
    <t xml:space="preserve">Implied Equity </t>
  </si>
  <si>
    <t>Average EV/EBITDA</t>
  </si>
  <si>
    <t>Implied Stock Price</t>
  </si>
  <si>
    <t>In Millions</t>
  </si>
  <si>
    <t>M&amp;A DATE</t>
  </si>
  <si>
    <t>ACQUIRER NAME</t>
  </si>
  <si>
    <t>TARGET NAME</t>
  </si>
  <si>
    <t>TICKER</t>
  </si>
  <si>
    <t>SHARES OUTSTANDING</t>
  </si>
  <si>
    <t>MARKET CAP</t>
  </si>
  <si>
    <t>CASH</t>
  </si>
  <si>
    <t>EV (million)</t>
  </si>
  <si>
    <t>REVENUE</t>
  </si>
  <si>
    <t>EV/REVENUE</t>
  </si>
  <si>
    <t>Permian Resources Corp</t>
  </si>
  <si>
    <t>Earthstone Energy Inc</t>
  </si>
  <si>
    <t>ESTE</t>
  </si>
  <si>
    <t>Energy Transfer LP</t>
  </si>
  <si>
    <t>Crestwood Equity Partners LP</t>
  </si>
  <si>
    <t>CEQP</t>
  </si>
  <si>
    <t xml:space="preserve">Target </t>
  </si>
  <si>
    <t>Acquirer</t>
  </si>
  <si>
    <t>Deal Value</t>
  </si>
  <si>
    <t>Business</t>
  </si>
  <si>
    <t>OIL,GAS &amp; COAL</t>
  </si>
  <si>
    <t>SUMMARY STATEMENT OF INCOME</t>
  </si>
  <si>
    <t>Depreciation and depletion</t>
  </si>
  <si>
    <t>Income before income taxes</t>
  </si>
  <si>
    <t>Income taxes</t>
  </si>
  <si>
    <t>Net income including noncontrolling interests</t>
  </si>
  <si>
    <t>Net income attributable to noncontrolling interests</t>
  </si>
  <si>
    <t>Net income attributable to ExxonMobil</t>
  </si>
  <si>
    <r>
      <t xml:space="preserve">Earnings per common share </t>
    </r>
    <r>
      <rPr>
        <i/>
        <sz val="14"/>
        <color rgb="FF000000"/>
        <rFont val="Arial"/>
        <family val="2"/>
      </rPr>
      <t>(dollars)</t>
    </r>
  </si>
  <si>
    <r>
      <t>Earnings per common share – assuming dilution</t>
    </r>
    <r>
      <rPr>
        <sz val="14"/>
        <color rgb="FF000000"/>
        <rFont val="Arial"/>
        <family val="2"/>
      </rPr>
      <t xml:space="preserve"> </t>
    </r>
    <r>
      <rPr>
        <i/>
        <sz val="14"/>
        <color rgb="FF000000"/>
        <rFont val="Arial"/>
        <family val="2"/>
      </rPr>
      <t>(dollars)</t>
    </r>
  </si>
  <si>
    <t>COGS</t>
  </si>
  <si>
    <t>GROSS PROFIT</t>
  </si>
  <si>
    <t>RESEARCH &amp; DEV EXP</t>
  </si>
  <si>
    <t>SG&amp;A EXP</t>
  </si>
  <si>
    <t>OPERATING INCOME (EBIT)</t>
  </si>
  <si>
    <t>INTEREST EXPENSE</t>
  </si>
  <si>
    <t xml:space="preserve">NOWC </t>
  </si>
  <si>
    <t>CA-CL</t>
  </si>
  <si>
    <t>Year</t>
  </si>
  <si>
    <t>Revenue Growth Rate</t>
  </si>
  <si>
    <t>Actual</t>
  </si>
  <si>
    <t>Projection</t>
  </si>
  <si>
    <t xml:space="preserve">REVENUE </t>
  </si>
  <si>
    <t>REVENUE GROWTH</t>
  </si>
  <si>
    <t>NFA</t>
  </si>
  <si>
    <t>NFA AS % OF REV</t>
  </si>
  <si>
    <t>NOWC AS % OF REV</t>
  </si>
  <si>
    <t>TAX RATE</t>
  </si>
  <si>
    <t>EBIT*(1-TAX RATE)</t>
  </si>
  <si>
    <t>CHANGE IN NFA</t>
  </si>
  <si>
    <t>CHANGES IN NOWC</t>
  </si>
  <si>
    <t>FREE CASH FLOW</t>
  </si>
  <si>
    <t>IMPLIED EV</t>
  </si>
  <si>
    <t xml:space="preserve">IMPLIED EV/ SALES </t>
  </si>
  <si>
    <t>CONSTANT GROWTH</t>
  </si>
  <si>
    <t xml:space="preserve">WACC/DISCOUNT RATE </t>
  </si>
  <si>
    <t>SENSITIVITY ANALYSIS</t>
  </si>
  <si>
    <t>PV OF TV</t>
  </si>
  <si>
    <t>PV OF FCF</t>
  </si>
  <si>
    <t xml:space="preserve">EV </t>
  </si>
  <si>
    <t xml:space="preserve">EQUITY </t>
  </si>
  <si>
    <t xml:space="preserve">SHARES  OUTSTANDING </t>
  </si>
  <si>
    <t xml:space="preserve">STOCKPRICE </t>
  </si>
  <si>
    <r>
      <t xml:space="preserve">Earnings per common share </t>
    </r>
    <r>
      <rPr>
        <i/>
        <sz val="14"/>
        <color rgb="FF000000"/>
        <rFont val="Arial"/>
        <family val="2"/>
        <scheme val="major"/>
      </rPr>
      <t>(dollars)</t>
    </r>
  </si>
  <si>
    <r>
      <t>Earnings per common share – assuming dilution</t>
    </r>
    <r>
      <rPr>
        <sz val="14"/>
        <color rgb="FF000000"/>
        <rFont val="Arial"/>
        <family val="2"/>
        <scheme val="major"/>
      </rPr>
      <t xml:space="preserve"> </t>
    </r>
    <r>
      <rPr>
        <i/>
        <sz val="14"/>
        <color rgb="FF000000"/>
        <rFont val="Arial"/>
        <family val="2"/>
        <scheme val="major"/>
      </rPr>
      <t>(dollars)</t>
    </r>
  </si>
  <si>
    <t xml:space="preserve"> CASH</t>
  </si>
  <si>
    <r>
      <t xml:space="preserve">Earnings per common share </t>
    </r>
    <r>
      <rPr>
        <i/>
        <sz val="14"/>
        <color rgb="FF000000"/>
        <rFont val="Arial"/>
        <family val="2"/>
        <scheme val="minor"/>
      </rPr>
      <t>(dollars)</t>
    </r>
  </si>
  <si>
    <r>
      <t>Earnings per common share – assuming dilution</t>
    </r>
    <r>
      <rPr>
        <sz val="14"/>
        <color rgb="FF000000"/>
        <rFont val="Arial"/>
        <family val="2"/>
        <scheme val="minor"/>
      </rPr>
      <t xml:space="preserve"> </t>
    </r>
    <r>
      <rPr>
        <i/>
        <sz val="14"/>
        <color rgb="FF000000"/>
        <rFont val="Arial"/>
        <family val="2"/>
        <scheme val="minor"/>
      </rPr>
      <t>(dollars)</t>
    </r>
  </si>
  <si>
    <t xml:space="preserve">Year </t>
  </si>
  <si>
    <t>COMPS</t>
  </si>
  <si>
    <t xml:space="preserve"> EV/SALES </t>
  </si>
  <si>
    <t>MIN</t>
  </si>
  <si>
    <t>MEAN</t>
  </si>
  <si>
    <t>MAX</t>
  </si>
  <si>
    <t>Comps using EV/Sales</t>
  </si>
  <si>
    <t>Comps using EV/EBIT</t>
  </si>
  <si>
    <t>Precedent Transactions EV/Sales</t>
  </si>
  <si>
    <t>PRECEDENT</t>
  </si>
  <si>
    <t>Precedent Transactions EV/EBIT</t>
  </si>
  <si>
    <t>DCF</t>
  </si>
  <si>
    <t>D1</t>
  </si>
  <si>
    <t>D2</t>
  </si>
  <si>
    <t>Price for EV/Sales Ranges between</t>
  </si>
  <si>
    <t>$100 to $136</t>
  </si>
  <si>
    <t>Market Price</t>
  </si>
  <si>
    <t>Comparable Analysis (EV/SALES)</t>
  </si>
  <si>
    <t>Comparable Analysis (EV/EBITDA)</t>
  </si>
  <si>
    <t>Precedent Transaction (EV/SALES)</t>
  </si>
  <si>
    <t>Precedent Transaction (EV/EBITDA)</t>
  </si>
  <si>
    <t>DCF Baseline</t>
  </si>
  <si>
    <t>DCF Optimistic</t>
  </si>
  <si>
    <t>DCF Pessimistic</t>
  </si>
  <si>
    <t>According to our DCF analysis</t>
  </si>
  <si>
    <r>
      <t>•</t>
    </r>
    <r>
      <rPr>
        <sz val="14"/>
        <color rgb="FF2C2C2C"/>
        <rFont val="Gill Sans MT"/>
        <family val="2"/>
      </rPr>
      <t>As per our valuation,  According to DCF  and Comps our share price is 142$  and 136$ respectively and XOM was trading at the Market Price of  $108, so I would say that the stock is undervalued.</t>
    </r>
  </si>
  <si>
    <r>
      <t>•</t>
    </r>
    <r>
      <rPr>
        <sz val="14"/>
        <color rgb="FF2C2C2C"/>
        <rFont val="Gill Sans MT"/>
        <family val="2"/>
      </rPr>
      <t>As of 2023/10/5, the intrinsic value of XOM is.  $142.53  with the current market price of  $ 108.99</t>
    </r>
  </si>
  <si>
    <t>      The upside of Exxon Mobil is 45.5%.</t>
  </si>
  <si>
    <r>
      <t>•</t>
    </r>
    <r>
      <rPr>
        <sz val="14"/>
        <color rgb="FF2C2C2C"/>
        <rFont val="Gill Sans MT"/>
        <family val="2"/>
      </rPr>
      <t>As per our Comps Analysis, our implied stock price is $136.40 (As per EV/SALES), The upside of Exxon Mobil is  55.9%</t>
    </r>
  </si>
  <si>
    <t>     Looking at both scenerio our stock price is undervalued.</t>
  </si>
  <si>
    <r>
      <t>•</t>
    </r>
    <r>
      <rPr>
        <sz val="14"/>
        <color rgb="FF2C2C2C"/>
        <rFont val="Gill Sans MT"/>
        <family val="2"/>
      </rPr>
      <t>Exxon's strong dividend payout is one of the things that makes the stock attractive to investors in the future. </t>
    </r>
  </si>
  <si>
    <t>     The quarterly Exxon dividend amount is 0.91 USD. The current dividend yield of Exxon Mobil Corp (XOM) is 3.28.This means that shareholders receive a quarterly dividend of $0.91 per share.  Exxon Mobil has a long history of paying dividends, and it is expected to grow in the future so, I would recommend buying the shares if you are looking for better dividend-generating shares in near future. </t>
  </si>
  <si>
    <r>
      <t>•</t>
    </r>
    <r>
      <rPr>
        <sz val="14"/>
        <color rgb="FF2C2C2C"/>
        <rFont val="Gill Sans MT"/>
        <family val="2"/>
      </rPr>
      <t>Since there is scope for development in the price of crude oil there is a direct relation with Exxon as it is known to be a blue chip in the field of the oil industry as per investors of the New York stock market.</t>
    </r>
  </si>
  <si>
    <r>
      <t>•</t>
    </r>
    <r>
      <rPr>
        <sz val="14"/>
        <color rgb="FF2C2C2C"/>
        <rFont val="Gill Sans MT"/>
        <family val="2"/>
      </rPr>
      <t>Exxon Mobil's growth has been strong recently, with the company reporting a 30.13% return on investment for the trailing twelve months ended June 30, 2023. This is a significant increase from the previous year's ROI of 14.69%.</t>
    </r>
  </si>
  <si>
    <r>
      <t>•</t>
    </r>
    <r>
      <rPr>
        <sz val="14"/>
        <color rgb="FF2C2C2C"/>
        <rFont val="Gill Sans MT"/>
        <family val="2"/>
      </rPr>
      <t>Exxon's growth has been driven by number of factors, including higher oil prices, and production growth from its Permian Basin and Guyana operations.</t>
    </r>
  </si>
  <si>
    <r>
      <t>•</t>
    </r>
    <r>
      <rPr>
        <sz val="14"/>
        <color rgb="FF2C2C2C"/>
        <rFont val="Gill Sans MT"/>
        <family val="2"/>
      </rPr>
      <t>This recommendation is provided for investors who are looking forward to better returns in the long term because of certain factors they may face a certain drop in share price but Exxon’s commitment for future growth clearly shows the potential in the company for investment in its shares.</t>
    </r>
  </si>
  <si>
    <r>
      <t>•</t>
    </r>
    <r>
      <rPr>
        <sz val="14"/>
        <color rgb="FF2C2C2C"/>
        <rFont val="Gill Sans MT"/>
        <family val="2"/>
      </rPr>
      <t>Hence, the recommendation for Exxon shares is to </t>
    </r>
    <r>
      <rPr>
        <b/>
        <sz val="16"/>
        <color rgb="FF2C2C2C"/>
        <rFont val="Gill Sans MT"/>
        <family val="2"/>
      </rPr>
      <t>BUY</t>
    </r>
    <r>
      <rPr>
        <sz val="14"/>
        <color rgb="FF2C2C2C"/>
        <rFont val="Gill Sans MT"/>
        <family val="2"/>
      </rPr>
      <t>. </t>
    </r>
  </si>
  <si>
    <t>https://www.ft.com/stream/0fb8f46d-03f9-473a-b9ef-ad3d84e6945e</t>
  </si>
  <si>
    <t>https://finance.yahoo.com/</t>
  </si>
  <si>
    <t>https://www.sec.gov/edgar/search-and-access</t>
  </si>
  <si>
    <t>YAHOO Finance</t>
  </si>
  <si>
    <t>Edgar</t>
  </si>
  <si>
    <t>FINANCIAL TIMES</t>
  </si>
  <si>
    <t>https://fred.stlouisfed.org/</t>
  </si>
  <si>
    <t>FRED</t>
  </si>
  <si>
    <t>https://pages.stern.nyu.edu/~adamodar/</t>
  </si>
  <si>
    <t>Prof. damodaran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</si>
</sst>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quot;$&quot;#,##0_);[Red]\(&quot;$&quot;#,##0\)"/>
    <numFmt numFmtId="165" formatCode="&quot;$&quot;#,##0.00_);[Red]\(&quot;$&quot;#,##0.00\)"/>
    <numFmt numFmtId="166" formatCode="mmmm\ d\,\ yyyy"/>
    <numFmt numFmtId="167" formatCode="0.0000000"/>
    <numFmt numFmtId="168" formatCode="&quot;$&quot;#,##0.00"/>
    <numFmt numFmtId="169" formatCode="0.0000"/>
    <numFmt numFmtId="170" formatCode="&quot;$&quot;#,##0"/>
    <numFmt numFmtId="171" formatCode=";;"/>
    <numFmt numFmtId="172" formatCode="0.0%"/>
    <numFmt numFmtId="173" formatCode="&quot;$&quot;#,##0.0"/>
    <numFmt numFmtId="174" formatCode="0.0"/>
  </numFmts>
  <fonts count="104">
    <font>
      <sz val="10"/>
      <color rgb="FF000000"/>
      <name val="Arial"/>
      <scheme val="minor"/>
    </font>
    <font>
      <sz val="12"/>
      <color theme="1"/>
      <name val="Arial"/>
      <family val="2"/>
      <scheme val="minor"/>
    </font>
    <font>
      <sz val="12"/>
      <color rgb="FF000000"/>
      <name val="&quot;Times New Roman&quot;"/>
    </font>
    <font>
      <b/>
      <sz val="12"/>
      <color rgb="FF0C479D"/>
      <name val="&quot;Times New Roman&quot;"/>
    </font>
    <font>
      <i/>
      <sz val="8"/>
      <color rgb="FFFFFFFF"/>
      <name val="&quot;Times New Roman&quot;"/>
    </font>
    <font>
      <sz val="10"/>
      <name val="Arial"/>
      <family val="2"/>
    </font>
    <font>
      <b/>
      <sz val="8"/>
      <color rgb="FFFFFFFF"/>
      <name val="&quot;Times New Roman&quot;"/>
    </font>
    <font>
      <b/>
      <sz val="10"/>
      <color rgb="FF0C479D"/>
      <name val="&quot;Times New Roman&quot;"/>
    </font>
    <font>
      <sz val="10"/>
      <color theme="1"/>
      <name val="Arial"/>
      <family val="2"/>
      <scheme val="minor"/>
    </font>
    <font>
      <sz val="10"/>
      <color rgb="FF000000"/>
      <name val="&quot;Times New Roman&quot;"/>
    </font>
    <font>
      <b/>
      <sz val="10"/>
      <color rgb="FF000000"/>
      <name val="&quot;Times New Roman&quot;"/>
    </font>
    <font>
      <b/>
      <sz val="14"/>
      <color theme="1"/>
      <name val="Arial"/>
      <family val="2"/>
      <scheme val="minor"/>
    </font>
    <font>
      <b/>
      <sz val="14"/>
      <color rgb="FF000000"/>
      <name val="Arial"/>
      <family val="2"/>
      <scheme val="minor"/>
    </font>
    <font>
      <sz val="14"/>
      <color theme="1"/>
      <name val="Arial"/>
      <family val="2"/>
      <scheme val="minor"/>
    </font>
    <font>
      <sz val="14"/>
      <color rgb="FF000000"/>
      <name val="Arial"/>
      <family val="2"/>
      <scheme val="minor"/>
    </font>
    <font>
      <b/>
      <sz val="12"/>
      <color rgb="FF000000"/>
      <name val="Calibri"/>
      <family val="2"/>
    </font>
    <font>
      <sz val="12"/>
      <color rgb="FF000000"/>
      <name val="Calibri"/>
      <family val="2"/>
    </font>
    <font>
      <b/>
      <sz val="12"/>
      <color rgb="FF000000"/>
      <name val="Arial"/>
      <family val="2"/>
      <scheme val="minor"/>
    </font>
    <font>
      <sz val="12"/>
      <color rgb="FF000000"/>
      <name val="Arial"/>
      <family val="2"/>
      <scheme val="minor"/>
    </font>
    <font>
      <sz val="10"/>
      <color rgb="FF000000"/>
      <name val="Arial"/>
      <family val="2"/>
      <scheme val="minor"/>
    </font>
    <font>
      <b/>
      <sz val="11"/>
      <color rgb="FF000000"/>
      <name val="Arial"/>
      <family val="2"/>
      <scheme val="minor"/>
    </font>
    <font>
      <b/>
      <sz val="10"/>
      <color rgb="FF000000"/>
      <name val="Arial"/>
      <family val="2"/>
      <scheme val="minor"/>
    </font>
    <font>
      <b/>
      <sz val="10"/>
      <color theme="1"/>
      <name val="Arial"/>
      <family val="2"/>
      <scheme val="minor"/>
    </font>
    <font>
      <sz val="14"/>
      <color rgb="FF000000"/>
      <name val="Times"/>
      <family val="1"/>
    </font>
    <font>
      <sz val="10"/>
      <color rgb="FF000000"/>
      <name val="Times New Roman"/>
      <family val="1"/>
    </font>
    <font>
      <b/>
      <sz val="14"/>
      <color rgb="FF808080"/>
      <name val="Verdana"/>
      <family val="2"/>
    </font>
    <font>
      <b/>
      <sz val="18"/>
      <color rgb="FF808080"/>
      <name val="Verdana"/>
      <family val="2"/>
    </font>
    <font>
      <sz val="14"/>
      <color rgb="FF000000"/>
      <name val="Calibri"/>
      <family val="2"/>
    </font>
    <font>
      <b/>
      <sz val="14"/>
      <color rgb="FF000000"/>
      <name val="Calibri"/>
      <family val="2"/>
    </font>
    <font>
      <sz val="16"/>
      <color rgb="FF000000"/>
      <name val="Arial"/>
      <family val="2"/>
      <scheme val="major"/>
    </font>
    <font>
      <sz val="16"/>
      <color rgb="FF000000"/>
      <name val="Arial"/>
      <family val="2"/>
      <scheme val="minor"/>
    </font>
    <font>
      <b/>
      <sz val="16"/>
      <color rgb="FF000000"/>
      <name val="Arial"/>
      <family val="2"/>
      <scheme val="minor"/>
    </font>
    <font>
      <b/>
      <sz val="16"/>
      <color rgb="FF000000"/>
      <name val="Arial"/>
      <family val="2"/>
      <scheme val="major"/>
    </font>
    <font>
      <u/>
      <sz val="10"/>
      <color theme="10"/>
      <name val="Arial"/>
      <family val="2"/>
      <scheme val="minor"/>
    </font>
    <font>
      <sz val="16"/>
      <color theme="1"/>
      <name val="Arial"/>
      <family val="2"/>
      <scheme val="major"/>
    </font>
    <font>
      <sz val="14"/>
      <color rgb="FF000000"/>
      <name val="Arial"/>
      <family val="2"/>
      <scheme val="major"/>
    </font>
    <font>
      <sz val="14"/>
      <color rgb="FFFF0000"/>
      <name val="Arial"/>
      <family val="2"/>
      <scheme val="major"/>
    </font>
    <font>
      <b/>
      <sz val="11"/>
      <color rgb="FF000000"/>
      <name val="Calibri"/>
      <family val="2"/>
    </font>
    <font>
      <b/>
      <sz val="10"/>
      <color rgb="FF000000"/>
      <name val="Arial"/>
      <family val="2"/>
      <scheme val="major"/>
    </font>
    <font>
      <b/>
      <sz val="14"/>
      <color rgb="FF000000"/>
      <name val="Arial"/>
      <family val="2"/>
      <scheme val="major"/>
    </font>
    <font>
      <sz val="14"/>
      <color rgb="FF183444"/>
      <name val="Arial"/>
      <family val="2"/>
      <scheme val="minor"/>
    </font>
    <font>
      <u/>
      <sz val="14"/>
      <color theme="10"/>
      <name val="Arial"/>
      <family val="2"/>
      <scheme val="minor"/>
    </font>
    <font>
      <i/>
      <sz val="14"/>
      <color rgb="FF000000"/>
      <name val="Arial"/>
      <family val="2"/>
    </font>
    <font>
      <sz val="14"/>
      <color rgb="FF000000"/>
      <name val="Arial"/>
      <family val="2"/>
    </font>
    <font>
      <b/>
      <sz val="14"/>
      <color rgb="FF808080"/>
      <name val="Arial"/>
      <family val="2"/>
    </font>
    <font>
      <b/>
      <sz val="14"/>
      <color rgb="FF000000"/>
      <name val="Arial"/>
      <family val="2"/>
    </font>
    <font>
      <sz val="14"/>
      <name val="Arial"/>
      <family val="2"/>
    </font>
    <font>
      <sz val="14"/>
      <color rgb="FFFF0000"/>
      <name val="Arial"/>
      <family val="2"/>
    </font>
    <font>
      <sz val="14"/>
      <color theme="1"/>
      <name val="Arial"/>
      <family val="2"/>
      <scheme val="major"/>
    </font>
    <font>
      <b/>
      <sz val="14"/>
      <name val="Arial"/>
      <family val="2"/>
    </font>
    <font>
      <b/>
      <sz val="20"/>
      <color rgb="FF000000"/>
      <name val="Arial"/>
      <family val="2"/>
      <scheme val="minor"/>
    </font>
    <font>
      <sz val="16"/>
      <color rgb="FF000000"/>
      <name val="Arial"/>
      <family val="2"/>
    </font>
    <font>
      <b/>
      <sz val="16"/>
      <color rgb="FF000000"/>
      <name val="Arial"/>
      <family val="2"/>
    </font>
    <font>
      <sz val="20"/>
      <color rgb="FF000000"/>
      <name val="Arial"/>
      <family val="2"/>
      <scheme val="minor"/>
    </font>
    <font>
      <b/>
      <sz val="20"/>
      <color rgb="FF000000"/>
      <name val="Arial"/>
      <family val="2"/>
    </font>
    <font>
      <sz val="10"/>
      <color rgb="FF000000"/>
      <name val="Arial"/>
      <family val="2"/>
    </font>
    <font>
      <sz val="18"/>
      <color rgb="FF000000"/>
      <name val="Times New Roman"/>
      <family val="18"/>
    </font>
    <font>
      <sz val="9"/>
      <color rgb="FF000000"/>
      <name val="Arial"/>
      <family val="2"/>
      <scheme val="minor"/>
    </font>
    <font>
      <b/>
      <sz val="9"/>
      <name val="Verdana"/>
      <family val="2"/>
    </font>
    <font>
      <sz val="9"/>
      <color rgb="FF000000"/>
      <name val="Calibri"/>
      <family val="2"/>
    </font>
    <font>
      <sz val="9"/>
      <name val="Verdana"/>
      <family val="2"/>
      <charset val="1"/>
    </font>
    <font>
      <u/>
      <sz val="9"/>
      <color rgb="FF0563C1"/>
      <name val="Verdana"/>
      <family val="2"/>
    </font>
    <font>
      <sz val="16"/>
      <color theme="1"/>
      <name val="Arial"/>
      <family val="2"/>
    </font>
    <font>
      <b/>
      <sz val="16"/>
      <color theme="1"/>
      <name val="Arial"/>
      <family val="2"/>
    </font>
    <font>
      <sz val="20"/>
      <color rgb="FF000000"/>
      <name val="Arial"/>
      <family val="2"/>
    </font>
    <font>
      <b/>
      <sz val="20"/>
      <color rgb="FF000000"/>
      <name val="Arial"/>
      <family val="2"/>
      <scheme val="major"/>
    </font>
    <font>
      <sz val="20"/>
      <color rgb="FF000000"/>
      <name val="Arial"/>
      <family val="2"/>
      <scheme val="major"/>
    </font>
    <font>
      <sz val="11"/>
      <color rgb="FF000000"/>
      <name val="Arial"/>
      <family val="2"/>
      <scheme val="minor"/>
    </font>
    <font>
      <b/>
      <sz val="12"/>
      <color rgb="FF000000"/>
      <name val="Arial"/>
      <family val="2"/>
    </font>
    <font>
      <sz val="12"/>
      <color rgb="FF000000"/>
      <name val="Arial"/>
      <family val="2"/>
    </font>
    <font>
      <sz val="12"/>
      <color rgb="FFFF0000"/>
      <name val="Arial"/>
      <family val="2"/>
    </font>
    <font>
      <b/>
      <sz val="12"/>
      <color rgb="FF808080"/>
      <name val="Times New Roman"/>
      <family val="1"/>
    </font>
    <font>
      <i/>
      <sz val="10"/>
      <color rgb="FF000000"/>
      <name val="Times New Roman"/>
      <family val="1"/>
    </font>
    <font>
      <b/>
      <sz val="10"/>
      <color rgb="FF000000"/>
      <name val="Times New Roman"/>
      <family val="1"/>
    </font>
    <font>
      <b/>
      <sz val="10"/>
      <color rgb="FF0067B1"/>
      <name val="Times New Roman"/>
      <family val="1"/>
    </font>
    <font>
      <b/>
      <sz val="10"/>
      <name val="Times New Roman"/>
      <family val="1"/>
    </font>
    <font>
      <sz val="10"/>
      <name val="Times New Roman"/>
      <family val="1"/>
    </font>
    <font>
      <sz val="10"/>
      <color rgb="FFFF0000"/>
      <name val="Times New Roman"/>
      <family val="1"/>
    </font>
    <font>
      <u val="singleAccounting"/>
      <sz val="10"/>
      <color rgb="FF000000"/>
      <name val="Times New Roman"/>
      <family val="1"/>
    </font>
    <font>
      <i/>
      <sz val="14"/>
      <color rgb="FF000000"/>
      <name val="Arial"/>
      <family val="2"/>
      <scheme val="major"/>
    </font>
    <font>
      <b/>
      <sz val="14"/>
      <color rgb="FF808080"/>
      <name val="Arial"/>
      <family val="2"/>
      <scheme val="major"/>
    </font>
    <font>
      <sz val="10"/>
      <color rgb="FF000000"/>
      <name val="Arial"/>
      <family val="2"/>
      <scheme val="major"/>
    </font>
    <font>
      <b/>
      <sz val="18"/>
      <color rgb="FF808080"/>
      <name val="Arial"/>
      <family val="2"/>
      <scheme val="major"/>
    </font>
    <font>
      <sz val="14"/>
      <name val="Arial"/>
      <family val="2"/>
      <scheme val="major"/>
    </font>
    <font>
      <sz val="11"/>
      <color rgb="FF000000"/>
      <name val="Arial"/>
      <family val="2"/>
      <scheme val="major"/>
    </font>
    <font>
      <sz val="16"/>
      <color rgb="FF000000"/>
      <name val="Verdana"/>
      <family val="2"/>
      <charset val="1"/>
    </font>
    <font>
      <sz val="20"/>
      <color rgb="FF000000"/>
      <name val="Calibri"/>
      <family val="2"/>
    </font>
    <font>
      <b/>
      <sz val="20"/>
      <color rgb="FF000000"/>
      <name val="Calibri"/>
      <family val="2"/>
    </font>
    <font>
      <sz val="12"/>
      <color rgb="FF000000"/>
      <name val="Times New Roman"/>
      <family val="1"/>
    </font>
    <font>
      <b/>
      <sz val="20"/>
      <color rgb="FF000000"/>
      <name val="Times"/>
      <family val="1"/>
    </font>
    <font>
      <b/>
      <sz val="16"/>
      <color theme="1"/>
      <name val="Arial"/>
      <family val="2"/>
      <scheme val="major"/>
    </font>
    <font>
      <i/>
      <sz val="14"/>
      <color rgb="FF000000"/>
      <name val="Arial"/>
      <family val="2"/>
      <scheme val="minor"/>
    </font>
    <font>
      <b/>
      <sz val="18"/>
      <color rgb="FF000000"/>
      <name val="Arial"/>
      <family val="2"/>
      <scheme val="minor"/>
    </font>
    <font>
      <sz val="14"/>
      <name val="Arial"/>
      <family val="2"/>
      <scheme val="minor"/>
    </font>
    <font>
      <sz val="14"/>
      <color rgb="FFFF0000"/>
      <name val="Arial"/>
      <family val="2"/>
      <scheme val="minor"/>
    </font>
    <font>
      <sz val="20"/>
      <color theme="1"/>
      <name val="Arial"/>
      <family val="2"/>
      <scheme val="major"/>
    </font>
    <font>
      <b/>
      <sz val="20"/>
      <color theme="1"/>
      <name val="Arial"/>
      <family val="2"/>
      <scheme val="major"/>
    </font>
    <font>
      <sz val="14"/>
      <color rgb="FF000000"/>
      <name val="Arial"/>
      <family val="2"/>
      <scheme val="minor"/>
    </font>
    <font>
      <b/>
      <sz val="14"/>
      <color rgb="FF000000"/>
      <name val="Calibri"/>
      <family val="2"/>
    </font>
    <font>
      <b/>
      <sz val="14"/>
      <color rgb="FF000000"/>
      <name val="Times New Roman"/>
      <family val="18"/>
    </font>
    <font>
      <b/>
      <sz val="16"/>
      <color rgb="FF000000"/>
      <name val="Times New Roman"/>
      <family val="18"/>
    </font>
    <font>
      <sz val="14"/>
      <color rgb="FF2C2C2C"/>
      <name val="Gill Sans MT"/>
      <family val="2"/>
    </font>
    <font>
      <sz val="14"/>
      <color rgb="FF000000"/>
      <name val="Arial,Sans-Serif"/>
    </font>
    <font>
      <b/>
      <sz val="16"/>
      <color rgb="FF2C2C2C"/>
      <name val="Gill Sans MT"/>
      <family val="2"/>
    </font>
  </fonts>
  <fills count="12">
    <fill>
      <patternFill patternType="none"/>
    </fill>
    <fill>
      <patternFill patternType="gray125"/>
    </fill>
    <fill>
      <patternFill patternType="solid">
        <fgColor rgb="FFFFFFFF"/>
        <bgColor rgb="FFFFFFFF"/>
      </patternFill>
    </fill>
    <fill>
      <patternFill patternType="solid">
        <fgColor rgb="FF0C479D"/>
        <bgColor rgb="FF0C479D"/>
      </patternFill>
    </fill>
    <fill>
      <patternFill patternType="solid">
        <fgColor rgb="FFF0F0F0"/>
        <bgColor rgb="FFF0F0F0"/>
      </patternFill>
    </fill>
    <fill>
      <patternFill patternType="solid">
        <fgColor theme="0"/>
        <bgColor theme="0"/>
      </patternFill>
    </fill>
    <fill>
      <patternFill patternType="solid">
        <fgColor theme="5"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59999389629810485"/>
        <bgColor rgb="FF000000"/>
      </patternFill>
    </fill>
    <fill>
      <patternFill patternType="solid">
        <fgColor rgb="FFD9D9D9"/>
        <bgColor rgb="FF000000"/>
      </patternFill>
    </fill>
  </fills>
  <borders count="70">
    <border>
      <left/>
      <right/>
      <top/>
      <bottom/>
      <diagonal/>
    </border>
    <border>
      <left style="thick">
        <color rgb="FF000000"/>
      </left>
      <right/>
      <top/>
      <bottom/>
      <diagonal/>
    </border>
    <border>
      <left/>
      <right style="thick">
        <color rgb="FF000000"/>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thin">
        <color rgb="FFCCCCCC"/>
      </top>
      <bottom style="thin">
        <color rgb="FFCCCCCC"/>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thick">
        <color rgb="FF0067B1"/>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thin">
        <color rgb="FF000000"/>
      </right>
      <top style="medium">
        <color rgb="FF000000"/>
      </top>
      <bottom style="medium">
        <color rgb="FF000000"/>
      </bottom>
      <diagonal/>
    </border>
    <border>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thin">
        <color rgb="FF000000"/>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rgb="FF000000"/>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rgb="FF000000"/>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right style="thick">
        <color rgb="FF000000"/>
      </right>
      <top style="medium">
        <color rgb="FF000000"/>
      </top>
      <bottom/>
      <diagonal/>
    </border>
    <border>
      <left style="thick">
        <color rgb="FF000000"/>
      </left>
      <right/>
      <top style="medium">
        <color rgb="FF000000"/>
      </top>
      <bottom/>
      <diagonal/>
    </border>
    <border>
      <left style="medium">
        <color rgb="FF000000"/>
      </left>
      <right/>
      <top style="thick">
        <color rgb="FF0067B1"/>
      </top>
      <bottom style="medium">
        <color rgb="FF000000"/>
      </bottom>
      <diagonal/>
    </border>
    <border>
      <left/>
      <right/>
      <top style="thick">
        <color rgb="FF0067B1"/>
      </top>
      <bottom style="medium">
        <color rgb="FF000000"/>
      </bottom>
      <diagonal/>
    </border>
    <border>
      <left/>
      <right style="medium">
        <color rgb="FF000000"/>
      </right>
      <top style="thick">
        <color rgb="FF0067B1"/>
      </top>
      <bottom style="medium">
        <color rgb="FF000000"/>
      </bottom>
      <diagonal/>
    </border>
    <border>
      <left/>
      <right style="medium">
        <color rgb="FF000000"/>
      </right>
      <top/>
      <bottom style="thick">
        <color rgb="FF0067B1"/>
      </bottom>
      <diagonal/>
    </border>
    <border>
      <left style="medium">
        <color rgb="FF000000"/>
      </left>
      <right/>
      <top/>
      <bottom style="thick">
        <color rgb="FF0067B1"/>
      </bottom>
      <diagonal/>
    </border>
    <border>
      <left style="medium">
        <color rgb="FF000000"/>
      </left>
      <right/>
      <top style="thin">
        <color rgb="FF0C479D"/>
      </top>
      <bottom style="medium">
        <color rgb="FF000000"/>
      </bottom>
      <diagonal/>
    </border>
    <border>
      <left/>
      <right/>
      <top style="thin">
        <color rgb="FF0C479D"/>
      </top>
      <bottom style="medium">
        <color rgb="FF000000"/>
      </bottom>
      <diagonal/>
    </border>
    <border>
      <left/>
      <right style="medium">
        <color rgb="FF000000"/>
      </right>
      <top style="thin">
        <color rgb="FF0C479D"/>
      </top>
      <bottom style="medium">
        <color rgb="FF000000"/>
      </bottom>
      <diagonal/>
    </border>
    <border>
      <left style="medium">
        <color rgb="FF000000"/>
      </left>
      <right style="medium">
        <color rgb="FF000000"/>
      </right>
      <top/>
      <bottom/>
      <diagonal/>
    </border>
    <border>
      <left style="hair">
        <color rgb="FF0067B1"/>
      </left>
      <right/>
      <top/>
      <bottom style="thick">
        <color rgb="FF0067B1"/>
      </bottom>
      <diagonal/>
    </border>
    <border>
      <left style="hair">
        <color rgb="FF0067B1"/>
      </left>
      <right/>
      <top/>
      <bottom/>
      <diagonal/>
    </border>
    <border>
      <left style="medium">
        <color indexed="64"/>
      </left>
      <right/>
      <top style="medium">
        <color rgb="FF000000"/>
      </top>
      <bottom style="medium">
        <color rgb="FF000000"/>
      </bottom>
      <diagonal/>
    </border>
  </borders>
  <cellStyleXfs count="2">
    <xf numFmtId="0" fontId="0" fillId="0" borderId="0"/>
    <xf numFmtId="0" fontId="33" fillId="0" borderId="0" applyNumberFormat="0" applyFill="0" applyBorder="0" applyAlignment="0" applyProtection="0"/>
  </cellStyleXfs>
  <cellXfs count="794">
    <xf numFmtId="0" fontId="0" fillId="0" borderId="0" xfId="0"/>
    <xf numFmtId="0" fontId="8" fillId="0" borderId="0" xfId="0" applyFont="1"/>
    <xf numFmtId="0" fontId="8" fillId="5" borderId="0" xfId="0" applyFont="1" applyFill="1"/>
    <xf numFmtId="0" fontId="13" fillId="0" borderId="0" xfId="0" applyFont="1"/>
    <xf numFmtId="0" fontId="14" fillId="0" borderId="0" xfId="0" applyFont="1"/>
    <xf numFmtId="0" fontId="18" fillId="0" borderId="10" xfId="0" applyFont="1" applyBorder="1"/>
    <xf numFmtId="0" fontId="18" fillId="0" borderId="0" xfId="0" applyFont="1"/>
    <xf numFmtId="0" fontId="18" fillId="0" borderId="0" xfId="0" applyFont="1" applyAlignment="1">
      <alignment horizontal="right"/>
    </xf>
    <xf numFmtId="3" fontId="18" fillId="0" borderId="0" xfId="0" applyNumberFormat="1" applyFont="1" applyAlignment="1">
      <alignment horizontal="right"/>
    </xf>
    <xf numFmtId="4" fontId="18" fillId="0" borderId="11" xfId="0" applyNumberFormat="1" applyFont="1" applyBorder="1" applyAlignment="1">
      <alignment horizontal="right"/>
    </xf>
    <xf numFmtId="0" fontId="17" fillId="0" borderId="12" xfId="0" applyFont="1" applyBorder="1"/>
    <xf numFmtId="2" fontId="18" fillId="0" borderId="0" xfId="0" applyNumberFormat="1" applyFont="1" applyAlignment="1">
      <alignment horizontal="right"/>
    </xf>
    <xf numFmtId="167" fontId="18" fillId="0" borderId="11" xfId="0" applyNumberFormat="1" applyFont="1" applyBorder="1"/>
    <xf numFmtId="0" fontId="17" fillId="0" borderId="10" xfId="0" applyFont="1" applyBorder="1"/>
    <xf numFmtId="0" fontId="18" fillId="0" borderId="11" xfId="0" applyFont="1" applyBorder="1"/>
    <xf numFmtId="0" fontId="17" fillId="0" borderId="10" xfId="0" applyFont="1" applyBorder="1" applyAlignment="1">
      <alignment horizontal="center"/>
    </xf>
    <xf numFmtId="167" fontId="18" fillId="0" borderId="11" xfId="0" applyNumberFormat="1" applyFont="1" applyBorder="1" applyAlignment="1">
      <alignment horizontal="right"/>
    </xf>
    <xf numFmtId="0" fontId="17" fillId="0" borderId="15" xfId="0" applyFont="1" applyBorder="1" applyAlignment="1">
      <alignment horizontal="center"/>
    </xf>
    <xf numFmtId="2" fontId="18" fillId="0" borderId="16" xfId="0" applyNumberFormat="1" applyFont="1" applyBorder="1" applyAlignment="1">
      <alignment horizontal="right"/>
    </xf>
    <xf numFmtId="167" fontId="18" fillId="0" borderId="17" xfId="0" applyNumberFormat="1" applyFont="1" applyBorder="1" applyAlignment="1">
      <alignment horizontal="right"/>
    </xf>
    <xf numFmtId="0" fontId="17" fillId="0" borderId="0" xfId="0" applyFont="1"/>
    <xf numFmtId="0" fontId="18" fillId="0" borderId="0" xfId="0" applyFont="1" applyAlignment="1">
      <alignment horizontal="center"/>
    </xf>
    <xf numFmtId="1" fontId="18" fillId="0" borderId="0" xfId="0" applyNumberFormat="1" applyFont="1" applyAlignment="1">
      <alignment horizontal="right"/>
    </xf>
    <xf numFmtId="1" fontId="18" fillId="0" borderId="0" xfId="0" applyNumberFormat="1" applyFont="1"/>
    <xf numFmtId="3" fontId="18" fillId="0" borderId="0" xfId="0" applyNumberFormat="1" applyFont="1"/>
    <xf numFmtId="2" fontId="17" fillId="0" borderId="14" xfId="0" applyNumberFormat="1" applyFont="1" applyBorder="1"/>
    <xf numFmtId="0" fontId="3" fillId="0" borderId="0" xfId="0" applyFont="1"/>
    <xf numFmtId="0" fontId="6" fillId="0" borderId="0" xfId="0" applyFont="1" applyAlignment="1">
      <alignment horizontal="center"/>
    </xf>
    <xf numFmtId="0" fontId="6" fillId="0" borderId="0" xfId="0" applyFont="1" applyAlignment="1">
      <alignment horizontal="right"/>
    </xf>
    <xf numFmtId="0" fontId="2" fillId="0" borderId="0" xfId="0" applyFont="1" applyAlignment="1">
      <alignment horizontal="right"/>
    </xf>
    <xf numFmtId="0" fontId="9" fillId="0" borderId="0" xfId="0" applyFont="1"/>
    <xf numFmtId="0" fontId="2" fillId="0" borderId="0" xfId="0" applyFont="1"/>
    <xf numFmtId="0" fontId="2" fillId="0" borderId="0" xfId="0" applyFont="1" applyAlignment="1">
      <alignment horizontal="center"/>
    </xf>
    <xf numFmtId="0" fontId="6" fillId="3" borderId="11" xfId="0" applyFont="1" applyFill="1" applyBorder="1" applyAlignment="1">
      <alignment horizontal="right"/>
    </xf>
    <xf numFmtId="0" fontId="2" fillId="2" borderId="11" xfId="0" applyFont="1" applyFill="1" applyBorder="1" applyAlignment="1">
      <alignment horizontal="right"/>
    </xf>
    <xf numFmtId="0" fontId="8" fillId="0" borderId="0" xfId="0" applyFont="1" applyAlignment="1">
      <alignment horizontal="right"/>
    </xf>
    <xf numFmtId="0" fontId="15" fillId="0" borderId="0" xfId="0" applyFont="1"/>
    <xf numFmtId="0" fontId="16" fillId="0" borderId="0" xfId="0" applyFont="1" applyAlignment="1">
      <alignment horizontal="right"/>
    </xf>
    <xf numFmtId="0" fontId="16" fillId="0" borderId="0" xfId="0" applyFont="1" applyAlignment="1">
      <alignment horizontal="center"/>
    </xf>
    <xf numFmtId="9" fontId="16" fillId="0" borderId="0" xfId="0" applyNumberFormat="1" applyFont="1" applyAlignment="1">
      <alignment horizontal="right"/>
    </xf>
    <xf numFmtId="0" fontId="13" fillId="0" borderId="20" xfId="0" applyFont="1" applyBorder="1"/>
    <xf numFmtId="0" fontId="8" fillId="0" borderId="21" xfId="0" applyFont="1" applyBorder="1"/>
    <xf numFmtId="0" fontId="14" fillId="0" borderId="16" xfId="0" applyFont="1" applyBorder="1"/>
    <xf numFmtId="0" fontId="8" fillId="0" borderId="17" xfId="0" applyFont="1" applyBorder="1"/>
    <xf numFmtId="3" fontId="17" fillId="0" borderId="0" xfId="0" applyNumberFormat="1" applyFont="1" applyAlignment="1">
      <alignment horizontal="right"/>
    </xf>
    <xf numFmtId="0" fontId="17" fillId="0" borderId="0" xfId="0" applyFont="1" applyAlignment="1">
      <alignment horizontal="right"/>
    </xf>
    <xf numFmtId="0" fontId="21" fillId="0" borderId="0" xfId="0" applyFont="1"/>
    <xf numFmtId="0" fontId="21" fillId="0" borderId="11" xfId="0" applyFont="1" applyBorder="1"/>
    <xf numFmtId="0" fontId="21" fillId="0" borderId="16" xfId="0" applyFont="1" applyBorder="1"/>
    <xf numFmtId="0" fontId="20" fillId="0" borderId="16" xfId="0" applyFont="1" applyBorder="1"/>
    <xf numFmtId="0" fontId="21" fillId="0" borderId="17" xfId="0" applyFont="1" applyBorder="1"/>
    <xf numFmtId="0" fontId="22" fillId="0" borderId="0" xfId="0" applyFont="1"/>
    <xf numFmtId="0" fontId="12" fillId="0" borderId="18" xfId="0" applyFont="1" applyBorder="1"/>
    <xf numFmtId="0" fontId="11" fillId="0" borderId="18" xfId="0" applyFont="1" applyBorder="1"/>
    <xf numFmtId="0" fontId="19" fillId="0" borderId="0" xfId="0" applyFont="1"/>
    <xf numFmtId="10" fontId="0" fillId="0" borderId="0" xfId="0" applyNumberFormat="1"/>
    <xf numFmtId="0" fontId="25" fillId="0" borderId="0" xfId="0" applyFont="1"/>
    <xf numFmtId="0" fontId="26" fillId="0" borderId="0" xfId="0" applyFont="1"/>
    <xf numFmtId="0" fontId="27" fillId="0" borderId="0" xfId="0" applyFont="1"/>
    <xf numFmtId="0" fontId="28" fillId="0" borderId="0" xfId="0" applyFont="1" applyAlignment="1">
      <alignment wrapText="1"/>
    </xf>
    <xf numFmtId="9" fontId="0" fillId="0" borderId="0" xfId="0" applyNumberFormat="1"/>
    <xf numFmtId="0" fontId="29" fillId="0" borderId="0" xfId="0" applyFont="1"/>
    <xf numFmtId="3" fontId="29" fillId="0" borderId="0" xfId="0" applyNumberFormat="1" applyFont="1"/>
    <xf numFmtId="0" fontId="23" fillId="0" borderId="0" xfId="0" applyFont="1"/>
    <xf numFmtId="10" fontId="30" fillId="0" borderId="0" xfId="0" applyNumberFormat="1" applyFont="1"/>
    <xf numFmtId="0" fontId="32" fillId="0" borderId="0" xfId="0" applyFont="1"/>
    <xf numFmtId="3" fontId="0" fillId="0" borderId="0" xfId="0" applyNumberFormat="1"/>
    <xf numFmtId="1" fontId="0" fillId="0" borderId="0" xfId="0" applyNumberFormat="1"/>
    <xf numFmtId="4" fontId="18" fillId="0" borderId="0" xfId="0" applyNumberFormat="1" applyFont="1" applyAlignment="1">
      <alignment horizontal="right"/>
    </xf>
    <xf numFmtId="0" fontId="36" fillId="0" borderId="0" xfId="0" applyFont="1"/>
    <xf numFmtId="0" fontId="35" fillId="0" borderId="0" xfId="0" applyFont="1"/>
    <xf numFmtId="1" fontId="14" fillId="0" borderId="0" xfId="0" applyNumberFormat="1" applyFont="1"/>
    <xf numFmtId="2" fontId="14" fillId="0" borderId="0" xfId="0" applyNumberFormat="1" applyFont="1"/>
    <xf numFmtId="0" fontId="30" fillId="0" borderId="0" xfId="0" applyFont="1"/>
    <xf numFmtId="0" fontId="28" fillId="0" borderId="0" xfId="0" applyFont="1"/>
    <xf numFmtId="2" fontId="28" fillId="0" borderId="0" xfId="0" applyNumberFormat="1" applyFont="1"/>
    <xf numFmtId="164" fontId="28" fillId="0" borderId="0" xfId="0" applyNumberFormat="1" applyFont="1"/>
    <xf numFmtId="14" fontId="0" fillId="0" borderId="0" xfId="0" applyNumberFormat="1"/>
    <xf numFmtId="2" fontId="27" fillId="0" borderId="0" xfId="0" applyNumberFormat="1" applyFont="1"/>
    <xf numFmtId="2" fontId="21" fillId="0" borderId="0" xfId="0" applyNumberFormat="1" applyFont="1"/>
    <xf numFmtId="164" fontId="27" fillId="0" borderId="0" xfId="0" applyNumberFormat="1" applyFont="1"/>
    <xf numFmtId="0" fontId="33" fillId="0" borderId="0" xfId="1" applyBorder="1"/>
    <xf numFmtId="170" fontId="28" fillId="0" borderId="0" xfId="0" applyNumberFormat="1" applyFont="1"/>
    <xf numFmtId="0" fontId="28" fillId="0" borderId="12" xfId="0" applyFont="1" applyBorder="1"/>
    <xf numFmtId="0" fontId="28" fillId="0" borderId="14" xfId="0" applyFont="1" applyBorder="1"/>
    <xf numFmtId="0" fontId="37" fillId="0" borderId="0" xfId="0" applyFont="1" applyAlignment="1">
      <alignment readingOrder="1"/>
    </xf>
    <xf numFmtId="0" fontId="37" fillId="0" borderId="0" xfId="0" applyFont="1" applyAlignment="1">
      <alignment wrapText="1" readingOrder="1"/>
    </xf>
    <xf numFmtId="0" fontId="38" fillId="0" borderId="0" xfId="0" applyFont="1"/>
    <xf numFmtId="0" fontId="17" fillId="6" borderId="7" xfId="0" applyFont="1" applyFill="1" applyBorder="1" applyAlignment="1">
      <alignment horizontal="left" vertical="top"/>
    </xf>
    <xf numFmtId="0" fontId="17" fillId="6" borderId="8" xfId="0" applyFont="1" applyFill="1" applyBorder="1" applyAlignment="1">
      <alignment horizontal="left" vertical="top"/>
    </xf>
    <xf numFmtId="0" fontId="17" fillId="6" borderId="8" xfId="0" applyFont="1" applyFill="1" applyBorder="1" applyAlignment="1">
      <alignment horizontal="right" vertical="top"/>
    </xf>
    <xf numFmtId="0" fontId="17" fillId="6" borderId="9" xfId="0" applyFont="1" applyFill="1" applyBorder="1" applyAlignment="1">
      <alignment horizontal="right" vertical="top"/>
    </xf>
    <xf numFmtId="0" fontId="17" fillId="6" borderId="12" xfId="0" applyFont="1" applyFill="1" applyBorder="1"/>
    <xf numFmtId="0" fontId="17" fillId="6" borderId="13" xfId="0" applyFont="1" applyFill="1" applyBorder="1"/>
    <xf numFmtId="0" fontId="17" fillId="6" borderId="13" xfId="0" applyFont="1" applyFill="1" applyBorder="1" applyAlignment="1">
      <alignment horizontal="right"/>
    </xf>
    <xf numFmtId="3" fontId="17" fillId="6" borderId="13" xfId="0" applyNumberFormat="1" applyFont="1" applyFill="1" applyBorder="1" applyAlignment="1">
      <alignment horizontal="right"/>
    </xf>
    <xf numFmtId="4" fontId="17" fillId="6" borderId="13" xfId="0" applyNumberFormat="1" applyFont="1" applyFill="1" applyBorder="1" applyAlignment="1">
      <alignment horizontal="right"/>
    </xf>
    <xf numFmtId="4" fontId="17" fillId="6" borderId="14" xfId="0" applyNumberFormat="1" applyFont="1" applyFill="1" applyBorder="1" applyAlignment="1">
      <alignment horizontal="right"/>
    </xf>
    <xf numFmtId="2" fontId="17" fillId="6" borderId="13" xfId="0" applyNumberFormat="1" applyFont="1" applyFill="1" applyBorder="1" applyAlignment="1">
      <alignment horizontal="right"/>
    </xf>
    <xf numFmtId="2" fontId="18" fillId="6" borderId="13" xfId="0" applyNumberFormat="1" applyFont="1" applyFill="1" applyBorder="1" applyAlignment="1">
      <alignment horizontal="right"/>
    </xf>
    <xf numFmtId="167" fontId="18" fillId="6" borderId="14" xfId="0" applyNumberFormat="1" applyFont="1" applyFill="1" applyBorder="1"/>
    <xf numFmtId="0" fontId="17" fillId="6" borderId="12" xfId="0" applyFont="1" applyFill="1" applyBorder="1" applyAlignment="1">
      <alignment horizontal="left" vertical="top"/>
    </xf>
    <xf numFmtId="0" fontId="17" fillId="6" borderId="13" xfId="0" applyFont="1" applyFill="1" applyBorder="1" applyAlignment="1">
      <alignment horizontal="right" vertical="top"/>
    </xf>
    <xf numFmtId="0" fontId="17" fillId="6" borderId="14" xfId="0" applyFont="1" applyFill="1" applyBorder="1" applyAlignment="1">
      <alignment horizontal="right" vertical="top"/>
    </xf>
    <xf numFmtId="0" fontId="18" fillId="6" borderId="12" xfId="0" applyFont="1" applyFill="1" applyBorder="1"/>
    <xf numFmtId="0" fontId="17" fillId="6" borderId="14" xfId="0" applyFont="1" applyFill="1" applyBorder="1"/>
    <xf numFmtId="0" fontId="17" fillId="6" borderId="12" xfId="0" applyFont="1" applyFill="1" applyBorder="1" applyAlignment="1">
      <alignment horizontal="center"/>
    </xf>
    <xf numFmtId="167" fontId="18" fillId="6" borderId="14" xfId="0" applyNumberFormat="1" applyFont="1" applyFill="1" applyBorder="1" applyAlignment="1">
      <alignment horizontal="right"/>
    </xf>
    <xf numFmtId="0" fontId="28" fillId="6" borderId="12" xfId="0" applyFont="1" applyFill="1" applyBorder="1"/>
    <xf numFmtId="2" fontId="27" fillId="6" borderId="13" xfId="0" applyNumberFormat="1" applyFont="1" applyFill="1" applyBorder="1"/>
    <xf numFmtId="2" fontId="21" fillId="6" borderId="14" xfId="0" applyNumberFormat="1" applyFont="1" applyFill="1" applyBorder="1"/>
    <xf numFmtId="0" fontId="27" fillId="6" borderId="13" xfId="0" applyFont="1" applyFill="1" applyBorder="1"/>
    <xf numFmtId="0" fontId="27" fillId="6" borderId="14" xfId="0" applyFont="1" applyFill="1" applyBorder="1"/>
    <xf numFmtId="164" fontId="27" fillId="6" borderId="13" xfId="0" applyNumberFormat="1" applyFont="1" applyFill="1" applyBorder="1"/>
    <xf numFmtId="164" fontId="27" fillId="6" borderId="14" xfId="0" applyNumberFormat="1" applyFont="1" applyFill="1" applyBorder="1"/>
    <xf numFmtId="2" fontId="28" fillId="6" borderId="13" xfId="0" applyNumberFormat="1" applyFont="1" applyFill="1" applyBorder="1"/>
    <xf numFmtId="164" fontId="28" fillId="6" borderId="13" xfId="0" applyNumberFormat="1" applyFont="1" applyFill="1" applyBorder="1"/>
    <xf numFmtId="164" fontId="28" fillId="6" borderId="14" xfId="0" applyNumberFormat="1" applyFont="1" applyFill="1" applyBorder="1"/>
    <xf numFmtId="168" fontId="27" fillId="0" borderId="0" xfId="0" applyNumberFormat="1" applyFont="1"/>
    <xf numFmtId="168" fontId="28" fillId="6" borderId="13" xfId="0" applyNumberFormat="1" applyFont="1" applyFill="1" applyBorder="1"/>
    <xf numFmtId="168" fontId="28" fillId="6" borderId="14" xfId="0" applyNumberFormat="1" applyFont="1" applyFill="1" applyBorder="1"/>
    <xf numFmtId="2" fontId="35" fillId="0" borderId="0" xfId="0" applyNumberFormat="1" applyFont="1"/>
    <xf numFmtId="2" fontId="27" fillId="6" borderId="14" xfId="0" applyNumberFormat="1" applyFont="1" applyFill="1" applyBorder="1"/>
    <xf numFmtId="165" fontId="27" fillId="0" borderId="0" xfId="0" applyNumberFormat="1" applyFont="1" applyAlignment="1">
      <alignment readingOrder="1"/>
    </xf>
    <xf numFmtId="4" fontId="27" fillId="0" borderId="0" xfId="0" applyNumberFormat="1" applyFont="1" applyAlignment="1">
      <alignment readingOrder="1"/>
    </xf>
    <xf numFmtId="2" fontId="27" fillId="0" borderId="0" xfId="0" applyNumberFormat="1" applyFont="1" applyAlignment="1">
      <alignment readingOrder="1"/>
    </xf>
    <xf numFmtId="169" fontId="27" fillId="0" borderId="11" xfId="0" applyNumberFormat="1" applyFont="1" applyBorder="1" applyAlignment="1">
      <alignment readingOrder="1"/>
    </xf>
    <xf numFmtId="165" fontId="27" fillId="0" borderId="16" xfId="0" applyNumberFormat="1" applyFont="1" applyBorder="1" applyAlignment="1">
      <alignment readingOrder="1"/>
    </xf>
    <xf numFmtId="4" fontId="27" fillId="0" borderId="16" xfId="0" applyNumberFormat="1" applyFont="1" applyBorder="1" applyAlignment="1">
      <alignment readingOrder="1"/>
    </xf>
    <xf numFmtId="2" fontId="27" fillId="0" borderId="16" xfId="0" applyNumberFormat="1" applyFont="1" applyBorder="1" applyAlignment="1">
      <alignment readingOrder="1"/>
    </xf>
    <xf numFmtId="2" fontId="35" fillId="0" borderId="16" xfId="0" applyNumberFormat="1" applyFont="1" applyBorder="1"/>
    <xf numFmtId="169" fontId="27" fillId="0" borderId="17" xfId="0" applyNumberFormat="1" applyFont="1" applyBorder="1" applyAlignment="1">
      <alignment readingOrder="1"/>
    </xf>
    <xf numFmtId="0" fontId="27" fillId="0" borderId="25" xfId="0" applyFont="1" applyBorder="1" applyAlignment="1">
      <alignment readingOrder="1"/>
    </xf>
    <xf numFmtId="0" fontId="14" fillId="0" borderId="0" xfId="1" applyFont="1" applyFill="1" applyBorder="1" applyAlignment="1"/>
    <xf numFmtId="0" fontId="41" fillId="0" borderId="0" xfId="1" applyFont="1" applyFill="1" applyBorder="1" applyAlignment="1"/>
    <xf numFmtId="0" fontId="28" fillId="6" borderId="20" xfId="0" applyFont="1" applyFill="1" applyBorder="1" applyAlignment="1">
      <alignment readingOrder="1"/>
    </xf>
    <xf numFmtId="0" fontId="28" fillId="6" borderId="20" xfId="0" applyFont="1" applyFill="1" applyBorder="1" applyAlignment="1">
      <alignment wrapText="1" readingOrder="1"/>
    </xf>
    <xf numFmtId="0" fontId="35" fillId="6" borderId="20" xfId="0" applyFont="1" applyFill="1" applyBorder="1"/>
    <xf numFmtId="0" fontId="12" fillId="6" borderId="16" xfId="0" applyFont="1" applyFill="1" applyBorder="1"/>
    <xf numFmtId="0" fontId="12" fillId="6" borderId="13" xfId="0" applyFont="1" applyFill="1" applyBorder="1"/>
    <xf numFmtId="3" fontId="12" fillId="6" borderId="13" xfId="0" applyNumberFormat="1" applyFont="1" applyFill="1" applyBorder="1"/>
    <xf numFmtId="0" fontId="28" fillId="6" borderId="13" xfId="0" applyFont="1" applyFill="1" applyBorder="1" applyAlignment="1">
      <alignment readingOrder="1"/>
    </xf>
    <xf numFmtId="2" fontId="39" fillId="6" borderId="14" xfId="0" applyNumberFormat="1" applyFont="1" applyFill="1" applyBorder="1"/>
    <xf numFmtId="0" fontId="1" fillId="0" borderId="0" xfId="0" applyFont="1"/>
    <xf numFmtId="2" fontId="1" fillId="0" borderId="0" xfId="0" applyNumberFormat="1" applyFont="1"/>
    <xf numFmtId="165" fontId="28" fillId="6" borderId="13" xfId="0" applyNumberFormat="1" applyFont="1" applyFill="1" applyBorder="1"/>
    <xf numFmtId="165" fontId="28" fillId="6" borderId="14" xfId="0" applyNumberFormat="1" applyFont="1" applyFill="1" applyBorder="1"/>
    <xf numFmtId="165" fontId="21" fillId="0" borderId="0" xfId="0" applyNumberFormat="1" applyFont="1"/>
    <xf numFmtId="0" fontId="14" fillId="6" borderId="20" xfId="0" applyFont="1" applyFill="1" applyBorder="1"/>
    <xf numFmtId="0" fontId="14" fillId="6" borderId="21" xfId="0" applyFont="1" applyFill="1" applyBorder="1"/>
    <xf numFmtId="0" fontId="12" fillId="6" borderId="16" xfId="0" applyFont="1" applyFill="1" applyBorder="1" applyAlignment="1">
      <alignment readingOrder="1"/>
    </xf>
    <xf numFmtId="0" fontId="12" fillId="6" borderId="16" xfId="0" applyFont="1" applyFill="1" applyBorder="1" applyAlignment="1">
      <alignment wrapText="1" readingOrder="1"/>
    </xf>
    <xf numFmtId="0" fontId="12" fillId="6" borderId="17" xfId="0" applyFont="1" applyFill="1" applyBorder="1" applyAlignment="1">
      <alignment readingOrder="1"/>
    </xf>
    <xf numFmtId="14" fontId="14" fillId="0" borderId="0" xfId="0" applyNumberFormat="1" applyFont="1" applyAlignment="1">
      <alignment readingOrder="1"/>
    </xf>
    <xf numFmtId="0" fontId="14" fillId="0" borderId="0" xfId="0" applyFont="1" applyAlignment="1">
      <alignment readingOrder="1"/>
    </xf>
    <xf numFmtId="0" fontId="14" fillId="0" borderId="0" xfId="0" applyFont="1" applyAlignment="1">
      <alignment horizontal="center" readingOrder="1"/>
    </xf>
    <xf numFmtId="165" fontId="14" fillId="0" borderId="0" xfId="0" applyNumberFormat="1" applyFont="1" applyAlignment="1">
      <alignment readingOrder="1"/>
    </xf>
    <xf numFmtId="4" fontId="14" fillId="0" borderId="0" xfId="0" applyNumberFormat="1" applyFont="1" applyAlignment="1">
      <alignment readingOrder="1"/>
    </xf>
    <xf numFmtId="165" fontId="14" fillId="0" borderId="0" xfId="0" applyNumberFormat="1" applyFont="1"/>
    <xf numFmtId="2" fontId="14" fillId="0" borderId="0" xfId="0" applyNumberFormat="1" applyFont="1" applyAlignment="1">
      <alignment readingOrder="1"/>
    </xf>
    <xf numFmtId="169" fontId="14" fillId="0" borderId="11" xfId="0" applyNumberFormat="1" applyFont="1" applyBorder="1" applyAlignment="1">
      <alignment readingOrder="1"/>
    </xf>
    <xf numFmtId="14" fontId="14" fillId="0" borderId="0" xfId="0" applyNumberFormat="1" applyFont="1"/>
    <xf numFmtId="15" fontId="14" fillId="0" borderId="0" xfId="0" applyNumberFormat="1" applyFont="1" applyAlignment="1">
      <alignment horizontal="center"/>
    </xf>
    <xf numFmtId="14" fontId="14" fillId="0" borderId="15" xfId="0" applyNumberFormat="1" applyFont="1" applyBorder="1"/>
    <xf numFmtId="0" fontId="14" fillId="0" borderId="16" xfId="1" applyFont="1" applyBorder="1"/>
    <xf numFmtId="165" fontId="14" fillId="0" borderId="16" xfId="0" applyNumberFormat="1" applyFont="1" applyBorder="1"/>
    <xf numFmtId="168" fontId="14" fillId="0" borderId="16" xfId="0" applyNumberFormat="1" applyFont="1" applyBorder="1"/>
    <xf numFmtId="0" fontId="14" fillId="6" borderId="12" xfId="0" applyFont="1" applyFill="1" applyBorder="1"/>
    <xf numFmtId="0" fontId="6" fillId="3" borderId="20" xfId="0" applyFont="1" applyFill="1" applyBorder="1" applyAlignment="1">
      <alignment horizontal="center"/>
    </xf>
    <xf numFmtId="0" fontId="44" fillId="0" borderId="0" xfId="0" applyFont="1"/>
    <xf numFmtId="0" fontId="43" fillId="0" borderId="0" xfId="0" applyFont="1"/>
    <xf numFmtId="0" fontId="45" fillId="0" borderId="0" xfId="0" applyFont="1" applyAlignment="1">
      <alignment wrapText="1"/>
    </xf>
    <xf numFmtId="10" fontId="14" fillId="0" borderId="0" xfId="0" applyNumberFormat="1" applyFont="1"/>
    <xf numFmtId="3" fontId="35" fillId="0" borderId="0" xfId="0" applyNumberFormat="1" applyFont="1"/>
    <xf numFmtId="0" fontId="42" fillId="7" borderId="40" xfId="0" applyFont="1" applyFill="1" applyBorder="1"/>
    <xf numFmtId="0" fontId="45" fillId="7" borderId="41" xfId="0" applyFont="1" applyFill="1" applyBorder="1" applyAlignment="1">
      <alignment horizontal="center"/>
    </xf>
    <xf numFmtId="0" fontId="45" fillId="7" borderId="42" xfId="0" applyFont="1" applyFill="1" applyBorder="1" applyAlignment="1">
      <alignment horizontal="center"/>
    </xf>
    <xf numFmtId="0" fontId="45" fillId="7" borderId="43" xfId="0" applyFont="1" applyFill="1" applyBorder="1" applyAlignment="1">
      <alignment horizontal="center"/>
    </xf>
    <xf numFmtId="0" fontId="45" fillId="7" borderId="46" xfId="0" applyFont="1" applyFill="1" applyBorder="1"/>
    <xf numFmtId="3" fontId="45" fillId="7" borderId="34" xfId="0" applyNumberFormat="1" applyFont="1" applyFill="1" applyBorder="1"/>
    <xf numFmtId="3" fontId="49" fillId="7" borderId="34" xfId="0" applyNumberFormat="1" applyFont="1" applyFill="1" applyBorder="1"/>
    <xf numFmtId="3" fontId="45" fillId="7" borderId="47" xfId="0" applyNumberFormat="1" applyFont="1" applyFill="1" applyBorder="1"/>
    <xf numFmtId="3" fontId="45" fillId="7" borderId="37" xfId="0" applyNumberFormat="1" applyFont="1" applyFill="1" applyBorder="1"/>
    <xf numFmtId="0" fontId="45" fillId="7" borderId="48" xfId="0" applyFont="1" applyFill="1" applyBorder="1"/>
    <xf numFmtId="4" fontId="45" fillId="7" borderId="49" xfId="0" applyNumberFormat="1" applyFont="1" applyFill="1" applyBorder="1"/>
    <xf numFmtId="0" fontId="45" fillId="7" borderId="50" xfId="0" applyFont="1" applyFill="1" applyBorder="1"/>
    <xf numFmtId="0" fontId="49" fillId="7" borderId="50" xfId="0" applyFont="1" applyFill="1" applyBorder="1"/>
    <xf numFmtId="0" fontId="45" fillId="7" borderId="51" xfId="0" applyFont="1" applyFill="1" applyBorder="1"/>
    <xf numFmtId="0" fontId="14" fillId="0" borderId="52" xfId="0" applyFont="1" applyBorder="1"/>
    <xf numFmtId="0" fontId="43" fillId="0" borderId="52" xfId="0" applyFont="1" applyBorder="1"/>
    <xf numFmtId="9" fontId="14" fillId="0" borderId="0" xfId="0" applyNumberFormat="1" applyFont="1"/>
    <xf numFmtId="0" fontId="50" fillId="7" borderId="13" xfId="0" applyFont="1" applyFill="1" applyBorder="1"/>
    <xf numFmtId="0" fontId="35" fillId="7" borderId="34" xfId="0" applyFont="1" applyFill="1" applyBorder="1"/>
    <xf numFmtId="0" fontId="14" fillId="7" borderId="34" xfId="0" applyFont="1" applyFill="1" applyBorder="1"/>
    <xf numFmtId="10" fontId="14" fillId="8" borderId="34" xfId="0" applyNumberFormat="1" applyFont="1" applyFill="1" applyBorder="1"/>
    <xf numFmtId="0" fontId="14" fillId="8" borderId="34" xfId="0" applyFont="1" applyFill="1" applyBorder="1"/>
    <xf numFmtId="3" fontId="14" fillId="8" borderId="34" xfId="0" applyNumberFormat="1" applyFont="1" applyFill="1" applyBorder="1"/>
    <xf numFmtId="0" fontId="50" fillId="7" borderId="53" xfId="0" applyFont="1" applyFill="1" applyBorder="1"/>
    <xf numFmtId="0" fontId="50" fillId="7" borderId="54" xfId="0" applyFont="1" applyFill="1" applyBorder="1"/>
    <xf numFmtId="0" fontId="50" fillId="7" borderId="55" xfId="0" applyFont="1" applyFill="1" applyBorder="1"/>
    <xf numFmtId="0" fontId="51" fillId="7" borderId="13" xfId="0" applyFont="1" applyFill="1" applyBorder="1"/>
    <xf numFmtId="0" fontId="52" fillId="0" borderId="0" xfId="0" applyFont="1"/>
    <xf numFmtId="0" fontId="2" fillId="4" borderId="0" xfId="0" applyFont="1" applyFill="1" applyAlignment="1">
      <alignment horizontal="right"/>
    </xf>
    <xf numFmtId="0" fontId="2" fillId="2" borderId="0" xfId="0" applyFont="1" applyFill="1" applyAlignment="1">
      <alignment horizontal="right"/>
    </xf>
    <xf numFmtId="0" fontId="6" fillId="3" borderId="0" xfId="0" applyFont="1" applyFill="1" applyAlignment="1">
      <alignment horizontal="right"/>
    </xf>
    <xf numFmtId="166" fontId="6" fillId="3" borderId="57" xfId="0" applyNumberFormat="1" applyFont="1" applyFill="1" applyBorder="1" applyAlignment="1">
      <alignment horizontal="right"/>
    </xf>
    <xf numFmtId="166" fontId="6" fillId="3" borderId="20" xfId="0" applyNumberFormat="1" applyFont="1" applyFill="1" applyBorder="1" applyAlignment="1">
      <alignment horizontal="right"/>
    </xf>
    <xf numFmtId="166" fontId="6" fillId="3" borderId="56" xfId="0" applyNumberFormat="1" applyFont="1" applyFill="1" applyBorder="1" applyAlignment="1">
      <alignment horizontal="right"/>
    </xf>
    <xf numFmtId="166" fontId="6" fillId="3" borderId="21" xfId="0" applyNumberFormat="1" applyFont="1" applyFill="1" applyBorder="1" applyAlignment="1">
      <alignment horizontal="right"/>
    </xf>
    <xf numFmtId="0" fontId="8" fillId="9" borderId="0" xfId="0" applyFont="1" applyFill="1" applyAlignment="1">
      <alignment horizontal="right"/>
    </xf>
    <xf numFmtId="0" fontId="8" fillId="9" borderId="11" xfId="0" applyFont="1" applyFill="1" applyBorder="1" applyAlignment="1">
      <alignment horizontal="right"/>
    </xf>
    <xf numFmtId="0" fontId="2" fillId="9" borderId="16" xfId="0" applyFont="1" applyFill="1" applyBorder="1" applyAlignment="1">
      <alignment horizontal="right"/>
    </xf>
    <xf numFmtId="0" fontId="2" fillId="9" borderId="17" xfId="0" applyFont="1" applyFill="1" applyBorder="1" applyAlignment="1">
      <alignment horizontal="right"/>
    </xf>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 fillId="3" borderId="21" xfId="0" applyFont="1" applyFill="1" applyBorder="1" applyAlignment="1">
      <alignment horizontal="center"/>
    </xf>
    <xf numFmtId="0" fontId="2" fillId="5" borderId="0" xfId="0" applyFont="1" applyFill="1" applyAlignment="1">
      <alignment horizontal="right"/>
    </xf>
    <xf numFmtId="0" fontId="2" fillId="5" borderId="64" xfId="0" applyFont="1" applyFill="1" applyBorder="1" applyAlignment="1">
      <alignment horizontal="right"/>
    </xf>
    <xf numFmtId="0" fontId="12" fillId="7" borderId="13" xfId="0" applyFont="1" applyFill="1" applyBorder="1"/>
    <xf numFmtId="0" fontId="12" fillId="7" borderId="12" xfId="0" applyFont="1" applyFill="1" applyBorder="1"/>
    <xf numFmtId="0" fontId="12" fillId="7" borderId="14" xfId="0" applyFont="1" applyFill="1" applyBorder="1"/>
    <xf numFmtId="0" fontId="51" fillId="0" borderId="0" xfId="0" applyFont="1"/>
    <xf numFmtId="0" fontId="31" fillId="7" borderId="19" xfId="0" applyFont="1" applyFill="1" applyBorder="1"/>
    <xf numFmtId="1" fontId="31" fillId="7" borderId="21" xfId="0" applyNumberFormat="1" applyFont="1" applyFill="1" applyBorder="1"/>
    <xf numFmtId="0" fontId="31" fillId="7" borderId="15" xfId="0" applyFont="1" applyFill="1" applyBorder="1"/>
    <xf numFmtId="2" fontId="31" fillId="7" borderId="17" xfId="0" applyNumberFormat="1" applyFont="1" applyFill="1" applyBorder="1"/>
    <xf numFmtId="0" fontId="63" fillId="7" borderId="12" xfId="0" applyFont="1" applyFill="1" applyBorder="1" applyAlignment="1">
      <alignment horizontal="left"/>
    </xf>
    <xf numFmtId="0" fontId="31" fillId="7" borderId="13" xfId="0" applyFont="1" applyFill="1" applyBorder="1"/>
    <xf numFmtId="0" fontId="31" fillId="7" borderId="12" xfId="0" applyFont="1" applyFill="1" applyBorder="1"/>
    <xf numFmtId="0" fontId="31" fillId="7" borderId="14" xfId="0" applyFont="1" applyFill="1" applyBorder="1"/>
    <xf numFmtId="3" fontId="32" fillId="7" borderId="17" xfId="0" applyNumberFormat="1" applyFont="1" applyFill="1" applyBorder="1"/>
    <xf numFmtId="0" fontId="51" fillId="7" borderId="12" xfId="0" applyFont="1" applyFill="1" applyBorder="1"/>
    <xf numFmtId="0" fontId="51" fillId="7" borderId="14" xfId="0" applyFont="1" applyFill="1" applyBorder="1"/>
    <xf numFmtId="0" fontId="64" fillId="7" borderId="15" xfId="0" applyFont="1" applyFill="1" applyBorder="1"/>
    <xf numFmtId="0" fontId="64" fillId="7" borderId="16" xfId="0" applyFont="1" applyFill="1" applyBorder="1"/>
    <xf numFmtId="0" fontId="54" fillId="7" borderId="16" xfId="0" applyFont="1" applyFill="1" applyBorder="1" applyAlignment="1">
      <alignment wrapText="1"/>
    </xf>
    <xf numFmtId="0" fontId="54" fillId="7" borderId="17" xfId="0" applyFont="1" applyFill="1" applyBorder="1" applyAlignment="1">
      <alignment wrapText="1"/>
    </xf>
    <xf numFmtId="0" fontId="65" fillId="7" borderId="19" xfId="0" applyFont="1" applyFill="1" applyBorder="1"/>
    <xf numFmtId="0" fontId="65" fillId="7" borderId="20" xfId="0" applyFont="1" applyFill="1" applyBorder="1"/>
    <xf numFmtId="0" fontId="65" fillId="7" borderId="12" xfId="0" applyFont="1" applyFill="1" applyBorder="1"/>
    <xf numFmtId="0" fontId="65" fillId="7" borderId="13" xfId="0" applyFont="1" applyFill="1" applyBorder="1"/>
    <xf numFmtId="3" fontId="65" fillId="7" borderId="13" xfId="0" applyNumberFormat="1" applyFont="1" applyFill="1" applyBorder="1"/>
    <xf numFmtId="3" fontId="65" fillId="7" borderId="14" xfId="0" applyNumberFormat="1" applyFont="1" applyFill="1" applyBorder="1"/>
    <xf numFmtId="0" fontId="66" fillId="0" borderId="0" xfId="0" applyFont="1"/>
    <xf numFmtId="9" fontId="53" fillId="0" borderId="0" xfId="0" applyNumberFormat="1" applyFont="1"/>
    <xf numFmtId="0" fontId="64" fillId="7" borderId="13" xfId="0" applyFont="1" applyFill="1" applyBorder="1"/>
    <xf numFmtId="0" fontId="64" fillId="7" borderId="14" xfId="0" applyFont="1" applyFill="1" applyBorder="1"/>
    <xf numFmtId="0" fontId="0" fillId="0" borderId="0" xfId="0" applyAlignment="1">
      <alignment horizontal="center"/>
    </xf>
    <xf numFmtId="10" fontId="0" fillId="0" borderId="66" xfId="0" applyNumberFormat="1" applyBorder="1" applyAlignment="1">
      <alignment horizontal="center"/>
    </xf>
    <xf numFmtId="0" fontId="21" fillId="6" borderId="18" xfId="0" applyFont="1" applyFill="1" applyBorder="1" applyAlignment="1">
      <alignment horizontal="center"/>
    </xf>
    <xf numFmtId="10" fontId="21" fillId="6" borderId="18" xfId="0" applyNumberFormat="1" applyFont="1" applyFill="1" applyBorder="1" applyAlignment="1">
      <alignment horizontal="center"/>
    </xf>
    <xf numFmtId="0" fontId="54" fillId="7" borderId="13" xfId="0" applyFont="1" applyFill="1" applyBorder="1" applyAlignment="1">
      <alignment horizontal="center"/>
    </xf>
    <xf numFmtId="0" fontId="53" fillId="0" borderId="0" xfId="0" applyFont="1"/>
    <xf numFmtId="10" fontId="20" fillId="6" borderId="15" xfId="0" applyNumberFormat="1" applyFont="1" applyFill="1" applyBorder="1" applyAlignment="1">
      <alignment wrapText="1"/>
    </xf>
    <xf numFmtId="10" fontId="20" fillId="6" borderId="16" xfId="0" applyNumberFormat="1" applyFont="1" applyFill="1" applyBorder="1" applyAlignment="1">
      <alignment wrapText="1"/>
    </xf>
    <xf numFmtId="10" fontId="20" fillId="6" borderId="17" xfId="0" applyNumberFormat="1" applyFont="1" applyFill="1" applyBorder="1" applyAlignment="1">
      <alignment wrapText="1"/>
    </xf>
    <xf numFmtId="0" fontId="20" fillId="7" borderId="12" xfId="0" applyFont="1" applyFill="1" applyBorder="1" applyAlignment="1">
      <alignment wrapText="1"/>
    </xf>
    <xf numFmtId="0" fontId="20" fillId="7" borderId="13" xfId="0" applyFont="1" applyFill="1" applyBorder="1" applyAlignment="1">
      <alignment wrapText="1"/>
    </xf>
    <xf numFmtId="0" fontId="20" fillId="7" borderId="14" xfId="0" applyFont="1" applyFill="1" applyBorder="1" applyAlignment="1">
      <alignment wrapText="1"/>
    </xf>
    <xf numFmtId="0" fontId="20" fillId="0" borderId="0" xfId="0" applyFont="1" applyAlignment="1">
      <alignment wrapText="1"/>
    </xf>
    <xf numFmtId="10" fontId="20" fillId="0" borderId="0" xfId="0" applyNumberFormat="1" applyFont="1" applyAlignment="1">
      <alignment wrapText="1"/>
    </xf>
    <xf numFmtId="10" fontId="11" fillId="7" borderId="14" xfId="0" applyNumberFormat="1" applyFont="1" applyFill="1" applyBorder="1"/>
    <xf numFmtId="0" fontId="48" fillId="0" borderId="0" xfId="0" applyFont="1"/>
    <xf numFmtId="0" fontId="48" fillId="0" borderId="19" xfId="0" applyFont="1" applyBorder="1"/>
    <xf numFmtId="0" fontId="48" fillId="0" borderId="20" xfId="0" applyFont="1" applyBorder="1"/>
    <xf numFmtId="0" fontId="35" fillId="5" borderId="15" xfId="0" applyFont="1" applyFill="1" applyBorder="1"/>
    <xf numFmtId="0" fontId="35" fillId="5" borderId="16" xfId="0" applyFont="1" applyFill="1" applyBorder="1"/>
    <xf numFmtId="0" fontId="35" fillId="0" borderId="16" xfId="0" applyFont="1" applyBorder="1"/>
    <xf numFmtId="14" fontId="27" fillId="0" borderId="0" xfId="0" applyNumberFormat="1" applyFont="1" applyAlignment="1">
      <alignment readingOrder="1"/>
    </xf>
    <xf numFmtId="0" fontId="27" fillId="0" borderId="0" xfId="0" applyFont="1" applyAlignment="1">
      <alignment readingOrder="1"/>
    </xf>
    <xf numFmtId="0" fontId="40" fillId="0" borderId="0" xfId="0" applyFont="1"/>
    <xf numFmtId="0" fontId="0" fillId="6" borderId="11" xfId="0" applyFill="1" applyBorder="1"/>
    <xf numFmtId="0" fontId="27" fillId="7" borderId="12" xfId="0" applyFont="1" applyFill="1" applyBorder="1"/>
    <xf numFmtId="0" fontId="28" fillId="7" borderId="13" xfId="0" applyFont="1" applyFill="1" applyBorder="1"/>
    <xf numFmtId="0" fontId="28" fillId="7" borderId="14" xfId="0" applyFont="1" applyFill="1" applyBorder="1"/>
    <xf numFmtId="0" fontId="28" fillId="7" borderId="12" xfId="0" applyFont="1" applyFill="1" applyBorder="1"/>
    <xf numFmtId="0" fontId="21" fillId="7" borderId="14" xfId="0" applyFont="1" applyFill="1" applyBorder="1"/>
    <xf numFmtId="14" fontId="28" fillId="7" borderId="12" xfId="0" applyNumberFormat="1" applyFont="1" applyFill="1" applyBorder="1" applyAlignment="1">
      <alignment readingOrder="1"/>
    </xf>
    <xf numFmtId="0" fontId="28" fillId="7" borderId="13" xfId="0" applyFont="1" applyFill="1" applyBorder="1" applyAlignment="1">
      <alignment readingOrder="1"/>
    </xf>
    <xf numFmtId="14" fontId="14" fillId="6" borderId="15" xfId="0" applyNumberFormat="1" applyFont="1" applyFill="1" applyBorder="1"/>
    <xf numFmtId="15" fontId="14" fillId="6" borderId="16" xfId="0" applyNumberFormat="1" applyFont="1" applyFill="1" applyBorder="1" applyAlignment="1">
      <alignment horizontal="center"/>
    </xf>
    <xf numFmtId="0" fontId="14" fillId="6" borderId="16" xfId="0" applyFont="1" applyFill="1" applyBorder="1"/>
    <xf numFmtId="0" fontId="14" fillId="6" borderId="17" xfId="0" applyFont="1" applyFill="1" applyBorder="1"/>
    <xf numFmtId="3" fontId="43" fillId="8" borderId="37" xfId="0" applyNumberFormat="1" applyFont="1" applyFill="1" applyBorder="1"/>
    <xf numFmtId="0" fontId="57" fillId="0" borderId="0" xfId="0" applyFont="1" applyAlignment="1">
      <alignment horizontal="center"/>
    </xf>
    <xf numFmtId="0" fontId="29" fillId="8" borderId="27" xfId="0" applyFont="1" applyFill="1" applyBorder="1"/>
    <xf numFmtId="3" fontId="32" fillId="8" borderId="28" xfId="0" applyNumberFormat="1" applyFont="1" applyFill="1" applyBorder="1"/>
    <xf numFmtId="0" fontId="29" fillId="8" borderId="30" xfId="0" applyFont="1" applyFill="1" applyBorder="1"/>
    <xf numFmtId="0" fontId="29" fillId="8" borderId="0" xfId="0" applyFont="1" applyFill="1"/>
    <xf numFmtId="0" fontId="32" fillId="8" borderId="0" xfId="0" applyFont="1" applyFill="1"/>
    <xf numFmtId="0" fontId="29" fillId="8" borderId="31" xfId="0" applyFont="1" applyFill="1" applyBorder="1"/>
    <xf numFmtId="3" fontId="32" fillId="8" borderId="0" xfId="0" applyNumberFormat="1" applyFont="1" applyFill="1"/>
    <xf numFmtId="3" fontId="29" fillId="8" borderId="0" xfId="0" applyNumberFormat="1" applyFont="1" applyFill="1"/>
    <xf numFmtId="3" fontId="29" fillId="8" borderId="31" xfId="0" applyNumberFormat="1" applyFont="1" applyFill="1" applyBorder="1"/>
    <xf numFmtId="0" fontId="0" fillId="8" borderId="15" xfId="0" applyFill="1" applyBorder="1"/>
    <xf numFmtId="0" fontId="0" fillId="8" borderId="16" xfId="0" applyFill="1" applyBorder="1"/>
    <xf numFmtId="0" fontId="0" fillId="8" borderId="17" xfId="0" applyFill="1" applyBorder="1"/>
    <xf numFmtId="10" fontId="31" fillId="8" borderId="0" xfId="0" applyNumberFormat="1" applyFont="1" applyFill="1"/>
    <xf numFmtId="3" fontId="31" fillId="8" borderId="0" xfId="0" applyNumberFormat="1" applyFont="1" applyFill="1"/>
    <xf numFmtId="10" fontId="30" fillId="8" borderId="31" xfId="0" applyNumberFormat="1" applyFont="1" applyFill="1" applyBorder="1"/>
    <xf numFmtId="3" fontId="30" fillId="8" borderId="31" xfId="0" applyNumberFormat="1" applyFont="1" applyFill="1" applyBorder="1"/>
    <xf numFmtId="10" fontId="31" fillId="8" borderId="26" xfId="0" applyNumberFormat="1" applyFont="1" applyFill="1" applyBorder="1"/>
    <xf numFmtId="0" fontId="0" fillId="8" borderId="30" xfId="0" applyFill="1" applyBorder="1"/>
    <xf numFmtId="0" fontId="0" fillId="6" borderId="10" xfId="0" applyFill="1" applyBorder="1"/>
    <xf numFmtId="0" fontId="14" fillId="6" borderId="10" xfId="0" applyFont="1" applyFill="1" applyBorder="1"/>
    <xf numFmtId="0" fontId="14" fillId="6" borderId="15" xfId="0" applyFont="1" applyFill="1" applyBorder="1"/>
    <xf numFmtId="0" fontId="18" fillId="7" borderId="12" xfId="0" applyFont="1" applyFill="1" applyBorder="1"/>
    <xf numFmtId="0" fontId="18" fillId="7" borderId="13" xfId="0" applyFont="1" applyFill="1" applyBorder="1" applyAlignment="1">
      <alignment horizontal="center"/>
    </xf>
    <xf numFmtId="0" fontId="18" fillId="7" borderId="14" xfId="0" applyFont="1" applyFill="1" applyBorder="1" applyAlignment="1">
      <alignment horizontal="center"/>
    </xf>
    <xf numFmtId="0" fontId="18" fillId="6" borderId="10" xfId="0" applyFont="1" applyFill="1" applyBorder="1"/>
    <xf numFmtId="0" fontId="18" fillId="6" borderId="0" xfId="0" applyFont="1" applyFill="1"/>
    <xf numFmtId="0" fontId="18" fillId="6" borderId="11" xfId="0" applyFont="1" applyFill="1" applyBorder="1"/>
    <xf numFmtId="14" fontId="18" fillId="6" borderId="0" xfId="0" applyNumberFormat="1" applyFont="1" applyFill="1"/>
    <xf numFmtId="0" fontId="18" fillId="6" borderId="15" xfId="0" applyFont="1" applyFill="1" applyBorder="1"/>
    <xf numFmtId="14" fontId="18" fillId="6" borderId="16" xfId="0" applyNumberFormat="1" applyFont="1" applyFill="1" applyBorder="1"/>
    <xf numFmtId="0" fontId="18" fillId="6" borderId="17" xfId="0" applyFont="1" applyFill="1" applyBorder="1"/>
    <xf numFmtId="0" fontId="68" fillId="7" borderId="22" xfId="0" applyFont="1" applyFill="1" applyBorder="1"/>
    <xf numFmtId="0" fontId="68" fillId="7" borderId="24" xfId="0" applyFont="1" applyFill="1" applyBorder="1"/>
    <xf numFmtId="0" fontId="69" fillId="6" borderId="30" xfId="0" applyFont="1" applyFill="1" applyBorder="1"/>
    <xf numFmtId="164" fontId="69" fillId="6" borderId="31" xfId="0" applyNumberFormat="1" applyFont="1" applyFill="1" applyBorder="1"/>
    <xf numFmtId="0" fontId="69" fillId="6" borderId="31" xfId="0" applyFont="1" applyFill="1" applyBorder="1"/>
    <xf numFmtId="164" fontId="70" fillId="6" borderId="31" xfId="0" applyNumberFormat="1" applyFont="1" applyFill="1" applyBorder="1"/>
    <xf numFmtId="0" fontId="69" fillId="6" borderId="35" xfId="0" applyFont="1" applyFill="1" applyBorder="1"/>
    <xf numFmtId="164" fontId="69" fillId="6" borderId="32" xfId="0" applyNumberFormat="1" applyFont="1" applyFill="1" applyBorder="1"/>
    <xf numFmtId="3" fontId="43" fillId="8" borderId="34" xfId="0" applyNumberFormat="1" applyFont="1" applyFill="1" applyBorder="1"/>
    <xf numFmtId="0" fontId="0" fillId="8" borderId="35" xfId="0" applyFill="1" applyBorder="1"/>
    <xf numFmtId="0" fontId="0" fillId="8" borderId="32" xfId="0" applyFill="1" applyBorder="1"/>
    <xf numFmtId="0" fontId="71" fillId="0" borderId="0" xfId="0" applyFont="1"/>
    <xf numFmtId="0" fontId="72" fillId="0" borderId="12" xfId="0" applyFont="1" applyBorder="1"/>
    <xf numFmtId="0" fontId="73" fillId="0" borderId="13" xfId="0" applyFont="1" applyBorder="1"/>
    <xf numFmtId="0" fontId="73" fillId="0" borderId="14" xfId="0" applyFont="1" applyBorder="1"/>
    <xf numFmtId="0" fontId="74" fillId="0" borderId="10" xfId="0" applyFont="1" applyBorder="1"/>
    <xf numFmtId="0" fontId="75" fillId="0" borderId="0" xfId="0" applyFont="1"/>
    <xf numFmtId="0" fontId="24" fillId="0" borderId="0" xfId="0" applyFont="1"/>
    <xf numFmtId="0" fontId="76" fillId="0" borderId="0" xfId="0" applyFont="1"/>
    <xf numFmtId="0" fontId="76" fillId="0" borderId="11" xfId="0" applyFont="1" applyBorder="1"/>
    <xf numFmtId="0" fontId="24" fillId="0" borderId="10" xfId="0" applyFont="1" applyBorder="1"/>
    <xf numFmtId="3" fontId="24" fillId="0" borderId="0" xfId="0" applyNumberFormat="1" applyFont="1"/>
    <xf numFmtId="3" fontId="76" fillId="0" borderId="0" xfId="0" applyNumberFormat="1" applyFont="1"/>
    <xf numFmtId="3" fontId="24" fillId="0" borderId="11" xfId="0" applyNumberFormat="1" applyFont="1" applyBorder="1"/>
    <xf numFmtId="0" fontId="24" fillId="0" borderId="11" xfId="0" applyFont="1" applyBorder="1"/>
    <xf numFmtId="0" fontId="77" fillId="0" borderId="0" xfId="0" applyFont="1"/>
    <xf numFmtId="0" fontId="24" fillId="0" borderId="62" xfId="0" applyFont="1" applyBorder="1"/>
    <xf numFmtId="3" fontId="24" fillId="0" borderId="33" xfId="0" applyNumberFormat="1" applyFont="1" applyBorder="1"/>
    <xf numFmtId="3" fontId="76" fillId="0" borderId="33" xfId="0" applyNumberFormat="1" applyFont="1" applyBorder="1"/>
    <xf numFmtId="3" fontId="24" fillId="0" borderId="61" xfId="0" applyNumberFormat="1" applyFont="1" applyBorder="1"/>
    <xf numFmtId="3" fontId="78" fillId="0" borderId="0" xfId="0" applyNumberFormat="1" applyFont="1"/>
    <xf numFmtId="0" fontId="73" fillId="0" borderId="62" xfId="0" applyFont="1" applyBorder="1"/>
    <xf numFmtId="3" fontId="24" fillId="0" borderId="67" xfId="0" applyNumberFormat="1" applyFont="1" applyBorder="1"/>
    <xf numFmtId="3" fontId="24" fillId="0" borderId="68" xfId="0" applyNumberFormat="1" applyFont="1" applyBorder="1"/>
    <xf numFmtId="0" fontId="73" fillId="0" borderId="10" xfId="0" applyFont="1" applyBorder="1"/>
    <xf numFmtId="0" fontId="73" fillId="0" borderId="58" xfId="0" applyFont="1" applyBorder="1"/>
    <xf numFmtId="3" fontId="76" fillId="0" borderId="59" xfId="0" applyNumberFormat="1" applyFont="1" applyBorder="1"/>
    <xf numFmtId="3" fontId="24" fillId="0" borderId="59" xfId="0" applyNumberFormat="1" applyFont="1" applyBorder="1"/>
    <xf numFmtId="3" fontId="24" fillId="0" borderId="60" xfId="0" applyNumberFormat="1" applyFont="1" applyBorder="1"/>
    <xf numFmtId="0" fontId="12" fillId="7" borderId="34" xfId="0" applyFont="1" applyFill="1" applyBorder="1"/>
    <xf numFmtId="10" fontId="30" fillId="8" borderId="29" xfId="0" applyNumberFormat="1" applyFont="1" applyFill="1" applyBorder="1"/>
    <xf numFmtId="0" fontId="30" fillId="8" borderId="31" xfId="0" applyFont="1" applyFill="1" applyBorder="1"/>
    <xf numFmtId="0" fontId="34" fillId="8" borderId="30" xfId="0" applyFont="1" applyFill="1" applyBorder="1"/>
    <xf numFmtId="1" fontId="30" fillId="8" borderId="31" xfId="0" applyNumberFormat="1" applyFont="1" applyFill="1" applyBorder="1"/>
    <xf numFmtId="0" fontId="0" fillId="8" borderId="27" xfId="0" applyFill="1" applyBorder="1"/>
    <xf numFmtId="0" fontId="45" fillId="8" borderId="44" xfId="0" applyFont="1" applyFill="1" applyBorder="1"/>
    <xf numFmtId="0" fontId="43" fillId="8" borderId="39" xfId="0" applyFont="1" applyFill="1" applyBorder="1"/>
    <xf numFmtId="10" fontId="43" fillId="8" borderId="38" xfId="0" applyNumberFormat="1" applyFont="1" applyFill="1" applyBorder="1"/>
    <xf numFmtId="0" fontId="46" fillId="8" borderId="45" xfId="0" applyFont="1" applyFill="1" applyBorder="1"/>
    <xf numFmtId="0" fontId="43" fillId="8" borderId="46" xfId="0" applyFont="1" applyFill="1" applyBorder="1"/>
    <xf numFmtId="0" fontId="43" fillId="8" borderId="37" xfId="0" applyFont="1" applyFill="1" applyBorder="1"/>
    <xf numFmtId="3" fontId="46" fillId="8" borderId="34" xfId="0" applyNumberFormat="1" applyFont="1" applyFill="1" applyBorder="1"/>
    <xf numFmtId="3" fontId="43" fillId="8" borderId="47" xfId="0" applyNumberFormat="1" applyFont="1" applyFill="1" applyBorder="1"/>
    <xf numFmtId="0" fontId="45" fillId="8" borderId="46" xfId="0" applyFont="1" applyFill="1" applyBorder="1"/>
    <xf numFmtId="0" fontId="47" fillId="8" borderId="34" xfId="0" applyFont="1" applyFill="1" applyBorder="1"/>
    <xf numFmtId="0" fontId="43" fillId="8" borderId="34" xfId="0" applyFont="1" applyFill="1" applyBorder="1"/>
    <xf numFmtId="0" fontId="46" fillId="8" borderId="34" xfId="0" applyFont="1" applyFill="1" applyBorder="1"/>
    <xf numFmtId="0" fontId="46" fillId="8" borderId="47" xfId="0" applyFont="1" applyFill="1" applyBorder="1"/>
    <xf numFmtId="0" fontId="43" fillId="8" borderId="47" xfId="0" applyFont="1" applyFill="1" applyBorder="1"/>
    <xf numFmtId="0" fontId="32" fillId="8" borderId="19" xfId="0" applyFont="1" applyFill="1" applyBorder="1"/>
    <xf numFmtId="3" fontId="32" fillId="8" borderId="20" xfId="0" applyNumberFormat="1" applyFont="1" applyFill="1" applyBorder="1"/>
    <xf numFmtId="3" fontId="32" fillId="8" borderId="21" xfId="0" applyNumberFormat="1" applyFont="1" applyFill="1" applyBorder="1"/>
    <xf numFmtId="0" fontId="29" fillId="8" borderId="10" xfId="0" applyFont="1" applyFill="1" applyBorder="1"/>
    <xf numFmtId="0" fontId="29" fillId="8" borderId="11" xfId="0" applyFont="1" applyFill="1" applyBorder="1"/>
    <xf numFmtId="0" fontId="32" fillId="8" borderId="10" xfId="0" applyFont="1" applyFill="1" applyBorder="1"/>
    <xf numFmtId="3" fontId="52" fillId="8" borderId="0" xfId="0" applyNumberFormat="1" applyFont="1" applyFill="1"/>
    <xf numFmtId="3" fontId="32" fillId="8" borderId="11" xfId="0" applyNumberFormat="1" applyFont="1" applyFill="1" applyBorder="1"/>
    <xf numFmtId="3" fontId="29" fillId="8" borderId="11" xfId="0" applyNumberFormat="1" applyFont="1" applyFill="1" applyBorder="1"/>
    <xf numFmtId="0" fontId="29" fillId="8" borderId="10" xfId="0" applyFont="1" applyFill="1" applyBorder="1" applyAlignment="1">
      <alignment wrapText="1"/>
    </xf>
    <xf numFmtId="0" fontId="32" fillId="8" borderId="10" xfId="0" applyFont="1" applyFill="1" applyBorder="1" applyAlignment="1">
      <alignment wrapText="1"/>
    </xf>
    <xf numFmtId="10" fontId="31" fillId="8" borderId="11" xfId="0" applyNumberFormat="1" applyFont="1" applyFill="1" applyBorder="1"/>
    <xf numFmtId="3" fontId="31" fillId="8" borderId="11" xfId="0" applyNumberFormat="1" applyFont="1" applyFill="1" applyBorder="1"/>
    <xf numFmtId="0" fontId="30" fillId="8" borderId="15" xfId="0" applyFont="1" applyFill="1" applyBorder="1"/>
    <xf numFmtId="0" fontId="30" fillId="8" borderId="16" xfId="0" applyFont="1" applyFill="1" applyBorder="1"/>
    <xf numFmtId="10" fontId="30" fillId="8" borderId="17" xfId="0" applyNumberFormat="1" applyFont="1" applyFill="1" applyBorder="1"/>
    <xf numFmtId="0" fontId="30" fillId="8" borderId="10" xfId="0" applyFont="1" applyFill="1" applyBorder="1"/>
    <xf numFmtId="0" fontId="51" fillId="8" borderId="11" xfId="0" applyFont="1" applyFill="1" applyBorder="1"/>
    <xf numFmtId="3" fontId="51" fillId="8" borderId="11" xfId="0" applyNumberFormat="1" applyFont="1" applyFill="1" applyBorder="1"/>
    <xf numFmtId="0" fontId="50" fillId="8" borderId="15" xfId="0" applyFont="1" applyFill="1" applyBorder="1"/>
    <xf numFmtId="9" fontId="50" fillId="8" borderId="16" xfId="0" applyNumberFormat="1" applyFont="1" applyFill="1" applyBorder="1"/>
    <xf numFmtId="9" fontId="50" fillId="8" borderId="17" xfId="0" applyNumberFormat="1" applyFont="1" applyFill="1" applyBorder="1"/>
    <xf numFmtId="0" fontId="64" fillId="8" borderId="10" xfId="0" applyFont="1" applyFill="1" applyBorder="1" applyAlignment="1">
      <alignment wrapText="1"/>
    </xf>
    <xf numFmtId="0" fontId="64" fillId="8" borderId="0" xfId="0" applyFont="1" applyFill="1"/>
    <xf numFmtId="0" fontId="54" fillId="8" borderId="0" xfId="0" applyFont="1" applyFill="1" applyAlignment="1">
      <alignment wrapText="1"/>
    </xf>
    <xf numFmtId="0" fontId="54" fillId="8" borderId="11" xfId="0" applyFont="1" applyFill="1" applyBorder="1" applyAlignment="1">
      <alignment wrapText="1"/>
    </xf>
    <xf numFmtId="0" fontId="53" fillId="8" borderId="0" xfId="0" applyFont="1" applyFill="1"/>
    <xf numFmtId="0" fontId="53" fillId="8" borderId="11" xfId="0" applyFont="1" applyFill="1" applyBorder="1"/>
    <xf numFmtId="0" fontId="65" fillId="8" borderId="10" xfId="0" applyFont="1" applyFill="1" applyBorder="1" applyAlignment="1">
      <alignment wrapText="1"/>
    </xf>
    <xf numFmtId="0" fontId="54" fillId="8" borderId="0" xfId="0" applyFont="1" applyFill="1"/>
    <xf numFmtId="3" fontId="65" fillId="8" borderId="0" xfId="0" applyNumberFormat="1" applyFont="1" applyFill="1" applyAlignment="1">
      <alignment wrapText="1"/>
    </xf>
    <xf numFmtId="3" fontId="65" fillId="8" borderId="11" xfId="0" applyNumberFormat="1" applyFont="1" applyFill="1" applyBorder="1" applyAlignment="1">
      <alignment wrapText="1"/>
    </xf>
    <xf numFmtId="2" fontId="65" fillId="8" borderId="0" xfId="0" applyNumberFormat="1" applyFont="1" applyFill="1"/>
    <xf numFmtId="2" fontId="65" fillId="8" borderId="11" xfId="0" applyNumberFormat="1" applyFont="1" applyFill="1" applyBorder="1"/>
    <xf numFmtId="0" fontId="65" fillId="8" borderId="10" xfId="0" applyFont="1" applyFill="1" applyBorder="1"/>
    <xf numFmtId="0" fontId="65" fillId="8" borderId="0" xfId="0" applyFont="1" applyFill="1"/>
    <xf numFmtId="10" fontId="65" fillId="8" borderId="0" xfId="0" applyNumberFormat="1" applyFont="1" applyFill="1"/>
    <xf numFmtId="10" fontId="65" fillId="8" borderId="11" xfId="0" applyNumberFormat="1" applyFont="1" applyFill="1" applyBorder="1"/>
    <xf numFmtId="10" fontId="50" fillId="8" borderId="0" xfId="0" applyNumberFormat="1" applyFont="1" applyFill="1"/>
    <xf numFmtId="10" fontId="54" fillId="8" borderId="0" xfId="0" applyNumberFormat="1" applyFont="1" applyFill="1"/>
    <xf numFmtId="0" fontId="65" fillId="8" borderId="11" xfId="0" applyFont="1" applyFill="1" applyBorder="1"/>
    <xf numFmtId="3" fontId="65" fillId="8" borderId="0" xfId="0" applyNumberFormat="1" applyFont="1" applyFill="1"/>
    <xf numFmtId="3" fontId="65" fillId="8" borderId="11" xfId="0" applyNumberFormat="1" applyFont="1" applyFill="1" applyBorder="1"/>
    <xf numFmtId="1" fontId="54" fillId="8" borderId="0" xfId="0" applyNumberFormat="1" applyFont="1" applyFill="1"/>
    <xf numFmtId="1" fontId="54" fillId="8" borderId="11" xfId="0" applyNumberFormat="1" applyFont="1" applyFill="1" applyBorder="1"/>
    <xf numFmtId="9" fontId="54" fillId="8" borderId="0" xfId="0" applyNumberFormat="1" applyFont="1" applyFill="1"/>
    <xf numFmtId="0" fontId="64" fillId="8" borderId="10" xfId="0" applyFont="1" applyFill="1" applyBorder="1"/>
    <xf numFmtId="0" fontId="64" fillId="8" borderId="11" xfId="0" applyFont="1" applyFill="1" applyBorder="1"/>
    <xf numFmtId="1" fontId="64" fillId="8" borderId="10" xfId="0" applyNumberFormat="1" applyFont="1" applyFill="1" applyBorder="1"/>
    <xf numFmtId="1" fontId="64" fillId="8" borderId="0" xfId="0" applyNumberFormat="1" applyFont="1" applyFill="1"/>
    <xf numFmtId="1" fontId="64" fillId="8" borderId="11" xfId="0" applyNumberFormat="1" applyFont="1" applyFill="1" applyBorder="1"/>
    <xf numFmtId="0" fontId="66" fillId="8" borderId="10" xfId="0" applyFont="1" applyFill="1" applyBorder="1"/>
    <xf numFmtId="3" fontId="66" fillId="8" borderId="0" xfId="0" applyNumberFormat="1" applyFont="1" applyFill="1"/>
    <xf numFmtId="3" fontId="66" fillId="8" borderId="11" xfId="0" applyNumberFormat="1" applyFont="1" applyFill="1" applyBorder="1"/>
    <xf numFmtId="1" fontId="66" fillId="8" borderId="0" xfId="0" applyNumberFormat="1" applyFont="1" applyFill="1"/>
    <xf numFmtId="1" fontId="66" fillId="8" borderId="11" xfId="0" applyNumberFormat="1" applyFont="1" applyFill="1" applyBorder="1"/>
    <xf numFmtId="0" fontId="66" fillId="8" borderId="0" xfId="0" applyFont="1" applyFill="1"/>
    <xf numFmtId="0" fontId="66" fillId="8" borderId="11" xfId="0" applyFont="1" applyFill="1" applyBorder="1"/>
    <xf numFmtId="0" fontId="31" fillId="8" borderId="21" xfId="0" applyFont="1" applyFill="1" applyBorder="1"/>
    <xf numFmtId="0" fontId="51" fillId="8" borderId="15" xfId="0" applyFont="1" applyFill="1" applyBorder="1"/>
    <xf numFmtId="0" fontId="30" fillId="8" borderId="17" xfId="0" applyFont="1" applyFill="1" applyBorder="1"/>
    <xf numFmtId="0" fontId="29" fillId="8" borderId="19" xfId="0" applyFont="1" applyFill="1" applyBorder="1"/>
    <xf numFmtId="0" fontId="30" fillId="8" borderId="20" xfId="0" applyFont="1" applyFill="1" applyBorder="1"/>
    <xf numFmtId="9" fontId="30" fillId="8" borderId="21" xfId="0" applyNumberFormat="1" applyFont="1" applyFill="1" applyBorder="1"/>
    <xf numFmtId="0" fontId="51" fillId="8" borderId="10" xfId="0" applyFont="1" applyFill="1" applyBorder="1" applyAlignment="1">
      <alignment horizontal="left"/>
    </xf>
    <xf numFmtId="0" fontId="30" fillId="8" borderId="0" xfId="0" applyFont="1" applyFill="1"/>
    <xf numFmtId="10" fontId="51" fillId="8" borderId="11" xfId="0" applyNumberFormat="1" applyFont="1" applyFill="1" applyBorder="1"/>
    <xf numFmtId="170" fontId="51" fillId="8" borderId="11" xfId="0" applyNumberFormat="1" applyFont="1" applyFill="1" applyBorder="1"/>
    <xf numFmtId="0" fontId="62" fillId="8" borderId="10" xfId="0" applyFont="1" applyFill="1" applyBorder="1" applyAlignment="1">
      <alignment horizontal="left"/>
    </xf>
    <xf numFmtId="1" fontId="51" fillId="8" borderId="11" xfId="0" applyNumberFormat="1" applyFont="1" applyFill="1" applyBorder="1"/>
    <xf numFmtId="0" fontId="14" fillId="6" borderId="19" xfId="0" applyFont="1" applyFill="1" applyBorder="1"/>
    <xf numFmtId="10" fontId="14" fillId="6" borderId="21" xfId="0" applyNumberFormat="1" applyFont="1" applyFill="1" applyBorder="1" applyAlignment="1">
      <alignment horizontal="right"/>
    </xf>
    <xf numFmtId="10" fontId="13" fillId="6" borderId="11" xfId="0" applyNumberFormat="1" applyFont="1" applyFill="1" applyBorder="1"/>
    <xf numFmtId="9" fontId="13" fillId="6" borderId="11" xfId="0" applyNumberFormat="1" applyFont="1" applyFill="1" applyBorder="1"/>
    <xf numFmtId="0" fontId="13" fillId="6" borderId="21" xfId="0" applyFont="1" applyFill="1" applyBorder="1"/>
    <xf numFmtId="3" fontId="13" fillId="6" borderId="11" xfId="0" applyNumberFormat="1" applyFont="1" applyFill="1" applyBorder="1"/>
    <xf numFmtId="0" fontId="13" fillId="6" borderId="11" xfId="0" applyFont="1" applyFill="1" applyBorder="1"/>
    <xf numFmtId="0" fontId="13" fillId="6" borderId="17" xfId="0" applyFont="1" applyFill="1" applyBorder="1"/>
    <xf numFmtId="10" fontId="13" fillId="6" borderId="21" xfId="0" applyNumberFormat="1" applyFont="1" applyFill="1" applyBorder="1"/>
    <xf numFmtId="0" fontId="13" fillId="6" borderId="19" xfId="0" applyFont="1" applyFill="1" applyBorder="1"/>
    <xf numFmtId="0" fontId="13" fillId="6" borderId="10" xfId="0" applyFont="1" applyFill="1" applyBorder="1"/>
    <xf numFmtId="0" fontId="14" fillId="6" borderId="1" xfId="0" applyFont="1" applyFill="1" applyBorder="1"/>
    <xf numFmtId="10" fontId="12" fillId="6" borderId="2" xfId="0" applyNumberFormat="1" applyFont="1" applyFill="1" applyBorder="1" applyAlignment="1">
      <alignment horizontal="right"/>
    </xf>
    <xf numFmtId="0" fontId="14" fillId="6" borderId="5" xfId="0" applyFont="1" applyFill="1" applyBorder="1"/>
    <xf numFmtId="10" fontId="12" fillId="6" borderId="6" xfId="0" applyNumberFormat="1" applyFont="1" applyFill="1" applyBorder="1" applyAlignment="1">
      <alignment horizontal="right"/>
    </xf>
    <xf numFmtId="0" fontId="12" fillId="6" borderId="3" xfId="0" applyFont="1" applyFill="1" applyBorder="1"/>
    <xf numFmtId="10" fontId="11" fillId="6" borderId="4" xfId="0" applyNumberFormat="1" applyFont="1" applyFill="1" applyBorder="1"/>
    <xf numFmtId="0" fontId="12" fillId="7" borderId="3" xfId="0" applyFont="1" applyFill="1" applyBorder="1" applyAlignment="1">
      <alignment horizontal="left" vertical="top"/>
    </xf>
    <xf numFmtId="0" fontId="12" fillId="7" borderId="4" xfId="0" applyFont="1" applyFill="1" applyBorder="1"/>
    <xf numFmtId="0" fontId="18" fillId="6" borderId="16" xfId="0" applyFont="1" applyFill="1" applyBorder="1"/>
    <xf numFmtId="0" fontId="0" fillId="8" borderId="29" xfId="0" applyFill="1" applyBorder="1"/>
    <xf numFmtId="0" fontId="80" fillId="0" borderId="0" xfId="0" applyFont="1"/>
    <xf numFmtId="0" fontId="81" fillId="0" borderId="0" xfId="0" applyFont="1"/>
    <xf numFmtId="0" fontId="82" fillId="0" borderId="0" xfId="0" applyFont="1"/>
    <xf numFmtId="0" fontId="35" fillId="8" borderId="34" xfId="0" applyFont="1" applyFill="1" applyBorder="1"/>
    <xf numFmtId="10" fontId="35" fillId="8" borderId="34" xfId="0" applyNumberFormat="1" applyFont="1" applyFill="1" applyBorder="1"/>
    <xf numFmtId="0" fontId="83" fillId="8" borderId="34" xfId="0" applyFont="1" applyFill="1" applyBorder="1"/>
    <xf numFmtId="3" fontId="35" fillId="8" borderId="34" xfId="0" applyNumberFormat="1" applyFont="1" applyFill="1" applyBorder="1"/>
    <xf numFmtId="3" fontId="83" fillId="8" borderId="34" xfId="0" applyNumberFormat="1" applyFont="1" applyFill="1" applyBorder="1"/>
    <xf numFmtId="0" fontId="39" fillId="7" borderId="34" xfId="0" applyFont="1" applyFill="1" applyBorder="1"/>
    <xf numFmtId="3" fontId="39" fillId="7" borderId="34" xfId="0" applyNumberFormat="1" applyFont="1" applyFill="1" applyBorder="1"/>
    <xf numFmtId="3" fontId="35" fillId="7" borderId="34" xfId="0" applyNumberFormat="1" applyFont="1" applyFill="1" applyBorder="1"/>
    <xf numFmtId="3" fontId="83" fillId="7" borderId="34" xfId="0" applyNumberFormat="1" applyFont="1" applyFill="1" applyBorder="1"/>
    <xf numFmtId="0" fontId="36" fillId="8" borderId="34" xfId="0" applyFont="1" applyFill="1" applyBorder="1"/>
    <xf numFmtId="0" fontId="84" fillId="8" borderId="34" xfId="0" applyFont="1" applyFill="1" applyBorder="1"/>
    <xf numFmtId="4" fontId="35" fillId="7" borderId="34" xfId="0" applyNumberFormat="1" applyFont="1" applyFill="1" applyBorder="1"/>
    <xf numFmtId="0" fontId="83" fillId="7" borderId="34" xfId="0" applyFont="1" applyFill="1" applyBorder="1"/>
    <xf numFmtId="0" fontId="79" fillId="7" borderId="34" xfId="0" applyFont="1" applyFill="1" applyBorder="1"/>
    <xf numFmtId="0" fontId="39" fillId="8" borderId="34" xfId="0" applyFont="1" applyFill="1" applyBorder="1"/>
    <xf numFmtId="0" fontId="30" fillId="7" borderId="27" xfId="0" applyFont="1" applyFill="1" applyBorder="1"/>
    <xf numFmtId="0" fontId="30" fillId="8" borderId="30" xfId="0" applyFont="1" applyFill="1" applyBorder="1"/>
    <xf numFmtId="0" fontId="85" fillId="8" borderId="31" xfId="0" applyFont="1" applyFill="1" applyBorder="1"/>
    <xf numFmtId="3" fontId="85" fillId="8" borderId="31" xfId="0" applyNumberFormat="1" applyFont="1" applyFill="1" applyBorder="1"/>
    <xf numFmtId="0" fontId="30" fillId="7" borderId="35" xfId="0" applyFont="1" applyFill="1" applyBorder="1"/>
    <xf numFmtId="3" fontId="29" fillId="7" borderId="32" xfId="0" applyNumberFormat="1" applyFont="1" applyFill="1" applyBorder="1"/>
    <xf numFmtId="0" fontId="50" fillId="7" borderId="12" xfId="0" applyFont="1" applyFill="1" applyBorder="1"/>
    <xf numFmtId="0" fontId="50" fillId="7" borderId="14" xfId="0" applyFont="1" applyFill="1" applyBorder="1"/>
    <xf numFmtId="0" fontId="31" fillId="7" borderId="29" xfId="0" applyFont="1" applyFill="1" applyBorder="1"/>
    <xf numFmtId="0" fontId="64" fillId="7" borderId="12" xfId="0" applyFont="1" applyFill="1" applyBorder="1"/>
    <xf numFmtId="0" fontId="87" fillId="0" borderId="0" xfId="0" applyFont="1" applyAlignment="1">
      <alignment horizontal="center" wrapText="1"/>
    </xf>
    <xf numFmtId="0" fontId="66" fillId="8" borderId="30" xfId="0" applyFont="1" applyFill="1" applyBorder="1"/>
    <xf numFmtId="0" fontId="66" fillId="8" borderId="31" xfId="0" applyFont="1" applyFill="1" applyBorder="1"/>
    <xf numFmtId="1" fontId="66" fillId="8" borderId="30" xfId="0" applyNumberFormat="1" applyFont="1" applyFill="1" applyBorder="1"/>
    <xf numFmtId="1" fontId="66" fillId="8" borderId="31" xfId="0" applyNumberFormat="1" applyFont="1" applyFill="1" applyBorder="1"/>
    <xf numFmtId="9" fontId="66" fillId="0" borderId="0" xfId="0" applyNumberFormat="1" applyFont="1"/>
    <xf numFmtId="1" fontId="53" fillId="0" borderId="0" xfId="0" applyNumberFormat="1" applyFont="1"/>
    <xf numFmtId="3" fontId="66" fillId="8" borderId="30" xfId="0" applyNumberFormat="1" applyFont="1" applyFill="1" applyBorder="1"/>
    <xf numFmtId="3" fontId="66" fillId="8" borderId="31" xfId="0" applyNumberFormat="1" applyFont="1" applyFill="1" applyBorder="1"/>
    <xf numFmtId="3" fontId="66" fillId="7" borderId="13" xfId="0" applyNumberFormat="1" applyFont="1" applyFill="1" applyBorder="1"/>
    <xf numFmtId="3" fontId="66" fillId="7" borderId="69" xfId="0" applyNumberFormat="1" applyFont="1" applyFill="1" applyBorder="1"/>
    <xf numFmtId="3" fontId="66" fillId="7" borderId="14" xfId="0" applyNumberFormat="1" applyFont="1" applyFill="1" applyBorder="1"/>
    <xf numFmtId="0" fontId="0" fillId="8" borderId="21" xfId="0" applyFill="1" applyBorder="1"/>
    <xf numFmtId="0" fontId="32" fillId="8" borderId="27" xfId="0" applyFont="1" applyFill="1" applyBorder="1"/>
    <xf numFmtId="0" fontId="32" fillId="8" borderId="28" xfId="0" applyFont="1" applyFill="1" applyBorder="1"/>
    <xf numFmtId="3" fontId="32" fillId="8" borderId="29" xfId="0" applyNumberFormat="1" applyFont="1" applyFill="1" applyBorder="1"/>
    <xf numFmtId="0" fontId="32" fillId="8" borderId="30" xfId="0" applyFont="1" applyFill="1" applyBorder="1"/>
    <xf numFmtId="3" fontId="32" fillId="8" borderId="31" xfId="0" applyNumberFormat="1" applyFont="1" applyFill="1" applyBorder="1"/>
    <xf numFmtId="0" fontId="32" fillId="8" borderId="30" xfId="0" applyFont="1" applyFill="1" applyBorder="1" applyAlignment="1">
      <alignment wrapText="1"/>
    </xf>
    <xf numFmtId="10" fontId="21" fillId="8" borderId="0" xfId="0" applyNumberFormat="1" applyFont="1" applyFill="1"/>
    <xf numFmtId="10" fontId="31" fillId="8" borderId="31" xfId="0" applyNumberFormat="1" applyFont="1" applyFill="1" applyBorder="1"/>
    <xf numFmtId="0" fontId="21" fillId="8" borderId="0" xfId="0" applyFont="1" applyFill="1"/>
    <xf numFmtId="3" fontId="31" fillId="8" borderId="31" xfId="0" applyNumberFormat="1" applyFont="1" applyFill="1" applyBorder="1"/>
    <xf numFmtId="0" fontId="32" fillId="8" borderId="35" xfId="0" applyFont="1" applyFill="1" applyBorder="1" applyAlignment="1">
      <alignment wrapText="1"/>
    </xf>
    <xf numFmtId="10" fontId="21" fillId="8" borderId="26" xfId="0" applyNumberFormat="1" applyFont="1" applyFill="1" applyBorder="1"/>
    <xf numFmtId="10" fontId="31" fillId="8" borderId="32" xfId="0" applyNumberFormat="1" applyFont="1" applyFill="1" applyBorder="1"/>
    <xf numFmtId="0" fontId="86" fillId="8" borderId="0" xfId="0" applyFont="1" applyFill="1"/>
    <xf numFmtId="1" fontId="86" fillId="8" borderId="0" xfId="0" applyNumberFormat="1" applyFont="1" applyFill="1"/>
    <xf numFmtId="0" fontId="64" fillId="7" borderId="19" xfId="0" applyFont="1" applyFill="1" applyBorder="1"/>
    <xf numFmtId="0" fontId="64" fillId="7" borderId="20" xfId="0" applyFont="1" applyFill="1" applyBorder="1"/>
    <xf numFmtId="0" fontId="54" fillId="7" borderId="20" xfId="0" applyFont="1" applyFill="1" applyBorder="1" applyAlignment="1">
      <alignment horizontal="center"/>
    </xf>
    <xf numFmtId="0" fontId="64" fillId="7" borderId="21" xfId="0" applyFont="1" applyFill="1" applyBorder="1"/>
    <xf numFmtId="0" fontId="54" fillId="7" borderId="13" xfId="0" applyFont="1" applyFill="1" applyBorder="1" applyAlignment="1">
      <alignment wrapText="1"/>
    </xf>
    <xf numFmtId="0" fontId="54" fillId="7" borderId="14" xfId="0" applyFont="1" applyFill="1" applyBorder="1" applyAlignment="1">
      <alignment wrapText="1"/>
    </xf>
    <xf numFmtId="0" fontId="66" fillId="7" borderId="13" xfId="0" applyFont="1" applyFill="1" applyBorder="1"/>
    <xf numFmtId="0" fontId="17" fillId="6" borderId="19" xfId="0" applyFont="1" applyFill="1" applyBorder="1"/>
    <xf numFmtId="0" fontId="17" fillId="6" borderId="20" xfId="0" applyFont="1" applyFill="1" applyBorder="1"/>
    <xf numFmtId="0" fontId="17" fillId="6" borderId="21" xfId="0" applyFont="1" applyFill="1" applyBorder="1"/>
    <xf numFmtId="0" fontId="17" fillId="6" borderId="16" xfId="0" applyFont="1" applyFill="1" applyBorder="1"/>
    <xf numFmtId="0" fontId="17" fillId="6" borderId="17" xfId="0" applyFont="1" applyFill="1" applyBorder="1"/>
    <xf numFmtId="0" fontId="21" fillId="6" borderId="15" xfId="0" applyFont="1" applyFill="1" applyBorder="1"/>
    <xf numFmtId="3" fontId="21" fillId="6" borderId="16" xfId="0" applyNumberFormat="1" applyFont="1" applyFill="1" applyBorder="1"/>
    <xf numFmtId="3" fontId="21" fillId="6" borderId="17" xfId="0" applyNumberFormat="1" applyFont="1" applyFill="1" applyBorder="1"/>
    <xf numFmtId="0" fontId="88" fillId="6" borderId="12" xfId="0" applyFont="1" applyFill="1" applyBorder="1"/>
    <xf numFmtId="0" fontId="88" fillId="6" borderId="14" xfId="0" applyFont="1" applyFill="1" applyBorder="1"/>
    <xf numFmtId="3" fontId="88" fillId="6" borderId="10" xfId="0" applyNumberFormat="1" applyFont="1" applyFill="1" applyBorder="1"/>
    <xf numFmtId="3" fontId="88" fillId="6" borderId="11" xfId="0" applyNumberFormat="1" applyFont="1" applyFill="1" applyBorder="1"/>
    <xf numFmtId="3" fontId="88" fillId="6" borderId="15" xfId="0" applyNumberFormat="1" applyFont="1" applyFill="1" applyBorder="1"/>
    <xf numFmtId="3" fontId="88" fillId="6" borderId="17" xfId="0" applyNumberFormat="1" applyFont="1" applyFill="1" applyBorder="1"/>
    <xf numFmtId="0" fontId="65" fillId="8" borderId="30" xfId="0" applyFont="1" applyFill="1" applyBorder="1" applyAlignment="1">
      <alignment wrapText="1"/>
    </xf>
    <xf numFmtId="0" fontId="87" fillId="8" borderId="0" xfId="0" applyFont="1" applyFill="1"/>
    <xf numFmtId="2" fontId="65" fillId="8" borderId="30" xfId="0" applyNumberFormat="1" applyFont="1" applyFill="1" applyBorder="1"/>
    <xf numFmtId="2" fontId="65" fillId="8" borderId="31" xfId="0" applyNumberFormat="1" applyFont="1" applyFill="1" applyBorder="1"/>
    <xf numFmtId="0" fontId="65" fillId="10" borderId="30" xfId="0" applyFont="1" applyFill="1" applyBorder="1"/>
    <xf numFmtId="0" fontId="87" fillId="10" borderId="0" xfId="0" applyFont="1" applyFill="1"/>
    <xf numFmtId="0" fontId="65" fillId="10" borderId="0" xfId="0" applyFont="1" applyFill="1"/>
    <xf numFmtId="10" fontId="65" fillId="10" borderId="0" xfId="0" applyNumberFormat="1" applyFont="1" applyFill="1"/>
    <xf numFmtId="10" fontId="65" fillId="8" borderId="30" xfId="0" applyNumberFormat="1" applyFont="1" applyFill="1" applyBorder="1"/>
    <xf numFmtId="10" fontId="65" fillId="8" borderId="31" xfId="0" applyNumberFormat="1" applyFont="1" applyFill="1" applyBorder="1"/>
    <xf numFmtId="0" fontId="65" fillId="8" borderId="30" xfId="0" applyFont="1" applyFill="1" applyBorder="1"/>
    <xf numFmtId="10" fontId="87" fillId="8" borderId="0" xfId="0" applyNumberFormat="1" applyFont="1" applyFill="1"/>
    <xf numFmtId="0" fontId="65" fillId="8" borderId="31" xfId="0" applyFont="1" applyFill="1" applyBorder="1"/>
    <xf numFmtId="1" fontId="89" fillId="8" borderId="30" xfId="0" applyNumberFormat="1" applyFont="1" applyFill="1" applyBorder="1"/>
    <xf numFmtId="1" fontId="89" fillId="8" borderId="0" xfId="0" applyNumberFormat="1" applyFont="1" applyFill="1"/>
    <xf numFmtId="1" fontId="89" fillId="8" borderId="31" xfId="0" applyNumberFormat="1" applyFont="1" applyFill="1" applyBorder="1"/>
    <xf numFmtId="9" fontId="65" fillId="8" borderId="30" xfId="0" applyNumberFormat="1" applyFont="1" applyFill="1" applyBorder="1"/>
    <xf numFmtId="9" fontId="65" fillId="8" borderId="0" xfId="0" applyNumberFormat="1" applyFont="1" applyFill="1"/>
    <xf numFmtId="9" fontId="65" fillId="8" borderId="31" xfId="0" applyNumberFormat="1" applyFont="1" applyFill="1" applyBorder="1"/>
    <xf numFmtId="0" fontId="29" fillId="8" borderId="15" xfId="0" applyFont="1" applyFill="1" applyBorder="1"/>
    <xf numFmtId="0" fontId="29" fillId="8" borderId="17" xfId="0" applyFont="1" applyFill="1" applyBorder="1"/>
    <xf numFmtId="0" fontId="32" fillId="7" borderId="19" xfId="0" applyFont="1" applyFill="1" applyBorder="1" applyAlignment="1">
      <alignment horizontal="left"/>
    </xf>
    <xf numFmtId="1" fontId="32" fillId="7" borderId="21" xfId="0" applyNumberFormat="1" applyFont="1" applyFill="1" applyBorder="1" applyAlignment="1">
      <alignment horizontal="left"/>
    </xf>
    <xf numFmtId="0" fontId="32" fillId="7" borderId="15" xfId="0" applyFont="1" applyFill="1" applyBorder="1" applyAlignment="1">
      <alignment horizontal="left"/>
    </xf>
    <xf numFmtId="2" fontId="32" fillId="7" borderId="17" xfId="0" applyNumberFormat="1" applyFont="1" applyFill="1" applyBorder="1" applyAlignment="1">
      <alignment horizontal="left"/>
    </xf>
    <xf numFmtId="0" fontId="90" fillId="7" borderId="12" xfId="0" applyFont="1" applyFill="1" applyBorder="1"/>
    <xf numFmtId="0" fontId="21" fillId="7" borderId="69" xfId="0" applyFont="1" applyFill="1" applyBorder="1"/>
    <xf numFmtId="0" fontId="29" fillId="8" borderId="20" xfId="0" applyFont="1" applyFill="1" applyBorder="1"/>
    <xf numFmtId="0" fontId="91" fillId="7" borderId="34" xfId="0" applyFont="1" applyFill="1" applyBorder="1"/>
    <xf numFmtId="0" fontId="92" fillId="7" borderId="34" xfId="0" applyFont="1" applyFill="1" applyBorder="1"/>
    <xf numFmtId="0" fontId="12" fillId="8" borderId="34" xfId="0" applyFont="1" applyFill="1" applyBorder="1"/>
    <xf numFmtId="0" fontId="93" fillId="8" borderId="34" xfId="0" applyFont="1" applyFill="1" applyBorder="1"/>
    <xf numFmtId="3" fontId="93" fillId="8" borderId="34" xfId="0" applyNumberFormat="1" applyFont="1" applyFill="1" applyBorder="1"/>
    <xf numFmtId="3" fontId="12" fillId="7" borderId="34" xfId="0" applyNumberFormat="1" applyFont="1" applyFill="1" applyBorder="1"/>
    <xf numFmtId="3" fontId="14" fillId="7" borderId="34" xfId="0" applyNumberFormat="1" applyFont="1" applyFill="1" applyBorder="1"/>
    <xf numFmtId="3" fontId="93" fillId="7" borderId="34" xfId="0" applyNumberFormat="1" applyFont="1" applyFill="1" applyBorder="1"/>
    <xf numFmtId="0" fontId="94" fillId="8" borderId="34" xfId="0" applyFont="1" applyFill="1" applyBorder="1"/>
    <xf numFmtId="0" fontId="67" fillId="8" borderId="34" xfId="0" applyFont="1" applyFill="1" applyBorder="1"/>
    <xf numFmtId="3" fontId="14" fillId="8" borderId="36" xfId="0" applyNumberFormat="1" applyFont="1" applyFill="1" applyBorder="1"/>
    <xf numFmtId="3" fontId="14" fillId="7" borderId="36" xfId="0" applyNumberFormat="1" applyFont="1" applyFill="1" applyBorder="1"/>
    <xf numFmtId="0" fontId="14" fillId="8" borderId="36" xfId="0" applyFont="1" applyFill="1" applyBorder="1"/>
    <xf numFmtId="4" fontId="12" fillId="7" borderId="34" xfId="0" applyNumberFormat="1" applyFont="1" applyFill="1" applyBorder="1"/>
    <xf numFmtId="0" fontId="93" fillId="7" borderId="34" xfId="0" applyFont="1" applyFill="1" applyBorder="1"/>
    <xf numFmtId="0" fontId="14" fillId="7" borderId="36" xfId="0" applyFont="1" applyFill="1" applyBorder="1"/>
    <xf numFmtId="0" fontId="66" fillId="7" borderId="27" xfId="0" applyFont="1" applyFill="1" applyBorder="1"/>
    <xf numFmtId="0" fontId="65" fillId="7" borderId="28" xfId="0" applyFont="1" applyFill="1" applyBorder="1"/>
    <xf numFmtId="0" fontId="66" fillId="7" borderId="28" xfId="0" applyFont="1" applyFill="1" applyBorder="1"/>
    <xf numFmtId="0" fontId="66" fillId="7" borderId="29" xfId="0" applyFont="1" applyFill="1" applyBorder="1"/>
    <xf numFmtId="0" fontId="65" fillId="7" borderId="27" xfId="0" applyFont="1" applyFill="1" applyBorder="1"/>
    <xf numFmtId="0" fontId="66" fillId="7" borderId="35" xfId="0" applyFont="1" applyFill="1" applyBorder="1"/>
    <xf numFmtId="0" fontId="65" fillId="7" borderId="26" xfId="0" applyFont="1" applyFill="1" applyBorder="1" applyAlignment="1">
      <alignment wrapText="1"/>
    </xf>
    <xf numFmtId="0" fontId="65" fillId="7" borderId="32" xfId="0" applyFont="1" applyFill="1" applyBorder="1" applyAlignment="1">
      <alignment wrapText="1"/>
    </xf>
    <xf numFmtId="0" fontId="65" fillId="7" borderId="35" xfId="0" applyFont="1" applyFill="1" applyBorder="1" applyAlignment="1">
      <alignment wrapText="1"/>
    </xf>
    <xf numFmtId="3" fontId="65" fillId="8" borderId="31" xfId="0" applyNumberFormat="1" applyFont="1" applyFill="1" applyBorder="1" applyAlignment="1">
      <alignment wrapText="1"/>
    </xf>
    <xf numFmtId="10" fontId="65" fillId="10" borderId="31" xfId="0" applyNumberFormat="1" applyFont="1" applyFill="1" applyBorder="1"/>
    <xf numFmtId="10" fontId="65" fillId="10" borderId="30" xfId="0" applyNumberFormat="1" applyFont="1" applyFill="1" applyBorder="1"/>
    <xf numFmtId="3" fontId="65" fillId="8" borderId="31" xfId="0" applyNumberFormat="1" applyFont="1" applyFill="1" applyBorder="1"/>
    <xf numFmtId="0" fontId="66" fillId="8" borderId="27" xfId="0" applyFont="1" applyFill="1" applyBorder="1"/>
    <xf numFmtId="0" fontId="53" fillId="8" borderId="28" xfId="0" applyFont="1" applyFill="1" applyBorder="1"/>
    <xf numFmtId="10" fontId="53" fillId="8" borderId="29" xfId="0" applyNumberFormat="1" applyFont="1" applyFill="1" applyBorder="1"/>
    <xf numFmtId="10" fontId="53" fillId="8" borderId="31" xfId="0" applyNumberFormat="1" applyFont="1" applyFill="1" applyBorder="1"/>
    <xf numFmtId="0" fontId="53" fillId="8" borderId="31" xfId="0" applyFont="1" applyFill="1" applyBorder="1"/>
    <xf numFmtId="0" fontId="95" fillId="8" borderId="30" xfId="0" applyFont="1" applyFill="1" applyBorder="1"/>
    <xf numFmtId="3" fontId="53" fillId="8" borderId="31" xfId="0" applyNumberFormat="1" applyFont="1" applyFill="1" applyBorder="1"/>
    <xf numFmtId="1" fontId="53" fillId="8" borderId="31" xfId="0" applyNumberFormat="1" applyFont="1" applyFill="1" applyBorder="1"/>
    <xf numFmtId="0" fontId="96" fillId="7" borderId="12" xfId="0" applyFont="1" applyFill="1" applyBorder="1"/>
    <xf numFmtId="170" fontId="53" fillId="8" borderId="31" xfId="0" applyNumberFormat="1" applyFont="1" applyFill="1" applyBorder="1"/>
    <xf numFmtId="0" fontId="65" fillId="7" borderId="22" xfId="0" applyFont="1" applyFill="1" applyBorder="1"/>
    <xf numFmtId="3" fontId="65" fillId="7" borderId="23" xfId="0" applyNumberFormat="1" applyFont="1" applyFill="1" applyBorder="1"/>
    <xf numFmtId="3" fontId="65" fillId="7" borderId="24" xfId="0" applyNumberFormat="1" applyFont="1" applyFill="1" applyBorder="1"/>
    <xf numFmtId="3" fontId="65" fillId="7" borderId="22" xfId="0" applyNumberFormat="1" applyFont="1" applyFill="1" applyBorder="1"/>
    <xf numFmtId="1" fontId="65" fillId="7" borderId="20" xfId="0" applyNumberFormat="1" applyFont="1" applyFill="1" applyBorder="1"/>
    <xf numFmtId="1" fontId="65" fillId="7" borderId="21" xfId="0" applyNumberFormat="1" applyFont="1" applyFill="1" applyBorder="1"/>
    <xf numFmtId="0" fontId="65" fillId="8" borderId="15" xfId="0" applyFont="1" applyFill="1" applyBorder="1"/>
    <xf numFmtId="9" fontId="65" fillId="8" borderId="16" xfId="0" applyNumberFormat="1" applyFont="1" applyFill="1" applyBorder="1"/>
    <xf numFmtId="9" fontId="65" fillId="8" borderId="17" xfId="0" applyNumberFormat="1" applyFont="1" applyFill="1" applyBorder="1"/>
    <xf numFmtId="1" fontId="65" fillId="7" borderId="29" xfId="0" applyNumberFormat="1" applyFont="1" applyFill="1" applyBorder="1"/>
    <xf numFmtId="0" fontId="65" fillId="7" borderId="35" xfId="0" applyFont="1" applyFill="1" applyBorder="1"/>
    <xf numFmtId="2" fontId="65" fillId="7" borderId="32" xfId="0" applyNumberFormat="1" applyFont="1" applyFill="1" applyBorder="1"/>
    <xf numFmtId="170" fontId="30" fillId="8" borderId="31" xfId="0" applyNumberFormat="1" applyFont="1" applyFill="1" applyBorder="1"/>
    <xf numFmtId="170" fontId="50" fillId="7" borderId="14" xfId="0" applyNumberFormat="1" applyFont="1" applyFill="1" applyBorder="1"/>
    <xf numFmtId="170" fontId="31" fillId="7" borderId="14" xfId="0" applyNumberFormat="1" applyFont="1" applyFill="1" applyBorder="1"/>
    <xf numFmtId="14" fontId="97" fillId="6" borderId="10" xfId="0" applyNumberFormat="1" applyFont="1" applyFill="1" applyBorder="1" applyAlignment="1">
      <alignment readingOrder="1"/>
    </xf>
    <xf numFmtId="0" fontId="97" fillId="6" borderId="0" xfId="0" applyFont="1" applyFill="1" applyAlignment="1">
      <alignment readingOrder="1"/>
    </xf>
    <xf numFmtId="0" fontId="97" fillId="6" borderId="0" xfId="0" applyFont="1" applyFill="1"/>
    <xf numFmtId="0" fontId="97" fillId="6" borderId="11" xfId="0" applyFont="1" applyFill="1" applyBorder="1"/>
    <xf numFmtId="173" fontId="52" fillId="7" borderId="14" xfId="0" applyNumberFormat="1" applyFont="1" applyFill="1" applyBorder="1"/>
    <xf numFmtId="0" fontId="17" fillId="0" borderId="0" xfId="0" applyFont="1" applyAlignment="1">
      <alignment horizontal="left" vertical="top"/>
    </xf>
    <xf numFmtId="0" fontId="17" fillId="0" borderId="0" xfId="0" applyFont="1" applyAlignment="1">
      <alignment horizontal="right" vertical="top"/>
    </xf>
    <xf numFmtId="4" fontId="17" fillId="0" borderId="0" xfId="0" applyNumberFormat="1" applyFont="1" applyAlignment="1">
      <alignment horizontal="right"/>
    </xf>
    <xf numFmtId="0" fontId="17" fillId="7" borderId="12" xfId="0" applyFont="1" applyFill="1" applyBorder="1"/>
    <xf numFmtId="0" fontId="17" fillId="7" borderId="13" xfId="0" applyFont="1" applyFill="1" applyBorder="1"/>
    <xf numFmtId="0" fontId="17" fillId="7" borderId="14" xfId="0" applyFont="1" applyFill="1" applyBorder="1"/>
    <xf numFmtId="2" fontId="98" fillId="0" borderId="0" xfId="0" applyNumberFormat="1" applyFont="1"/>
    <xf numFmtId="9" fontId="32" fillId="7" borderId="10" xfId="0" applyNumberFormat="1" applyFont="1" applyFill="1" applyBorder="1" applyAlignment="1">
      <alignment horizontal="left" vertical="top"/>
    </xf>
    <xf numFmtId="172" fontId="32" fillId="7" borderId="10" xfId="0" applyNumberFormat="1" applyFont="1" applyFill="1" applyBorder="1" applyAlignment="1">
      <alignment horizontal="left" vertical="top"/>
    </xf>
    <xf numFmtId="10" fontId="32" fillId="7" borderId="10" xfId="0" applyNumberFormat="1" applyFont="1" applyFill="1" applyBorder="1" applyAlignment="1">
      <alignment horizontal="left" vertical="top"/>
    </xf>
    <xf numFmtId="9" fontId="32" fillId="7" borderId="15" xfId="0" applyNumberFormat="1" applyFont="1" applyFill="1" applyBorder="1" applyAlignment="1">
      <alignment horizontal="left" vertical="top"/>
    </xf>
    <xf numFmtId="0" fontId="32" fillId="0" borderId="12" xfId="0" applyFont="1" applyBorder="1"/>
    <xf numFmtId="0" fontId="29" fillId="0" borderId="14" xfId="0" applyFont="1" applyBorder="1"/>
    <xf numFmtId="171" fontId="29" fillId="7" borderId="19" xfId="0" applyNumberFormat="1" applyFont="1" applyFill="1" applyBorder="1" applyAlignment="1">
      <alignment horizontal="center"/>
    </xf>
    <xf numFmtId="9" fontId="32" fillId="7" borderId="20" xfId="0" applyNumberFormat="1" applyFont="1" applyFill="1" applyBorder="1" applyAlignment="1">
      <alignment horizontal="center"/>
    </xf>
    <xf numFmtId="10" fontId="32" fillId="7" borderId="20" xfId="0" applyNumberFormat="1" applyFont="1" applyFill="1" applyBorder="1" applyAlignment="1">
      <alignment horizontal="center"/>
    </xf>
    <xf numFmtId="10" fontId="32" fillId="7" borderId="21" xfId="0" applyNumberFormat="1" applyFont="1" applyFill="1" applyBorder="1" applyAlignment="1">
      <alignment horizontal="center"/>
    </xf>
    <xf numFmtId="1" fontId="29" fillId="8" borderId="19" xfId="0" applyNumberFormat="1" applyFont="1" applyFill="1" applyBorder="1" applyAlignment="1">
      <alignment horizontal="center"/>
    </xf>
    <xf numFmtId="1" fontId="29" fillId="8" borderId="20" xfId="0" applyNumberFormat="1" applyFont="1" applyFill="1" applyBorder="1" applyAlignment="1">
      <alignment horizontal="center"/>
    </xf>
    <xf numFmtId="1" fontId="29" fillId="8" borderId="21" xfId="0" applyNumberFormat="1" applyFont="1" applyFill="1" applyBorder="1" applyAlignment="1">
      <alignment horizontal="center"/>
    </xf>
    <xf numFmtId="1" fontId="29" fillId="8" borderId="10" xfId="0" applyNumberFormat="1" applyFont="1" applyFill="1" applyBorder="1" applyAlignment="1">
      <alignment horizontal="center"/>
    </xf>
    <xf numFmtId="1" fontId="29" fillId="8" borderId="0" xfId="0" applyNumberFormat="1" applyFont="1" applyFill="1" applyAlignment="1">
      <alignment horizontal="center"/>
    </xf>
    <xf numFmtId="1" fontId="29" fillId="8" borderId="11" xfId="0" applyNumberFormat="1" applyFont="1" applyFill="1" applyBorder="1" applyAlignment="1">
      <alignment horizontal="center"/>
    </xf>
    <xf numFmtId="1" fontId="29" fillId="8" borderId="18" xfId="0" applyNumberFormat="1" applyFont="1" applyFill="1" applyBorder="1" applyAlignment="1">
      <alignment horizontal="center"/>
    </xf>
    <xf numFmtId="1" fontId="29" fillId="8" borderId="15" xfId="0" applyNumberFormat="1" applyFont="1" applyFill="1" applyBorder="1" applyAlignment="1">
      <alignment horizontal="center"/>
    </xf>
    <xf numFmtId="1" fontId="29" fillId="8" borderId="16" xfId="0" applyNumberFormat="1" applyFont="1" applyFill="1" applyBorder="1" applyAlignment="1">
      <alignment horizontal="center"/>
    </xf>
    <xf numFmtId="1" fontId="29" fillId="8" borderId="17" xfId="0" applyNumberFormat="1" applyFont="1" applyFill="1" applyBorder="1" applyAlignment="1">
      <alignment horizontal="center"/>
    </xf>
    <xf numFmtId="171" fontId="29" fillId="7" borderId="19" xfId="0" applyNumberFormat="1" applyFont="1" applyFill="1" applyBorder="1" applyAlignment="1">
      <alignment horizontal="center" vertical="top"/>
    </xf>
    <xf numFmtId="9" fontId="32" fillId="11" borderId="20" xfId="0" applyNumberFormat="1" applyFont="1" applyFill="1" applyBorder="1" applyAlignment="1">
      <alignment horizontal="center" vertical="top"/>
    </xf>
    <xf numFmtId="172" fontId="32" fillId="11" borderId="20" xfId="0" applyNumberFormat="1" applyFont="1" applyFill="1" applyBorder="1" applyAlignment="1">
      <alignment horizontal="center" vertical="top"/>
    </xf>
    <xf numFmtId="172" fontId="32" fillId="11" borderId="21" xfId="0" applyNumberFormat="1" applyFont="1" applyFill="1" applyBorder="1" applyAlignment="1">
      <alignment horizontal="center" vertical="top"/>
    </xf>
    <xf numFmtId="1" fontId="29" fillId="8" borderId="19" xfId="0" applyNumberFormat="1" applyFont="1" applyFill="1" applyBorder="1" applyAlignment="1">
      <alignment horizontal="center" vertical="top"/>
    </xf>
    <xf numFmtId="1" fontId="29" fillId="8" borderId="20" xfId="0" applyNumberFormat="1" applyFont="1" applyFill="1" applyBorder="1" applyAlignment="1">
      <alignment horizontal="center" vertical="top"/>
    </xf>
    <xf numFmtId="1" fontId="29" fillId="8" borderId="21" xfId="0" applyNumberFormat="1" applyFont="1" applyFill="1" applyBorder="1" applyAlignment="1">
      <alignment horizontal="center" vertical="top"/>
    </xf>
    <xf numFmtId="1" fontId="29" fillId="8" borderId="10" xfId="0" applyNumberFormat="1" applyFont="1" applyFill="1" applyBorder="1" applyAlignment="1">
      <alignment horizontal="center" vertical="top"/>
    </xf>
    <xf numFmtId="1" fontId="29" fillId="8" borderId="0" xfId="0" applyNumberFormat="1" applyFont="1" applyFill="1" applyAlignment="1">
      <alignment horizontal="center" vertical="top"/>
    </xf>
    <xf numFmtId="1" fontId="29" fillId="8" borderId="11" xfId="0" applyNumberFormat="1" applyFont="1" applyFill="1" applyBorder="1" applyAlignment="1">
      <alignment horizontal="center" vertical="top"/>
    </xf>
    <xf numFmtId="1" fontId="32" fillId="8" borderId="18" xfId="0" applyNumberFormat="1" applyFont="1" applyFill="1" applyBorder="1" applyAlignment="1">
      <alignment horizontal="center" vertical="top"/>
    </xf>
    <xf numFmtId="1" fontId="29" fillId="8" borderId="15" xfId="0" applyNumberFormat="1" applyFont="1" applyFill="1" applyBorder="1" applyAlignment="1">
      <alignment horizontal="center" vertical="top"/>
    </xf>
    <xf numFmtId="1" fontId="29" fillId="8" borderId="16" xfId="0" applyNumberFormat="1" applyFont="1" applyFill="1" applyBorder="1" applyAlignment="1">
      <alignment horizontal="center" vertical="top"/>
    </xf>
    <xf numFmtId="1" fontId="29" fillId="8" borderId="17" xfId="0" applyNumberFormat="1" applyFont="1" applyFill="1" applyBorder="1" applyAlignment="1">
      <alignment horizontal="center" vertical="top"/>
    </xf>
    <xf numFmtId="9" fontId="32" fillId="11" borderId="20" xfId="0" applyNumberFormat="1" applyFont="1" applyFill="1" applyBorder="1" applyAlignment="1">
      <alignment horizontal="center"/>
    </xf>
    <xf numFmtId="10" fontId="32" fillId="11" borderId="20" xfId="0" applyNumberFormat="1" applyFont="1" applyFill="1" applyBorder="1" applyAlignment="1">
      <alignment horizontal="center"/>
    </xf>
    <xf numFmtId="10" fontId="32" fillId="11" borderId="21" xfId="0" applyNumberFormat="1" applyFont="1" applyFill="1" applyBorder="1" applyAlignment="1">
      <alignment horizontal="center"/>
    </xf>
    <xf numFmtId="0" fontId="31" fillId="0" borderId="0" xfId="0" applyFont="1"/>
    <xf numFmtId="2" fontId="31" fillId="0" borderId="0" xfId="0" applyNumberFormat="1" applyFont="1"/>
    <xf numFmtId="0" fontId="31" fillId="7" borderId="20" xfId="0" applyFont="1" applyFill="1" applyBorder="1"/>
    <xf numFmtId="0" fontId="31" fillId="7" borderId="21" xfId="0" applyFont="1" applyFill="1" applyBorder="1"/>
    <xf numFmtId="0" fontId="30" fillId="8" borderId="11" xfId="0" applyFont="1" applyFill="1" applyBorder="1"/>
    <xf numFmtId="0" fontId="31" fillId="8" borderId="10" xfId="0" applyFont="1" applyFill="1" applyBorder="1"/>
    <xf numFmtId="0" fontId="31" fillId="8" borderId="15" xfId="0" applyFont="1" applyFill="1" applyBorder="1"/>
    <xf numFmtId="0" fontId="31" fillId="8" borderId="0" xfId="0" applyFont="1" applyFill="1"/>
    <xf numFmtId="0" fontId="31" fillId="8" borderId="11" xfId="0" applyFont="1" applyFill="1" applyBorder="1"/>
    <xf numFmtId="0" fontId="30" fillId="7" borderId="12" xfId="0" applyFont="1" applyFill="1" applyBorder="1"/>
    <xf numFmtId="0" fontId="31" fillId="8" borderId="30" xfId="0" applyFont="1" applyFill="1" applyBorder="1"/>
    <xf numFmtId="0" fontId="31" fillId="8" borderId="35" xfId="0" applyFont="1" applyFill="1" applyBorder="1"/>
    <xf numFmtId="0" fontId="31" fillId="8" borderId="31" xfId="0" applyFont="1" applyFill="1" applyBorder="1"/>
    <xf numFmtId="0" fontId="31" fillId="7" borderId="13" xfId="0" applyFont="1" applyFill="1" applyBorder="1" applyAlignment="1">
      <alignment horizontal="center"/>
    </xf>
    <xf numFmtId="0" fontId="31" fillId="7" borderId="14" xfId="0" applyFont="1" applyFill="1" applyBorder="1" applyAlignment="1">
      <alignment horizontal="center"/>
    </xf>
    <xf numFmtId="0" fontId="31" fillId="7" borderId="16" xfId="0" applyFont="1" applyFill="1" applyBorder="1" applyAlignment="1">
      <alignment horizontal="center"/>
    </xf>
    <xf numFmtId="0" fontId="31" fillId="7" borderId="17" xfId="0" applyFont="1" applyFill="1" applyBorder="1" applyAlignment="1">
      <alignment horizontal="center"/>
    </xf>
    <xf numFmtId="2" fontId="31" fillId="8" borderId="0" xfId="0" applyNumberFormat="1" applyFont="1" applyFill="1" applyAlignment="1">
      <alignment horizontal="center"/>
    </xf>
    <xf numFmtId="2" fontId="31" fillId="8" borderId="11" xfId="0" applyNumberFormat="1" applyFont="1" applyFill="1" applyBorder="1" applyAlignment="1">
      <alignment horizontal="center"/>
    </xf>
    <xf numFmtId="2" fontId="31" fillId="8" borderId="16" xfId="0" applyNumberFormat="1" applyFont="1" applyFill="1" applyBorder="1" applyAlignment="1">
      <alignment horizontal="center"/>
    </xf>
    <xf numFmtId="2" fontId="31" fillId="8" borderId="17" xfId="0" applyNumberFormat="1" applyFont="1" applyFill="1" applyBorder="1" applyAlignment="1">
      <alignment horizontal="center"/>
    </xf>
    <xf numFmtId="0" fontId="30" fillId="0" borderId="0" xfId="0" applyFont="1" applyAlignment="1">
      <alignment horizontal="center"/>
    </xf>
    <xf numFmtId="164" fontId="31" fillId="8" borderId="0" xfId="0" applyNumberFormat="1" applyFont="1" applyFill="1" applyAlignment="1">
      <alignment horizontal="center"/>
    </xf>
    <xf numFmtId="164" fontId="31" fillId="8" borderId="11" xfId="0" applyNumberFormat="1" applyFont="1" applyFill="1" applyBorder="1" applyAlignment="1">
      <alignment horizontal="center"/>
    </xf>
    <xf numFmtId="164" fontId="31" fillId="8" borderId="16" xfId="0" applyNumberFormat="1" applyFont="1" applyFill="1" applyBorder="1" applyAlignment="1">
      <alignment horizontal="center"/>
    </xf>
    <xf numFmtId="164" fontId="31" fillId="8" borderId="17" xfId="0" applyNumberFormat="1" applyFont="1" applyFill="1" applyBorder="1" applyAlignment="1">
      <alignment horizontal="center"/>
    </xf>
    <xf numFmtId="2" fontId="31" fillId="8" borderId="31" xfId="0" applyNumberFormat="1" applyFont="1" applyFill="1" applyBorder="1" applyAlignment="1">
      <alignment horizontal="center"/>
    </xf>
    <xf numFmtId="0" fontId="30" fillId="8" borderId="31" xfId="0" applyFont="1" applyFill="1" applyBorder="1" applyAlignment="1">
      <alignment horizontal="center"/>
    </xf>
    <xf numFmtId="0" fontId="30" fillId="8" borderId="0" xfId="0" applyFont="1" applyFill="1" applyAlignment="1">
      <alignment horizontal="center"/>
    </xf>
    <xf numFmtId="164" fontId="31" fillId="8" borderId="31" xfId="0" applyNumberFormat="1" applyFont="1" applyFill="1" applyBorder="1" applyAlignment="1">
      <alignment horizontal="center"/>
    </xf>
    <xf numFmtId="170" fontId="31" fillId="8" borderId="26" xfId="0" applyNumberFormat="1" applyFont="1" applyFill="1" applyBorder="1" applyAlignment="1">
      <alignment horizontal="center"/>
    </xf>
    <xf numFmtId="170" fontId="31" fillId="8" borderId="32" xfId="0" applyNumberFormat="1" applyFont="1" applyFill="1" applyBorder="1" applyAlignment="1">
      <alignment horizontal="center"/>
    </xf>
    <xf numFmtId="0" fontId="31" fillId="8" borderId="31" xfId="0" applyFont="1" applyFill="1" applyBorder="1" applyAlignment="1">
      <alignment horizontal="center"/>
    </xf>
    <xf numFmtId="2" fontId="31" fillId="8" borderId="26" xfId="0" applyNumberFormat="1" applyFont="1" applyFill="1" applyBorder="1" applyAlignment="1">
      <alignment horizontal="center"/>
    </xf>
    <xf numFmtId="2" fontId="31" fillId="8" borderId="32" xfId="0" applyNumberFormat="1" applyFont="1" applyFill="1" applyBorder="1" applyAlignment="1">
      <alignment horizontal="center"/>
    </xf>
    <xf numFmtId="174" fontId="29" fillId="8" borderId="19" xfId="0" applyNumberFormat="1" applyFont="1" applyFill="1" applyBorder="1" applyAlignment="1">
      <alignment horizontal="center"/>
    </xf>
    <xf numFmtId="174" fontId="29" fillId="8" borderId="20" xfId="0" applyNumberFormat="1" applyFont="1" applyFill="1" applyBorder="1" applyAlignment="1">
      <alignment horizontal="center"/>
    </xf>
    <xf numFmtId="174" fontId="29" fillId="8" borderId="21" xfId="0" applyNumberFormat="1" applyFont="1" applyFill="1" applyBorder="1" applyAlignment="1">
      <alignment horizontal="center"/>
    </xf>
    <xf numFmtId="174" fontId="29" fillId="8" borderId="10" xfId="0" applyNumberFormat="1" applyFont="1" applyFill="1" applyBorder="1" applyAlignment="1">
      <alignment horizontal="center"/>
    </xf>
    <xf numFmtId="174" fontId="29" fillId="8" borderId="0" xfId="0" applyNumberFormat="1" applyFont="1" applyFill="1" applyAlignment="1">
      <alignment horizontal="center"/>
    </xf>
    <xf numFmtId="174" fontId="29" fillId="8" borderId="11" xfId="0" applyNumberFormat="1" applyFont="1" applyFill="1" applyBorder="1" applyAlignment="1">
      <alignment horizontal="center"/>
    </xf>
    <xf numFmtId="174" fontId="29" fillId="8" borderId="18" xfId="0" applyNumberFormat="1" applyFont="1" applyFill="1" applyBorder="1" applyAlignment="1">
      <alignment horizontal="center"/>
    </xf>
    <xf numFmtId="174" fontId="29" fillId="8" borderId="15" xfId="0" applyNumberFormat="1" applyFont="1" applyFill="1" applyBorder="1" applyAlignment="1">
      <alignment horizontal="center"/>
    </xf>
    <xf numFmtId="174" fontId="29" fillId="8" borderId="16" xfId="0" applyNumberFormat="1" applyFont="1" applyFill="1" applyBorder="1" applyAlignment="1">
      <alignment horizontal="center"/>
    </xf>
    <xf numFmtId="174" fontId="29" fillId="8" borderId="17" xfId="0" applyNumberFormat="1" applyFont="1" applyFill="1" applyBorder="1" applyAlignment="1">
      <alignment horizontal="center"/>
    </xf>
    <xf numFmtId="0" fontId="0" fillId="8" borderId="0" xfId="0" applyFill="1"/>
    <xf numFmtId="0" fontId="14" fillId="8" borderId="0" xfId="0" applyFont="1" applyFill="1" applyAlignment="1">
      <alignment horizontal="left" vertical="center" indent="2" readingOrder="1"/>
    </xf>
    <xf numFmtId="0" fontId="102" fillId="8" borderId="0" xfId="0" applyFont="1" applyFill="1" applyAlignment="1">
      <alignment horizontal="left" vertical="center" indent="2" readingOrder="1"/>
    </xf>
    <xf numFmtId="0" fontId="101" fillId="8" borderId="0" xfId="0" applyFont="1" applyFill="1" applyAlignment="1">
      <alignment horizontal="left" vertical="center" readingOrder="1"/>
    </xf>
    <xf numFmtId="0" fontId="14" fillId="8" borderId="0" xfId="0" applyFont="1" applyFill="1" applyAlignment="1">
      <alignment horizontal="left" vertical="center" indent="1" readingOrder="1"/>
    </xf>
    <xf numFmtId="0" fontId="18" fillId="8" borderId="34" xfId="0" applyFont="1" applyFill="1" applyBorder="1"/>
    <xf numFmtId="0" fontId="17" fillId="8" borderId="34" xfId="0" applyFont="1" applyFill="1" applyBorder="1"/>
    <xf numFmtId="0" fontId="19" fillId="8" borderId="34" xfId="0" applyFont="1" applyFill="1" applyBorder="1"/>
    <xf numFmtId="0" fontId="0" fillId="8" borderId="34" xfId="0" applyFill="1" applyBorder="1"/>
    <xf numFmtId="0" fontId="9" fillId="2" borderId="10" xfId="0" applyFont="1" applyFill="1" applyBorder="1" applyAlignment="1">
      <alignment horizontal="left"/>
    </xf>
    <xf numFmtId="0" fontId="0" fillId="0" borderId="0" xfId="0"/>
    <xf numFmtId="0" fontId="9" fillId="4" borderId="0" xfId="0" applyFont="1" applyFill="1" applyAlignment="1">
      <alignment horizontal="right"/>
    </xf>
    <xf numFmtId="0" fontId="5" fillId="0" borderId="0" xfId="0" applyFont="1"/>
    <xf numFmtId="3" fontId="9" fillId="2" borderId="0" xfId="0" applyNumberFormat="1" applyFont="1" applyFill="1" applyAlignment="1">
      <alignment horizontal="right"/>
    </xf>
    <xf numFmtId="3" fontId="9" fillId="4" borderId="0" xfId="0" applyNumberFormat="1" applyFont="1" applyFill="1" applyAlignment="1">
      <alignment horizontal="right"/>
    </xf>
    <xf numFmtId="3" fontId="10" fillId="4" borderId="0" xfId="0" applyNumberFormat="1" applyFont="1" applyFill="1" applyAlignment="1">
      <alignment horizontal="right"/>
    </xf>
    <xf numFmtId="0" fontId="10" fillId="2" borderId="10" xfId="0" applyFont="1" applyFill="1" applyBorder="1" applyAlignment="1">
      <alignment horizontal="left"/>
    </xf>
    <xf numFmtId="0" fontId="8" fillId="0" borderId="15" xfId="0" applyFont="1" applyBorder="1"/>
    <xf numFmtId="0" fontId="0" fillId="0" borderId="16" xfId="0" applyBorder="1"/>
    <xf numFmtId="0" fontId="8" fillId="0" borderId="10" xfId="0" applyFont="1" applyBorder="1"/>
    <xf numFmtId="0" fontId="10" fillId="4" borderId="0" xfId="0" applyFont="1" applyFill="1" applyAlignment="1">
      <alignment horizontal="right"/>
    </xf>
    <xf numFmtId="0" fontId="9" fillId="2" borderId="0" xfId="0" applyFont="1" applyFill="1" applyAlignment="1">
      <alignment horizontal="right"/>
    </xf>
    <xf numFmtId="3" fontId="10" fillId="2" borderId="0" xfId="0" applyNumberFormat="1" applyFont="1" applyFill="1" applyAlignment="1">
      <alignment horizontal="right"/>
    </xf>
    <xf numFmtId="0" fontId="10" fillId="2" borderId="0" xfId="0" applyFont="1" applyFill="1" applyAlignment="1">
      <alignment horizontal="right"/>
    </xf>
    <xf numFmtId="0" fontId="8" fillId="0" borderId="16" xfId="0" applyFont="1" applyBorder="1"/>
    <xf numFmtId="0" fontId="5" fillId="0" borderId="17" xfId="0" applyFont="1" applyBorder="1"/>
    <xf numFmtId="0" fontId="8" fillId="0" borderId="0" xfId="0" applyFont="1"/>
    <xf numFmtId="0" fontId="5" fillId="0" borderId="11" xfId="0" applyFont="1" applyBorder="1"/>
    <xf numFmtId="0" fontId="3" fillId="0" borderId="0" xfId="0" applyFont="1" applyAlignment="1">
      <alignment horizontal="left"/>
    </xf>
    <xf numFmtId="0" fontId="4" fillId="3" borderId="19" xfId="0" applyFont="1" applyFill="1" applyBorder="1" applyAlignment="1">
      <alignment horizontal="left"/>
    </xf>
    <xf numFmtId="0" fontId="5" fillId="0" borderId="20" xfId="0" applyFont="1" applyBorder="1"/>
    <xf numFmtId="0" fontId="5" fillId="0" borderId="10" xfId="0" applyFont="1" applyBorder="1"/>
    <xf numFmtId="0" fontId="6" fillId="3" borderId="20" xfId="0" applyFont="1" applyFill="1" applyBorder="1" applyAlignment="1">
      <alignment horizontal="center"/>
    </xf>
    <xf numFmtId="0" fontId="5" fillId="0" borderId="21" xfId="0" applyFont="1" applyBorder="1"/>
    <xf numFmtId="0" fontId="7" fillId="2" borderId="10" xfId="0" applyFont="1" applyFill="1" applyBorder="1" applyAlignment="1">
      <alignment horizontal="left" vertical="top"/>
    </xf>
    <xf numFmtId="0" fontId="7" fillId="2" borderId="10" xfId="0" applyFont="1" applyFill="1" applyBorder="1" applyAlignment="1">
      <alignment horizontal="left"/>
    </xf>
    <xf numFmtId="0" fontId="5" fillId="0" borderId="56" xfId="0" applyFont="1" applyBorder="1"/>
    <xf numFmtId="0" fontId="7" fillId="0" borderId="10" xfId="0" applyFont="1" applyBorder="1" applyAlignment="1">
      <alignment horizontal="left"/>
    </xf>
    <xf numFmtId="0" fontId="9" fillId="0" borderId="10" xfId="0" applyFont="1" applyBorder="1" applyAlignment="1">
      <alignment horizontal="left" vertical="top"/>
    </xf>
    <xf numFmtId="3" fontId="9" fillId="9" borderId="0" xfId="0" applyNumberFormat="1" applyFont="1" applyFill="1" applyAlignment="1">
      <alignment horizontal="right"/>
    </xf>
    <xf numFmtId="0" fontId="5" fillId="9" borderId="0" xfId="0" applyFont="1" applyFill="1"/>
    <xf numFmtId="0" fontId="9" fillId="9" borderId="0" xfId="0" applyFont="1" applyFill="1" applyAlignment="1">
      <alignment horizontal="right"/>
    </xf>
    <xf numFmtId="3" fontId="10" fillId="9" borderId="0" xfId="0" applyNumberFormat="1" applyFont="1" applyFill="1" applyAlignment="1">
      <alignment horizontal="right"/>
    </xf>
    <xf numFmtId="0" fontId="9" fillId="0" borderId="10" xfId="0" applyFont="1" applyBorder="1" applyAlignment="1">
      <alignment horizontal="left"/>
    </xf>
    <xf numFmtId="0" fontId="10" fillId="0" borderId="10" xfId="0" applyFont="1" applyBorder="1" applyAlignment="1">
      <alignment horizontal="left"/>
    </xf>
    <xf numFmtId="0" fontId="0" fillId="9" borderId="0" xfId="0" applyFill="1"/>
    <xf numFmtId="3" fontId="10" fillId="9" borderId="16" xfId="0" applyNumberFormat="1" applyFont="1" applyFill="1" applyBorder="1" applyAlignment="1">
      <alignment horizontal="right"/>
    </xf>
    <xf numFmtId="0" fontId="5" fillId="9" borderId="16" xfId="0" applyFont="1" applyFill="1" applyBorder="1"/>
    <xf numFmtId="0" fontId="10" fillId="2" borderId="15" xfId="0" applyFont="1" applyFill="1" applyBorder="1" applyAlignment="1">
      <alignment horizontal="left"/>
    </xf>
    <xf numFmtId="0" fontId="5" fillId="0" borderId="16" xfId="0" applyFont="1" applyBorder="1"/>
    <xf numFmtId="3" fontId="9" fillId="5" borderId="0" xfId="0" applyNumberFormat="1" applyFont="1" applyFill="1" applyAlignment="1">
      <alignment horizontal="right"/>
    </xf>
    <xf numFmtId="0" fontId="9" fillId="5" borderId="0" xfId="0" applyFont="1" applyFill="1" applyAlignment="1">
      <alignment horizontal="right"/>
    </xf>
    <xf numFmtId="3" fontId="10" fillId="2" borderId="64" xfId="0" applyNumberFormat="1" applyFont="1" applyFill="1" applyBorder="1" applyAlignment="1">
      <alignment horizontal="right"/>
    </xf>
    <xf numFmtId="0" fontId="5" fillId="0" borderId="65" xfId="0" applyFont="1" applyBorder="1"/>
    <xf numFmtId="0" fontId="10" fillId="2" borderId="63" xfId="0" applyFont="1" applyFill="1" applyBorder="1" applyAlignment="1">
      <alignment horizontal="left"/>
    </xf>
    <xf numFmtId="0" fontId="5" fillId="0" borderId="64" xfId="0" applyFont="1" applyBorder="1"/>
    <xf numFmtId="3" fontId="10" fillId="5" borderId="64" xfId="0" applyNumberFormat="1" applyFont="1" applyFill="1" applyBorder="1" applyAlignment="1">
      <alignment horizontal="right"/>
    </xf>
    <xf numFmtId="0" fontId="20" fillId="0" borderId="19" xfId="0" applyFont="1" applyBorder="1"/>
    <xf numFmtId="0" fontId="21" fillId="0" borderId="20" xfId="0" applyFont="1" applyBorder="1"/>
    <xf numFmtId="0" fontId="21" fillId="0" borderId="21" xfId="0" applyFont="1" applyBorder="1"/>
    <xf numFmtId="0" fontId="20" fillId="0" borderId="10" xfId="0" applyFont="1" applyBorder="1"/>
    <xf numFmtId="0" fontId="21" fillId="0" borderId="0" xfId="0" applyFont="1"/>
    <xf numFmtId="0" fontId="20" fillId="0" borderId="15" xfId="0" applyFont="1" applyBorder="1"/>
    <xf numFmtId="0" fontId="21" fillId="0" borderId="16" xfId="0" applyFont="1" applyBorder="1"/>
    <xf numFmtId="0" fontId="37" fillId="0" borderId="0" xfId="0" applyFont="1" applyAlignment="1">
      <alignment wrapText="1" readingOrder="1"/>
    </xf>
    <xf numFmtId="0" fontId="37" fillId="0" borderId="0" xfId="0" applyFont="1" applyAlignment="1">
      <alignment readingOrder="1"/>
    </xf>
    <xf numFmtId="0" fontId="12" fillId="6" borderId="20" xfId="0" applyFont="1" applyFill="1" applyBorder="1" applyAlignment="1">
      <alignment wrapText="1" readingOrder="1"/>
    </xf>
    <xf numFmtId="0" fontId="12" fillId="6" borderId="16" xfId="0" applyFont="1" applyFill="1" applyBorder="1" applyAlignment="1">
      <alignment wrapText="1" readingOrder="1"/>
    </xf>
    <xf numFmtId="0" fontId="12" fillId="6" borderId="19" xfId="0" applyFont="1" applyFill="1" applyBorder="1" applyAlignment="1">
      <alignment readingOrder="1"/>
    </xf>
    <xf numFmtId="0" fontId="12" fillId="6" borderId="15" xfId="0" applyFont="1" applyFill="1" applyBorder="1" applyAlignment="1">
      <alignment readingOrder="1"/>
    </xf>
    <xf numFmtId="0" fontId="12" fillId="6" borderId="20" xfId="0" applyFont="1" applyFill="1" applyBorder="1" applyAlignment="1">
      <alignment readingOrder="1"/>
    </xf>
    <xf numFmtId="0" fontId="12" fillId="6" borderId="16" xfId="0" applyFont="1" applyFill="1" applyBorder="1" applyAlignment="1">
      <alignmen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PEER ANALYSIS</a:t>
            </a:r>
          </a:p>
        </c:rich>
      </c:tx>
      <c:layout>
        <c:manualLayout>
          <c:xMode val="edge"/>
          <c:yMode val="edge"/>
          <c:x val="0.42461884991648763"/>
          <c:y val="2.948527677017900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'KEY FINANCIAL RATIOS'!$B$4</c:f>
              <c:strCache>
                <c:ptCount val="1"/>
                <c:pt idx="0">
                  <c:v>Revenue (TTM)</c:v>
                </c:pt>
              </c:strCache>
            </c:strRef>
          </c:tx>
          <c:spPr>
            <a:solidFill>
              <a:srgbClr val="D9E7FD"/>
            </a:solidFill>
            <a:ln>
              <a:noFill/>
            </a:ln>
            <a:effectLst/>
          </c:spPr>
          <c:invertIfNegative val="0"/>
          <c:cat>
            <c:strRef>
              <c:f>'KEY FINANCIAL RATIOS'!$A$5:$A$8</c:f>
              <c:strCache>
                <c:ptCount val="4"/>
                <c:pt idx="0">
                  <c:v>Conoco Phillips</c:v>
                </c:pt>
                <c:pt idx="1">
                  <c:v>Chevron Corporation</c:v>
                </c:pt>
                <c:pt idx="2">
                  <c:v>Valero Energy Corporation</c:v>
                </c:pt>
                <c:pt idx="3">
                  <c:v>Exxon Mobil Corp</c:v>
                </c:pt>
              </c:strCache>
            </c:strRef>
          </c:cat>
          <c:val>
            <c:numRef>
              <c:f>'KEY FINANCIAL RATIOS'!$B$5:$B$8</c:f>
              <c:numCache>
                <c:formatCode>General</c:formatCode>
                <c:ptCount val="4"/>
                <c:pt idx="0">
                  <c:v>66.73</c:v>
                </c:pt>
                <c:pt idx="1">
                  <c:v>214.09</c:v>
                </c:pt>
                <c:pt idx="2">
                  <c:v>157.15</c:v>
                </c:pt>
                <c:pt idx="3">
                  <c:v>364.12</c:v>
                </c:pt>
              </c:numCache>
            </c:numRef>
          </c:val>
          <c:extLst>
            <c:ext xmlns:c16="http://schemas.microsoft.com/office/drawing/2014/chart" uri="{C3380CC4-5D6E-409C-BE32-E72D297353CC}">
              <c16:uniqueId val="{00000001-2014-4C4A-BE9E-695E3B3DA512}"/>
            </c:ext>
          </c:extLst>
        </c:ser>
        <c:ser>
          <c:idx val="1"/>
          <c:order val="1"/>
          <c:tx>
            <c:strRef>
              <c:f>'KEY FINANCIAL RATIOS'!$C$4</c:f>
              <c:strCache>
                <c:ptCount val="1"/>
                <c:pt idx="0">
                  <c:v>Net Income (TTM)</c:v>
                </c:pt>
              </c:strCache>
            </c:strRef>
          </c:tx>
          <c:spPr>
            <a:solidFill>
              <a:srgbClr val="8CB5F9"/>
            </a:solidFill>
            <a:ln>
              <a:noFill/>
            </a:ln>
            <a:effectLst/>
          </c:spPr>
          <c:invertIfNegative val="0"/>
          <c:cat>
            <c:strRef>
              <c:f>'KEY FINANCIAL RATIOS'!$A$5:$A$8</c:f>
              <c:strCache>
                <c:ptCount val="4"/>
                <c:pt idx="0">
                  <c:v>Conoco Phillips</c:v>
                </c:pt>
                <c:pt idx="1">
                  <c:v>Chevron Corporation</c:v>
                </c:pt>
                <c:pt idx="2">
                  <c:v>Valero Energy Corporation</c:v>
                </c:pt>
                <c:pt idx="3">
                  <c:v>Exxon Mobil Corp</c:v>
                </c:pt>
              </c:strCache>
            </c:strRef>
          </c:cat>
          <c:val>
            <c:numRef>
              <c:f>'KEY FINANCIAL RATIOS'!$C$5:$C$8</c:f>
              <c:numCache>
                <c:formatCode>General</c:formatCode>
                <c:ptCount val="4"/>
                <c:pt idx="0">
                  <c:v>12.91</c:v>
                </c:pt>
                <c:pt idx="1">
                  <c:v>30.17</c:v>
                </c:pt>
                <c:pt idx="2">
                  <c:v>10.9</c:v>
                </c:pt>
                <c:pt idx="3">
                  <c:v>51.69</c:v>
                </c:pt>
              </c:numCache>
            </c:numRef>
          </c:val>
          <c:extLst>
            <c:ext xmlns:c16="http://schemas.microsoft.com/office/drawing/2014/chart" uri="{C3380CC4-5D6E-409C-BE32-E72D297353CC}">
              <c16:uniqueId val="{00000003-2014-4C4A-BE9E-695E3B3DA512}"/>
            </c:ext>
          </c:extLst>
        </c:ser>
        <c:ser>
          <c:idx val="2"/>
          <c:order val="2"/>
          <c:tx>
            <c:strRef>
              <c:f>'KEY FINANCIAL RATIOS'!$D$4</c:f>
              <c:strCache>
                <c:ptCount val="1"/>
                <c:pt idx="0">
                  <c:v>Market Cap</c:v>
                </c:pt>
              </c:strCache>
            </c:strRef>
          </c:tx>
          <c:spPr>
            <a:solidFill>
              <a:srgbClr val="093D93"/>
            </a:solidFill>
            <a:ln>
              <a:noFill/>
            </a:ln>
            <a:effectLst/>
          </c:spPr>
          <c:invertIfNegative val="0"/>
          <c:cat>
            <c:strRef>
              <c:f>'KEY FINANCIAL RATIOS'!$A$5:$A$8</c:f>
              <c:strCache>
                <c:ptCount val="4"/>
                <c:pt idx="0">
                  <c:v>Conoco Phillips</c:v>
                </c:pt>
                <c:pt idx="1">
                  <c:v>Chevron Corporation</c:v>
                </c:pt>
                <c:pt idx="2">
                  <c:v>Valero Energy Corporation</c:v>
                </c:pt>
                <c:pt idx="3">
                  <c:v>Exxon Mobil Corp</c:v>
                </c:pt>
              </c:strCache>
            </c:strRef>
          </c:cat>
          <c:val>
            <c:numRef>
              <c:f>'KEY FINANCIAL RATIOS'!$D$5:$D$8</c:f>
              <c:numCache>
                <c:formatCode>General</c:formatCode>
                <c:ptCount val="4"/>
                <c:pt idx="0">
                  <c:v>138.11000000000001</c:v>
                </c:pt>
                <c:pt idx="1">
                  <c:v>309.47000000000003</c:v>
                </c:pt>
                <c:pt idx="2">
                  <c:v>44.68</c:v>
                </c:pt>
                <c:pt idx="3">
                  <c:v>429.02</c:v>
                </c:pt>
              </c:numCache>
            </c:numRef>
          </c:val>
          <c:extLst>
            <c:ext xmlns:c16="http://schemas.microsoft.com/office/drawing/2014/chart" uri="{C3380CC4-5D6E-409C-BE32-E72D297353CC}">
              <c16:uniqueId val="{00000005-2014-4C4A-BE9E-695E3B3DA512}"/>
            </c:ext>
          </c:extLst>
        </c:ser>
        <c:dLbls>
          <c:showLegendKey val="0"/>
          <c:showVal val="0"/>
          <c:showCatName val="0"/>
          <c:showSerName val="0"/>
          <c:showPercent val="0"/>
          <c:showBubbleSize val="0"/>
        </c:dLbls>
        <c:gapWidth val="182"/>
        <c:axId val="953404423"/>
        <c:axId val="1167023624"/>
      </c:barChart>
      <c:catAx>
        <c:axId val="953404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67023624"/>
        <c:crosses val="autoZero"/>
        <c:auto val="1"/>
        <c:lblAlgn val="ctr"/>
        <c:lblOffset val="100"/>
        <c:noMultiLvlLbl val="0"/>
      </c:catAx>
      <c:valAx>
        <c:axId val="1167023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404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EARNINGS ( IN MILLIONS)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71-834E-85DF-99E7D463AC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71-834E-85DF-99E7D463AC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71-834E-85DF-99E7D463AC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571-834E-85DF-99E7D463AC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571-834E-85DF-99E7D463AC1B}"/>
              </c:ext>
            </c:extLst>
          </c:dPt>
          <c:cat>
            <c:strRef>
              <c:f>'KEY FINANCIAL RATIOS'!$A$39:$A$43</c:f>
              <c:strCache>
                <c:ptCount val="5"/>
                <c:pt idx="0">
                  <c:v>Upstream</c:v>
                </c:pt>
                <c:pt idx="1">
                  <c:v>Downstream</c:v>
                </c:pt>
                <c:pt idx="2">
                  <c:v>Chemical</c:v>
                </c:pt>
                <c:pt idx="3">
                  <c:v>Speciality Products</c:v>
                </c:pt>
                <c:pt idx="4">
                  <c:v>Corporate and Financing</c:v>
                </c:pt>
              </c:strCache>
            </c:strRef>
          </c:cat>
          <c:val>
            <c:numRef>
              <c:f>'KEY FINANCIAL RATIOS'!$B$39:$B$43</c:f>
              <c:numCache>
                <c:formatCode>"$"#,##0_);[Red]\("$"#,##0\)</c:formatCode>
                <c:ptCount val="5"/>
                <c:pt idx="0">
                  <c:v>4577</c:v>
                </c:pt>
                <c:pt idx="1">
                  <c:v>2310</c:v>
                </c:pt>
                <c:pt idx="2">
                  <c:v>828</c:v>
                </c:pt>
                <c:pt idx="3" formatCode="General">
                  <c:v>671</c:v>
                </c:pt>
                <c:pt idx="4">
                  <c:v>-506</c:v>
                </c:pt>
              </c:numCache>
            </c:numRef>
          </c:val>
          <c:extLst>
            <c:ext xmlns:c16="http://schemas.microsoft.com/office/drawing/2014/chart" uri="{C3380CC4-5D6E-409C-BE32-E72D297353CC}">
              <c16:uniqueId val="{00000001-BBDD-4C7F-A58B-AF223A31DD5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'COMPARABLE ANALYSIS'!$B$10</c:f>
              <c:strCache>
                <c:ptCount val="1"/>
                <c:pt idx="0">
                  <c:v>EV/SALES</c:v>
                </c:pt>
              </c:strCache>
            </c:strRef>
          </c:tx>
          <c:spPr>
            <a:solidFill>
              <a:srgbClr val="002060"/>
            </a:solidFill>
            <a:ln>
              <a:noFill/>
            </a:ln>
            <a:effectLst/>
          </c:spPr>
          <c:invertIfNegative val="0"/>
          <c:cat>
            <c:strRef>
              <c:f>'COMPARABLE ANALYSIS'!$A$11:$A$14</c:f>
              <c:strCache>
                <c:ptCount val="4"/>
                <c:pt idx="0">
                  <c:v>Valero</c:v>
                </c:pt>
                <c:pt idx="1">
                  <c:v>Conocophillips</c:v>
                </c:pt>
                <c:pt idx="2">
                  <c:v>Chevron</c:v>
                </c:pt>
                <c:pt idx="3">
                  <c:v>EXXON</c:v>
                </c:pt>
              </c:strCache>
            </c:strRef>
          </c:cat>
          <c:val>
            <c:numRef>
              <c:f>'COMPARABLE ANALYSIS'!$B$11:$B$14</c:f>
              <c:numCache>
                <c:formatCode>0.00</c:formatCode>
                <c:ptCount val="4"/>
                <c:pt idx="0">
                  <c:v>1.6136144194268163</c:v>
                </c:pt>
                <c:pt idx="1">
                  <c:v>12.254882050036434</c:v>
                </c:pt>
                <c:pt idx="2">
                  <c:v>6.6314443373691097</c:v>
                </c:pt>
                <c:pt idx="3">
                  <c:v>5.4890771160479526</c:v>
                </c:pt>
              </c:numCache>
            </c:numRef>
          </c:val>
          <c:extLst>
            <c:ext xmlns:c16="http://schemas.microsoft.com/office/drawing/2014/chart" uri="{C3380CC4-5D6E-409C-BE32-E72D297353CC}">
              <c16:uniqueId val="{00000001-A178-4A91-AF85-11CD76018DC7}"/>
            </c:ext>
          </c:extLst>
        </c:ser>
        <c:ser>
          <c:idx val="1"/>
          <c:order val="1"/>
          <c:tx>
            <c:strRef>
              <c:f>'COMPARABLE ANALYSIS'!$C$10</c:f>
              <c:strCache>
                <c:ptCount val="1"/>
                <c:pt idx="0">
                  <c:v>EV/EBIT</c:v>
                </c:pt>
              </c:strCache>
            </c:strRef>
          </c:tx>
          <c:spPr>
            <a:solidFill>
              <a:srgbClr val="0070C0"/>
            </a:solidFill>
            <a:ln>
              <a:noFill/>
            </a:ln>
            <a:effectLst/>
          </c:spPr>
          <c:invertIfNegative val="0"/>
          <c:cat>
            <c:strRef>
              <c:f>'COMPARABLE ANALYSIS'!$A$11:$A$14</c:f>
              <c:strCache>
                <c:ptCount val="4"/>
                <c:pt idx="0">
                  <c:v>Valero</c:v>
                </c:pt>
                <c:pt idx="1">
                  <c:v>Conocophillips</c:v>
                </c:pt>
                <c:pt idx="2">
                  <c:v>Chevron</c:v>
                </c:pt>
                <c:pt idx="3">
                  <c:v>EXXON</c:v>
                </c:pt>
              </c:strCache>
            </c:strRef>
          </c:cat>
          <c:val>
            <c:numRef>
              <c:f>'COMPARABLE ANALYSIS'!$C$11:$C$14</c:f>
              <c:numCache>
                <c:formatCode>0.00</c:formatCode>
                <c:ptCount val="4"/>
                <c:pt idx="0">
                  <c:v>20.182754621239582</c:v>
                </c:pt>
                <c:pt idx="1">
                  <c:v>45.020835276621057</c:v>
                </c:pt>
                <c:pt idx="2">
                  <c:v>41.374391006762792</c:v>
                </c:pt>
                <c:pt idx="3">
                  <c:v>39.046099862731637</c:v>
                </c:pt>
              </c:numCache>
            </c:numRef>
          </c:val>
          <c:extLst>
            <c:ext xmlns:c16="http://schemas.microsoft.com/office/drawing/2014/chart" uri="{C3380CC4-5D6E-409C-BE32-E72D297353CC}">
              <c16:uniqueId val="{00000003-A178-4A91-AF85-11CD76018DC7}"/>
            </c:ext>
          </c:extLst>
        </c:ser>
        <c:ser>
          <c:idx val="2"/>
          <c:order val="2"/>
          <c:tx>
            <c:strRef>
              <c:f>'COMPARABLE ANALYSIS'!$D$10</c:f>
              <c:strCache>
                <c:ptCount val="1"/>
                <c:pt idx="0">
                  <c:v>EV/EBITDA</c:v>
                </c:pt>
              </c:strCache>
            </c:strRef>
          </c:tx>
          <c:spPr>
            <a:solidFill>
              <a:srgbClr val="8ED7DD"/>
            </a:solidFill>
            <a:ln>
              <a:noFill/>
            </a:ln>
            <a:effectLst/>
          </c:spPr>
          <c:invertIfNegative val="0"/>
          <c:cat>
            <c:strRef>
              <c:f>'COMPARABLE ANALYSIS'!$A$11:$A$14</c:f>
              <c:strCache>
                <c:ptCount val="4"/>
                <c:pt idx="0">
                  <c:v>Valero</c:v>
                </c:pt>
                <c:pt idx="1">
                  <c:v>Conocophillips</c:v>
                </c:pt>
                <c:pt idx="2">
                  <c:v>Chevron</c:v>
                </c:pt>
                <c:pt idx="3">
                  <c:v>EXXON</c:v>
                </c:pt>
              </c:strCache>
            </c:strRef>
          </c:cat>
          <c:val>
            <c:numRef>
              <c:f>'COMPARABLE ANALYSIS'!$D$11:$D$14</c:f>
              <c:numCache>
                <c:formatCode>0.00</c:formatCode>
                <c:ptCount val="4"/>
                <c:pt idx="0">
                  <c:v>20.102606498194945</c:v>
                </c:pt>
                <c:pt idx="1">
                  <c:v>28.17573495904691</c:v>
                </c:pt>
                <c:pt idx="2">
                  <c:v>28.548256939602044</c:v>
                </c:pt>
                <c:pt idx="3">
                  <c:v>28.627584601836706</c:v>
                </c:pt>
              </c:numCache>
            </c:numRef>
          </c:val>
          <c:extLst>
            <c:ext xmlns:c16="http://schemas.microsoft.com/office/drawing/2014/chart" uri="{C3380CC4-5D6E-409C-BE32-E72D297353CC}">
              <c16:uniqueId val="{00000005-A178-4A91-AF85-11CD76018DC7}"/>
            </c:ext>
          </c:extLst>
        </c:ser>
        <c:dLbls>
          <c:showLegendKey val="0"/>
          <c:showVal val="0"/>
          <c:showCatName val="0"/>
          <c:showSerName val="0"/>
          <c:showPercent val="0"/>
          <c:showBubbleSize val="0"/>
        </c:dLbls>
        <c:gapWidth val="219"/>
        <c:axId val="1785112119"/>
        <c:axId val="1785113607"/>
      </c:barChart>
      <c:catAx>
        <c:axId val="1785112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85113607"/>
        <c:crosses val="autoZero"/>
        <c:auto val="1"/>
        <c:lblAlgn val="ctr"/>
        <c:lblOffset val="100"/>
        <c:noMultiLvlLbl val="0"/>
      </c:catAx>
      <c:valAx>
        <c:axId val="1785113607"/>
        <c:scaling>
          <c:orientation val="minMax"/>
          <c:min val="1"/>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85112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INTRINSIC STOCK PRICE</a:t>
            </a:r>
          </a:p>
        </c:rich>
      </c:tx>
      <c:layout>
        <c:manualLayout>
          <c:xMode val="edge"/>
          <c:yMode val="edge"/>
          <c:x val="0.33525075345695426"/>
          <c:y val="2.68648489157455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'FOOTBALL FIELD'!$B$71:$B$77</c:f>
              <c:strCache>
                <c:ptCount val="7"/>
                <c:pt idx="0">
                  <c:v>Comparable Analysis (EV/SALES)</c:v>
                </c:pt>
                <c:pt idx="1">
                  <c:v>Comparable Analysis (EV/EBITDA)</c:v>
                </c:pt>
                <c:pt idx="2">
                  <c:v>Precedent Transaction (EV/SALES)</c:v>
                </c:pt>
                <c:pt idx="3">
                  <c:v>Precedent Transaction (EV/EBITDA)</c:v>
                </c:pt>
                <c:pt idx="4">
                  <c:v>DCF Baseline</c:v>
                </c:pt>
                <c:pt idx="5">
                  <c:v>DCF Optimistic</c:v>
                </c:pt>
                <c:pt idx="6">
                  <c:v>DCF Pessimistic</c:v>
                </c:pt>
              </c:strCache>
            </c:strRef>
          </c:cat>
          <c:val>
            <c:numRef>
              <c:f>'FOOTBALL FIELD'!$C$71:$C$77</c:f>
              <c:numCache>
                <c:formatCode>"$"#,##0_);[Red]\("$"#,##0\)</c:formatCode>
                <c:ptCount val="7"/>
                <c:pt idx="0">
                  <c:v>136.40171274452356</c:v>
                </c:pt>
                <c:pt idx="1">
                  <c:v>97.186855329810143</c:v>
                </c:pt>
                <c:pt idx="2">
                  <c:v>199.22403299064268</c:v>
                </c:pt>
                <c:pt idx="3">
                  <c:v>79.708672285365623</c:v>
                </c:pt>
                <c:pt idx="4" formatCode="&quot;$&quot;#,##0">
                  <c:v>142.53485572450458</c:v>
                </c:pt>
                <c:pt idx="5" formatCode="&quot;$&quot;#,##0">
                  <c:v>200.84398247483497</c:v>
                </c:pt>
                <c:pt idx="6" formatCode="&quot;$&quot;#,##0">
                  <c:v>93.399401105102214</c:v>
                </c:pt>
              </c:numCache>
            </c:numRef>
          </c:val>
          <c:extLst>
            <c:ext xmlns:c16="http://schemas.microsoft.com/office/drawing/2014/chart" uri="{C3380CC4-5D6E-409C-BE32-E72D297353CC}">
              <c16:uniqueId val="{00000001-F9B6-4C40-A8A2-607FE3011B95}"/>
            </c:ext>
          </c:extLst>
        </c:ser>
        <c:dLbls>
          <c:showLegendKey val="0"/>
          <c:showVal val="0"/>
          <c:showCatName val="0"/>
          <c:showSerName val="0"/>
          <c:showPercent val="0"/>
          <c:showBubbleSize val="0"/>
        </c:dLbls>
        <c:gapWidth val="150"/>
        <c:overlap val="100"/>
        <c:axId val="298636808"/>
        <c:axId val="298641416"/>
      </c:barChart>
      <c:catAx>
        <c:axId val="298636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641416"/>
        <c:crosses val="autoZero"/>
        <c:auto val="1"/>
        <c:lblAlgn val="ctr"/>
        <c:lblOffset val="100"/>
        <c:noMultiLvlLbl val="0"/>
      </c:catAx>
      <c:valAx>
        <c:axId val="298641416"/>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636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rgbClr val="FF0000"/>
                </a:solidFill>
                <a:latin typeface="+mn-lt"/>
                <a:ea typeface="+mn-ea"/>
                <a:cs typeface="+mn-cs"/>
              </a:defRPr>
            </a:pPr>
            <a:r>
              <a:rPr lang="en-US"/>
              <a:t>FOOTBALL FIELD</a:t>
            </a: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FF0000"/>
              </a:solidFill>
              <a:latin typeface="+mn-lt"/>
              <a:ea typeface="+mn-ea"/>
              <a:cs typeface="+mn-cs"/>
            </a:defRPr>
          </a:pPr>
          <a:endParaRPr lang="en-US"/>
        </a:p>
      </c:txPr>
    </c:title>
    <c:autoTitleDeleted val="0"/>
    <c:plotArea>
      <c:layout/>
      <c:barChart>
        <c:barDir val="bar"/>
        <c:grouping val="stacked"/>
        <c:varyColors val="0"/>
        <c:ser>
          <c:idx val="1"/>
          <c:order val="0"/>
          <c:tx>
            <c:strRef>
              <c:f>'FOOTBALL FIELD'!$C$29:$C$29</c:f>
              <c:strCache>
                <c:ptCount val="1"/>
                <c:pt idx="0">
                  <c:v>MIN</c:v>
                </c:pt>
              </c:strCache>
            </c:strRef>
          </c:tx>
          <c:spPr>
            <a:noFill/>
            <a:ln w="25400">
              <a:noFill/>
            </a:ln>
            <a:effectLst/>
          </c:spPr>
          <c:invertIfNegative val="0"/>
          <c:cat>
            <c:strRef>
              <c:f>'FOOTBALL FIELD'!$B$30:$B$39</c:f>
              <c:strCache>
                <c:ptCount val="10"/>
                <c:pt idx="0">
                  <c:v> </c:v>
                </c:pt>
                <c:pt idx="1">
                  <c:v>Comps using EV/Sales</c:v>
                </c:pt>
                <c:pt idx="2">
                  <c:v> </c:v>
                </c:pt>
                <c:pt idx="3">
                  <c:v>Comps using EV/EBIT</c:v>
                </c:pt>
                <c:pt idx="5">
                  <c:v>Precedent Transactions EV/Sales</c:v>
                </c:pt>
                <c:pt idx="6">
                  <c:v> </c:v>
                </c:pt>
                <c:pt idx="7">
                  <c:v>Precedent Transactions EV/EBIT</c:v>
                </c:pt>
                <c:pt idx="9">
                  <c:v>DCF</c:v>
                </c:pt>
              </c:strCache>
            </c:strRef>
          </c:cat>
          <c:val>
            <c:numRef>
              <c:f>'FOOTBALL FIELD'!$C$30:$C$39</c:f>
              <c:numCache>
                <c:formatCode>0.00</c:formatCode>
                <c:ptCount val="10"/>
                <c:pt idx="1">
                  <c:v>29.961442688724805</c:v>
                </c:pt>
                <c:pt idx="3">
                  <c:v>54.914458402648442</c:v>
                </c:pt>
                <c:pt idx="5">
                  <c:v>57.04912052456443</c:v>
                </c:pt>
                <c:pt idx="7">
                  <c:v>50.193978784896196</c:v>
                </c:pt>
                <c:pt idx="9" formatCode="&quot;$&quot;#,##0">
                  <c:v>93.399401105102214</c:v>
                </c:pt>
              </c:numCache>
            </c:numRef>
          </c:val>
          <c:extLst>
            <c:ext xmlns:c16="http://schemas.microsoft.com/office/drawing/2014/chart" uri="{C3380CC4-5D6E-409C-BE32-E72D297353CC}">
              <c16:uniqueId val="{00000003-6287-4E88-A699-95A6386B75AE}"/>
            </c:ext>
          </c:extLst>
        </c:ser>
        <c:ser>
          <c:idx val="2"/>
          <c:order val="1"/>
          <c:tx>
            <c:strRef>
              <c:f>'FOOTBALL FIELD'!$D$29:$D$29</c:f>
              <c:strCache>
                <c:ptCount val="1"/>
                <c:pt idx="0">
                  <c:v>D1</c:v>
                </c:pt>
              </c:strCache>
            </c:strRef>
          </c:tx>
          <c:spPr>
            <a:solidFill>
              <a:srgbClr val="81160E"/>
            </a:solidFill>
            <a:ln>
              <a:noFill/>
            </a:ln>
            <a:effectLst/>
          </c:spPr>
          <c:invertIfNegative val="0"/>
          <c:cat>
            <c:strRef>
              <c:f>'FOOTBALL FIELD'!$B$30:$B$39</c:f>
              <c:strCache>
                <c:ptCount val="10"/>
                <c:pt idx="0">
                  <c:v> </c:v>
                </c:pt>
                <c:pt idx="1">
                  <c:v>Comps using EV/Sales</c:v>
                </c:pt>
                <c:pt idx="2">
                  <c:v> </c:v>
                </c:pt>
                <c:pt idx="3">
                  <c:v>Comps using EV/EBIT</c:v>
                </c:pt>
                <c:pt idx="5">
                  <c:v>Precedent Transactions EV/Sales</c:v>
                </c:pt>
                <c:pt idx="6">
                  <c:v> </c:v>
                </c:pt>
                <c:pt idx="7">
                  <c:v>Precedent Transactions EV/EBIT</c:v>
                </c:pt>
                <c:pt idx="9">
                  <c:v>DCF</c:v>
                </c:pt>
              </c:strCache>
            </c:strRef>
          </c:cat>
          <c:val>
            <c:numRef>
              <c:f>'FOOTBALL FIELD'!$D$30:$D$39</c:f>
              <c:numCache>
                <c:formatCode>0.00</c:formatCode>
                <c:ptCount val="10"/>
                <c:pt idx="1">
                  <c:v>106.44027005579876</c:v>
                </c:pt>
                <c:pt idx="3">
                  <c:v>43.984454978585411</c:v>
                </c:pt>
                <c:pt idx="5">
                  <c:v>142.17491246607824</c:v>
                </c:pt>
                <c:pt idx="7">
                  <c:v>92.045559374096001</c:v>
                </c:pt>
                <c:pt idx="9">
                  <c:v>49.135454619402367</c:v>
                </c:pt>
              </c:numCache>
            </c:numRef>
          </c:val>
          <c:extLst>
            <c:ext xmlns:c16="http://schemas.microsoft.com/office/drawing/2014/chart" uri="{C3380CC4-5D6E-409C-BE32-E72D297353CC}">
              <c16:uniqueId val="{00000005-6287-4E88-A699-95A6386B75AE}"/>
            </c:ext>
          </c:extLst>
        </c:ser>
        <c:ser>
          <c:idx val="0"/>
          <c:order val="2"/>
          <c:tx>
            <c:strRef>
              <c:f>'FOOTBALL FIELD'!$E$29:$E$29</c:f>
              <c:strCache>
                <c:ptCount val="1"/>
                <c:pt idx="0">
                  <c:v>D2</c:v>
                </c:pt>
              </c:strCache>
            </c:strRef>
          </c:tx>
          <c:spPr>
            <a:solidFill>
              <a:srgbClr val="F28E86"/>
            </a:solidFill>
            <a:ln>
              <a:noFill/>
            </a:ln>
            <a:effectLst/>
          </c:spPr>
          <c:invertIfNegative val="0"/>
          <c:cat>
            <c:strRef>
              <c:f>'FOOTBALL FIELD'!$B$30:$B$39</c:f>
              <c:strCache>
                <c:ptCount val="10"/>
                <c:pt idx="0">
                  <c:v> </c:v>
                </c:pt>
                <c:pt idx="1">
                  <c:v>Comps using EV/Sales</c:v>
                </c:pt>
                <c:pt idx="2">
                  <c:v> </c:v>
                </c:pt>
                <c:pt idx="3">
                  <c:v>Comps using EV/EBIT</c:v>
                </c:pt>
                <c:pt idx="5">
                  <c:v>Precedent Transactions EV/Sales</c:v>
                </c:pt>
                <c:pt idx="6">
                  <c:v> </c:v>
                </c:pt>
                <c:pt idx="7">
                  <c:v>Precedent Transactions EV/EBIT</c:v>
                </c:pt>
                <c:pt idx="9">
                  <c:v>DCF</c:v>
                </c:pt>
              </c:strCache>
            </c:strRef>
          </c:cat>
          <c:val>
            <c:numRef>
              <c:f>'FOOTBALL FIELD'!$E$30:$E$39</c:f>
              <c:numCache>
                <c:formatCode>0.00</c:formatCode>
                <c:ptCount val="10"/>
                <c:pt idx="1">
                  <c:v>140.51823714949415</c:v>
                </c:pt>
                <c:pt idx="3">
                  <c:v>82.133315799647505</c:v>
                </c:pt>
                <c:pt idx="5">
                  <c:v>199.22403299064268</c:v>
                </c:pt>
                <c:pt idx="7">
                  <c:v>142.23953815899216</c:v>
                </c:pt>
                <c:pt idx="9">
                  <c:v>151.70852785543261</c:v>
                </c:pt>
              </c:numCache>
            </c:numRef>
          </c:val>
          <c:extLst>
            <c:ext xmlns:c16="http://schemas.microsoft.com/office/drawing/2014/chart" uri="{C3380CC4-5D6E-409C-BE32-E72D297353CC}">
              <c16:uniqueId val="{00000001-8D2D-46C0-8A95-980B377D6A74}"/>
            </c:ext>
          </c:extLst>
        </c:ser>
        <c:dLbls>
          <c:showLegendKey val="0"/>
          <c:showVal val="0"/>
          <c:showCatName val="0"/>
          <c:showSerName val="0"/>
          <c:showPercent val="0"/>
          <c:showBubbleSize val="0"/>
        </c:dLbls>
        <c:gapWidth val="150"/>
        <c:overlap val="100"/>
        <c:axId val="431422983"/>
        <c:axId val="300676615"/>
      </c:barChart>
      <c:catAx>
        <c:axId val="431422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595959"/>
                </a:solidFill>
                <a:latin typeface="+mn-lt"/>
                <a:ea typeface="+mn-ea"/>
                <a:cs typeface="+mn-cs"/>
              </a:defRPr>
            </a:pPr>
            <a:endParaRPr lang="en-US"/>
          </a:p>
        </c:txPr>
        <c:crossAx val="300676615"/>
        <c:crosses val="autoZero"/>
        <c:auto val="1"/>
        <c:lblAlgn val="ctr"/>
        <c:lblOffset val="100"/>
        <c:noMultiLvlLbl val="0"/>
      </c:catAx>
      <c:valAx>
        <c:axId val="300676615"/>
        <c:scaling>
          <c:orientation val="minMax"/>
          <c:min val="1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95959"/>
                </a:solidFill>
                <a:latin typeface="+mn-lt"/>
                <a:ea typeface="+mn-ea"/>
                <a:cs typeface="+mn-cs"/>
              </a:defRPr>
            </a:pPr>
            <a:endParaRPr lang="en-US"/>
          </a:p>
        </c:txPr>
        <c:crossAx val="431422983"/>
        <c:crosses val="autoZero"/>
        <c:crossBetween val="between"/>
      </c:valAx>
      <c:spPr>
        <a:noFill/>
        <a:ln>
          <a:noFill/>
        </a:ln>
        <a:effectLst/>
      </c:spPr>
    </c:plotArea>
    <c:legend>
      <c:legendPos val="b"/>
      <c:layout>
        <c:manualLayout>
          <c:xMode val="edge"/>
          <c:yMode val="edge"/>
          <c:x val="0.43878997929266988"/>
          <c:y val="0.94241391174417799"/>
          <c:w val="0.12267064443031578"/>
          <c:h val="4.2604814847582252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5</xdr:col>
      <xdr:colOff>0</xdr:colOff>
      <xdr:row>25</xdr:row>
      <xdr:rowOff>180975</xdr:rowOff>
    </xdr:to>
    <xdr:graphicFrame macro="">
      <xdr:nvGraphicFramePr>
        <xdr:cNvPr id="14" name="Chart 10">
          <a:extLst>
            <a:ext uri="{FF2B5EF4-FFF2-40B4-BE49-F238E27FC236}">
              <a16:creationId xmlns:a16="http://schemas.microsoft.com/office/drawing/2014/main" id="{5C36BC3D-A349-5699-1E81-9C0D7492CE9D}"/>
            </a:ext>
            <a:ext uri="{147F2762-F138-4A5C-976F-8EAC2B608ADB}">
              <a16:predDERef xmlns:a16="http://schemas.microsoft.com/office/drawing/2014/main" pred="{7306CF97-E83B-F3F4-F388-316DCEFC7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1181100</xdr:colOff>
      <xdr:row>34</xdr:row>
      <xdr:rowOff>190500</xdr:rowOff>
    </xdr:from>
    <xdr:to>
      <xdr:col>7</xdr:col>
      <xdr:colOff>819150</xdr:colOff>
      <xdr:row>53</xdr:row>
      <xdr:rowOff>171450</xdr:rowOff>
    </xdr:to>
    <xdr:graphicFrame macro="">
      <xdr:nvGraphicFramePr>
        <xdr:cNvPr id="29" name="Chart 5">
          <a:extLst>
            <a:ext uri="{FF2B5EF4-FFF2-40B4-BE49-F238E27FC236}">
              <a16:creationId xmlns:a16="http://schemas.microsoft.com/office/drawing/2014/main" id="{CA0C195E-9A47-E4CC-36F2-D0729763EF89}"/>
            </a:ext>
            <a:ext uri="{147F2762-F138-4A5C-976F-8EAC2B608ADB}">
              <a16:predDERef xmlns:a16="http://schemas.microsoft.com/office/drawing/2014/main" pred="{5C36BC3D-A349-5699-1E81-9C0D7492C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31</xdr:row>
      <xdr:rowOff>200025</xdr:rowOff>
    </xdr:from>
    <xdr:ext cx="5457825" cy="2419350"/>
    <xdr:pic>
      <xdr:nvPicPr>
        <xdr:cNvPr id="9"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847725" y="7467600"/>
          <a:ext cx="5457825" cy="24193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2</xdr:col>
      <xdr:colOff>1800225</xdr:colOff>
      <xdr:row>21</xdr:row>
      <xdr:rowOff>180975</xdr:rowOff>
    </xdr:from>
    <xdr:to>
      <xdr:col>6</xdr:col>
      <xdr:colOff>19050</xdr:colOff>
      <xdr:row>41</xdr:row>
      <xdr:rowOff>28575</xdr:rowOff>
    </xdr:to>
    <xdr:graphicFrame macro="">
      <xdr:nvGraphicFramePr>
        <xdr:cNvPr id="2" name="Chart 3">
          <a:extLst>
            <a:ext uri="{FF2B5EF4-FFF2-40B4-BE49-F238E27FC236}">
              <a16:creationId xmlns:a16="http://schemas.microsoft.com/office/drawing/2014/main" id="{EF2BF4E3-CD52-348C-8272-34E9BC79B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13</xdr:row>
      <xdr:rowOff>0</xdr:rowOff>
    </xdr:from>
    <xdr:to>
      <xdr:col>8</xdr:col>
      <xdr:colOff>923925</xdr:colOff>
      <xdr:row>28</xdr:row>
      <xdr:rowOff>152400</xdr:rowOff>
    </xdr:to>
    <xdr:pic>
      <xdr:nvPicPr>
        <xdr:cNvPr id="3" name="Picture 1">
          <a:extLst>
            <a:ext uri="{FF2B5EF4-FFF2-40B4-BE49-F238E27FC236}">
              <a16:creationId xmlns:a16="http://schemas.microsoft.com/office/drawing/2014/main" id="{81D62AC5-CBCE-2793-D293-26C09360B89B}"/>
            </a:ext>
          </a:extLst>
        </xdr:cNvPr>
        <xdr:cNvPicPr>
          <a:picLocks noChangeAspect="1"/>
        </xdr:cNvPicPr>
      </xdr:nvPicPr>
      <xdr:blipFill>
        <a:blip xmlns:r="http://schemas.openxmlformats.org/officeDocument/2006/relationships" r:embed="rId1"/>
        <a:stretch>
          <a:fillRect/>
        </a:stretch>
      </xdr:blipFill>
      <xdr:spPr>
        <a:xfrm>
          <a:off x="9944100" y="2819400"/>
          <a:ext cx="5734050" cy="3829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828675</xdr:colOff>
      <xdr:row>78</xdr:row>
      <xdr:rowOff>0</xdr:rowOff>
    </xdr:from>
    <xdr:to>
      <xdr:col>6</xdr:col>
      <xdr:colOff>38100</xdr:colOff>
      <xdr:row>97</xdr:row>
      <xdr:rowOff>180975</xdr:rowOff>
    </xdr:to>
    <xdr:graphicFrame macro="">
      <xdr:nvGraphicFramePr>
        <xdr:cNvPr id="90" name="Chart 1">
          <a:extLst>
            <a:ext uri="{FF2B5EF4-FFF2-40B4-BE49-F238E27FC236}">
              <a16:creationId xmlns:a16="http://schemas.microsoft.com/office/drawing/2014/main" id="{9E3C91B8-0E50-B92A-9011-F47DF3ADE2F1}"/>
            </a:ext>
            <a:ext uri="{147F2762-F138-4A5C-976F-8EAC2B608ADB}">
              <a16:predDERef xmlns:a16="http://schemas.microsoft.com/office/drawing/2014/main" pred="{E7A836C2-8CCC-B34A-058E-A4CEA7482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819150</xdr:colOff>
      <xdr:row>2</xdr:row>
      <xdr:rowOff>257175</xdr:rowOff>
    </xdr:from>
    <xdr:to>
      <xdr:col>14</xdr:col>
      <xdr:colOff>0</xdr:colOff>
      <xdr:row>28</xdr:row>
      <xdr:rowOff>19050</xdr:rowOff>
    </xdr:to>
    <xdr:graphicFrame macro="">
      <xdr:nvGraphicFramePr>
        <xdr:cNvPr id="5" name="Chart 5">
          <a:extLst>
            <a:ext uri="{FF2B5EF4-FFF2-40B4-BE49-F238E27FC236}">
              <a16:creationId xmlns:a16="http://schemas.microsoft.com/office/drawing/2014/main" id="{3746E18B-20C0-B9F6-73BB-9D08523E0231}"/>
            </a:ext>
            <a:ext uri="{147F2762-F138-4A5C-976F-8EAC2B608ADB}">
              <a16:predDERef xmlns:a16="http://schemas.microsoft.com/office/drawing/2014/main" pred="{9E3C91B8-0E50-B92A-9011-F47DF3ADE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257175</xdr:colOff>
      <xdr:row>5</xdr:row>
      <xdr:rowOff>66675</xdr:rowOff>
    </xdr:from>
    <xdr:to>
      <xdr:col>10</xdr:col>
      <xdr:colOff>1771650</xdr:colOff>
      <xdr:row>23</xdr:row>
      <xdr:rowOff>0</xdr:rowOff>
    </xdr:to>
    <xdr:sp macro="" textlink="">
      <xdr:nvSpPr>
        <xdr:cNvPr id="7" name="Rounded Rectangle 6">
          <a:extLst>
            <a:ext uri="{FF2B5EF4-FFF2-40B4-BE49-F238E27FC236}">
              <a16:creationId xmlns:a16="http://schemas.microsoft.com/office/drawing/2014/main" id="{14FF9CA0-663A-1FBB-F09D-2835ED3EDA7D}"/>
            </a:ext>
            <a:ext uri="{147F2762-F138-4A5C-976F-8EAC2B608ADB}">
              <a16:predDERef xmlns:a16="http://schemas.microsoft.com/office/drawing/2014/main" pred="{3746E18B-20C0-B9F6-73BB-9D08523E0231}"/>
            </a:ext>
          </a:extLst>
        </xdr:cNvPr>
        <xdr:cNvSpPr/>
      </xdr:nvSpPr>
      <xdr:spPr>
        <a:xfrm>
          <a:off x="13849350" y="1266825"/>
          <a:ext cx="1514475" cy="4219575"/>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0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C479D"/>
    <outlinePr summaryBelow="0" summaryRight="0"/>
  </sheetPr>
  <dimension ref="A4:R32"/>
  <sheetViews>
    <sheetView topLeftCell="A3" workbookViewId="0">
      <selection activeCell="L33" sqref="L33"/>
    </sheetView>
  </sheetViews>
  <sheetFormatPr baseColWidth="10" defaultColWidth="12.6640625" defaultRowHeight="15.75" customHeight="1"/>
  <cols>
    <col min="3" max="3" width="30.5" customWidth="1"/>
  </cols>
  <sheetData>
    <row r="4" spans="1:15" ht="16">
      <c r="A4" s="32"/>
      <c r="B4" s="32"/>
      <c r="C4" s="32"/>
      <c r="D4" s="32"/>
      <c r="E4" s="32"/>
      <c r="F4" s="32"/>
      <c r="G4" s="66">
        <f>G14-J14+M14</f>
        <v>152384</v>
      </c>
    </row>
    <row r="6" spans="1:15" ht="16">
      <c r="A6" s="750" t="s">
        <v>0</v>
      </c>
      <c r="B6" s="732"/>
      <c r="C6" s="732"/>
      <c r="D6" s="732"/>
      <c r="E6" s="732"/>
      <c r="F6" s="732"/>
    </row>
    <row r="7" spans="1:15" ht="15.75" customHeight="1" thickBot="1"/>
    <row r="8" spans="1:15" ht="15.75" customHeight="1">
      <c r="A8" s="751" t="s">
        <v>1</v>
      </c>
      <c r="B8" s="752"/>
      <c r="C8" s="752"/>
      <c r="D8" s="754" t="s">
        <v>2</v>
      </c>
      <c r="E8" s="752"/>
      <c r="F8" s="752"/>
      <c r="G8" s="752"/>
      <c r="H8" s="752"/>
      <c r="I8" s="752"/>
      <c r="J8" s="754" t="s">
        <v>3</v>
      </c>
      <c r="K8" s="752"/>
      <c r="L8" s="752"/>
      <c r="M8" s="752"/>
      <c r="N8" s="752"/>
      <c r="O8" s="755"/>
    </row>
    <row r="9" spans="1:15" ht="15.75" customHeight="1">
      <c r="A9" s="753"/>
      <c r="B9" s="732"/>
      <c r="C9" s="732"/>
      <c r="D9" s="204">
        <v>2023</v>
      </c>
      <c r="E9" s="204"/>
      <c r="F9" s="204"/>
      <c r="G9" s="204">
        <v>2022</v>
      </c>
      <c r="H9" s="204"/>
      <c r="I9" s="204"/>
      <c r="J9" s="204">
        <v>2023</v>
      </c>
      <c r="K9" s="204"/>
      <c r="L9" s="204"/>
      <c r="M9" s="204">
        <v>2022</v>
      </c>
      <c r="N9" s="204"/>
      <c r="O9" s="33"/>
    </row>
    <row r="10" spans="1:15" ht="15.75" customHeight="1">
      <c r="A10" s="756" t="s">
        <v>4</v>
      </c>
      <c r="B10" s="732"/>
      <c r="C10" s="732"/>
      <c r="D10" s="732"/>
      <c r="E10" s="732"/>
      <c r="F10" s="732"/>
      <c r="G10" s="732"/>
      <c r="H10" s="732"/>
      <c r="I10" s="732"/>
      <c r="J10" s="732"/>
      <c r="K10" s="732"/>
      <c r="L10" s="732"/>
      <c r="M10" s="748"/>
      <c r="N10" s="732"/>
      <c r="O10" s="749"/>
    </row>
    <row r="11" spans="1:15" ht="16">
      <c r="A11" s="731" t="s">
        <v>5</v>
      </c>
      <c r="B11" s="732"/>
      <c r="C11" s="732"/>
      <c r="D11" s="736">
        <v>80795</v>
      </c>
      <c r="E11" s="734"/>
      <c r="F11" s="202"/>
      <c r="G11" s="735">
        <v>111265</v>
      </c>
      <c r="H11" s="734"/>
      <c r="I11" s="203"/>
      <c r="J11" s="736">
        <v>164439</v>
      </c>
      <c r="K11" s="734"/>
      <c r="L11" s="202"/>
      <c r="M11" s="735">
        <v>198999</v>
      </c>
      <c r="N11" s="734"/>
      <c r="O11" s="34"/>
    </row>
    <row r="12" spans="1:15" ht="16">
      <c r="A12" s="731" t="s">
        <v>6</v>
      </c>
      <c r="B12" s="732"/>
      <c r="C12" s="732"/>
      <c r="D12" s="736">
        <v>1382</v>
      </c>
      <c r="E12" s="734"/>
      <c r="F12" s="202"/>
      <c r="G12" s="735">
        <v>3688</v>
      </c>
      <c r="H12" s="734"/>
      <c r="I12" s="203"/>
      <c r="J12" s="736">
        <v>3763</v>
      </c>
      <c r="K12" s="734"/>
      <c r="L12" s="202"/>
      <c r="M12" s="735">
        <v>6226</v>
      </c>
      <c r="N12" s="734"/>
      <c r="O12" s="34"/>
    </row>
    <row r="13" spans="1:15" ht="16">
      <c r="A13" s="731" t="s">
        <v>7</v>
      </c>
      <c r="B13" s="732"/>
      <c r="C13" s="732"/>
      <c r="D13" s="733">
        <v>737</v>
      </c>
      <c r="E13" s="734"/>
      <c r="F13" s="202"/>
      <c r="G13" s="743">
        <v>728</v>
      </c>
      <c r="H13" s="734"/>
      <c r="I13" s="203"/>
      <c r="J13" s="736">
        <v>1276</v>
      </c>
      <c r="K13" s="734"/>
      <c r="L13" s="202"/>
      <c r="M13" s="743">
        <v>956</v>
      </c>
      <c r="N13" s="734"/>
      <c r="O13" s="34"/>
    </row>
    <row r="14" spans="1:15" ht="16">
      <c r="A14" s="738" t="s">
        <v>8</v>
      </c>
      <c r="B14" s="734"/>
      <c r="C14" s="734"/>
      <c r="D14" s="737">
        <v>82914</v>
      </c>
      <c r="E14" s="734"/>
      <c r="F14" s="202"/>
      <c r="G14" s="744">
        <v>115681</v>
      </c>
      <c r="H14" s="734"/>
      <c r="I14" s="203"/>
      <c r="J14" s="737">
        <v>169478</v>
      </c>
      <c r="K14" s="734"/>
      <c r="L14" s="202"/>
      <c r="M14" s="744">
        <v>206181</v>
      </c>
      <c r="N14" s="734"/>
      <c r="O14" s="34"/>
    </row>
    <row r="15" spans="1:15" ht="15.75" customHeight="1">
      <c r="A15" s="757" t="s">
        <v>9</v>
      </c>
      <c r="B15" s="734"/>
      <c r="C15" s="734"/>
      <c r="D15" s="732"/>
      <c r="E15" s="732"/>
      <c r="F15" s="732"/>
      <c r="G15" s="732"/>
      <c r="H15" s="732"/>
      <c r="I15" s="732"/>
      <c r="J15" s="732"/>
      <c r="K15" s="732"/>
      <c r="L15" s="732"/>
      <c r="M15" s="748"/>
      <c r="N15" s="732"/>
      <c r="O15" s="749"/>
    </row>
    <row r="16" spans="1:15" ht="16">
      <c r="A16" s="731" t="s">
        <v>10</v>
      </c>
      <c r="B16" s="732"/>
      <c r="C16" s="732"/>
      <c r="D16" s="736">
        <v>47598</v>
      </c>
      <c r="E16" s="734"/>
      <c r="F16" s="202"/>
      <c r="G16" s="735">
        <v>65613</v>
      </c>
      <c r="H16" s="734"/>
      <c r="I16" s="203"/>
      <c r="J16" s="736">
        <v>93601</v>
      </c>
      <c r="K16" s="734"/>
      <c r="L16" s="202"/>
      <c r="M16" s="735">
        <v>118001</v>
      </c>
      <c r="N16" s="734"/>
      <c r="O16" s="34"/>
    </row>
    <row r="17" spans="1:18" ht="16">
      <c r="A17" s="731" t="s">
        <v>11</v>
      </c>
      <c r="B17" s="732"/>
      <c r="C17" s="732"/>
      <c r="D17" s="736">
        <v>8860</v>
      </c>
      <c r="E17" s="734"/>
      <c r="F17" s="202"/>
      <c r="G17" s="735">
        <v>10686</v>
      </c>
      <c r="H17" s="734"/>
      <c r="I17" s="203"/>
      <c r="J17" s="736">
        <v>18296</v>
      </c>
      <c r="K17" s="734"/>
      <c r="L17" s="202"/>
      <c r="M17" s="735">
        <v>20927</v>
      </c>
      <c r="N17" s="734"/>
      <c r="O17" s="34"/>
    </row>
    <row r="18" spans="1:18" ht="16">
      <c r="A18" s="731" t="s">
        <v>12</v>
      </c>
      <c r="B18" s="732"/>
      <c r="C18" s="732"/>
      <c r="D18" s="736">
        <v>2449</v>
      </c>
      <c r="E18" s="734"/>
      <c r="F18" s="202"/>
      <c r="G18" s="735">
        <v>2530</v>
      </c>
      <c r="H18" s="734"/>
      <c r="I18" s="203"/>
      <c r="J18" s="736">
        <v>4839</v>
      </c>
      <c r="K18" s="734"/>
      <c r="L18" s="202"/>
      <c r="M18" s="735">
        <v>4939</v>
      </c>
      <c r="N18" s="734"/>
      <c r="O18" s="34"/>
    </row>
    <row r="19" spans="1:18" ht="16">
      <c r="A19" s="731" t="s">
        <v>13</v>
      </c>
      <c r="B19" s="732"/>
      <c r="C19" s="732"/>
      <c r="D19" s="736">
        <v>4242</v>
      </c>
      <c r="E19" s="734"/>
      <c r="F19" s="202"/>
      <c r="G19" s="735">
        <v>4451</v>
      </c>
      <c r="H19" s="734"/>
      <c r="I19" s="203"/>
      <c r="J19" s="736">
        <v>8486</v>
      </c>
      <c r="K19" s="734"/>
      <c r="L19" s="202"/>
      <c r="M19" s="735">
        <v>13334</v>
      </c>
      <c r="N19" s="734"/>
      <c r="O19" s="34"/>
    </row>
    <row r="20" spans="1:18" ht="16">
      <c r="A20" s="731" t="s">
        <v>14</v>
      </c>
      <c r="B20" s="732"/>
      <c r="C20" s="732"/>
      <c r="D20" s="733">
        <v>133</v>
      </c>
      <c r="E20" s="734"/>
      <c r="F20" s="202"/>
      <c r="G20" s="743">
        <v>286</v>
      </c>
      <c r="H20" s="734"/>
      <c r="I20" s="203"/>
      <c r="J20" s="733">
        <v>274</v>
      </c>
      <c r="K20" s="734"/>
      <c r="L20" s="202"/>
      <c r="M20" s="743">
        <v>459</v>
      </c>
      <c r="N20" s="734"/>
      <c r="O20" s="34"/>
    </row>
    <row r="21" spans="1:18" ht="16">
      <c r="A21" s="731" t="s">
        <v>15</v>
      </c>
      <c r="B21" s="732"/>
      <c r="C21" s="732"/>
      <c r="D21" s="733">
        <v>164</v>
      </c>
      <c r="E21" s="734"/>
      <c r="F21" s="202"/>
      <c r="G21" s="743">
        <v>120</v>
      </c>
      <c r="H21" s="734"/>
      <c r="I21" s="203"/>
      <c r="J21" s="733">
        <v>331</v>
      </c>
      <c r="K21" s="734"/>
      <c r="L21" s="202"/>
      <c r="M21" s="743">
        <v>228</v>
      </c>
      <c r="N21" s="734"/>
      <c r="O21" s="34"/>
    </row>
    <row r="22" spans="1:18" ht="16">
      <c r="A22" s="731" t="s">
        <v>16</v>
      </c>
      <c r="B22" s="732"/>
      <c r="C22" s="732"/>
      <c r="D22" s="733">
        <v>249</v>
      </c>
      <c r="E22" s="734"/>
      <c r="F22" s="202"/>
      <c r="G22" s="743">
        <v>194</v>
      </c>
      <c r="H22" s="734"/>
      <c r="I22" s="203"/>
      <c r="J22" s="733">
        <v>408</v>
      </c>
      <c r="K22" s="734"/>
      <c r="L22" s="202"/>
      <c r="M22" s="743">
        <v>382</v>
      </c>
      <c r="N22" s="734"/>
      <c r="O22" s="34"/>
    </row>
    <row r="23" spans="1:18" ht="16">
      <c r="A23" s="731" t="s">
        <v>17</v>
      </c>
      <c r="B23" s="732"/>
      <c r="C23" s="732"/>
      <c r="D23" s="736">
        <v>7563</v>
      </c>
      <c r="E23" s="734"/>
      <c r="F23" s="202"/>
      <c r="G23" s="735">
        <v>6868</v>
      </c>
      <c r="H23" s="734"/>
      <c r="I23" s="203"/>
      <c r="J23" s="736">
        <v>14784</v>
      </c>
      <c r="K23" s="734"/>
      <c r="L23" s="202"/>
      <c r="M23" s="735">
        <v>14422</v>
      </c>
      <c r="N23" s="734"/>
      <c r="O23" s="34"/>
    </row>
    <row r="24" spans="1:18" ht="16">
      <c r="A24" s="738" t="s">
        <v>18</v>
      </c>
      <c r="B24" s="734"/>
      <c r="C24" s="734"/>
      <c r="D24" s="737">
        <v>71258</v>
      </c>
      <c r="E24" s="734"/>
      <c r="F24" s="202"/>
      <c r="G24" s="744">
        <v>90748</v>
      </c>
      <c r="H24" s="734"/>
      <c r="I24" s="203"/>
      <c r="J24" s="737">
        <v>141019</v>
      </c>
      <c r="K24" s="734"/>
      <c r="L24" s="202"/>
      <c r="M24" s="744">
        <v>172692</v>
      </c>
      <c r="N24" s="734"/>
      <c r="O24" s="34"/>
    </row>
    <row r="25" spans="1:18" ht="16">
      <c r="A25" s="738" t="s">
        <v>19</v>
      </c>
      <c r="B25" s="734"/>
      <c r="C25" s="734"/>
      <c r="D25" s="737">
        <v>11656</v>
      </c>
      <c r="E25" s="734"/>
      <c r="F25" s="202"/>
      <c r="G25" s="744">
        <v>24933</v>
      </c>
      <c r="H25" s="734"/>
      <c r="I25" s="203"/>
      <c r="J25" s="737">
        <v>28459</v>
      </c>
      <c r="K25" s="734"/>
      <c r="L25" s="202"/>
      <c r="M25" s="744">
        <v>33489</v>
      </c>
      <c r="N25" s="734"/>
      <c r="O25" s="34"/>
    </row>
    <row r="26" spans="1:18" ht="16">
      <c r="A26" s="731" t="s">
        <v>20</v>
      </c>
      <c r="B26" s="732"/>
      <c r="C26" s="732"/>
      <c r="D26" s="736">
        <v>3503</v>
      </c>
      <c r="E26" s="734"/>
      <c r="F26" s="202"/>
      <c r="G26" s="735">
        <v>6359</v>
      </c>
      <c r="H26" s="734"/>
      <c r="I26" s="203"/>
      <c r="J26" s="736">
        <v>8463</v>
      </c>
      <c r="K26" s="734"/>
      <c r="L26" s="202"/>
      <c r="M26" s="735">
        <v>9165</v>
      </c>
      <c r="N26" s="734"/>
      <c r="O26" s="34"/>
    </row>
    <row r="27" spans="1:18" ht="16">
      <c r="A27" s="738" t="s">
        <v>21</v>
      </c>
      <c r="B27" s="734"/>
      <c r="C27" s="734"/>
      <c r="D27" s="737">
        <v>8153</v>
      </c>
      <c r="E27" s="734"/>
      <c r="F27" s="202"/>
      <c r="G27" s="744">
        <v>18574</v>
      </c>
      <c r="H27" s="734"/>
      <c r="I27" s="203"/>
      <c r="J27" s="737">
        <v>19996</v>
      </c>
      <c r="K27" s="734"/>
      <c r="L27" s="202"/>
      <c r="M27" s="744">
        <v>24324</v>
      </c>
      <c r="N27" s="734"/>
      <c r="O27" s="34"/>
    </row>
    <row r="28" spans="1:18" ht="16">
      <c r="A28" s="731" t="s">
        <v>22</v>
      </c>
      <c r="B28" s="732"/>
      <c r="C28" s="732"/>
      <c r="D28" s="733">
        <v>273</v>
      </c>
      <c r="E28" s="734"/>
      <c r="F28" s="202"/>
      <c r="G28" s="743">
        <v>724</v>
      </c>
      <c r="H28" s="734"/>
      <c r="I28" s="203"/>
      <c r="J28" s="733">
        <v>686</v>
      </c>
      <c r="K28" s="734"/>
      <c r="L28" s="202"/>
      <c r="M28" s="743">
        <v>994</v>
      </c>
      <c r="N28" s="734"/>
      <c r="O28" s="34"/>
    </row>
    <row r="29" spans="1:18" ht="16">
      <c r="A29" s="738" t="s">
        <v>23</v>
      </c>
      <c r="B29" s="734"/>
      <c r="C29" s="734"/>
      <c r="D29" s="737">
        <v>7880</v>
      </c>
      <c r="E29" s="734"/>
      <c r="F29" s="202"/>
      <c r="G29" s="744">
        <v>17850</v>
      </c>
      <c r="H29" s="734"/>
      <c r="I29" s="203"/>
      <c r="J29" s="737">
        <v>19310</v>
      </c>
      <c r="K29" s="734"/>
      <c r="L29" s="202"/>
      <c r="M29" s="744">
        <v>23330</v>
      </c>
      <c r="N29" s="734"/>
      <c r="O29" s="34"/>
    </row>
    <row r="30" spans="1:18" ht="15.75" customHeight="1">
      <c r="A30" s="741"/>
      <c r="B30" s="732"/>
      <c r="C30" s="732"/>
      <c r="D30" s="732"/>
      <c r="E30" s="732"/>
      <c r="F30" s="732"/>
      <c r="G30" s="732"/>
      <c r="H30" s="732"/>
      <c r="I30" s="732"/>
      <c r="J30" s="732"/>
      <c r="K30" s="732"/>
      <c r="L30" s="732"/>
      <c r="M30" s="748"/>
      <c r="N30" s="732"/>
      <c r="O30" s="749"/>
      <c r="P30" s="732"/>
      <c r="Q30" s="732"/>
      <c r="R30" s="732"/>
    </row>
    <row r="31" spans="1:18" ht="16">
      <c r="A31" s="738" t="s">
        <v>24</v>
      </c>
      <c r="B31" s="732"/>
      <c r="C31" s="732"/>
      <c r="D31" s="742">
        <v>1.94</v>
      </c>
      <c r="E31" s="734"/>
      <c r="F31" s="202"/>
      <c r="G31" s="745">
        <v>4.21</v>
      </c>
      <c r="H31" s="734"/>
      <c r="I31" s="203"/>
      <c r="J31" s="742">
        <v>4.7300000000000004</v>
      </c>
      <c r="K31" s="734"/>
      <c r="L31" s="202"/>
      <c r="M31" s="745">
        <v>5.49</v>
      </c>
      <c r="N31" s="734"/>
      <c r="O31" s="34"/>
    </row>
    <row r="32" spans="1:18" ht="15.75" customHeight="1" thickBot="1">
      <c r="A32" s="739"/>
      <c r="B32" s="740"/>
      <c r="C32" s="740"/>
      <c r="D32" s="740"/>
      <c r="E32" s="740"/>
      <c r="F32" s="740"/>
      <c r="G32" s="740"/>
      <c r="H32" s="740"/>
      <c r="I32" s="740"/>
      <c r="J32" s="740"/>
      <c r="K32" s="740"/>
      <c r="L32" s="740"/>
      <c r="M32" s="746"/>
      <c r="N32" s="740"/>
      <c r="O32" s="747"/>
    </row>
  </sheetData>
  <mergeCells count="120">
    <mergeCell ref="A15:C15"/>
    <mergeCell ref="D15:F15"/>
    <mergeCell ref="G15:I15"/>
    <mergeCell ref="J15:L15"/>
    <mergeCell ref="M15:O15"/>
    <mergeCell ref="D16:E16"/>
    <mergeCell ref="M16:N16"/>
    <mergeCell ref="A20:C20"/>
    <mergeCell ref="D20:E20"/>
    <mergeCell ref="G20:H20"/>
    <mergeCell ref="J20:K20"/>
    <mergeCell ref="M20:N20"/>
    <mergeCell ref="A16:C16"/>
    <mergeCell ref="A17:C17"/>
    <mergeCell ref="D17:E17"/>
    <mergeCell ref="A18:C18"/>
    <mergeCell ref="D18:E18"/>
    <mergeCell ref="A19:C19"/>
    <mergeCell ref="D19:E19"/>
    <mergeCell ref="J11:K11"/>
    <mergeCell ref="J12:K12"/>
    <mergeCell ref="J13:K13"/>
    <mergeCell ref="M13:N13"/>
    <mergeCell ref="J14:K14"/>
    <mergeCell ref="M14:N14"/>
    <mergeCell ref="A11:C11"/>
    <mergeCell ref="D11:E11"/>
    <mergeCell ref="G11:H11"/>
    <mergeCell ref="M11:N11"/>
    <mergeCell ref="D12:E12"/>
    <mergeCell ref="G12:H12"/>
    <mergeCell ref="M12:N12"/>
    <mergeCell ref="A12:C12"/>
    <mergeCell ref="A13:C13"/>
    <mergeCell ref="D13:E13"/>
    <mergeCell ref="G13:H13"/>
    <mergeCell ref="A14:C14"/>
    <mergeCell ref="D14:E14"/>
    <mergeCell ref="G14:H14"/>
    <mergeCell ref="J10:L10"/>
    <mergeCell ref="M10:O10"/>
    <mergeCell ref="A6:F6"/>
    <mergeCell ref="A8:C9"/>
    <mergeCell ref="D8:I8"/>
    <mergeCell ref="J8:O8"/>
    <mergeCell ref="A10:C10"/>
    <mergeCell ref="D10:F10"/>
    <mergeCell ref="G10:I10"/>
    <mergeCell ref="G31:H31"/>
    <mergeCell ref="G32:I32"/>
    <mergeCell ref="G24:H24"/>
    <mergeCell ref="G25:H25"/>
    <mergeCell ref="G26:H26"/>
    <mergeCell ref="G27:H27"/>
    <mergeCell ref="G28:H28"/>
    <mergeCell ref="G29:H29"/>
    <mergeCell ref="G30:I30"/>
    <mergeCell ref="J31:K31"/>
    <mergeCell ref="M31:N31"/>
    <mergeCell ref="J32:L32"/>
    <mergeCell ref="M32:O32"/>
    <mergeCell ref="J23:K23"/>
    <mergeCell ref="J24:K24"/>
    <mergeCell ref="J25:K25"/>
    <mergeCell ref="J26:K26"/>
    <mergeCell ref="J27:K27"/>
    <mergeCell ref="J28:K28"/>
    <mergeCell ref="J29:K29"/>
    <mergeCell ref="M25:N25"/>
    <mergeCell ref="M26:N26"/>
    <mergeCell ref="M27:N27"/>
    <mergeCell ref="M28:N28"/>
    <mergeCell ref="M29:N29"/>
    <mergeCell ref="M30:O30"/>
    <mergeCell ref="P30:R30"/>
    <mergeCell ref="G21:H21"/>
    <mergeCell ref="G22:H22"/>
    <mergeCell ref="J22:K22"/>
    <mergeCell ref="M22:N22"/>
    <mergeCell ref="G23:H23"/>
    <mergeCell ref="M23:N23"/>
    <mergeCell ref="M24:N24"/>
    <mergeCell ref="J30:L30"/>
    <mergeCell ref="J21:K21"/>
    <mergeCell ref="M21:N21"/>
    <mergeCell ref="A27:C27"/>
    <mergeCell ref="D27:E27"/>
    <mergeCell ref="A31:C31"/>
    <mergeCell ref="A32:C32"/>
    <mergeCell ref="A28:C28"/>
    <mergeCell ref="D28:E28"/>
    <mergeCell ref="A29:C29"/>
    <mergeCell ref="D29:E29"/>
    <mergeCell ref="A30:C30"/>
    <mergeCell ref="D30:F30"/>
    <mergeCell ref="D31:E31"/>
    <mergeCell ref="D32:F32"/>
    <mergeCell ref="A22:C22"/>
    <mergeCell ref="D22:E22"/>
    <mergeCell ref="A23:C23"/>
    <mergeCell ref="D23:E23"/>
    <mergeCell ref="D24:E24"/>
    <mergeCell ref="A24:C24"/>
    <mergeCell ref="A25:C25"/>
    <mergeCell ref="D25:E25"/>
    <mergeCell ref="A26:C26"/>
    <mergeCell ref="D26:E26"/>
    <mergeCell ref="A21:C21"/>
    <mergeCell ref="D21:E21"/>
    <mergeCell ref="G18:H18"/>
    <mergeCell ref="G19:H19"/>
    <mergeCell ref="J19:K19"/>
    <mergeCell ref="M19:N19"/>
    <mergeCell ref="G16:H16"/>
    <mergeCell ref="J16:K16"/>
    <mergeCell ref="G17:H17"/>
    <mergeCell ref="J17:K17"/>
    <mergeCell ref="M17:N17"/>
    <mergeCell ref="J18:K18"/>
    <mergeCell ref="M18:N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C479D"/>
    <outlinePr summaryBelow="0" summaryRight="0"/>
  </sheetPr>
  <dimension ref="B3:P46"/>
  <sheetViews>
    <sheetView workbookViewId="0">
      <selection activeCell="M10" sqref="M10"/>
    </sheetView>
  </sheetViews>
  <sheetFormatPr baseColWidth="10" defaultColWidth="12.6640625" defaultRowHeight="15.75" customHeight="1"/>
  <cols>
    <col min="4" max="4" width="66.1640625" customWidth="1"/>
    <col min="5" max="5" width="16" customWidth="1"/>
    <col min="8" max="8" width="18.5" customWidth="1"/>
  </cols>
  <sheetData>
    <row r="3" spans="2:16" ht="16">
      <c r="B3" s="32"/>
      <c r="C3" s="32"/>
      <c r="D3" s="32"/>
      <c r="E3" s="32"/>
      <c r="F3" s="32"/>
      <c r="G3" s="32"/>
    </row>
    <row r="4" spans="2:16" ht="16">
      <c r="B4" s="750" t="s">
        <v>25</v>
      </c>
      <c r="C4" s="732"/>
      <c r="D4" s="732"/>
      <c r="E4" s="732"/>
      <c r="F4" s="732"/>
      <c r="G4" s="732"/>
      <c r="K4" s="1"/>
      <c r="L4" s="1"/>
      <c r="M4" s="1"/>
      <c r="N4" s="1"/>
    </row>
    <row r="5" spans="2:16" ht="15.75" customHeight="1" thickBot="1"/>
    <row r="6" spans="2:16" ht="15.75" customHeight="1">
      <c r="B6" s="751" t="s">
        <v>26</v>
      </c>
      <c r="C6" s="752"/>
      <c r="D6" s="758"/>
      <c r="E6" s="205">
        <v>45107</v>
      </c>
      <c r="F6" s="206"/>
      <c r="G6" s="207"/>
      <c r="H6" s="206">
        <v>44926</v>
      </c>
      <c r="I6" s="206"/>
      <c r="J6" s="208"/>
    </row>
    <row r="7" spans="2:16" ht="15.75" customHeight="1" thickBot="1">
      <c r="B7" s="741"/>
      <c r="C7" s="732"/>
      <c r="D7" s="734"/>
      <c r="E7" s="748"/>
      <c r="F7" s="732"/>
      <c r="G7" s="734"/>
      <c r="H7" s="748"/>
      <c r="I7" s="732"/>
      <c r="J7" s="749"/>
    </row>
    <row r="8" spans="2:16" ht="15.75" customHeight="1" thickBot="1">
      <c r="B8" s="759" t="s">
        <v>27</v>
      </c>
      <c r="C8" s="732"/>
      <c r="D8" s="734"/>
      <c r="E8" s="748"/>
      <c r="F8" s="732"/>
      <c r="G8" s="734"/>
      <c r="H8" s="748"/>
      <c r="I8" s="732"/>
      <c r="J8" s="749"/>
      <c r="L8" s="540">
        <v>2020</v>
      </c>
      <c r="M8" s="541">
        <v>2021</v>
      </c>
    </row>
    <row r="9" spans="2:16" ht="15.75" customHeight="1">
      <c r="B9" s="759" t="s">
        <v>28</v>
      </c>
      <c r="C9" s="732"/>
      <c r="D9" s="734"/>
      <c r="E9" s="748"/>
      <c r="F9" s="732"/>
      <c r="G9" s="734"/>
      <c r="H9" s="748"/>
      <c r="I9" s="732"/>
      <c r="J9" s="749"/>
      <c r="L9" s="542">
        <f>'PRIOR YEAR ENDED BALANCE SHEETS'!E15</f>
        <v>44893</v>
      </c>
      <c r="M9" s="543">
        <f>'PRIOR YEAR ENDED BALANCE SHEETS'!D15</f>
        <v>59154</v>
      </c>
    </row>
    <row r="10" spans="2:16" ht="15.75" customHeight="1" thickBot="1">
      <c r="B10" s="760" t="s">
        <v>29</v>
      </c>
      <c r="C10" s="732"/>
      <c r="D10" s="734"/>
      <c r="E10" s="761">
        <v>29528</v>
      </c>
      <c r="F10" s="762"/>
      <c r="G10" s="209"/>
      <c r="H10" s="761">
        <v>29640</v>
      </c>
      <c r="I10" s="762"/>
      <c r="J10" s="210"/>
      <c r="L10" s="544">
        <f>'PRIOR YEAR ENDED BALANCE SHEETS'!E25</f>
        <v>56363</v>
      </c>
      <c r="M10" s="545">
        <f>'PRIOR YEAR ENDED BALANCE SHEETS'!D25</f>
        <v>56643</v>
      </c>
    </row>
    <row r="11" spans="2:16" ht="15.75" customHeight="1">
      <c r="B11" s="760" t="s">
        <v>30</v>
      </c>
      <c r="C11" s="732"/>
      <c r="D11" s="734"/>
      <c r="E11" s="763">
        <v>29</v>
      </c>
      <c r="F11" s="762"/>
      <c r="G11" s="209"/>
      <c r="H11" s="763">
        <v>25</v>
      </c>
      <c r="I11" s="762"/>
      <c r="J11" s="210"/>
    </row>
    <row r="12" spans="2:16" ht="15.75" customHeight="1">
      <c r="B12" s="760" t="s">
        <v>31</v>
      </c>
      <c r="C12" s="732"/>
      <c r="D12" s="734"/>
      <c r="E12" s="761">
        <v>35915</v>
      </c>
      <c r="F12" s="762"/>
      <c r="G12" s="209"/>
      <c r="H12" s="761">
        <v>41749</v>
      </c>
      <c r="I12" s="762"/>
      <c r="J12" s="210"/>
      <c r="M12" s="6"/>
      <c r="N12" s="6"/>
    </row>
    <row r="13" spans="2:16" ht="15.75" customHeight="1">
      <c r="B13" s="760" t="s">
        <v>32</v>
      </c>
      <c r="C13" s="732"/>
      <c r="D13" s="734"/>
      <c r="E13" s="748"/>
      <c r="F13" s="732"/>
      <c r="G13" s="734"/>
      <c r="H13" s="748"/>
      <c r="I13" s="732"/>
      <c r="J13" s="749"/>
    </row>
    <row r="14" spans="2:16" ht="15.75" customHeight="1">
      <c r="B14" s="765" t="s">
        <v>33</v>
      </c>
      <c r="C14" s="732"/>
      <c r="D14" s="734"/>
      <c r="E14" s="761">
        <v>20006</v>
      </c>
      <c r="F14" s="762"/>
      <c r="G14" s="209"/>
      <c r="H14" s="761">
        <v>20434</v>
      </c>
      <c r="I14" s="762"/>
      <c r="J14" s="210"/>
    </row>
    <row r="15" spans="2:16" ht="15.75" customHeight="1">
      <c r="B15" s="765" t="s">
        <v>34</v>
      </c>
      <c r="C15" s="732"/>
      <c r="D15" s="734"/>
      <c r="E15" s="761">
        <v>4243</v>
      </c>
      <c r="F15" s="762"/>
      <c r="G15" s="209"/>
      <c r="H15" s="761">
        <v>4001</v>
      </c>
      <c r="I15" s="762"/>
      <c r="J15" s="210"/>
      <c r="P15" s="63"/>
    </row>
    <row r="16" spans="2:16" ht="15.75" customHeight="1">
      <c r="B16" s="760" t="s">
        <v>35</v>
      </c>
      <c r="C16" s="732"/>
      <c r="D16" s="734"/>
      <c r="E16" s="761">
        <v>2039</v>
      </c>
      <c r="F16" s="762"/>
      <c r="G16" s="209"/>
      <c r="H16" s="761">
        <v>1782</v>
      </c>
      <c r="I16" s="762"/>
      <c r="J16" s="210"/>
    </row>
    <row r="17" spans="2:15" ht="15.75" customHeight="1">
      <c r="B17" s="766" t="s">
        <v>36</v>
      </c>
      <c r="C17" s="734"/>
      <c r="D17" s="734"/>
      <c r="E17" s="764">
        <v>91760</v>
      </c>
      <c r="F17" s="762"/>
      <c r="G17" s="209"/>
      <c r="H17" s="764">
        <v>97631</v>
      </c>
      <c r="I17" s="762"/>
      <c r="J17" s="210"/>
    </row>
    <row r="18" spans="2:15" ht="15.75" customHeight="1">
      <c r="B18" s="765" t="s">
        <v>37</v>
      </c>
      <c r="C18" s="734"/>
      <c r="D18" s="734"/>
      <c r="E18" s="761">
        <v>47273</v>
      </c>
      <c r="F18" s="762"/>
      <c r="G18" s="209"/>
      <c r="H18" s="761">
        <v>49793</v>
      </c>
      <c r="I18" s="762"/>
      <c r="J18" s="210"/>
    </row>
    <row r="19" spans="2:15" ht="15.75" customHeight="1" thickBot="1">
      <c r="B19" s="765" t="s">
        <v>38</v>
      </c>
      <c r="C19" s="732"/>
      <c r="D19" s="734"/>
      <c r="E19" s="761">
        <v>206736</v>
      </c>
      <c r="F19" s="762"/>
      <c r="G19" s="209"/>
      <c r="H19" s="761">
        <v>204692</v>
      </c>
      <c r="I19" s="762"/>
      <c r="J19" s="210"/>
    </row>
    <row r="20" spans="2:15" ht="15.75" customHeight="1" thickBot="1">
      <c r="B20" s="765" t="s">
        <v>39</v>
      </c>
      <c r="C20" s="732"/>
      <c r="D20" s="734"/>
      <c r="E20" s="761">
        <v>17479</v>
      </c>
      <c r="F20" s="762"/>
      <c r="G20" s="209"/>
      <c r="H20" s="761">
        <v>16951</v>
      </c>
      <c r="I20" s="762"/>
      <c r="J20" s="210"/>
      <c r="L20" s="532"/>
      <c r="M20" s="533"/>
      <c r="N20" s="533"/>
      <c r="O20" s="534"/>
    </row>
    <row r="21" spans="2:15" ht="15.75" customHeight="1" thickBot="1">
      <c r="B21" s="766" t="s">
        <v>40</v>
      </c>
      <c r="C21" s="734"/>
      <c r="D21" s="734"/>
      <c r="E21" s="764">
        <v>363248</v>
      </c>
      <c r="F21" s="762"/>
      <c r="G21" s="209"/>
      <c r="H21" s="764">
        <v>369067</v>
      </c>
      <c r="I21" s="762"/>
      <c r="J21" s="210"/>
      <c r="L21" s="92" t="s">
        <v>41</v>
      </c>
      <c r="M21" s="535">
        <v>2020</v>
      </c>
      <c r="N21" s="535">
        <v>2021</v>
      </c>
      <c r="O21" s="536">
        <v>2022</v>
      </c>
    </row>
    <row r="22" spans="2:15" ht="15.75" customHeight="1" thickBot="1">
      <c r="B22" s="741"/>
      <c r="C22" s="732"/>
      <c r="D22" s="734"/>
      <c r="E22" s="748"/>
      <c r="F22" s="732"/>
      <c r="G22" s="734"/>
      <c r="H22" s="748"/>
      <c r="I22" s="732"/>
      <c r="J22" s="749"/>
      <c r="L22" s="537" t="s">
        <v>42</v>
      </c>
      <c r="M22" s="538">
        <f>L9-L10</f>
        <v>-11470</v>
      </c>
      <c r="N22" s="538">
        <f>M9-M10</f>
        <v>2511</v>
      </c>
      <c r="O22" s="539">
        <f>H17-H28</f>
        <v>28586</v>
      </c>
    </row>
    <row r="23" spans="2:15" ht="15.75" customHeight="1">
      <c r="B23" s="759" t="s">
        <v>43</v>
      </c>
      <c r="C23" s="732"/>
      <c r="D23" s="734"/>
      <c r="E23" s="748"/>
      <c r="F23" s="732"/>
      <c r="G23" s="734"/>
      <c r="H23" s="748"/>
      <c r="I23" s="732"/>
      <c r="J23" s="749"/>
    </row>
    <row r="24" spans="2:15" ht="15.75" customHeight="1">
      <c r="B24" s="759" t="s">
        <v>44</v>
      </c>
      <c r="C24" s="732"/>
      <c r="D24" s="734"/>
      <c r="E24" s="748"/>
      <c r="F24" s="732"/>
      <c r="G24" s="734"/>
      <c r="H24" s="748"/>
      <c r="I24" s="732"/>
      <c r="J24" s="749"/>
    </row>
    <row r="25" spans="2:15" ht="15.75" customHeight="1">
      <c r="B25" s="760" t="s">
        <v>45</v>
      </c>
      <c r="C25" s="732"/>
      <c r="D25" s="734"/>
      <c r="E25" s="761">
        <v>3929</v>
      </c>
      <c r="F25" s="762"/>
      <c r="G25" s="209"/>
      <c r="H25" s="763">
        <v>634</v>
      </c>
      <c r="I25" s="762"/>
      <c r="J25" s="210"/>
    </row>
    <row r="26" spans="2:15" ht="15.75" customHeight="1">
      <c r="B26" s="760" t="s">
        <v>46</v>
      </c>
      <c r="C26" s="732"/>
      <c r="D26" s="734"/>
      <c r="E26" s="761">
        <v>54404</v>
      </c>
      <c r="F26" s="762"/>
      <c r="G26" s="209"/>
      <c r="H26" s="761">
        <v>63197</v>
      </c>
      <c r="I26" s="762"/>
      <c r="J26" s="210"/>
    </row>
    <row r="27" spans="2:15" ht="15.75" customHeight="1">
      <c r="B27" s="760" t="s">
        <v>47</v>
      </c>
      <c r="C27" s="732"/>
      <c r="D27" s="734"/>
      <c r="E27" s="761">
        <v>3482</v>
      </c>
      <c r="F27" s="762"/>
      <c r="G27" s="209"/>
      <c r="H27" s="761">
        <v>5214</v>
      </c>
      <c r="I27" s="762"/>
      <c r="J27" s="210"/>
    </row>
    <row r="28" spans="2:15" ht="15.75" customHeight="1">
      <c r="B28" s="766" t="s">
        <v>48</v>
      </c>
      <c r="C28" s="734"/>
      <c r="D28" s="734"/>
      <c r="E28" s="764">
        <v>61815</v>
      </c>
      <c r="F28" s="762"/>
      <c r="G28" s="209"/>
      <c r="H28" s="764">
        <v>69045</v>
      </c>
      <c r="I28" s="762"/>
      <c r="J28" s="210"/>
    </row>
    <row r="29" spans="2:15" ht="15.75" customHeight="1">
      <c r="B29" s="765" t="s">
        <v>49</v>
      </c>
      <c r="C29" s="734"/>
      <c r="D29" s="734"/>
      <c r="E29" s="761">
        <v>37567</v>
      </c>
      <c r="F29" s="762"/>
      <c r="G29" s="209"/>
      <c r="H29" s="761">
        <v>40559</v>
      </c>
      <c r="I29" s="762"/>
      <c r="J29" s="210"/>
    </row>
    <row r="30" spans="2:15" ht="15.75" customHeight="1">
      <c r="B30" s="765" t="s">
        <v>50</v>
      </c>
      <c r="C30" s="732"/>
      <c r="D30" s="734"/>
      <c r="E30" s="761">
        <v>10278</v>
      </c>
      <c r="F30" s="762"/>
      <c r="G30" s="209"/>
      <c r="H30" s="761">
        <v>10045</v>
      </c>
      <c r="I30" s="762"/>
      <c r="J30" s="210"/>
    </row>
    <row r="31" spans="2:15" ht="15.75" customHeight="1">
      <c r="B31" s="765" t="s">
        <v>51</v>
      </c>
      <c r="C31" s="732"/>
      <c r="D31" s="734"/>
      <c r="E31" s="761">
        <v>23460</v>
      </c>
      <c r="F31" s="762"/>
      <c r="G31" s="209"/>
      <c r="H31" s="761">
        <v>22874</v>
      </c>
      <c r="I31" s="762"/>
      <c r="J31" s="210"/>
    </row>
    <row r="32" spans="2:15" ht="15.75" customHeight="1">
      <c r="B32" s="765" t="s">
        <v>52</v>
      </c>
      <c r="C32" s="732"/>
      <c r="D32" s="734"/>
      <c r="E32" s="761">
        <v>2036</v>
      </c>
      <c r="F32" s="762"/>
      <c r="G32" s="209"/>
      <c r="H32" s="761">
        <v>2338</v>
      </c>
      <c r="I32" s="762"/>
      <c r="J32" s="210"/>
    </row>
    <row r="33" spans="2:14" ht="15.75" customHeight="1">
      <c r="B33" s="765" t="s">
        <v>53</v>
      </c>
      <c r="C33" s="732"/>
      <c r="D33" s="734"/>
      <c r="E33" s="761">
        <v>21095</v>
      </c>
      <c r="F33" s="762"/>
      <c r="G33" s="209"/>
      <c r="H33" s="761">
        <v>21733</v>
      </c>
      <c r="I33" s="762"/>
      <c r="J33" s="210"/>
    </row>
    <row r="34" spans="2:14" ht="15.75" customHeight="1">
      <c r="B34" s="766" t="s">
        <v>54</v>
      </c>
      <c r="C34" s="734"/>
      <c r="D34" s="734"/>
      <c r="E34" s="764">
        <v>156251</v>
      </c>
      <c r="F34" s="762"/>
      <c r="G34" s="209"/>
      <c r="H34" s="764">
        <v>166594</v>
      </c>
      <c r="I34" s="762"/>
      <c r="J34" s="210"/>
    </row>
    <row r="35" spans="2:14" ht="15.75" customHeight="1">
      <c r="B35" s="741"/>
      <c r="C35" s="732"/>
      <c r="D35" s="734"/>
      <c r="E35" s="748"/>
      <c r="F35" s="732"/>
      <c r="G35" s="734"/>
      <c r="H35" s="748"/>
      <c r="I35" s="732"/>
      <c r="J35" s="749"/>
      <c r="N35" s="55"/>
    </row>
    <row r="36" spans="2:14" ht="15.75" customHeight="1">
      <c r="B36" s="765" t="s">
        <v>55</v>
      </c>
      <c r="C36" s="732"/>
      <c r="D36" s="734"/>
      <c r="E36" s="748"/>
      <c r="F36" s="732"/>
      <c r="G36" s="734"/>
      <c r="H36" s="748"/>
      <c r="I36" s="732"/>
      <c r="J36" s="749"/>
    </row>
    <row r="37" spans="2:14" ht="15.75" customHeight="1">
      <c r="B37" s="741"/>
      <c r="C37" s="732"/>
      <c r="D37" s="734"/>
      <c r="E37" s="748"/>
      <c r="F37" s="732"/>
      <c r="G37" s="734"/>
      <c r="H37" s="748"/>
      <c r="I37" s="732"/>
      <c r="J37" s="749"/>
    </row>
    <row r="38" spans="2:14" ht="15.75" customHeight="1">
      <c r="B38" s="759" t="s">
        <v>56</v>
      </c>
      <c r="C38" s="732"/>
      <c r="D38" s="734"/>
      <c r="E38" s="748"/>
      <c r="F38" s="732"/>
      <c r="G38" s="734"/>
      <c r="H38" s="748"/>
      <c r="I38" s="732"/>
      <c r="J38" s="749"/>
    </row>
    <row r="39" spans="2:14" ht="15.75" customHeight="1">
      <c r="B39" s="760" t="s">
        <v>57</v>
      </c>
      <c r="C39" s="732"/>
      <c r="D39" s="734"/>
      <c r="E39" s="761">
        <v>16029</v>
      </c>
      <c r="F39" s="762"/>
      <c r="G39" s="209"/>
      <c r="H39" s="761">
        <v>15752</v>
      </c>
      <c r="I39" s="762"/>
      <c r="J39" s="210"/>
    </row>
    <row r="40" spans="2:14" ht="15.75" customHeight="1">
      <c r="B40" s="765" t="s">
        <v>58</v>
      </c>
      <c r="C40" s="732"/>
      <c r="D40" s="734"/>
      <c r="E40" s="761">
        <v>444731</v>
      </c>
      <c r="F40" s="762"/>
      <c r="G40" s="209"/>
      <c r="H40" s="761">
        <v>432860</v>
      </c>
      <c r="I40" s="762"/>
      <c r="J40" s="210"/>
      <c r="L40" s="1"/>
      <c r="M40" s="1"/>
      <c r="N40" s="1"/>
    </row>
    <row r="41" spans="2:14" ht="15.75" customHeight="1">
      <c r="B41" s="765" t="s">
        <v>59</v>
      </c>
      <c r="C41" s="732"/>
      <c r="D41" s="734"/>
      <c r="E41" s="761">
        <v>-12657</v>
      </c>
      <c r="F41" s="767"/>
      <c r="G41" s="209"/>
      <c r="H41" s="761">
        <v>-13270</v>
      </c>
      <c r="I41" s="767"/>
      <c r="J41" s="210"/>
      <c r="L41" s="1"/>
      <c r="M41" s="35"/>
      <c r="N41" s="35"/>
    </row>
    <row r="42" spans="2:14" ht="15.75" customHeight="1">
      <c r="B42" s="760" t="s">
        <v>60</v>
      </c>
      <c r="C42" s="732"/>
      <c r="D42" s="734"/>
      <c r="E42" s="761">
        <v>-249057</v>
      </c>
      <c r="F42" s="767"/>
      <c r="G42" s="209"/>
      <c r="H42" s="761">
        <v>-240293</v>
      </c>
      <c r="I42" s="767"/>
      <c r="J42" s="210"/>
      <c r="L42" s="1"/>
      <c r="M42" s="35"/>
      <c r="N42" s="35"/>
    </row>
    <row r="43" spans="2:14" ht="15.75" customHeight="1">
      <c r="B43" s="766" t="s">
        <v>61</v>
      </c>
      <c r="C43" s="734"/>
      <c r="D43" s="734"/>
      <c r="E43" s="764">
        <v>199046</v>
      </c>
      <c r="F43" s="762"/>
      <c r="G43" s="209"/>
      <c r="H43" s="764">
        <v>195049</v>
      </c>
      <c r="I43" s="762"/>
      <c r="J43" s="210"/>
      <c r="L43" s="1"/>
      <c r="M43" s="35"/>
      <c r="N43" s="35"/>
    </row>
    <row r="44" spans="2:14" ht="16">
      <c r="B44" s="765" t="s">
        <v>62</v>
      </c>
      <c r="C44" s="734"/>
      <c r="D44" s="734"/>
      <c r="E44" s="761">
        <v>7951</v>
      </c>
      <c r="F44" s="762"/>
      <c r="G44" s="209"/>
      <c r="H44" s="761">
        <v>7424</v>
      </c>
      <c r="I44" s="762"/>
      <c r="J44" s="210"/>
      <c r="L44" s="1"/>
      <c r="M44" s="29"/>
      <c r="N44" s="29"/>
    </row>
    <row r="45" spans="2:14" ht="15.75" customHeight="1">
      <c r="B45" s="766" t="s">
        <v>63</v>
      </c>
      <c r="C45" s="734"/>
      <c r="D45" s="734"/>
      <c r="E45" s="764">
        <v>206997</v>
      </c>
      <c r="F45" s="762"/>
      <c r="G45" s="209"/>
      <c r="H45" s="764">
        <v>202473</v>
      </c>
      <c r="I45" s="762"/>
      <c r="J45" s="210"/>
      <c r="L45" s="1"/>
      <c r="M45" s="1"/>
      <c r="N45" s="1"/>
    </row>
    <row r="46" spans="2:14" ht="17" thickBot="1">
      <c r="B46" s="770" t="s">
        <v>64</v>
      </c>
      <c r="C46" s="771"/>
      <c r="D46" s="771"/>
      <c r="E46" s="768">
        <v>363248</v>
      </c>
      <c r="F46" s="769"/>
      <c r="G46" s="211"/>
      <c r="H46" s="768">
        <v>369067</v>
      </c>
      <c r="I46" s="769"/>
      <c r="J46" s="212"/>
    </row>
  </sheetData>
  <mergeCells count="122">
    <mergeCell ref="B28:D28"/>
    <mergeCell ref="E28:F28"/>
    <mergeCell ref="B29:D29"/>
    <mergeCell ref="E29:F29"/>
    <mergeCell ref="E30:F30"/>
    <mergeCell ref="H32:I32"/>
    <mergeCell ref="H33:I33"/>
    <mergeCell ref="H34:I34"/>
    <mergeCell ref="H25:I25"/>
    <mergeCell ref="H26:I26"/>
    <mergeCell ref="H27:I27"/>
    <mergeCell ref="H28:I28"/>
    <mergeCell ref="H29:I29"/>
    <mergeCell ref="H30:I30"/>
    <mergeCell ref="H31:I31"/>
    <mergeCell ref="B30:D30"/>
    <mergeCell ref="B31:D31"/>
    <mergeCell ref="E31:F31"/>
    <mergeCell ref="B32:D32"/>
    <mergeCell ref="E32:F32"/>
    <mergeCell ref="B33:D33"/>
    <mergeCell ref="E33:F33"/>
    <mergeCell ref="B34:D34"/>
    <mergeCell ref="E34:F34"/>
    <mergeCell ref="B24:D24"/>
    <mergeCell ref="E24:G24"/>
    <mergeCell ref="H24:J24"/>
    <mergeCell ref="B25:D25"/>
    <mergeCell ref="E25:F25"/>
    <mergeCell ref="B26:D26"/>
    <mergeCell ref="E26:F26"/>
    <mergeCell ref="B27:D27"/>
    <mergeCell ref="E27:F27"/>
    <mergeCell ref="E23:G23"/>
    <mergeCell ref="H23:J23"/>
    <mergeCell ref="B20:D20"/>
    <mergeCell ref="B21:D21"/>
    <mergeCell ref="E21:F21"/>
    <mergeCell ref="B22:D22"/>
    <mergeCell ref="E22:G22"/>
    <mergeCell ref="H22:J22"/>
    <mergeCell ref="B23:D23"/>
    <mergeCell ref="H46:I46"/>
    <mergeCell ref="B39:D39"/>
    <mergeCell ref="E39:F39"/>
    <mergeCell ref="H39:I39"/>
    <mergeCell ref="B40:D40"/>
    <mergeCell ref="E40:F40"/>
    <mergeCell ref="B41:D41"/>
    <mergeCell ref="E41:F41"/>
    <mergeCell ref="B45:D45"/>
    <mergeCell ref="B46:D46"/>
    <mergeCell ref="E46:F46"/>
    <mergeCell ref="B42:D42"/>
    <mergeCell ref="E42:F42"/>
    <mergeCell ref="B43:D43"/>
    <mergeCell ref="E43:F43"/>
    <mergeCell ref="B44:D44"/>
    <mergeCell ref="E44:F44"/>
    <mergeCell ref="E45:F45"/>
    <mergeCell ref="B38:D38"/>
    <mergeCell ref="E38:G38"/>
    <mergeCell ref="H38:J38"/>
    <mergeCell ref="H40:I40"/>
    <mergeCell ref="H41:I41"/>
    <mergeCell ref="H42:I42"/>
    <mergeCell ref="H43:I43"/>
    <mergeCell ref="H44:I44"/>
    <mergeCell ref="H45:I45"/>
    <mergeCell ref="B35:D35"/>
    <mergeCell ref="E35:G35"/>
    <mergeCell ref="H35:J35"/>
    <mergeCell ref="E36:G36"/>
    <mergeCell ref="H36:J36"/>
    <mergeCell ref="B36:D36"/>
    <mergeCell ref="B37:D37"/>
    <mergeCell ref="E37:G37"/>
    <mergeCell ref="H37:J37"/>
    <mergeCell ref="H15:I15"/>
    <mergeCell ref="H16:I16"/>
    <mergeCell ref="H17:I17"/>
    <mergeCell ref="H18:I18"/>
    <mergeCell ref="H19:I19"/>
    <mergeCell ref="H20:I20"/>
    <mergeCell ref="H21:I21"/>
    <mergeCell ref="B14:D14"/>
    <mergeCell ref="E14:F14"/>
    <mergeCell ref="H14:I14"/>
    <mergeCell ref="B15:D15"/>
    <mergeCell ref="E15:F15"/>
    <mergeCell ref="B16:D16"/>
    <mergeCell ref="E16:F16"/>
    <mergeCell ref="B17:D17"/>
    <mergeCell ref="E17:F17"/>
    <mergeCell ref="B18:D18"/>
    <mergeCell ref="E18:F18"/>
    <mergeCell ref="B19:D19"/>
    <mergeCell ref="E19:F19"/>
    <mergeCell ref="E20:F20"/>
    <mergeCell ref="B10:D10"/>
    <mergeCell ref="E10:F10"/>
    <mergeCell ref="H10:I10"/>
    <mergeCell ref="E13:G13"/>
    <mergeCell ref="H13:J13"/>
    <mergeCell ref="B11:D11"/>
    <mergeCell ref="E11:F11"/>
    <mergeCell ref="H11:I11"/>
    <mergeCell ref="B12:D12"/>
    <mergeCell ref="E12:F12"/>
    <mergeCell ref="H12:I12"/>
    <mergeCell ref="B13:D13"/>
    <mergeCell ref="B4:G4"/>
    <mergeCell ref="B6:D6"/>
    <mergeCell ref="B7:D7"/>
    <mergeCell ref="E7:G7"/>
    <mergeCell ref="H7:J7"/>
    <mergeCell ref="E8:G8"/>
    <mergeCell ref="H8:J8"/>
    <mergeCell ref="B8:D8"/>
    <mergeCell ref="B9:D9"/>
    <mergeCell ref="E9:G9"/>
    <mergeCell ref="H9: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059-B94C-4DEA-8973-37B469ED5AA5}">
  <sheetPr>
    <tabColor rgb="FF0C479D"/>
  </sheetPr>
  <dimension ref="B3:L43"/>
  <sheetViews>
    <sheetView topLeftCell="A4" workbookViewId="0">
      <selection activeCell="B49" sqref="B49"/>
    </sheetView>
  </sheetViews>
  <sheetFormatPr baseColWidth="10" defaultColWidth="11.5" defaultRowHeight="13"/>
  <cols>
    <col min="2" max="2" width="66.33203125" customWidth="1"/>
  </cols>
  <sheetData>
    <row r="3" spans="2:12">
      <c r="B3" s="213"/>
      <c r="C3" s="213"/>
      <c r="D3" s="213"/>
      <c r="E3" s="213"/>
      <c r="F3" s="213"/>
      <c r="G3" s="213"/>
      <c r="H3" s="213"/>
      <c r="I3" s="213"/>
      <c r="J3" s="213"/>
    </row>
    <row r="4" spans="2:12" ht="17" thickBot="1">
      <c r="B4" s="330" t="s">
        <v>65</v>
      </c>
      <c r="C4" s="214"/>
      <c r="D4" s="215"/>
      <c r="E4" s="214"/>
      <c r="F4" s="216"/>
      <c r="G4" s="216"/>
      <c r="H4" s="216"/>
      <c r="I4" s="217"/>
      <c r="J4" s="217"/>
    </row>
    <row r="5" spans="2:12" ht="14" thickBot="1">
      <c r="B5" s="331" t="s">
        <v>66</v>
      </c>
      <c r="C5" s="332">
        <v>2022</v>
      </c>
      <c r="D5" s="332">
        <v>2021</v>
      </c>
      <c r="E5" s="332">
        <v>2020</v>
      </c>
      <c r="F5" s="332">
        <v>2019</v>
      </c>
      <c r="G5" s="332">
        <v>2018</v>
      </c>
      <c r="H5" s="332">
        <v>2017</v>
      </c>
      <c r="I5" s="332">
        <v>2016</v>
      </c>
      <c r="J5" s="333">
        <v>2015</v>
      </c>
    </row>
    <row r="6" spans="2:12">
      <c r="B6" s="334" t="s">
        <v>67</v>
      </c>
      <c r="C6" s="335"/>
      <c r="D6" s="336"/>
      <c r="E6" s="335"/>
      <c r="F6" s="337"/>
      <c r="G6" s="337"/>
      <c r="H6" s="337"/>
      <c r="I6" s="337"/>
      <c r="J6" s="338"/>
    </row>
    <row r="7" spans="2:12">
      <c r="B7" s="339" t="s">
        <v>28</v>
      </c>
      <c r="C7" s="335"/>
      <c r="D7" s="336"/>
      <c r="E7" s="335"/>
      <c r="F7" s="337"/>
      <c r="G7" s="337"/>
      <c r="H7" s="337"/>
      <c r="I7" s="337"/>
      <c r="J7" s="338"/>
    </row>
    <row r="8" spans="2:12">
      <c r="B8" s="339" t="s">
        <v>68</v>
      </c>
      <c r="C8" s="340">
        <v>29640</v>
      </c>
      <c r="D8" s="341">
        <v>6802</v>
      </c>
      <c r="E8" s="340">
        <v>4364</v>
      </c>
      <c r="F8" s="341">
        <v>3089</v>
      </c>
      <c r="G8" s="340">
        <v>3042</v>
      </c>
      <c r="H8" s="340">
        <v>3177</v>
      </c>
      <c r="I8" s="340">
        <v>3657</v>
      </c>
      <c r="J8" s="342">
        <v>3705</v>
      </c>
    </row>
    <row r="9" spans="2:12">
      <c r="B9" s="339" t="s">
        <v>69</v>
      </c>
      <c r="C9" s="336">
        <v>25</v>
      </c>
      <c r="D9" s="337" t="s">
        <v>70</v>
      </c>
      <c r="E9" s="336" t="s">
        <v>70</v>
      </c>
      <c r="F9" s="337" t="s">
        <v>70</v>
      </c>
      <c r="G9" s="336" t="s">
        <v>70</v>
      </c>
      <c r="H9" s="336" t="s">
        <v>70</v>
      </c>
      <c r="I9" s="336" t="s">
        <v>70</v>
      </c>
      <c r="J9" s="343" t="s">
        <v>70</v>
      </c>
    </row>
    <row r="10" spans="2:12">
      <c r="B10" s="339" t="s">
        <v>71</v>
      </c>
      <c r="C10" s="340">
        <v>41749</v>
      </c>
      <c r="D10" s="341">
        <v>32383</v>
      </c>
      <c r="E10" s="340">
        <v>20581</v>
      </c>
      <c r="F10" s="341">
        <v>26966</v>
      </c>
      <c r="G10" s="340">
        <v>24701</v>
      </c>
      <c r="H10" s="340">
        <v>25597</v>
      </c>
      <c r="I10" s="340">
        <v>21394</v>
      </c>
      <c r="J10" s="342">
        <v>19875</v>
      </c>
    </row>
    <row r="11" spans="2:12">
      <c r="B11" s="339" t="s">
        <v>72</v>
      </c>
      <c r="C11" s="344" t="s">
        <v>70</v>
      </c>
      <c r="D11" s="337" t="s">
        <v>70</v>
      </c>
      <c r="E11" s="344" t="s">
        <v>70</v>
      </c>
      <c r="F11" s="337" t="s">
        <v>70</v>
      </c>
      <c r="G11" s="337" t="s">
        <v>70</v>
      </c>
      <c r="H11" s="337" t="s">
        <v>70</v>
      </c>
      <c r="I11" s="337" t="s">
        <v>70</v>
      </c>
      <c r="J11" s="338" t="s">
        <v>70</v>
      </c>
    </row>
    <row r="12" spans="2:12">
      <c r="B12" s="339" t="s">
        <v>73</v>
      </c>
      <c r="C12" s="340">
        <v>20434</v>
      </c>
      <c r="D12" s="341">
        <v>14519</v>
      </c>
      <c r="E12" s="340">
        <v>14169</v>
      </c>
      <c r="F12" s="341">
        <v>14010</v>
      </c>
      <c r="G12" s="340">
        <v>14803</v>
      </c>
      <c r="H12" s="340">
        <v>12871</v>
      </c>
      <c r="I12" s="340">
        <v>10877</v>
      </c>
      <c r="J12" s="342">
        <v>12037</v>
      </c>
    </row>
    <row r="13" spans="2:12">
      <c r="B13" s="339" t="s">
        <v>74</v>
      </c>
      <c r="C13" s="340">
        <v>4001</v>
      </c>
      <c r="D13" s="341">
        <v>4261</v>
      </c>
      <c r="E13" s="340">
        <v>4681</v>
      </c>
      <c r="F13" s="341">
        <v>4518</v>
      </c>
      <c r="G13" s="340">
        <v>4155</v>
      </c>
      <c r="H13" s="340">
        <v>4121</v>
      </c>
      <c r="I13" s="340">
        <v>4203</v>
      </c>
      <c r="J13" s="342">
        <v>4208</v>
      </c>
    </row>
    <row r="14" spans="2:12">
      <c r="B14" s="339" t="s">
        <v>75</v>
      </c>
      <c r="C14" s="340">
        <v>1782</v>
      </c>
      <c r="D14" s="341">
        <v>1189</v>
      </c>
      <c r="E14" s="340">
        <v>1098</v>
      </c>
      <c r="F14" s="341">
        <v>1469</v>
      </c>
      <c r="G14" s="340">
        <v>1272</v>
      </c>
      <c r="H14" s="340">
        <v>1368</v>
      </c>
      <c r="I14" s="340">
        <v>1285</v>
      </c>
      <c r="J14" s="342">
        <v>2798</v>
      </c>
    </row>
    <row r="15" spans="2:12" ht="14" thickBot="1">
      <c r="B15" s="345" t="s">
        <v>36</v>
      </c>
      <c r="C15" s="346">
        <v>97631</v>
      </c>
      <c r="D15" s="347">
        <v>59154</v>
      </c>
      <c r="E15" s="346">
        <v>44893</v>
      </c>
      <c r="F15" s="347">
        <v>50052</v>
      </c>
      <c r="G15" s="346">
        <v>47973</v>
      </c>
      <c r="H15" s="346">
        <v>47134</v>
      </c>
      <c r="I15" s="346">
        <v>41416</v>
      </c>
      <c r="J15" s="348">
        <v>42623</v>
      </c>
      <c r="L15" s="66"/>
    </row>
    <row r="16" spans="2:12" ht="17" thickTop="1">
      <c r="B16" s="339" t="s">
        <v>37</v>
      </c>
      <c r="C16" s="349">
        <v>49793</v>
      </c>
      <c r="D16" s="341">
        <v>45195</v>
      </c>
      <c r="E16" s="340">
        <v>43515</v>
      </c>
      <c r="F16" s="341">
        <v>43164</v>
      </c>
      <c r="G16" s="340">
        <v>40790</v>
      </c>
      <c r="H16" s="340">
        <v>39160</v>
      </c>
      <c r="I16" s="340">
        <v>35102</v>
      </c>
      <c r="J16" s="342">
        <v>34245</v>
      </c>
    </row>
    <row r="17" spans="2:10">
      <c r="B17" s="339" t="s">
        <v>76</v>
      </c>
      <c r="C17" s="340">
        <v>204692</v>
      </c>
      <c r="D17" s="341">
        <v>216552</v>
      </c>
      <c r="E17" s="340">
        <v>227553</v>
      </c>
      <c r="F17" s="341">
        <v>253018</v>
      </c>
      <c r="G17" s="340">
        <v>247101</v>
      </c>
      <c r="H17" s="340">
        <v>252630</v>
      </c>
      <c r="I17" s="340">
        <v>244224</v>
      </c>
      <c r="J17" s="342">
        <v>251605</v>
      </c>
    </row>
    <row r="18" spans="2:10">
      <c r="B18" s="339" t="s">
        <v>77</v>
      </c>
      <c r="C18" s="340">
        <v>16951</v>
      </c>
      <c r="D18" s="341">
        <v>18022</v>
      </c>
      <c r="E18" s="340">
        <v>16789</v>
      </c>
      <c r="F18" s="341">
        <v>16363</v>
      </c>
      <c r="G18" s="340">
        <v>10332</v>
      </c>
      <c r="H18" s="340">
        <v>9767</v>
      </c>
      <c r="I18" s="340">
        <v>9572</v>
      </c>
      <c r="J18" s="342">
        <v>8285</v>
      </c>
    </row>
    <row r="19" spans="2:10" ht="14" thickBot="1">
      <c r="B19" s="350" t="s">
        <v>78</v>
      </c>
      <c r="C19" s="346">
        <v>369067</v>
      </c>
      <c r="D19" s="347">
        <v>338923</v>
      </c>
      <c r="E19" s="346">
        <v>332750</v>
      </c>
      <c r="F19" s="347">
        <v>362597</v>
      </c>
      <c r="G19" s="346">
        <v>346196</v>
      </c>
      <c r="H19" s="346">
        <v>348691</v>
      </c>
      <c r="I19" s="346">
        <v>330314</v>
      </c>
      <c r="J19" s="348">
        <v>336758</v>
      </c>
    </row>
    <row r="20" spans="2:10" ht="14" thickTop="1">
      <c r="B20" s="334" t="s">
        <v>79</v>
      </c>
      <c r="C20" s="344"/>
      <c r="D20" s="337"/>
      <c r="E20" s="344"/>
      <c r="F20" s="337"/>
      <c r="G20" s="337"/>
      <c r="H20" s="337"/>
      <c r="I20" s="337"/>
      <c r="J20" s="338"/>
    </row>
    <row r="21" spans="2:10">
      <c r="B21" s="339" t="s">
        <v>44</v>
      </c>
      <c r="C21" s="344"/>
      <c r="D21" s="337"/>
      <c r="E21" s="344"/>
      <c r="F21" s="337"/>
      <c r="G21" s="337"/>
      <c r="H21" s="337"/>
      <c r="I21" s="337"/>
      <c r="J21" s="338"/>
    </row>
    <row r="22" spans="2:10">
      <c r="B22" s="339" t="s">
        <v>80</v>
      </c>
      <c r="C22" s="336">
        <v>634</v>
      </c>
      <c r="D22" s="341">
        <v>4276</v>
      </c>
      <c r="E22" s="340">
        <v>20458</v>
      </c>
      <c r="F22" s="341">
        <v>20578</v>
      </c>
      <c r="G22" s="340">
        <v>17258</v>
      </c>
      <c r="H22" s="340">
        <v>17930</v>
      </c>
      <c r="I22" s="340">
        <v>13830</v>
      </c>
      <c r="J22" s="342">
        <v>18762</v>
      </c>
    </row>
    <row r="23" spans="2:10">
      <c r="B23" s="339" t="s">
        <v>81</v>
      </c>
      <c r="C23" s="340">
        <v>63197</v>
      </c>
      <c r="D23" s="341">
        <v>50766</v>
      </c>
      <c r="E23" s="340">
        <v>35221</v>
      </c>
      <c r="F23" s="341">
        <v>41831</v>
      </c>
      <c r="G23" s="340">
        <v>37268</v>
      </c>
      <c r="H23" s="340">
        <v>36796</v>
      </c>
      <c r="I23" s="340">
        <v>31193</v>
      </c>
      <c r="J23" s="342">
        <v>32412</v>
      </c>
    </row>
    <row r="24" spans="2:10">
      <c r="B24" s="339" t="s">
        <v>82</v>
      </c>
      <c r="C24" s="340">
        <v>5214</v>
      </c>
      <c r="D24" s="341">
        <v>1601</v>
      </c>
      <c r="E24" s="336">
        <v>684</v>
      </c>
      <c r="F24" s="341">
        <v>1580</v>
      </c>
      <c r="G24" s="340">
        <v>2612</v>
      </c>
      <c r="H24" s="340">
        <v>3045</v>
      </c>
      <c r="I24" s="340">
        <v>2615</v>
      </c>
      <c r="J24" s="342">
        <v>2802</v>
      </c>
    </row>
    <row r="25" spans="2:10" ht="14" thickBot="1">
      <c r="B25" s="345" t="s">
        <v>48</v>
      </c>
      <c r="C25" s="346">
        <v>69054</v>
      </c>
      <c r="D25" s="347">
        <v>56643</v>
      </c>
      <c r="E25" s="346">
        <v>56363</v>
      </c>
      <c r="F25" s="347">
        <v>63989</v>
      </c>
      <c r="G25" s="351">
        <v>57138</v>
      </c>
      <c r="H25" s="346">
        <v>57771</v>
      </c>
      <c r="I25" s="346">
        <v>47638</v>
      </c>
      <c r="J25" s="348">
        <v>53976</v>
      </c>
    </row>
    <row r="26" spans="2:10" ht="14" thickTop="1">
      <c r="B26" s="339" t="s">
        <v>49</v>
      </c>
      <c r="C26" s="340">
        <v>40559</v>
      </c>
      <c r="D26" s="341">
        <v>43428</v>
      </c>
      <c r="E26" s="340">
        <v>47182</v>
      </c>
      <c r="F26" s="341">
        <v>26342</v>
      </c>
      <c r="G26" s="352">
        <v>20538</v>
      </c>
      <c r="H26" s="340">
        <v>24406</v>
      </c>
      <c r="I26" s="340">
        <v>28932</v>
      </c>
      <c r="J26" s="342">
        <v>19925</v>
      </c>
    </row>
    <row r="27" spans="2:10">
      <c r="B27" s="339" t="s">
        <v>50</v>
      </c>
      <c r="C27" s="340">
        <v>10045</v>
      </c>
      <c r="D27" s="341">
        <v>18430</v>
      </c>
      <c r="E27" s="340">
        <v>22415</v>
      </c>
      <c r="F27" s="341">
        <v>22304</v>
      </c>
      <c r="G27" s="340">
        <v>20272</v>
      </c>
      <c r="H27" s="340">
        <v>21132</v>
      </c>
      <c r="I27" s="340">
        <v>20680</v>
      </c>
      <c r="J27" s="342">
        <v>22647</v>
      </c>
    </row>
    <row r="28" spans="2:10">
      <c r="B28" s="339" t="s">
        <v>51</v>
      </c>
      <c r="C28" s="340">
        <v>22874</v>
      </c>
      <c r="D28" s="341">
        <v>20165</v>
      </c>
      <c r="E28" s="340">
        <v>18165</v>
      </c>
      <c r="F28" s="341">
        <v>25620</v>
      </c>
      <c r="G28" s="340">
        <v>27244</v>
      </c>
      <c r="H28" s="340">
        <v>26893</v>
      </c>
      <c r="I28" s="340">
        <v>34041</v>
      </c>
      <c r="J28" s="342">
        <v>36818</v>
      </c>
    </row>
    <row r="29" spans="2:10">
      <c r="B29" s="339" t="s">
        <v>52</v>
      </c>
      <c r="C29" s="340">
        <v>2338</v>
      </c>
      <c r="D29" s="341">
        <v>2857</v>
      </c>
      <c r="E29" s="340">
        <v>3253</v>
      </c>
      <c r="F29" s="341">
        <v>3988</v>
      </c>
      <c r="G29" s="340">
        <v>4382</v>
      </c>
      <c r="H29" s="340">
        <v>4774</v>
      </c>
      <c r="I29" s="340">
        <v>5124</v>
      </c>
      <c r="J29" s="342">
        <v>5417</v>
      </c>
    </row>
    <row r="30" spans="2:10">
      <c r="B30" s="339" t="s">
        <v>53</v>
      </c>
      <c r="C30" s="340">
        <v>21733</v>
      </c>
      <c r="D30" s="341">
        <v>21717</v>
      </c>
      <c r="E30" s="340">
        <v>21242</v>
      </c>
      <c r="F30" s="341">
        <v>21416</v>
      </c>
      <c r="G30" s="340">
        <v>18094</v>
      </c>
      <c r="H30" s="340">
        <v>19215</v>
      </c>
      <c r="I30" s="340">
        <v>20069</v>
      </c>
      <c r="J30" s="342">
        <v>21165</v>
      </c>
    </row>
    <row r="31" spans="2:10" ht="14" thickBot="1">
      <c r="B31" s="350" t="s">
        <v>83</v>
      </c>
      <c r="C31" s="346">
        <v>166594</v>
      </c>
      <c r="D31" s="347">
        <v>163240</v>
      </c>
      <c r="E31" s="346">
        <v>168620</v>
      </c>
      <c r="F31" s="347">
        <v>163659</v>
      </c>
      <c r="G31" s="351">
        <v>147668</v>
      </c>
      <c r="H31" s="346">
        <v>154191</v>
      </c>
      <c r="I31" s="346">
        <v>156484</v>
      </c>
      <c r="J31" s="348">
        <v>159948</v>
      </c>
    </row>
    <row r="32" spans="2:10" ht="14" thickTop="1">
      <c r="B32" s="339"/>
      <c r="C32" s="335"/>
      <c r="D32" s="336"/>
      <c r="E32" s="337"/>
      <c r="F32" s="337"/>
      <c r="G32" s="337"/>
      <c r="H32" s="337"/>
      <c r="I32" s="337"/>
      <c r="J32" s="338"/>
    </row>
    <row r="33" spans="2:10">
      <c r="B33" s="334" t="s">
        <v>84</v>
      </c>
      <c r="C33" s="335"/>
      <c r="D33" s="336"/>
      <c r="E33" s="337"/>
      <c r="F33" s="337"/>
      <c r="G33" s="337"/>
      <c r="H33" s="337"/>
      <c r="I33" s="337"/>
      <c r="J33" s="338"/>
    </row>
    <row r="34" spans="2:10">
      <c r="B34" s="339" t="s">
        <v>85</v>
      </c>
      <c r="C34" s="341">
        <v>15752</v>
      </c>
      <c r="D34" s="341">
        <v>15746</v>
      </c>
      <c r="E34" s="341">
        <v>15688</v>
      </c>
      <c r="F34" s="341">
        <v>15637</v>
      </c>
      <c r="G34" s="340">
        <v>15258</v>
      </c>
      <c r="H34" s="340">
        <v>14656</v>
      </c>
      <c r="I34" s="340">
        <v>12157</v>
      </c>
      <c r="J34" s="342">
        <v>11612</v>
      </c>
    </row>
    <row r="35" spans="2:10">
      <c r="B35" s="339" t="s">
        <v>58</v>
      </c>
      <c r="C35" s="341">
        <v>432860</v>
      </c>
      <c r="D35" s="341">
        <v>392059</v>
      </c>
      <c r="E35" s="341">
        <v>383943</v>
      </c>
      <c r="F35" s="341">
        <v>421341</v>
      </c>
      <c r="G35" s="340">
        <v>421653</v>
      </c>
      <c r="H35" s="340">
        <v>414540</v>
      </c>
      <c r="I35" s="340">
        <v>407831</v>
      </c>
      <c r="J35" s="342">
        <v>412444</v>
      </c>
    </row>
    <row r="36" spans="2:10">
      <c r="B36" s="339" t="s">
        <v>59</v>
      </c>
      <c r="C36" s="341">
        <v>-13270</v>
      </c>
      <c r="D36" s="341">
        <v>-13764</v>
      </c>
      <c r="E36" s="341">
        <v>-16705</v>
      </c>
      <c r="F36" s="341">
        <v>-19493</v>
      </c>
      <c r="G36" s="340">
        <v>-19564</v>
      </c>
      <c r="H36" s="340">
        <v>-16262</v>
      </c>
      <c r="I36" s="340">
        <v>-22239</v>
      </c>
      <c r="J36" s="342">
        <v>-23511</v>
      </c>
    </row>
    <row r="37" spans="2:10">
      <c r="B37" s="339" t="s">
        <v>86</v>
      </c>
      <c r="C37" s="341">
        <v>240293</v>
      </c>
      <c r="D37" s="341">
        <v>225464</v>
      </c>
      <c r="E37" s="341">
        <v>-225776</v>
      </c>
      <c r="F37" s="341">
        <v>-225835</v>
      </c>
      <c r="G37" s="340">
        <v>-225553</v>
      </c>
      <c r="H37" s="340">
        <v>-225246</v>
      </c>
      <c r="I37" s="340">
        <v>-230424</v>
      </c>
      <c r="J37" s="342">
        <v>-229734</v>
      </c>
    </row>
    <row r="38" spans="2:10">
      <c r="B38" s="339" t="s">
        <v>61</v>
      </c>
      <c r="C38" s="341">
        <v>195049</v>
      </c>
      <c r="D38" s="341">
        <v>168577</v>
      </c>
      <c r="E38" s="341">
        <v>157150</v>
      </c>
      <c r="F38" s="341">
        <v>191650</v>
      </c>
      <c r="G38" s="340">
        <v>191794</v>
      </c>
      <c r="H38" s="340">
        <v>187688</v>
      </c>
      <c r="I38" s="340">
        <v>167325</v>
      </c>
      <c r="J38" s="342">
        <v>170811</v>
      </c>
    </row>
    <row r="39" spans="2:10">
      <c r="B39" s="339" t="s">
        <v>62</v>
      </c>
      <c r="C39" s="341">
        <v>7424</v>
      </c>
      <c r="D39" s="341">
        <v>7106</v>
      </c>
      <c r="E39" s="341">
        <v>6980</v>
      </c>
      <c r="F39" s="341">
        <v>7288</v>
      </c>
      <c r="G39" s="340">
        <v>6734</v>
      </c>
      <c r="H39" s="340">
        <v>6812</v>
      </c>
      <c r="I39" s="340">
        <v>6505</v>
      </c>
      <c r="J39" s="342">
        <v>5999</v>
      </c>
    </row>
    <row r="40" spans="2:10" ht="14" thickBot="1">
      <c r="B40" s="353" t="s">
        <v>87</v>
      </c>
      <c r="C40" s="341">
        <v>202473</v>
      </c>
      <c r="D40" s="341">
        <v>175683</v>
      </c>
      <c r="E40" s="341">
        <v>164130</v>
      </c>
      <c r="F40" s="341">
        <v>198938</v>
      </c>
      <c r="G40" s="340">
        <v>198528</v>
      </c>
      <c r="H40" s="340">
        <v>194500</v>
      </c>
      <c r="I40" s="340">
        <v>173830</v>
      </c>
      <c r="J40" s="342">
        <v>176810</v>
      </c>
    </row>
    <row r="41" spans="2:10" ht="15.75" customHeight="1" thickTop="1" thickBot="1">
      <c r="B41" s="354" t="s">
        <v>88</v>
      </c>
      <c r="C41" s="355">
        <v>369067</v>
      </c>
      <c r="D41" s="355">
        <v>338923</v>
      </c>
      <c r="E41" s="355">
        <v>332750</v>
      </c>
      <c r="F41" s="355">
        <v>362597</v>
      </c>
      <c r="G41" s="356">
        <v>346196</v>
      </c>
      <c r="H41" s="356">
        <v>348691</v>
      </c>
      <c r="I41" s="356">
        <v>330314</v>
      </c>
      <c r="J41" s="357">
        <v>336758</v>
      </c>
    </row>
    <row r="42" spans="2:10">
      <c r="B42" s="213"/>
      <c r="C42" s="213"/>
      <c r="D42" s="213"/>
      <c r="E42" s="213"/>
      <c r="F42" s="213"/>
      <c r="G42" s="213"/>
      <c r="H42" s="213"/>
      <c r="I42" s="213"/>
      <c r="J42" s="213"/>
    </row>
    <row r="43" spans="2:10">
      <c r="B43" s="213"/>
      <c r="C43" s="213"/>
      <c r="D43" s="213"/>
      <c r="E43" s="213"/>
      <c r="F43" s="213"/>
      <c r="G43" s="213"/>
      <c r="H43" s="213"/>
      <c r="I43" s="213"/>
      <c r="J43" s="2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C479D"/>
    <outlinePr summaryBelow="0" summaryRight="0"/>
  </sheetPr>
  <dimension ref="B4:P23"/>
  <sheetViews>
    <sheetView workbookViewId="0"/>
  </sheetViews>
  <sheetFormatPr baseColWidth="10" defaultColWidth="12.6640625" defaultRowHeight="15.75" customHeight="1"/>
  <sheetData>
    <row r="4" spans="2:16" ht="16">
      <c r="B4" s="26" t="s">
        <v>89</v>
      </c>
    </row>
    <row r="5" spans="2:16" ht="15.75" customHeight="1" thickBot="1"/>
    <row r="6" spans="2:16" ht="15.75" customHeight="1">
      <c r="B6" s="751" t="s">
        <v>90</v>
      </c>
      <c r="C6" s="752"/>
      <c r="D6" s="752"/>
      <c r="E6" s="754" t="s">
        <v>2</v>
      </c>
      <c r="F6" s="752"/>
      <c r="G6" s="752"/>
      <c r="H6" s="752"/>
      <c r="I6" s="752"/>
      <c r="J6" s="752"/>
      <c r="K6" s="168" t="s">
        <v>3</v>
      </c>
      <c r="L6" s="168"/>
      <c r="M6" s="218"/>
      <c r="N6" s="27"/>
      <c r="O6" s="27"/>
      <c r="P6" s="27"/>
    </row>
    <row r="7" spans="2:16" ht="15.75" customHeight="1">
      <c r="B7" s="753"/>
      <c r="C7" s="732"/>
      <c r="D7" s="732"/>
      <c r="E7" s="204">
        <v>2023</v>
      </c>
      <c r="F7" s="204"/>
      <c r="G7" s="204">
        <v>2022</v>
      </c>
      <c r="H7" s="204"/>
      <c r="I7" s="204">
        <v>2023</v>
      </c>
      <c r="J7" s="204"/>
      <c r="K7" s="204"/>
      <c r="L7" s="204">
        <v>2022</v>
      </c>
      <c r="M7" s="33"/>
      <c r="N7" s="28"/>
      <c r="O7" s="1"/>
      <c r="P7" s="1"/>
    </row>
    <row r="8" spans="2:16" ht="16">
      <c r="B8" s="731" t="s">
        <v>91</v>
      </c>
      <c r="C8" s="732"/>
      <c r="D8" s="732"/>
      <c r="E8" s="772">
        <v>4609</v>
      </c>
      <c r="F8" s="732"/>
      <c r="G8" s="772">
        <v>3627</v>
      </c>
      <c r="H8" s="732"/>
      <c r="I8" s="772">
        <v>9190</v>
      </c>
      <c r="J8" s="732"/>
      <c r="K8" s="219"/>
      <c r="L8" s="735">
        <v>7506</v>
      </c>
      <c r="M8" s="749"/>
      <c r="N8" s="29"/>
      <c r="O8" s="1"/>
      <c r="P8" s="1"/>
    </row>
    <row r="9" spans="2:16" ht="16">
      <c r="B9" s="731" t="s">
        <v>92</v>
      </c>
      <c r="C9" s="732"/>
      <c r="D9" s="732"/>
      <c r="E9" s="773">
        <v>731</v>
      </c>
      <c r="F9" s="732"/>
      <c r="G9" s="773">
        <v>506</v>
      </c>
      <c r="H9" s="732"/>
      <c r="I9" s="772">
        <v>1416</v>
      </c>
      <c r="J9" s="732"/>
      <c r="K9" s="219"/>
      <c r="L9" s="735">
        <v>1072</v>
      </c>
      <c r="M9" s="749"/>
      <c r="N9" s="29"/>
      <c r="O9" s="1"/>
      <c r="P9" s="1"/>
    </row>
    <row r="10" spans="2:16" ht="16">
      <c r="B10" s="731" t="s">
        <v>93</v>
      </c>
      <c r="C10" s="732"/>
      <c r="D10" s="732"/>
      <c r="E10" s="773">
        <v>659</v>
      </c>
      <c r="F10" s="732"/>
      <c r="G10" s="773">
        <v>419</v>
      </c>
      <c r="H10" s="732"/>
      <c r="I10" s="772">
        <v>1490</v>
      </c>
      <c r="J10" s="732"/>
      <c r="K10" s="219"/>
      <c r="L10" s="743">
        <v>855</v>
      </c>
      <c r="M10" s="749"/>
      <c r="N10" s="29"/>
    </row>
    <row r="11" spans="2:16" ht="16">
      <c r="B11" s="731" t="s">
        <v>94</v>
      </c>
      <c r="C11" s="732"/>
      <c r="D11" s="732"/>
      <c r="E11" s="773">
        <v>103</v>
      </c>
      <c r="F11" s="732"/>
      <c r="G11" s="773">
        <v>56</v>
      </c>
      <c r="H11" s="732"/>
      <c r="I11" s="773">
        <v>194</v>
      </c>
      <c r="J11" s="732"/>
      <c r="K11" s="219"/>
      <c r="L11" s="743">
        <v>79</v>
      </c>
      <c r="M11" s="749"/>
      <c r="N11" s="29"/>
    </row>
    <row r="12" spans="2:16" ht="16">
      <c r="B12" s="731" t="s">
        <v>95</v>
      </c>
      <c r="C12" s="732"/>
      <c r="D12" s="732"/>
      <c r="E12" s="773">
        <v>64</v>
      </c>
      <c r="F12" s="732"/>
      <c r="G12" s="773">
        <v>1</v>
      </c>
      <c r="H12" s="732"/>
      <c r="I12" s="773">
        <v>256</v>
      </c>
      <c r="J12" s="732"/>
      <c r="K12" s="219"/>
      <c r="L12" s="743">
        <v>1</v>
      </c>
      <c r="M12" s="749"/>
      <c r="N12" s="29"/>
    </row>
    <row r="13" spans="2:16" ht="17" thickBot="1">
      <c r="B13" s="776" t="s">
        <v>96</v>
      </c>
      <c r="C13" s="777"/>
      <c r="D13" s="777"/>
      <c r="E13" s="778">
        <v>6166</v>
      </c>
      <c r="F13" s="777"/>
      <c r="G13" s="778">
        <v>4609</v>
      </c>
      <c r="H13" s="777"/>
      <c r="I13" s="778">
        <v>12546</v>
      </c>
      <c r="J13" s="777"/>
      <c r="K13" s="220"/>
      <c r="L13" s="774">
        <v>9513</v>
      </c>
      <c r="M13" s="775"/>
    </row>
    <row r="14" spans="2:16" ht="13"/>
    <row r="15" spans="2:16" ht="15.75" customHeight="1">
      <c r="B15" s="30" t="s">
        <v>97</v>
      </c>
    </row>
    <row r="16" spans="2:16" ht="15.75" customHeight="1">
      <c r="B16" s="30" t="s">
        <v>98</v>
      </c>
    </row>
    <row r="17" spans="2:14" ht="16">
      <c r="B17" s="31"/>
    </row>
    <row r="23" spans="2:14" ht="15.75" customHeight="1">
      <c r="N23" s="1"/>
    </row>
  </sheetData>
  <mergeCells count="32">
    <mergeCell ref="B13:D13"/>
    <mergeCell ref="E13:F13"/>
    <mergeCell ref="G13:H13"/>
    <mergeCell ref="I13:J13"/>
    <mergeCell ref="B10:D10"/>
    <mergeCell ref="B11:D11"/>
    <mergeCell ref="E11:F11"/>
    <mergeCell ref="G11:H11"/>
    <mergeCell ref="I11:J11"/>
    <mergeCell ref="B12:D12"/>
    <mergeCell ref="I12:J12"/>
    <mergeCell ref="E12:F12"/>
    <mergeCell ref="G12:H12"/>
    <mergeCell ref="E10:F10"/>
    <mergeCell ref="L11:M11"/>
    <mergeCell ref="L12:M12"/>
    <mergeCell ref="L13:M13"/>
    <mergeCell ref="L8:M8"/>
    <mergeCell ref="G10:H10"/>
    <mergeCell ref="I10:J10"/>
    <mergeCell ref="L10:M10"/>
    <mergeCell ref="B9:D9"/>
    <mergeCell ref="E9:F9"/>
    <mergeCell ref="G9:H9"/>
    <mergeCell ref="I9:J9"/>
    <mergeCell ref="L9:M9"/>
    <mergeCell ref="B6:D7"/>
    <mergeCell ref="E6:J6"/>
    <mergeCell ref="B8:D8"/>
    <mergeCell ref="E8:F8"/>
    <mergeCell ref="G8:H8"/>
    <mergeCell ref="I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E57"/>
  <sheetViews>
    <sheetView topLeftCell="A42" workbookViewId="0">
      <selection activeCell="G6" sqref="G6"/>
    </sheetView>
  </sheetViews>
  <sheetFormatPr baseColWidth="10" defaultColWidth="12.6640625" defaultRowHeight="15.75" customHeight="1"/>
  <cols>
    <col min="1" max="1" width="41" customWidth="1"/>
    <col min="2" max="2" width="24.83203125" customWidth="1"/>
    <col min="3" max="3" width="21.1640625" customWidth="1"/>
    <col min="4" max="4" width="16.1640625" customWidth="1"/>
    <col min="5" max="5" width="16.5" customWidth="1"/>
  </cols>
  <sheetData>
    <row r="2" spans="1:5" ht="15.75" customHeight="1">
      <c r="B2" s="6"/>
      <c r="C2" s="6"/>
      <c r="D2" s="6"/>
      <c r="E2" s="6"/>
    </row>
    <row r="3" spans="1:5" ht="15.75" customHeight="1" thickBot="1">
      <c r="B3" s="6"/>
      <c r="C3" s="6"/>
      <c r="D3" s="6"/>
      <c r="E3" s="6"/>
    </row>
    <row r="4" spans="1:5" ht="15.75" customHeight="1" thickBot="1">
      <c r="A4" s="636" t="s">
        <v>99</v>
      </c>
      <c r="B4" s="637" t="s">
        <v>100</v>
      </c>
      <c r="C4" s="637" t="s">
        <v>101</v>
      </c>
      <c r="D4" s="638" t="s">
        <v>102</v>
      </c>
      <c r="E4" s="6"/>
    </row>
    <row r="5" spans="1:5" ht="15.75" customHeight="1">
      <c r="A5" s="312" t="s">
        <v>103</v>
      </c>
      <c r="B5" s="313">
        <v>66.73</v>
      </c>
      <c r="C5" s="313">
        <v>12.91</v>
      </c>
      <c r="D5" s="314">
        <v>138.11000000000001</v>
      </c>
      <c r="E5" s="6"/>
    </row>
    <row r="6" spans="1:5" ht="15.75" customHeight="1">
      <c r="A6" s="312" t="s">
        <v>104</v>
      </c>
      <c r="B6" s="313">
        <v>214.09</v>
      </c>
      <c r="C6" s="313">
        <v>30.17</v>
      </c>
      <c r="D6" s="314">
        <v>309.47000000000003</v>
      </c>
      <c r="E6" s="6"/>
    </row>
    <row r="7" spans="1:5" ht="15.75" customHeight="1">
      <c r="A7" s="312" t="s">
        <v>105</v>
      </c>
      <c r="B7" s="313">
        <v>157.15</v>
      </c>
      <c r="C7" s="313">
        <v>10.9</v>
      </c>
      <c r="D7" s="314">
        <v>44.68</v>
      </c>
      <c r="E7" s="6"/>
    </row>
    <row r="8" spans="1:5" ht="15.75" customHeight="1">
      <c r="A8" s="316" t="s">
        <v>106</v>
      </c>
      <c r="B8" s="467">
        <v>364.12</v>
      </c>
      <c r="C8" s="467">
        <v>51.69</v>
      </c>
      <c r="D8" s="318">
        <v>429.02</v>
      </c>
      <c r="E8" s="6"/>
    </row>
    <row r="9" spans="1:5" ht="15.75" customHeight="1">
      <c r="A9" s="6"/>
      <c r="B9" s="6"/>
      <c r="C9" s="6"/>
      <c r="D9" s="6"/>
      <c r="E9" s="6"/>
    </row>
    <row r="29" spans="1:4" ht="15.75" customHeight="1">
      <c r="A29" s="6"/>
      <c r="B29" s="6"/>
      <c r="C29" s="6"/>
      <c r="D29" s="6"/>
    </row>
    <row r="30" spans="1:4" ht="15.75" customHeight="1">
      <c r="A30" s="20" t="s">
        <v>107</v>
      </c>
      <c r="B30" s="20"/>
      <c r="C30" s="6"/>
      <c r="D30" s="6"/>
    </row>
    <row r="31" spans="1:4" ht="15.75" customHeight="1">
      <c r="A31" s="309" t="s">
        <v>108</v>
      </c>
      <c r="B31" s="310" t="s">
        <v>109</v>
      </c>
      <c r="C31" s="311" t="s">
        <v>110</v>
      </c>
      <c r="D31" s="6"/>
    </row>
    <row r="32" spans="1:4" ht="15.75" customHeight="1">
      <c r="A32" s="312"/>
      <c r="B32" s="313"/>
      <c r="C32" s="314"/>
      <c r="D32" s="6"/>
    </row>
    <row r="33" spans="1:5" ht="15.75" customHeight="1">
      <c r="A33" s="312" t="s">
        <v>111</v>
      </c>
      <c r="B33" s="315">
        <v>45210</v>
      </c>
      <c r="C33" s="314">
        <v>59.5</v>
      </c>
      <c r="D33" s="6"/>
    </row>
    <row r="34" spans="1:5" ht="15.75" customHeight="1">
      <c r="A34" s="316" t="s">
        <v>112</v>
      </c>
      <c r="B34" s="317">
        <v>45120</v>
      </c>
      <c r="C34" s="318">
        <v>4.9000000000000004</v>
      </c>
      <c r="D34" s="6"/>
    </row>
    <row r="35" spans="1:5" ht="15.75" customHeight="1">
      <c r="A35" s="6"/>
      <c r="B35" s="6"/>
      <c r="C35" s="6"/>
      <c r="D35" s="6"/>
    </row>
    <row r="36" spans="1:5" ht="15.75" customHeight="1">
      <c r="A36" s="6"/>
      <c r="B36" s="6"/>
      <c r="C36" s="6"/>
      <c r="D36" s="6"/>
    </row>
    <row r="37" spans="1:5" ht="15.75" customHeight="1" thickBot="1">
      <c r="A37" s="6"/>
      <c r="B37" s="6"/>
      <c r="C37" s="6"/>
      <c r="D37" s="6"/>
    </row>
    <row r="38" spans="1:5" ht="15.75" customHeight="1" thickBot="1">
      <c r="A38" s="319" t="s">
        <v>113</v>
      </c>
      <c r="B38" s="320" t="s">
        <v>114</v>
      </c>
      <c r="C38" s="20"/>
      <c r="D38" s="20"/>
      <c r="E38" s="46"/>
    </row>
    <row r="39" spans="1:5" ht="15.75" customHeight="1">
      <c r="A39" s="321" t="s">
        <v>115</v>
      </c>
      <c r="B39" s="322">
        <v>4577</v>
      </c>
      <c r="C39" s="6"/>
      <c r="D39" s="6"/>
    </row>
    <row r="40" spans="1:5" ht="15.75" customHeight="1">
      <c r="A40" s="321" t="s">
        <v>116</v>
      </c>
      <c r="B40" s="322">
        <v>2310</v>
      </c>
      <c r="C40" s="6"/>
      <c r="D40" s="6"/>
    </row>
    <row r="41" spans="1:5" ht="15.75" customHeight="1">
      <c r="A41" s="321" t="s">
        <v>117</v>
      </c>
      <c r="B41" s="322">
        <v>828</v>
      </c>
      <c r="C41" s="6"/>
      <c r="D41" s="6"/>
    </row>
    <row r="42" spans="1:5" ht="15.75" customHeight="1">
      <c r="A42" s="321" t="s">
        <v>118</v>
      </c>
      <c r="B42" s="323">
        <v>671</v>
      </c>
      <c r="C42" s="20"/>
      <c r="D42" s="20"/>
      <c r="E42" s="46"/>
    </row>
    <row r="43" spans="1:5" ht="15.75" customHeight="1">
      <c r="A43" s="321" t="s">
        <v>119</v>
      </c>
      <c r="B43" s="324">
        <v>-506</v>
      </c>
      <c r="C43" s="6"/>
      <c r="D43" s="6"/>
    </row>
    <row r="44" spans="1:5" ht="15.75" customHeight="1">
      <c r="A44" s="321" t="s">
        <v>70</v>
      </c>
      <c r="B44" s="323" t="s">
        <v>70</v>
      </c>
      <c r="C44" s="6"/>
      <c r="D44" s="6"/>
    </row>
    <row r="45" spans="1:5" ht="15.75" customHeight="1" thickBot="1">
      <c r="A45" s="325" t="s">
        <v>96</v>
      </c>
      <c r="B45" s="326">
        <v>7880</v>
      </c>
      <c r="C45" s="6"/>
      <c r="D45" s="6"/>
    </row>
    <row r="46" spans="1:5" ht="15.75" customHeight="1">
      <c r="A46" s="6"/>
      <c r="B46" s="6"/>
      <c r="C46" s="6"/>
      <c r="D46" s="6"/>
    </row>
    <row r="47" spans="1:5" ht="15.75" customHeight="1">
      <c r="C47" s="46"/>
      <c r="D47" s="46"/>
      <c r="E47" s="46"/>
    </row>
    <row r="52" spans="1:5" ht="15.75" customHeight="1">
      <c r="C52" s="46"/>
      <c r="D52" s="46"/>
      <c r="E52" s="46"/>
    </row>
    <row r="54" spans="1:5" ht="15.75" customHeight="1">
      <c r="A54" s="46"/>
    </row>
    <row r="57" spans="1:5" ht="15.75" customHeight="1">
      <c r="A57" s="46"/>
      <c r="B57" s="46"/>
      <c r="C57" s="46"/>
      <c r="D57" s="46"/>
      <c r="E57" s="4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3:M50"/>
  <sheetViews>
    <sheetView zoomScale="90" workbookViewId="0">
      <selection activeCell="G32" sqref="G32"/>
    </sheetView>
  </sheetViews>
  <sheetFormatPr baseColWidth="10" defaultColWidth="12.6640625" defaultRowHeight="15.75" customHeight="1"/>
  <cols>
    <col min="2" max="2" width="41.83203125" customWidth="1"/>
    <col min="3" max="3" width="17" customWidth="1"/>
    <col min="4" max="4" width="22.6640625" customWidth="1"/>
    <col min="5" max="5" width="12.6640625" bestFit="1" customWidth="1"/>
    <col min="6" max="6" width="35.83203125" customWidth="1"/>
    <col min="8" max="8" width="19.33203125" customWidth="1"/>
    <col min="9" max="9" width="15.1640625" customWidth="1"/>
    <col min="10" max="11" width="14.33203125" customWidth="1"/>
    <col min="12" max="13" width="14.6640625" customWidth="1"/>
  </cols>
  <sheetData>
    <row r="3" spans="2:13" ht="19" thickBot="1">
      <c r="G3" s="3"/>
    </row>
    <row r="4" spans="2:13" ht="19" thickBot="1">
      <c r="B4" s="53" t="s">
        <v>120</v>
      </c>
      <c r="F4" s="52" t="s">
        <v>121</v>
      </c>
      <c r="G4" s="3"/>
    </row>
    <row r="5" spans="2:13" ht="19" thickBot="1">
      <c r="B5" s="3"/>
      <c r="C5" s="3"/>
      <c r="D5" s="3"/>
      <c r="F5" s="3"/>
      <c r="G5" s="3"/>
    </row>
    <row r="6" spans="2:13" ht="32" thickBot="1">
      <c r="B6" s="448" t="s">
        <v>122</v>
      </c>
      <c r="C6" s="449">
        <f>C13/(C13+C19)</f>
        <v>8.5620667511896342E-2</v>
      </c>
      <c r="D6" s="3"/>
      <c r="F6" s="448" t="s">
        <v>123</v>
      </c>
      <c r="G6" s="456">
        <v>4.7300000000000002E-2</v>
      </c>
      <c r="H6" s="3"/>
      <c r="I6" s="259" t="s">
        <v>124</v>
      </c>
      <c r="J6" s="260" t="s">
        <v>125</v>
      </c>
      <c r="K6" s="260" t="s">
        <v>126</v>
      </c>
      <c r="L6" s="260" t="s">
        <v>127</v>
      </c>
      <c r="M6" s="261" t="s">
        <v>128</v>
      </c>
    </row>
    <row r="7" spans="2:13" ht="19" thickBot="1">
      <c r="B7" s="307" t="s">
        <v>129</v>
      </c>
      <c r="C7" s="450">
        <f>G17</f>
        <v>5.5800000000000002E-2</v>
      </c>
      <c r="D7" s="3"/>
      <c r="F7" s="307" t="s">
        <v>130</v>
      </c>
      <c r="G7" s="454">
        <v>1.04</v>
      </c>
      <c r="H7" s="3"/>
      <c r="I7" s="256">
        <v>0.30049999999999999</v>
      </c>
      <c r="J7" s="257">
        <v>0.29520000000000002</v>
      </c>
      <c r="K7" s="257">
        <v>0.30709999999999998</v>
      </c>
      <c r="L7" s="257">
        <v>0.20549999999999999</v>
      </c>
      <c r="M7" s="258">
        <v>0.255</v>
      </c>
    </row>
    <row r="8" spans="2:13" ht="19" thickBot="1">
      <c r="B8" s="307" t="s">
        <v>131</v>
      </c>
      <c r="C8" s="451">
        <f>AVERAGE(I7:M7)</f>
        <v>0.27266000000000001</v>
      </c>
      <c r="F8" s="307" t="s">
        <v>132</v>
      </c>
      <c r="G8" s="451">
        <v>0.05</v>
      </c>
      <c r="H8" s="3"/>
    </row>
    <row r="9" spans="2:13" ht="19" thickBot="1">
      <c r="B9" s="307" t="s">
        <v>133</v>
      </c>
      <c r="C9" s="450">
        <f>1-C6</f>
        <v>0.91437933248810366</v>
      </c>
      <c r="D9" s="3"/>
      <c r="F9" s="222" t="s">
        <v>134</v>
      </c>
      <c r="G9" s="264">
        <f>G6+G7*G8</f>
        <v>9.9299999999999999E-2</v>
      </c>
      <c r="H9" s="3"/>
    </row>
    <row r="10" spans="2:13" ht="19" thickBot="1">
      <c r="B10" s="307" t="s">
        <v>134</v>
      </c>
      <c r="C10" s="450">
        <f>G9</f>
        <v>9.9299999999999999E-2</v>
      </c>
      <c r="D10" s="3"/>
      <c r="F10" s="3"/>
      <c r="G10" s="3"/>
      <c r="H10" s="3"/>
      <c r="I10" s="46"/>
      <c r="J10" s="46"/>
      <c r="K10" s="46"/>
    </row>
    <row r="11" spans="2:13" ht="19" thickBot="1">
      <c r="B11" s="222" t="s">
        <v>120</v>
      </c>
      <c r="C11" s="264">
        <f>C6*C7*(1-C8)+C9*C10</f>
        <v>9.4272831482060823E-2</v>
      </c>
      <c r="D11" s="3"/>
      <c r="F11" s="52" t="s">
        <v>135</v>
      </c>
      <c r="G11" s="3"/>
      <c r="H11" s="3"/>
      <c r="I11" s="46"/>
      <c r="J11" s="46"/>
      <c r="K11" s="46"/>
    </row>
    <row r="12" spans="2:13" ht="19" thickBot="1">
      <c r="B12" s="3"/>
      <c r="C12" s="3"/>
      <c r="D12" s="3"/>
      <c r="F12" s="3"/>
      <c r="G12" s="3"/>
      <c r="H12" s="3"/>
      <c r="I12" s="46"/>
      <c r="J12" s="46"/>
      <c r="K12" s="46"/>
    </row>
    <row r="13" spans="2:13" ht="18">
      <c r="B13" s="448" t="s">
        <v>136</v>
      </c>
      <c r="C13" s="452">
        <f>'COMPARABLE ANALYSIS'!G6</f>
        <v>41496</v>
      </c>
      <c r="D13" s="3"/>
      <c r="F13" s="457" t="s">
        <v>137</v>
      </c>
      <c r="G13" s="452" t="s">
        <v>138</v>
      </c>
      <c r="H13" s="3"/>
      <c r="I13" s="46"/>
      <c r="J13" s="46"/>
      <c r="K13" s="46"/>
    </row>
    <row r="14" spans="2:13" ht="18">
      <c r="B14" s="307" t="s">
        <v>139</v>
      </c>
      <c r="C14" s="453">
        <f>'BALANCE SHEET'!E25</f>
        <v>3929</v>
      </c>
      <c r="D14" s="3"/>
      <c r="F14" s="458" t="s">
        <v>140</v>
      </c>
      <c r="G14" s="454">
        <v>5.62</v>
      </c>
      <c r="H14" s="3"/>
      <c r="I14" s="51"/>
      <c r="J14" s="46"/>
      <c r="K14" s="46"/>
    </row>
    <row r="15" spans="2:13" ht="18">
      <c r="B15" s="307" t="s">
        <v>141</v>
      </c>
      <c r="C15" s="453">
        <f>'BALANCE SHEET'!E29</f>
        <v>37567</v>
      </c>
      <c r="D15" s="3"/>
      <c r="F15" s="458" t="s">
        <v>142</v>
      </c>
      <c r="G15" s="450">
        <v>8.5000000000000006E-3</v>
      </c>
      <c r="H15" s="3"/>
      <c r="I15" s="46"/>
      <c r="J15" s="46"/>
      <c r="K15" s="46"/>
    </row>
    <row r="16" spans="2:13" ht="19" thickBot="1">
      <c r="B16" s="306"/>
      <c r="C16" s="274"/>
      <c r="D16" s="3"/>
      <c r="F16" s="458" t="s">
        <v>123</v>
      </c>
      <c r="G16" s="450">
        <f>G6</f>
        <v>4.7300000000000002E-2</v>
      </c>
      <c r="H16" s="3"/>
    </row>
    <row r="17" spans="2:10" ht="19" thickBot="1">
      <c r="B17" s="307" t="s">
        <v>143</v>
      </c>
      <c r="C17" s="454">
        <f>'COMPARABLE ANALYSIS'!C6</f>
        <v>108.99</v>
      </c>
      <c r="D17" s="3"/>
      <c r="F17" s="222" t="s">
        <v>129</v>
      </c>
      <c r="G17" s="264">
        <f>G15+G16</f>
        <v>5.5800000000000002E-2</v>
      </c>
      <c r="H17" s="3"/>
    </row>
    <row r="18" spans="2:10" ht="18">
      <c r="B18" s="307" t="s">
        <v>144</v>
      </c>
      <c r="C18" s="453">
        <f>'COMPARABLE ANALYSIS'!D6</f>
        <v>4066</v>
      </c>
      <c r="D18" s="3"/>
      <c r="F18" s="3"/>
      <c r="G18" s="3"/>
      <c r="H18" s="3"/>
    </row>
    <row r="19" spans="2:10" ht="19" thickBot="1">
      <c r="B19" s="308" t="s">
        <v>145</v>
      </c>
      <c r="C19" s="455">
        <f>C17*C18</f>
        <v>443153.33999999997</v>
      </c>
    </row>
    <row r="20" spans="2:10" ht="15.75" customHeight="1" thickBot="1"/>
    <row r="21" spans="2:10" ht="15.75" customHeight="1">
      <c r="B21" s="779" t="s">
        <v>146</v>
      </c>
      <c r="C21" s="780"/>
      <c r="D21" s="780"/>
      <c r="E21" s="780"/>
      <c r="F21" s="780"/>
      <c r="G21" s="780"/>
      <c r="H21" s="781"/>
    </row>
    <row r="22" spans="2:10" ht="15.75" customHeight="1">
      <c r="B22" s="782" t="s">
        <v>147</v>
      </c>
      <c r="C22" s="783"/>
      <c r="D22" s="783"/>
      <c r="E22" s="46"/>
      <c r="F22" s="46"/>
      <c r="G22" s="46"/>
      <c r="H22" s="47"/>
    </row>
    <row r="23" spans="2:10" ht="15.75" customHeight="1" thickBot="1">
      <c r="B23" s="784" t="s">
        <v>148</v>
      </c>
      <c r="C23" s="785"/>
      <c r="D23" s="49"/>
      <c r="E23" s="48"/>
      <c r="F23" s="48"/>
      <c r="G23" s="48"/>
      <c r="H23" s="50"/>
    </row>
    <row r="24" spans="2:10" ht="18">
      <c r="D24" s="3"/>
    </row>
    <row r="25" spans="2:10" ht="18">
      <c r="B25" s="3"/>
      <c r="C25" s="3"/>
      <c r="D25" s="3"/>
    </row>
    <row r="26" spans="2:10" ht="19" thickBot="1">
      <c r="B26" s="3"/>
      <c r="C26" s="3"/>
      <c r="D26" s="3"/>
    </row>
    <row r="27" spans="2:10" ht="20" thickTop="1" thickBot="1">
      <c r="B27" s="465" t="s">
        <v>149</v>
      </c>
      <c r="C27" s="466" t="s">
        <v>120</v>
      </c>
      <c r="D27" s="36"/>
      <c r="E27" s="36"/>
    </row>
    <row r="28" spans="2:10" ht="19" thickTop="1">
      <c r="B28" s="459" t="s">
        <v>150</v>
      </c>
      <c r="C28" s="460">
        <v>0.10150000000000001</v>
      </c>
      <c r="D28" s="37"/>
    </row>
    <row r="29" spans="2:10" ht="18">
      <c r="B29" s="459" t="s">
        <v>151</v>
      </c>
      <c r="C29" s="460">
        <v>9.9699999999999997E-2</v>
      </c>
      <c r="D29" s="37"/>
      <c r="E29" s="37"/>
      <c r="F29" s="37"/>
      <c r="G29" s="38"/>
      <c r="H29" s="38"/>
      <c r="I29" s="39"/>
      <c r="J29" s="38"/>
    </row>
    <row r="30" spans="2:10" ht="19" thickBot="1">
      <c r="B30" s="461" t="s">
        <v>152</v>
      </c>
      <c r="C30" s="462">
        <v>0.10580000000000001</v>
      </c>
      <c r="D30" s="37"/>
      <c r="E30" s="37"/>
      <c r="G30" s="38"/>
      <c r="H30" s="38"/>
      <c r="I30" s="39"/>
      <c r="J30" s="38"/>
    </row>
    <row r="31" spans="2:10" ht="20" thickTop="1" thickBot="1">
      <c r="B31" s="463" t="s">
        <v>153</v>
      </c>
      <c r="C31" s="464">
        <f>C11</f>
        <v>9.4272831482060823E-2</v>
      </c>
      <c r="D31" s="1"/>
      <c r="F31" s="37"/>
    </row>
    <row r="32" spans="2:10" ht="17" thickTop="1">
      <c r="C32" s="2"/>
      <c r="D32" s="1"/>
      <c r="F32" s="37"/>
    </row>
    <row r="33" spans="2:8" ht="16">
      <c r="F33" s="37"/>
    </row>
    <row r="34" spans="2:8" ht="16">
      <c r="F34" s="37"/>
    </row>
    <row r="35" spans="2:8" ht="16">
      <c r="F35" s="37"/>
    </row>
    <row r="36" spans="2:8" ht="16">
      <c r="F36" s="37"/>
    </row>
    <row r="37" spans="2:8" ht="16">
      <c r="F37" s="37"/>
    </row>
    <row r="38" spans="2:8" ht="16">
      <c r="F38" s="37"/>
    </row>
    <row r="45" spans="2:8" ht="19" thickBot="1">
      <c r="B45" s="265"/>
      <c r="C45" s="265"/>
      <c r="D45" s="265"/>
      <c r="E45" s="3"/>
      <c r="F45" s="3"/>
      <c r="G45" s="3"/>
    </row>
    <row r="46" spans="2:8" ht="18">
      <c r="B46" s="266" t="s">
        <v>154</v>
      </c>
      <c r="C46" s="267"/>
      <c r="D46" s="267"/>
      <c r="E46" s="40"/>
      <c r="F46" s="40"/>
      <c r="G46" s="40"/>
      <c r="H46" s="41"/>
    </row>
    <row r="47" spans="2:8" ht="19" thickBot="1">
      <c r="B47" s="268" t="s">
        <v>155</v>
      </c>
      <c r="C47" s="269"/>
      <c r="D47" s="269"/>
      <c r="E47" s="269"/>
      <c r="F47" s="270"/>
      <c r="G47" s="42"/>
      <c r="H47" s="43"/>
    </row>
    <row r="48" spans="2:8" ht="18">
      <c r="B48" s="3"/>
      <c r="C48" s="3"/>
      <c r="D48" s="3"/>
      <c r="E48" s="3"/>
      <c r="F48" s="3"/>
      <c r="G48" s="3"/>
    </row>
    <row r="49" spans="2:7" ht="18">
      <c r="B49" s="3"/>
      <c r="C49" s="3"/>
      <c r="D49" s="3"/>
      <c r="E49" s="3"/>
      <c r="F49" s="3"/>
      <c r="G49" s="3"/>
    </row>
    <row r="50" spans="2:7" ht="18">
      <c r="B50" s="3"/>
      <c r="C50" s="3"/>
      <c r="D50" s="3"/>
      <c r="E50" s="3"/>
      <c r="F50" s="3"/>
      <c r="G50" s="3"/>
    </row>
  </sheetData>
  <mergeCells count="3">
    <mergeCell ref="B21:H21"/>
    <mergeCell ref="B22:D22"/>
    <mergeCell ref="B23:C2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R57"/>
  <sheetViews>
    <sheetView topLeftCell="C1" zoomScale="83" workbookViewId="0">
      <selection activeCell="J3" sqref="J3"/>
    </sheetView>
  </sheetViews>
  <sheetFormatPr baseColWidth="10" defaultColWidth="12.6640625" defaultRowHeight="15.75" customHeight="1"/>
  <cols>
    <col min="1" max="1" width="23.33203125" customWidth="1"/>
    <col min="2" max="2" width="14.33203125" customWidth="1"/>
    <col min="3" max="3" width="27.83203125" customWidth="1"/>
    <col min="4" max="5" width="38.6640625" customWidth="1"/>
    <col min="6" max="7" width="15.5" customWidth="1"/>
    <col min="8" max="8" width="22" customWidth="1"/>
    <col min="9" max="11" width="25.6640625" customWidth="1"/>
    <col min="12" max="12" width="31.1640625" customWidth="1"/>
    <col min="13" max="13" width="16" customWidth="1"/>
  </cols>
  <sheetData>
    <row r="2" spans="1:18" ht="16">
      <c r="A2" s="88" t="s">
        <v>149</v>
      </c>
      <c r="B2" s="89" t="s">
        <v>156</v>
      </c>
      <c r="C2" s="90" t="s">
        <v>157</v>
      </c>
      <c r="D2" s="90" t="s">
        <v>158</v>
      </c>
      <c r="E2" s="90" t="s">
        <v>159</v>
      </c>
      <c r="F2" s="90" t="s">
        <v>160</v>
      </c>
      <c r="G2" s="90" t="s">
        <v>161</v>
      </c>
      <c r="H2" s="90" t="s">
        <v>162</v>
      </c>
      <c r="I2" s="90" t="s">
        <v>163</v>
      </c>
      <c r="J2" s="90" t="s">
        <v>164</v>
      </c>
      <c r="K2" s="90" t="s">
        <v>165</v>
      </c>
      <c r="L2" s="90" t="s">
        <v>166</v>
      </c>
      <c r="M2" s="90" t="s">
        <v>167</v>
      </c>
      <c r="N2" s="91" t="s">
        <v>168</v>
      </c>
      <c r="O2" s="143"/>
      <c r="P2" s="143"/>
      <c r="Q2" s="143"/>
    </row>
    <row r="3" spans="1:18" ht="16">
      <c r="A3" s="5" t="s">
        <v>169</v>
      </c>
      <c r="B3" s="6" t="s">
        <v>170</v>
      </c>
      <c r="C3" s="7">
        <v>138.09</v>
      </c>
      <c r="D3" s="8">
        <v>358</v>
      </c>
      <c r="E3" s="8">
        <f>D3*C3</f>
        <v>49436.22</v>
      </c>
      <c r="F3" s="8">
        <f>5075</f>
        <v>5075</v>
      </c>
      <c r="G3" s="7">
        <f>1193+10130</f>
        <v>11323</v>
      </c>
      <c r="H3" s="8">
        <f>G3-F3</f>
        <v>6248</v>
      </c>
      <c r="I3" s="8">
        <f t="shared" ref="I3:I5" si="0">E3+H3</f>
        <v>55684.22</v>
      </c>
      <c r="J3" s="68">
        <v>34509</v>
      </c>
      <c r="K3" s="8">
        <v>2759</v>
      </c>
      <c r="L3" s="8">
        <v>11</v>
      </c>
      <c r="M3" s="8">
        <f>K3+L3</f>
        <v>2770</v>
      </c>
      <c r="N3" s="9">
        <v>5.4</v>
      </c>
      <c r="O3" s="143"/>
      <c r="P3" s="143"/>
      <c r="Q3" s="143"/>
    </row>
    <row r="4" spans="1:18" ht="16">
      <c r="A4" s="5" t="s">
        <v>171</v>
      </c>
      <c r="B4" s="6" t="s">
        <v>172</v>
      </c>
      <c r="C4" s="7">
        <v>117.1</v>
      </c>
      <c r="D4" s="8">
        <v>1210.3420000000001</v>
      </c>
      <c r="E4" s="8">
        <f t="shared" ref="E4:E5" si="1">D4*C4</f>
        <v>141731.04819999999</v>
      </c>
      <c r="F4" s="8">
        <f>5735+1080</f>
        <v>6815</v>
      </c>
      <c r="G4" s="7">
        <f>879+15565</f>
        <v>16444</v>
      </c>
      <c r="H4" s="8">
        <f>G4-F4</f>
        <v>9629</v>
      </c>
      <c r="I4" s="8">
        <f t="shared" si="0"/>
        <v>151360.04819999999</v>
      </c>
      <c r="J4" s="68">
        <v>12351</v>
      </c>
      <c r="K4" s="8">
        <v>3362</v>
      </c>
      <c r="L4" s="8">
        <v>2010</v>
      </c>
      <c r="M4" s="8">
        <f>K4+L4</f>
        <v>5372</v>
      </c>
      <c r="N4" s="9">
        <v>1.84</v>
      </c>
      <c r="O4" s="143"/>
      <c r="P4" s="143"/>
      <c r="Q4" s="143"/>
    </row>
    <row r="5" spans="1:18" ht="16">
      <c r="A5" s="5" t="s">
        <v>173</v>
      </c>
      <c r="B5" s="6" t="s">
        <v>174</v>
      </c>
      <c r="C5" s="7">
        <v>166.54</v>
      </c>
      <c r="D5" s="8">
        <v>1875.508</v>
      </c>
      <c r="E5" s="8">
        <f t="shared" si="1"/>
        <v>312347.10232000001</v>
      </c>
      <c r="F5" s="8">
        <f>9292+318</f>
        <v>9610</v>
      </c>
      <c r="G5" s="7">
        <f>1269+20245</f>
        <v>21514</v>
      </c>
      <c r="H5" s="8">
        <f t="shared" ref="H5:H6" si="2">G5-F5</f>
        <v>11904</v>
      </c>
      <c r="I5" s="8">
        <f t="shared" si="0"/>
        <v>324251.10232000001</v>
      </c>
      <c r="J5" s="68">
        <v>48896</v>
      </c>
      <c r="K5" s="8">
        <v>7837</v>
      </c>
      <c r="L5" s="8">
        <v>3521</v>
      </c>
      <c r="M5" s="8">
        <f t="shared" ref="M5" si="3">K5+L5</f>
        <v>11358</v>
      </c>
      <c r="N5" s="9">
        <v>3.2</v>
      </c>
      <c r="O5" s="143"/>
      <c r="P5" s="143"/>
      <c r="Q5" s="143"/>
    </row>
    <row r="6" spans="1:18" ht="16">
      <c r="A6" s="92" t="s">
        <v>153</v>
      </c>
      <c r="B6" s="93" t="s">
        <v>175</v>
      </c>
      <c r="C6" s="94">
        <v>108.99</v>
      </c>
      <c r="D6" s="95">
        <v>4066</v>
      </c>
      <c r="E6" s="95">
        <f>D6*C6</f>
        <v>443153.33999999997</v>
      </c>
      <c r="F6" s="95">
        <v>29528</v>
      </c>
      <c r="G6" s="94">
        <v>41496</v>
      </c>
      <c r="H6" s="95">
        <f t="shared" si="2"/>
        <v>11968</v>
      </c>
      <c r="I6" s="95">
        <f>E6+H6</f>
        <v>455121.33999999997</v>
      </c>
      <c r="J6" s="95">
        <v>82914</v>
      </c>
      <c r="K6" s="95">
        <v>11656</v>
      </c>
      <c r="L6" s="96">
        <v>4242</v>
      </c>
      <c r="M6" s="95">
        <f>K6+L6</f>
        <v>15898</v>
      </c>
      <c r="N6" s="97">
        <f>'INCOME STATEMENT'!D31</f>
        <v>1.94</v>
      </c>
      <c r="O6" s="143"/>
      <c r="P6" s="143"/>
      <c r="Q6" s="143"/>
    </row>
    <row r="7" spans="1:18" ht="16">
      <c r="A7" s="20"/>
      <c r="B7" s="20"/>
      <c r="C7" s="45"/>
      <c r="D7" s="44"/>
      <c r="E7" s="44"/>
      <c r="F7" s="44"/>
      <c r="G7" s="44"/>
      <c r="H7" s="44"/>
      <c r="I7" s="44"/>
      <c r="J7" s="44"/>
      <c r="K7" s="45"/>
      <c r="L7" s="44"/>
      <c r="M7" s="44"/>
      <c r="N7" s="44"/>
      <c r="O7" s="44"/>
      <c r="P7" s="45"/>
      <c r="Q7" s="44"/>
      <c r="R7" s="1"/>
    </row>
    <row r="8" spans="1:18" ht="16">
      <c r="A8" s="143"/>
      <c r="B8" s="143"/>
      <c r="C8" s="143"/>
      <c r="D8" s="143"/>
      <c r="E8" s="143"/>
      <c r="F8" s="143"/>
      <c r="G8" s="143"/>
      <c r="H8" s="143"/>
      <c r="I8" s="143"/>
      <c r="J8" s="143"/>
      <c r="K8" s="143"/>
      <c r="L8" s="143"/>
      <c r="M8" s="143"/>
      <c r="N8" s="143"/>
      <c r="O8" s="143"/>
      <c r="P8" s="143"/>
      <c r="Q8" s="143"/>
    </row>
    <row r="9" spans="1:18" ht="15.75" customHeight="1" thickBot="1"/>
    <row r="10" spans="1:18" ht="17" thickBot="1">
      <c r="A10" s="101" t="s">
        <v>149</v>
      </c>
      <c r="B10" s="102" t="s">
        <v>176</v>
      </c>
      <c r="C10" s="102" t="s">
        <v>177</v>
      </c>
      <c r="D10" s="102" t="s">
        <v>178</v>
      </c>
      <c r="E10" s="102" t="s">
        <v>179</v>
      </c>
      <c r="F10" s="103" t="s">
        <v>180</v>
      </c>
      <c r="G10" s="143"/>
      <c r="K10" s="252" t="s">
        <v>181</v>
      </c>
      <c r="L10" s="46"/>
      <c r="M10" s="252" t="s">
        <v>182</v>
      </c>
    </row>
    <row r="11" spans="1:18" ht="16">
      <c r="A11" s="5" t="s">
        <v>150</v>
      </c>
      <c r="B11" s="11">
        <f>I3/J3</f>
        <v>1.6136144194268163</v>
      </c>
      <c r="C11" s="11">
        <f t="shared" ref="C11:C14" si="4">I3/K3</f>
        <v>20.182754621239582</v>
      </c>
      <c r="D11" s="11">
        <f>I3/M3</f>
        <v>20.102606498194945</v>
      </c>
      <c r="E11" s="11">
        <f t="shared" ref="E11:E14" si="5">C3/N3</f>
        <v>25.572222222222223</v>
      </c>
      <c r="F11" s="12">
        <f t="shared" ref="F11:F14" si="6">C3/J3</f>
        <v>4.0015648091802141E-3</v>
      </c>
      <c r="G11" s="143"/>
      <c r="K11" s="251">
        <f>K3/J3</f>
        <v>7.9950157929815413E-2</v>
      </c>
      <c r="L11" s="250"/>
      <c r="M11" s="251">
        <f>M3/J3</f>
        <v>8.0268915355414527E-2</v>
      </c>
    </row>
    <row r="12" spans="1:18" ht="16">
      <c r="A12" s="5" t="s">
        <v>151</v>
      </c>
      <c r="B12" s="11">
        <f t="shared" ref="B12:B14" si="7">I4/J4</f>
        <v>12.254882050036434</v>
      </c>
      <c r="C12" s="11">
        <f t="shared" si="4"/>
        <v>45.020835276621057</v>
      </c>
      <c r="D12" s="11">
        <f>I4/M4</f>
        <v>28.17573495904691</v>
      </c>
      <c r="E12" s="11">
        <f t="shared" si="5"/>
        <v>63.641304347826079</v>
      </c>
      <c r="F12" s="12">
        <f t="shared" si="6"/>
        <v>9.4810136831025831E-3</v>
      </c>
      <c r="G12" s="143"/>
      <c r="K12" s="251">
        <f>K4/J4</f>
        <v>0.27220467978301355</v>
      </c>
      <c r="L12" s="250"/>
      <c r="M12" s="251">
        <f>M4/J4</f>
        <v>0.43494453890373247</v>
      </c>
    </row>
    <row r="13" spans="1:18" ht="17" thickBot="1">
      <c r="A13" s="5" t="s">
        <v>152</v>
      </c>
      <c r="B13" s="11">
        <f t="shared" si="7"/>
        <v>6.6314443373691097</v>
      </c>
      <c r="C13" s="11">
        <f t="shared" si="4"/>
        <v>41.374391006762792</v>
      </c>
      <c r="D13" s="11">
        <f t="shared" ref="D13:D14" si="8">I5/M5</f>
        <v>28.548256939602044</v>
      </c>
      <c r="E13" s="11">
        <f t="shared" si="5"/>
        <v>52.043749999999996</v>
      </c>
      <c r="F13" s="12">
        <f t="shared" si="6"/>
        <v>3.4060045811518322E-3</v>
      </c>
      <c r="G13" s="143"/>
      <c r="K13" s="251">
        <f>K5/J5</f>
        <v>0.16027895942408377</v>
      </c>
      <c r="L13" s="250"/>
      <c r="M13" s="251">
        <f>M5/J5</f>
        <v>0.23228893979057591</v>
      </c>
    </row>
    <row r="14" spans="1:18" ht="17" thickBot="1">
      <c r="A14" s="92" t="s">
        <v>153</v>
      </c>
      <c r="B14" s="98">
        <f t="shared" si="7"/>
        <v>5.4890771160479526</v>
      </c>
      <c r="C14" s="99">
        <f t="shared" si="4"/>
        <v>39.046099862731637</v>
      </c>
      <c r="D14" s="99">
        <f t="shared" si="8"/>
        <v>28.627584601836706</v>
      </c>
      <c r="E14" s="99">
        <f t="shared" si="5"/>
        <v>56.180412371134018</v>
      </c>
      <c r="F14" s="100">
        <f t="shared" si="6"/>
        <v>1.3144945365077068E-3</v>
      </c>
      <c r="G14" s="143"/>
      <c r="K14" s="251">
        <f>K6/J6</f>
        <v>0.14057939551824783</v>
      </c>
      <c r="L14" s="250"/>
      <c r="M14" s="251">
        <f>M6/J6</f>
        <v>0.19174083990640906</v>
      </c>
    </row>
    <row r="15" spans="1:18" ht="17" thickBot="1">
      <c r="A15" s="143"/>
      <c r="B15" s="143"/>
      <c r="C15" s="143"/>
      <c r="D15" s="143"/>
      <c r="E15" s="143"/>
      <c r="F15" s="143"/>
      <c r="G15" s="143"/>
      <c r="K15" s="253">
        <f>AVERAGE(K11:K14)</f>
        <v>0.16325329816379014</v>
      </c>
      <c r="L15" s="250"/>
      <c r="M15" s="253">
        <f>AVERAGE(M11:M14)</f>
        <v>0.23481080848903302</v>
      </c>
    </row>
    <row r="16" spans="1:18" ht="17" thickBot="1">
      <c r="A16" s="104"/>
      <c r="B16" s="93" t="s">
        <v>176</v>
      </c>
      <c r="C16" s="93" t="s">
        <v>177</v>
      </c>
      <c r="D16" s="93" t="s">
        <v>178</v>
      </c>
      <c r="E16" s="93" t="s">
        <v>179</v>
      </c>
      <c r="F16" s="105" t="s">
        <v>180</v>
      </c>
      <c r="G16" s="143"/>
    </row>
    <row r="17" spans="1:11" ht="16">
      <c r="A17" s="13"/>
      <c r="B17" s="6"/>
      <c r="C17" s="6"/>
      <c r="D17" s="6"/>
      <c r="E17" s="6"/>
      <c r="F17" s="14"/>
      <c r="G17" s="143"/>
    </row>
    <row r="18" spans="1:11" ht="16">
      <c r="A18" s="15" t="s">
        <v>183</v>
      </c>
      <c r="B18" s="11">
        <f t="shared" ref="B18:F18" si="9">MIN(B11:B13)</f>
        <v>1.6136144194268163</v>
      </c>
      <c r="C18" s="11">
        <f t="shared" si="9"/>
        <v>20.182754621239582</v>
      </c>
      <c r="D18" s="11">
        <f>MIN(D11:D13)</f>
        <v>20.102606498194945</v>
      </c>
      <c r="E18" s="11">
        <f t="shared" si="9"/>
        <v>25.572222222222223</v>
      </c>
      <c r="F18" s="16">
        <f t="shared" si="9"/>
        <v>3.4060045811518322E-3</v>
      </c>
      <c r="G18" s="143"/>
    </row>
    <row r="19" spans="1:11" ht="16">
      <c r="A19" s="106" t="s">
        <v>184</v>
      </c>
      <c r="B19" s="99">
        <f>AVERAGE(B11:B13)</f>
        <v>6.8333136022774532</v>
      </c>
      <c r="C19" s="99">
        <f t="shared" ref="C19:F19" si="10">AVERAGE(C11:C13)</f>
        <v>35.525993634874474</v>
      </c>
      <c r="D19" s="99">
        <f>AVERAGE(D11:D13)</f>
        <v>25.608866132281296</v>
      </c>
      <c r="E19" s="99">
        <f t="shared" si="10"/>
        <v>47.085758856682766</v>
      </c>
      <c r="F19" s="107">
        <f t="shared" si="10"/>
        <v>5.6295276911448762E-3</v>
      </c>
      <c r="G19" s="143"/>
    </row>
    <row r="20" spans="1:11" ht="16">
      <c r="A20" s="17" t="s">
        <v>185</v>
      </c>
      <c r="B20" s="18">
        <f t="shared" ref="B20:F20" si="11">MAX(B11:B13)</f>
        <v>12.254882050036434</v>
      </c>
      <c r="C20" s="18">
        <f t="shared" si="11"/>
        <v>45.020835276621057</v>
      </c>
      <c r="D20" s="18">
        <f t="shared" si="11"/>
        <v>28.548256939602044</v>
      </c>
      <c r="E20" s="18">
        <f t="shared" si="11"/>
        <v>63.641304347826079</v>
      </c>
      <c r="F20" s="19">
        <f t="shared" si="11"/>
        <v>9.4810136831025831E-3</v>
      </c>
      <c r="G20" s="143"/>
    </row>
    <row r="21" spans="1:11" ht="16">
      <c r="A21" s="20"/>
      <c r="B21" s="6"/>
      <c r="C21" s="6"/>
      <c r="D21" s="6"/>
      <c r="E21" s="6"/>
      <c r="F21" s="143"/>
      <c r="G21" s="143"/>
    </row>
    <row r="22" spans="1:11" ht="16">
      <c r="A22" s="143"/>
      <c r="B22" s="21"/>
      <c r="C22" s="6"/>
      <c r="D22" s="6"/>
      <c r="E22" s="6"/>
      <c r="F22" s="143"/>
      <c r="G22" s="143"/>
    </row>
    <row r="23" spans="1:11" ht="19">
      <c r="A23" s="6" t="s">
        <v>186</v>
      </c>
      <c r="B23" s="11">
        <f>B19</f>
        <v>6.8333136022774532</v>
      </c>
      <c r="C23" s="143"/>
      <c r="D23" s="143"/>
      <c r="E23" s="6"/>
      <c r="F23" s="143"/>
      <c r="G23" s="143"/>
      <c r="H23" s="275"/>
      <c r="I23" s="276" t="s">
        <v>187</v>
      </c>
      <c r="J23" s="276" t="s">
        <v>188</v>
      </c>
      <c r="K23" s="279" t="s">
        <v>178</v>
      </c>
    </row>
    <row r="24" spans="1:11" ht="19">
      <c r="A24" s="6" t="s">
        <v>189</v>
      </c>
      <c r="B24" s="22">
        <f>B23*J6</f>
        <v>566577.3640192328</v>
      </c>
      <c r="C24" s="143"/>
      <c r="D24" s="7"/>
      <c r="E24" s="6"/>
      <c r="F24" s="143"/>
      <c r="G24" s="143"/>
      <c r="H24" s="74" t="s">
        <v>183</v>
      </c>
      <c r="I24" s="78">
        <f>B18</f>
        <v>1.6136144194268163</v>
      </c>
      <c r="J24" s="78">
        <f>C18</f>
        <v>20.182754621239582</v>
      </c>
      <c r="K24" s="79">
        <f>D18</f>
        <v>20.102606498194945</v>
      </c>
    </row>
    <row r="25" spans="1:11" ht="19">
      <c r="A25" s="6" t="s">
        <v>190</v>
      </c>
      <c r="B25" s="23">
        <f>B24-$H$6</f>
        <v>554609.3640192328</v>
      </c>
      <c r="C25" s="143"/>
      <c r="D25" s="7"/>
      <c r="E25" s="6"/>
      <c r="F25" s="143"/>
      <c r="G25" s="143"/>
      <c r="H25" s="108" t="s">
        <v>184</v>
      </c>
      <c r="I25" s="115">
        <f t="shared" ref="I25:I26" si="12">B19</f>
        <v>6.8333136022774532</v>
      </c>
      <c r="J25" s="115">
        <f t="shared" ref="J25:J26" si="13">C19</f>
        <v>35.525993634874474</v>
      </c>
      <c r="K25" s="110">
        <f t="shared" ref="K25:K26" si="14">D19</f>
        <v>25.608866132281296</v>
      </c>
    </row>
    <row r="26" spans="1:11" ht="19">
      <c r="A26" s="6" t="s">
        <v>191</v>
      </c>
      <c r="B26" s="24">
        <f>$D$6</f>
        <v>4066</v>
      </c>
      <c r="C26" s="143"/>
      <c r="E26" s="6"/>
      <c r="F26" s="143"/>
      <c r="G26" s="143"/>
      <c r="H26" s="74" t="s">
        <v>185</v>
      </c>
      <c r="I26" s="78">
        <f t="shared" si="12"/>
        <v>12.254882050036434</v>
      </c>
      <c r="J26" s="78">
        <f t="shared" si="13"/>
        <v>45.020835276621057</v>
      </c>
      <c r="K26" s="79">
        <f t="shared" si="14"/>
        <v>28.548256939602044</v>
      </c>
    </row>
    <row r="27" spans="1:11" ht="19">
      <c r="A27" s="10" t="s">
        <v>192</v>
      </c>
      <c r="B27" s="25">
        <f>B25/B26</f>
        <v>136.40171274452356</v>
      </c>
      <c r="C27" s="143"/>
      <c r="D27" s="6"/>
      <c r="E27" s="6"/>
      <c r="F27" s="143"/>
      <c r="G27" s="143"/>
      <c r="H27" s="74"/>
      <c r="I27" s="58"/>
    </row>
    <row r="28" spans="1:11" ht="19">
      <c r="A28" s="24"/>
      <c r="B28" s="6"/>
      <c r="C28" s="143"/>
      <c r="D28" s="6"/>
      <c r="E28" s="6"/>
      <c r="F28" s="143"/>
      <c r="G28" s="143"/>
      <c r="H28" s="278" t="s">
        <v>189</v>
      </c>
      <c r="I28" s="276" t="s">
        <v>187</v>
      </c>
      <c r="J28" s="276" t="s">
        <v>188</v>
      </c>
      <c r="K28" s="279" t="s">
        <v>178</v>
      </c>
    </row>
    <row r="29" spans="1:11" ht="19">
      <c r="A29" s="24"/>
      <c r="B29" s="8"/>
      <c r="C29" s="143"/>
      <c r="D29" s="8"/>
      <c r="E29" s="6"/>
      <c r="F29" s="143"/>
      <c r="G29" s="143"/>
      <c r="H29" s="74" t="s">
        <v>183</v>
      </c>
      <c r="I29" s="118">
        <f>I24*$J$6</f>
        <v>133791.22597235505</v>
      </c>
      <c r="J29" s="118">
        <f>J24*$K$6</f>
        <v>235250.18786516855</v>
      </c>
      <c r="K29" s="118">
        <f>K24*$M$6</f>
        <v>319591.23810830322</v>
      </c>
    </row>
    <row r="30" spans="1:11" ht="19">
      <c r="A30" s="24" t="s">
        <v>193</v>
      </c>
      <c r="B30" s="11">
        <f>C19</f>
        <v>35.525993634874474</v>
      </c>
      <c r="C30" s="143"/>
      <c r="D30" s="8"/>
      <c r="E30" s="6"/>
      <c r="F30" s="143"/>
      <c r="G30" s="143"/>
      <c r="H30" s="108" t="s">
        <v>184</v>
      </c>
      <c r="I30" s="119">
        <f>I25*$J$6</f>
        <v>566577.3640192328</v>
      </c>
      <c r="J30" s="119">
        <f>J25*$K$6</f>
        <v>414090.98180809687</v>
      </c>
      <c r="K30" s="120">
        <f t="shared" ref="K30:K31" si="15">K25*$M$6</f>
        <v>407129.75377100805</v>
      </c>
    </row>
    <row r="31" spans="1:11" ht="19">
      <c r="A31" s="6" t="s">
        <v>189</v>
      </c>
      <c r="B31" s="8">
        <f>B30*K6</f>
        <v>414090.98180809687</v>
      </c>
      <c r="C31" s="143"/>
      <c r="D31" s="8"/>
      <c r="E31" s="6"/>
      <c r="F31" s="143"/>
      <c r="G31" s="143"/>
      <c r="H31" s="74" t="s">
        <v>185</v>
      </c>
      <c r="I31" s="118">
        <f>I26*$J$6</f>
        <v>1016101.2902967209</v>
      </c>
      <c r="J31" s="118">
        <f t="shared" ref="J31" si="16">J26*$K$6</f>
        <v>524762.85598429502</v>
      </c>
      <c r="K31" s="118">
        <f t="shared" si="15"/>
        <v>453860.18882579333</v>
      </c>
    </row>
    <row r="32" spans="1:11" ht="19">
      <c r="A32" s="6" t="s">
        <v>190</v>
      </c>
      <c r="B32" s="24">
        <f>B31-$H$6</f>
        <v>402122.98180809687</v>
      </c>
      <c r="C32" s="143"/>
      <c r="D32" s="6"/>
      <c r="E32" s="6"/>
      <c r="F32" s="143"/>
      <c r="G32" s="143"/>
      <c r="H32" s="74"/>
      <c r="I32" s="58"/>
    </row>
    <row r="33" spans="1:12" ht="19">
      <c r="A33" s="6" t="s">
        <v>191</v>
      </c>
      <c r="B33" s="24">
        <f>$D$6</f>
        <v>4066</v>
      </c>
      <c r="C33" s="143"/>
      <c r="D33" s="6"/>
      <c r="E33" s="6"/>
      <c r="F33" s="143"/>
      <c r="G33" s="143"/>
      <c r="H33" s="278" t="s">
        <v>194</v>
      </c>
      <c r="I33" s="276" t="s">
        <v>187</v>
      </c>
      <c r="J33" s="276" t="s">
        <v>188</v>
      </c>
      <c r="K33" s="279" t="s">
        <v>178</v>
      </c>
    </row>
    <row r="34" spans="1:12" ht="19">
      <c r="A34" s="10" t="s">
        <v>192</v>
      </c>
      <c r="B34" s="25">
        <f>B32/B33</f>
        <v>98.898913381233854</v>
      </c>
      <c r="C34" s="143"/>
      <c r="D34" s="6"/>
      <c r="E34" s="6"/>
      <c r="F34" s="143"/>
      <c r="G34" s="143"/>
      <c r="H34" s="74" t="s">
        <v>183</v>
      </c>
      <c r="I34" s="80">
        <f>I29-$H$6</f>
        <v>121823.22597235505</v>
      </c>
      <c r="J34" s="80">
        <f>J29-$H$6</f>
        <v>223282.18786516855</v>
      </c>
      <c r="K34" s="80">
        <f t="shared" ref="K34" si="17">K29-$H$6</f>
        <v>307623.23810830322</v>
      </c>
    </row>
    <row r="35" spans="1:12" ht="19">
      <c r="A35" s="20"/>
      <c r="B35" s="7"/>
      <c r="C35" s="143"/>
      <c r="D35" s="21"/>
      <c r="E35" s="7"/>
      <c r="F35" s="143"/>
      <c r="G35" s="143"/>
      <c r="H35" s="108" t="s">
        <v>184</v>
      </c>
      <c r="I35" s="116">
        <f>I30-$H$6</f>
        <v>554609.3640192328</v>
      </c>
      <c r="J35" s="116">
        <f>J30-$H$6</f>
        <v>402122.98180809687</v>
      </c>
      <c r="K35" s="117">
        <f t="shared" ref="I35:K36" si="18">K30-$H$6</f>
        <v>395161.75377100805</v>
      </c>
    </row>
    <row r="36" spans="1:12" ht="19">
      <c r="A36" s="24"/>
      <c r="B36" s="7"/>
      <c r="C36" s="6"/>
      <c r="D36" s="21"/>
      <c r="E36" s="7"/>
      <c r="F36" s="143"/>
      <c r="G36" s="143"/>
      <c r="H36" s="74" t="s">
        <v>185</v>
      </c>
      <c r="I36" s="80">
        <f t="shared" si="18"/>
        <v>1004133.2902967209</v>
      </c>
      <c r="J36" s="80">
        <f t="shared" si="18"/>
        <v>512794.85598429502</v>
      </c>
      <c r="K36" s="80">
        <f t="shared" si="18"/>
        <v>441892.18882579333</v>
      </c>
    </row>
    <row r="37" spans="1:12" ht="19">
      <c r="A37" s="24" t="s">
        <v>195</v>
      </c>
      <c r="B37" s="11">
        <f>D19</f>
        <v>25.608866132281296</v>
      </c>
      <c r="C37" s="6"/>
      <c r="D37" s="21"/>
      <c r="E37" s="7"/>
      <c r="F37" s="143"/>
      <c r="G37" s="143"/>
      <c r="H37" s="74"/>
      <c r="I37" s="58"/>
    </row>
    <row r="38" spans="1:12" ht="19">
      <c r="A38" s="6" t="s">
        <v>189</v>
      </c>
      <c r="B38" s="6">
        <f>B37*M6</f>
        <v>407129.75377100805</v>
      </c>
      <c r="C38" s="6"/>
      <c r="D38" s="6"/>
      <c r="E38" s="6"/>
      <c r="F38" s="143"/>
      <c r="G38" s="143"/>
      <c r="H38" s="278" t="s">
        <v>196</v>
      </c>
      <c r="I38" s="276" t="s">
        <v>187</v>
      </c>
      <c r="J38" s="276" t="s">
        <v>188</v>
      </c>
      <c r="K38" s="279" t="s">
        <v>178</v>
      </c>
    </row>
    <row r="39" spans="1:12" ht="19">
      <c r="A39" s="6" t="s">
        <v>190</v>
      </c>
      <c r="B39" s="24">
        <f>B38-$H$6</f>
        <v>395161.75377100805</v>
      </c>
      <c r="C39" s="143"/>
      <c r="D39" s="143"/>
      <c r="E39" s="143"/>
      <c r="F39" s="143"/>
      <c r="H39" s="74" t="s">
        <v>183</v>
      </c>
      <c r="I39" s="80">
        <f>I34/$D$6</f>
        <v>29.961442688724805</v>
      </c>
      <c r="J39" s="80">
        <f t="shared" ref="J39:K39" si="19">J34/$D$6</f>
        <v>54.914458402648442</v>
      </c>
      <c r="K39" s="80">
        <f t="shared" si="19"/>
        <v>75.657461413748948</v>
      </c>
    </row>
    <row r="40" spans="1:12" ht="19">
      <c r="A40" s="6" t="s">
        <v>191</v>
      </c>
      <c r="B40" s="24">
        <f>$D$6</f>
        <v>4066</v>
      </c>
      <c r="C40" s="143"/>
      <c r="D40" s="143"/>
      <c r="E40" s="143"/>
      <c r="F40" s="143"/>
      <c r="G40" s="143"/>
      <c r="H40" s="108" t="s">
        <v>184</v>
      </c>
      <c r="I40" s="145">
        <f t="shared" ref="I40:K41" si="20">I35/$D$6</f>
        <v>136.40171274452356</v>
      </c>
      <c r="J40" s="145">
        <f t="shared" si="20"/>
        <v>98.898913381233854</v>
      </c>
      <c r="K40" s="146">
        <f t="shared" si="20"/>
        <v>97.186855329810143</v>
      </c>
      <c r="L40" s="147"/>
    </row>
    <row r="41" spans="1:12" ht="19">
      <c r="A41" s="10" t="s">
        <v>192</v>
      </c>
      <c r="B41" s="25">
        <f>B39/B40</f>
        <v>97.186855329810143</v>
      </c>
      <c r="C41" s="143"/>
      <c r="D41" s="143"/>
      <c r="E41" s="143"/>
      <c r="F41" s="143"/>
      <c r="G41" s="143"/>
      <c r="H41" s="74" t="s">
        <v>185</v>
      </c>
      <c r="I41" s="80">
        <f>I36/$D$6</f>
        <v>246.9585072052929</v>
      </c>
      <c r="J41" s="80">
        <f t="shared" si="20"/>
        <v>126.11777077823291</v>
      </c>
      <c r="K41" s="80">
        <f t="shared" si="20"/>
        <v>108.6798300112625</v>
      </c>
    </row>
    <row r="42" spans="1:12" ht="16">
      <c r="A42" s="143"/>
      <c r="B42" s="143"/>
      <c r="C42" s="143"/>
      <c r="D42" s="143"/>
      <c r="E42" s="143"/>
      <c r="F42" s="143"/>
      <c r="G42" s="143"/>
    </row>
    <row r="43" spans="1:12" ht="16">
      <c r="A43" s="24"/>
      <c r="B43" s="144"/>
      <c r="C43" s="143"/>
      <c r="D43" s="143"/>
      <c r="E43" s="143"/>
      <c r="F43" s="143"/>
      <c r="G43" s="143"/>
    </row>
    <row r="44" spans="1:12" ht="16">
      <c r="A44" s="143"/>
      <c r="B44" s="143"/>
      <c r="C44" s="143"/>
      <c r="D44" s="143"/>
      <c r="E44" s="143"/>
      <c r="F44" s="143"/>
      <c r="G44" s="143"/>
    </row>
    <row r="45" spans="1:12" ht="16">
      <c r="A45" s="143"/>
      <c r="B45" s="143"/>
      <c r="C45" s="143"/>
      <c r="D45" s="143"/>
      <c r="E45" s="143"/>
      <c r="F45" s="143"/>
      <c r="G45" s="143"/>
    </row>
    <row r="46" spans="1:12" ht="16">
      <c r="A46" s="143"/>
      <c r="B46" s="143"/>
      <c r="C46" s="143"/>
      <c r="D46" s="143"/>
      <c r="E46" s="143"/>
      <c r="F46" s="143"/>
      <c r="G46" s="143"/>
    </row>
    <row r="47" spans="1:12" ht="16">
      <c r="A47" s="143"/>
      <c r="B47" s="143"/>
      <c r="C47" s="143"/>
      <c r="D47" s="143"/>
      <c r="E47" s="143"/>
      <c r="F47" s="143"/>
      <c r="G47" s="143"/>
    </row>
    <row r="48" spans="1:12" ht="16">
      <c r="A48" s="143"/>
      <c r="B48" s="143"/>
      <c r="C48" s="143"/>
      <c r="D48" s="143"/>
      <c r="E48" s="143"/>
      <c r="F48" s="143"/>
      <c r="G48" s="143"/>
    </row>
    <row r="49" spans="1:7" ht="16">
      <c r="A49" s="143"/>
      <c r="B49" s="143"/>
      <c r="C49" s="143"/>
      <c r="D49" s="143"/>
      <c r="E49" s="143"/>
      <c r="F49" s="143"/>
      <c r="G49" s="143"/>
    </row>
    <row r="50" spans="1:7" ht="16">
      <c r="A50" s="143"/>
      <c r="B50" s="143"/>
      <c r="C50" s="143"/>
      <c r="D50" s="143"/>
      <c r="E50" s="143"/>
      <c r="F50" s="143"/>
      <c r="G50" s="143"/>
    </row>
    <row r="51" spans="1:7" ht="16">
      <c r="A51" s="143"/>
      <c r="B51" s="143"/>
      <c r="C51" s="143"/>
      <c r="D51" s="143"/>
      <c r="E51" s="143"/>
      <c r="F51" s="143"/>
      <c r="G51" s="143"/>
    </row>
    <row r="52" spans="1:7" ht="16">
      <c r="A52" s="143"/>
      <c r="B52" s="143"/>
      <c r="C52" s="143"/>
      <c r="D52" s="143"/>
      <c r="E52" s="143"/>
      <c r="F52" s="143"/>
      <c r="G52" s="143"/>
    </row>
    <row r="53" spans="1:7" ht="16">
      <c r="A53" s="143"/>
      <c r="B53" s="143"/>
    </row>
    <row r="54" spans="1:7" ht="16">
      <c r="A54" s="143"/>
      <c r="B54" s="143"/>
    </row>
    <row r="55" spans="1:7" ht="16">
      <c r="A55" s="143"/>
      <c r="B55" s="143"/>
    </row>
    <row r="56" spans="1:7" ht="16">
      <c r="A56" s="143"/>
      <c r="B56" s="143"/>
    </row>
    <row r="57" spans="1:7" ht="16">
      <c r="A57" s="143"/>
      <c r="B57" s="14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Q81"/>
  <sheetViews>
    <sheetView zoomScale="75" workbookViewId="0">
      <selection activeCell="M23" sqref="M23"/>
    </sheetView>
  </sheetViews>
  <sheetFormatPr baseColWidth="10" defaultColWidth="12.6640625" defaultRowHeight="15.75" customHeight="1"/>
  <cols>
    <col min="1" max="1" width="22.6640625" customWidth="1"/>
    <col min="2" max="2" width="36.5" customWidth="1"/>
    <col min="3" max="3" width="38.5" customWidth="1"/>
    <col min="4" max="4" width="26.6640625" customWidth="1"/>
    <col min="5" max="5" width="24.83203125" customWidth="1"/>
    <col min="6" max="6" width="34" customWidth="1"/>
    <col min="7" max="7" width="21" customWidth="1"/>
    <col min="8" max="8" width="17.1640625" customWidth="1"/>
    <col min="9" max="9" width="14" customWidth="1"/>
    <col min="10" max="10" width="20.5" customWidth="1"/>
    <col min="11" max="11" width="17.5" customWidth="1"/>
    <col min="12" max="13" width="17.83203125" customWidth="1"/>
    <col min="14" max="14" width="18.5" customWidth="1"/>
    <col min="15" max="15" width="20" customWidth="1"/>
    <col min="16" max="16" width="19.6640625" customWidth="1"/>
  </cols>
  <sheetData>
    <row r="2" spans="1:17" ht="15.75" customHeight="1">
      <c r="D2" s="69"/>
      <c r="E2" s="69"/>
      <c r="F2" s="69"/>
      <c r="G2" s="69"/>
      <c r="H2" s="69"/>
      <c r="I2" s="69"/>
      <c r="J2" s="69"/>
      <c r="K2" s="69"/>
      <c r="L2" s="69"/>
      <c r="M2" s="69"/>
      <c r="N2" s="69"/>
      <c r="O2" s="69"/>
    </row>
    <row r="3" spans="1:17" ht="15.75" customHeight="1">
      <c r="D3" s="65"/>
      <c r="O3" s="69"/>
    </row>
    <row r="4" spans="1:17" ht="15.75" customHeight="1">
      <c r="A4" s="4"/>
      <c r="B4" s="4"/>
      <c r="C4" s="4"/>
      <c r="D4" s="4"/>
      <c r="E4" s="4"/>
      <c r="F4" s="4"/>
      <c r="G4" s="4"/>
      <c r="H4" s="4"/>
      <c r="I4" s="4"/>
      <c r="J4" s="4"/>
      <c r="K4" s="4"/>
      <c r="L4" s="4"/>
      <c r="M4" s="4"/>
      <c r="N4" s="4"/>
      <c r="O4" s="4"/>
      <c r="P4" s="4"/>
      <c r="Q4" s="4"/>
    </row>
    <row r="5" spans="1:17" ht="12" customHeight="1" thickBot="1">
      <c r="A5" s="4" t="s">
        <v>197</v>
      </c>
      <c r="B5" s="4"/>
      <c r="C5" s="4"/>
      <c r="D5" s="4"/>
      <c r="E5" s="4"/>
      <c r="F5" s="4"/>
      <c r="G5" s="4"/>
      <c r="H5" s="4"/>
      <c r="I5" s="4"/>
      <c r="J5" s="4"/>
      <c r="K5" s="4"/>
      <c r="L5" s="4"/>
      <c r="M5" s="4"/>
      <c r="N5" s="4"/>
      <c r="O5" s="70"/>
      <c r="P5" s="4"/>
      <c r="Q5" s="4"/>
    </row>
    <row r="6" spans="1:17" ht="15.75" customHeight="1">
      <c r="A6" s="790" t="s">
        <v>198</v>
      </c>
      <c r="B6" s="792" t="s">
        <v>199</v>
      </c>
      <c r="C6" s="792" t="s">
        <v>200</v>
      </c>
      <c r="D6" s="788" t="s">
        <v>201</v>
      </c>
      <c r="E6" s="792" t="s">
        <v>143</v>
      </c>
      <c r="F6" s="788" t="s">
        <v>202</v>
      </c>
      <c r="G6" s="148"/>
      <c r="H6" s="148"/>
      <c r="I6" s="148"/>
      <c r="J6" s="788" t="s">
        <v>136</v>
      </c>
      <c r="K6" s="148"/>
      <c r="L6" s="135"/>
      <c r="M6" s="136"/>
      <c r="N6" s="148"/>
      <c r="O6" s="137"/>
      <c r="P6" s="149"/>
      <c r="Q6" s="4"/>
    </row>
    <row r="7" spans="1:17" ht="23" customHeight="1" thickBot="1">
      <c r="A7" s="791"/>
      <c r="B7" s="793"/>
      <c r="C7" s="793"/>
      <c r="D7" s="789"/>
      <c r="E7" s="793"/>
      <c r="F7" s="789"/>
      <c r="G7" s="138" t="s">
        <v>203</v>
      </c>
      <c r="H7" s="138" t="s">
        <v>165</v>
      </c>
      <c r="I7" s="138" t="s">
        <v>167</v>
      </c>
      <c r="J7" s="789"/>
      <c r="K7" s="151" t="s">
        <v>204</v>
      </c>
      <c r="L7" s="150" t="s">
        <v>205</v>
      </c>
      <c r="M7" s="151" t="s">
        <v>206</v>
      </c>
      <c r="N7" s="150" t="s">
        <v>207</v>
      </c>
      <c r="O7" s="138" t="s">
        <v>177</v>
      </c>
      <c r="P7" s="152" t="s">
        <v>178</v>
      </c>
      <c r="Q7" s="4"/>
    </row>
    <row r="8" spans="1:17" ht="26" customHeight="1">
      <c r="A8" s="153">
        <v>45159</v>
      </c>
      <c r="B8" s="154" t="s">
        <v>208</v>
      </c>
      <c r="C8" s="155" t="s">
        <v>209</v>
      </c>
      <c r="D8" s="4" t="s">
        <v>210</v>
      </c>
      <c r="E8" s="156">
        <v>18.940000000000001</v>
      </c>
      <c r="F8" s="157">
        <v>107.33</v>
      </c>
      <c r="G8" s="158">
        <f>E8*F8</f>
        <v>2032.8302000000001</v>
      </c>
      <c r="H8" s="4">
        <v>162.08000000000001</v>
      </c>
      <c r="I8" s="4">
        <f>H8+1099.99</f>
        <v>1262.07</v>
      </c>
      <c r="J8" s="159">
        <v>1021</v>
      </c>
      <c r="K8" s="159">
        <v>49.5</v>
      </c>
      <c r="L8" s="156">
        <f>G8+J8-K8</f>
        <v>3004.3302000000003</v>
      </c>
      <c r="M8" s="72">
        <v>1021.2</v>
      </c>
      <c r="N8" s="159">
        <f>L8/M8</f>
        <v>2.9419606345475913</v>
      </c>
      <c r="O8" s="72">
        <f>L8/H8</f>
        <v>18.536094521224086</v>
      </c>
      <c r="P8" s="160">
        <f>L8/I8</f>
        <v>2.3804782619030642</v>
      </c>
      <c r="Q8" s="4"/>
    </row>
    <row r="9" spans="1:17" ht="22" customHeight="1">
      <c r="A9" s="161">
        <v>45154</v>
      </c>
      <c r="B9" s="4" t="s">
        <v>211</v>
      </c>
      <c r="C9" s="162" t="s">
        <v>212</v>
      </c>
      <c r="D9" s="4" t="s">
        <v>213</v>
      </c>
      <c r="E9" s="123">
        <v>27.39</v>
      </c>
      <c r="F9" s="124">
        <v>109.4</v>
      </c>
      <c r="G9" s="158">
        <f>E9*F9</f>
        <v>2996.4660000000003</v>
      </c>
      <c r="H9" s="4">
        <v>75.5</v>
      </c>
      <c r="I9" s="4">
        <f>H9+81.1</f>
        <v>156.6</v>
      </c>
      <c r="J9" s="125">
        <v>3259.1</v>
      </c>
      <c r="K9" s="125">
        <v>7.7</v>
      </c>
      <c r="L9" s="123">
        <f>G9+J9-K9</f>
        <v>6247.8660000000009</v>
      </c>
      <c r="M9" s="72">
        <v>370</v>
      </c>
      <c r="N9" s="125">
        <f>L9/M9</f>
        <v>16.886124324324328</v>
      </c>
      <c r="O9" s="121">
        <f>L9/H9</f>
        <v>82.75319205298014</v>
      </c>
      <c r="P9" s="126">
        <f>L9/I9</f>
        <v>39.896973180076635</v>
      </c>
      <c r="Q9" s="4"/>
    </row>
    <row r="10" spans="1:17" ht="15.75" customHeight="1" thickBot="1">
      <c r="A10" s="163"/>
      <c r="B10" s="164"/>
      <c r="C10" s="42"/>
      <c r="D10" s="42"/>
      <c r="E10" s="127"/>
      <c r="F10" s="128"/>
      <c r="G10" s="165"/>
      <c r="H10" s="42"/>
      <c r="I10" s="4"/>
      <c r="J10" s="127"/>
      <c r="K10" s="127"/>
      <c r="L10" s="127"/>
      <c r="M10" s="166"/>
      <c r="N10" s="129"/>
      <c r="O10" s="130"/>
      <c r="P10" s="131"/>
      <c r="Q10" s="4"/>
    </row>
    <row r="11" spans="1:17" ht="20.25" customHeight="1" thickBot="1">
      <c r="A11" s="167"/>
      <c r="B11" s="139" t="s">
        <v>153</v>
      </c>
      <c r="C11" s="139"/>
      <c r="D11" s="139"/>
      <c r="E11" s="139">
        <f>'COMPARABLE ANALYSIS'!C6</f>
        <v>108.99</v>
      </c>
      <c r="F11" s="140">
        <v>4066</v>
      </c>
      <c r="G11" s="139">
        <v>443153</v>
      </c>
      <c r="H11" s="139">
        <v>11656</v>
      </c>
      <c r="I11" s="140">
        <v>15898</v>
      </c>
      <c r="J11" s="139">
        <v>11968</v>
      </c>
      <c r="K11" s="139">
        <v>29528</v>
      </c>
      <c r="L11" s="140">
        <f>'COMPARABLE ANALYSIS'!I6</f>
        <v>455121.33999999997</v>
      </c>
      <c r="M11" s="141">
        <v>82914</v>
      </c>
      <c r="N11" s="141"/>
      <c r="O11" s="139"/>
      <c r="P11" s="142"/>
      <c r="Q11" s="4"/>
    </row>
    <row r="12" spans="1:17" ht="15.75" customHeight="1" thickBot="1">
      <c r="A12" s="4"/>
      <c r="B12" s="4"/>
      <c r="C12" s="4"/>
      <c r="D12" s="4"/>
      <c r="E12" s="4"/>
      <c r="F12" s="4"/>
      <c r="G12" s="4"/>
      <c r="H12" s="4"/>
      <c r="I12" s="4"/>
      <c r="J12" s="4"/>
      <c r="K12" s="4"/>
      <c r="L12" s="4"/>
      <c r="M12" s="4"/>
      <c r="N12" s="4"/>
      <c r="O12" s="4"/>
      <c r="P12" s="4"/>
      <c r="Q12" s="4"/>
    </row>
    <row r="13" spans="1:17" ht="15.75" customHeight="1" thickBot="1">
      <c r="A13" s="275"/>
      <c r="B13" s="276" t="s">
        <v>176</v>
      </c>
      <c r="C13" s="276" t="s">
        <v>177</v>
      </c>
      <c r="D13" s="277" t="s">
        <v>178</v>
      </c>
      <c r="E13" s="4"/>
      <c r="F13" s="4"/>
      <c r="G13" s="4"/>
      <c r="H13" s="4"/>
      <c r="I13" s="4"/>
      <c r="J13" s="4"/>
      <c r="K13" s="4"/>
      <c r="L13" s="4"/>
      <c r="M13" s="4"/>
      <c r="N13" s="4"/>
      <c r="O13" s="4"/>
      <c r="P13" s="4"/>
      <c r="Q13" s="4"/>
    </row>
    <row r="14" spans="1:17" ht="22" customHeight="1" thickBot="1">
      <c r="A14" s="74" t="s">
        <v>183</v>
      </c>
      <c r="B14" s="78">
        <f>MIN(N8:N10)</f>
        <v>2.9419606345475913</v>
      </c>
      <c r="C14" s="78">
        <f>MIN(O8:O10)</f>
        <v>18.536094521224086</v>
      </c>
      <c r="D14" s="78">
        <f>MIN(P8:P10)</f>
        <v>2.3804782619030642</v>
      </c>
      <c r="E14" s="4"/>
      <c r="F14" s="4"/>
      <c r="G14" s="4"/>
      <c r="H14" s="4"/>
      <c r="I14" s="4"/>
      <c r="J14" s="4"/>
      <c r="K14" s="4"/>
      <c r="L14" s="4"/>
      <c r="M14" s="4"/>
      <c r="N14" s="4"/>
      <c r="O14" s="4"/>
      <c r="P14" s="4"/>
      <c r="Q14" s="4"/>
    </row>
    <row r="15" spans="1:17" ht="22" customHeight="1" thickBot="1">
      <c r="A15" s="108" t="s">
        <v>184</v>
      </c>
      <c r="B15" s="109">
        <f>AVERAGE(N8:N10)</f>
        <v>9.9140424794359596</v>
      </c>
      <c r="C15" s="109">
        <f>AVERAGE(O8:O10)</f>
        <v>50.644643287102113</v>
      </c>
      <c r="D15" s="122">
        <f>AVERAGE(P8:P10)</f>
        <v>21.13872572098985</v>
      </c>
      <c r="E15" s="123"/>
      <c r="F15" s="132"/>
      <c r="G15" s="4"/>
      <c r="H15" s="4"/>
      <c r="I15" s="4"/>
      <c r="J15" s="4"/>
      <c r="K15" s="4"/>
      <c r="L15" s="4"/>
      <c r="M15" s="4"/>
      <c r="N15" s="4"/>
      <c r="O15" s="4"/>
      <c r="P15" s="4"/>
      <c r="Q15" s="4"/>
    </row>
    <row r="16" spans="1:17" ht="23" customHeight="1">
      <c r="A16" s="74" t="s">
        <v>185</v>
      </c>
      <c r="B16" s="78">
        <f>MAX(N8:N10)</f>
        <v>16.886124324324328</v>
      </c>
      <c r="C16" s="78">
        <f>MAX(O8:O10)</f>
        <v>82.75319205298014</v>
      </c>
      <c r="D16" s="78">
        <f>MAX(P8:P10)</f>
        <v>39.896973180076635</v>
      </c>
      <c r="E16" s="4"/>
      <c r="F16" s="4"/>
      <c r="G16" s="4"/>
      <c r="H16" s="4"/>
      <c r="I16" s="4"/>
      <c r="J16" s="4"/>
      <c r="K16" s="4"/>
      <c r="L16" s="4"/>
      <c r="M16" s="4"/>
      <c r="N16" s="4"/>
      <c r="O16" s="4"/>
      <c r="P16" s="4"/>
      <c r="Q16" s="4"/>
    </row>
    <row r="17" spans="1:17" ht="15.75" customHeight="1" thickBot="1">
      <c r="A17" s="74"/>
      <c r="B17" s="58"/>
      <c r="C17" s="4"/>
      <c r="D17" s="58"/>
      <c r="E17" s="4"/>
      <c r="F17" s="4"/>
      <c r="G17" s="4"/>
      <c r="H17" s="4"/>
      <c r="I17" s="4"/>
      <c r="J17" s="4"/>
      <c r="K17" s="4"/>
      <c r="L17" s="4"/>
      <c r="M17" s="4"/>
      <c r="N17" s="4"/>
      <c r="O17" s="4"/>
      <c r="P17" s="4"/>
      <c r="Q17" s="4"/>
    </row>
    <row r="18" spans="1:17" ht="15.75" customHeight="1" thickBot="1">
      <c r="A18" s="278" t="s">
        <v>189</v>
      </c>
      <c r="B18" s="276" t="s">
        <v>176</v>
      </c>
      <c r="C18" s="276" t="s">
        <v>177</v>
      </c>
      <c r="D18" s="277" t="s">
        <v>178</v>
      </c>
      <c r="E18" s="4"/>
      <c r="F18" s="4"/>
      <c r="G18" s="4"/>
      <c r="H18" s="4"/>
      <c r="I18" s="4"/>
      <c r="J18" s="4"/>
      <c r="K18" s="4"/>
      <c r="L18" s="4"/>
      <c r="M18" s="4"/>
      <c r="N18" s="4"/>
      <c r="O18" s="4"/>
      <c r="P18" s="4"/>
      <c r="Q18" s="4"/>
    </row>
    <row r="19" spans="1:17" ht="22" customHeight="1" thickBot="1">
      <c r="A19" s="74" t="s">
        <v>183</v>
      </c>
      <c r="B19" s="58">
        <f>B14*$M$11</f>
        <v>243929.72405287897</v>
      </c>
      <c r="C19" s="58">
        <f>C14*$H$11</f>
        <v>216056.71773938794</v>
      </c>
      <c r="D19" s="58">
        <f>D14*$I$11</f>
        <v>37844.843407734916</v>
      </c>
      <c r="E19" s="4"/>
      <c r="F19" s="4"/>
      <c r="G19" s="4"/>
      <c r="H19" s="4"/>
      <c r="I19" s="4"/>
      <c r="J19" s="4"/>
      <c r="K19" s="4"/>
      <c r="L19" s="4"/>
      <c r="M19" s="4"/>
      <c r="N19" s="4"/>
      <c r="O19" s="4"/>
      <c r="P19" s="4"/>
      <c r="Q19" s="4"/>
    </row>
    <row r="20" spans="1:17" ht="27" customHeight="1" thickBot="1">
      <c r="A20" s="108" t="s">
        <v>184</v>
      </c>
      <c r="B20" s="111">
        <f>B15*$M$11</f>
        <v>822012.91813995317</v>
      </c>
      <c r="C20" s="111">
        <f>C15*$H$11</f>
        <v>590313.96215446224</v>
      </c>
      <c r="D20" s="112">
        <f>D15*$I$11</f>
        <v>336063.46151229664</v>
      </c>
      <c r="E20" s="4"/>
      <c r="F20" s="4"/>
      <c r="G20" s="4"/>
      <c r="H20" s="4"/>
      <c r="I20" s="4"/>
      <c r="J20" s="4"/>
      <c r="K20" s="4"/>
      <c r="L20" s="4"/>
      <c r="M20" s="4"/>
      <c r="N20" s="4"/>
      <c r="O20" s="4"/>
      <c r="P20" s="4"/>
      <c r="Q20" s="4"/>
    </row>
    <row r="21" spans="1:17" ht="19" customHeight="1">
      <c r="A21" s="74" t="s">
        <v>185</v>
      </c>
      <c r="B21" s="58">
        <f>B16*$M$11</f>
        <v>1400096.1122270273</v>
      </c>
      <c r="C21" s="58">
        <f>C16*$H$11</f>
        <v>964571.20656953647</v>
      </c>
      <c r="D21" s="58">
        <f>D16*$I$11</f>
        <v>634282.07961685839</v>
      </c>
      <c r="E21" s="4"/>
      <c r="F21" s="4"/>
      <c r="G21" s="4"/>
      <c r="H21" s="4"/>
      <c r="I21" s="4"/>
      <c r="J21" s="4"/>
      <c r="K21" s="4"/>
      <c r="L21" s="4"/>
      <c r="M21" s="4"/>
      <c r="N21" s="4"/>
      <c r="O21" s="4"/>
      <c r="P21" s="4"/>
      <c r="Q21" s="4"/>
    </row>
    <row r="22" spans="1:17" ht="15.75" customHeight="1" thickBot="1">
      <c r="A22" s="74"/>
      <c r="B22" s="58"/>
      <c r="C22" s="4"/>
      <c r="D22" s="58"/>
      <c r="E22" s="4"/>
      <c r="F22" s="4"/>
      <c r="G22" s="4"/>
      <c r="H22" s="4"/>
      <c r="I22" s="4"/>
      <c r="J22" s="4"/>
      <c r="K22" s="4"/>
      <c r="L22" s="4"/>
      <c r="M22" s="4"/>
      <c r="N22" s="4"/>
      <c r="O22" s="4"/>
      <c r="P22" s="4"/>
      <c r="Q22" s="4"/>
    </row>
    <row r="23" spans="1:17" ht="15.75" customHeight="1" thickBot="1">
      <c r="A23" s="278" t="s">
        <v>194</v>
      </c>
      <c r="B23" s="276" t="s">
        <v>176</v>
      </c>
      <c r="C23" s="276" t="s">
        <v>177</v>
      </c>
      <c r="D23" s="277" t="s">
        <v>178</v>
      </c>
      <c r="E23" s="4"/>
      <c r="F23" s="4"/>
      <c r="G23" s="4"/>
      <c r="H23" s="4"/>
      <c r="I23" s="4"/>
      <c r="J23" s="4"/>
      <c r="K23" s="4"/>
      <c r="L23" s="4"/>
      <c r="M23" s="4"/>
      <c r="N23" s="4"/>
      <c r="O23" s="4"/>
      <c r="P23" s="4"/>
      <c r="Q23" s="4"/>
    </row>
    <row r="24" spans="1:17" ht="21" customHeight="1" thickBot="1">
      <c r="A24" s="74" t="s">
        <v>183</v>
      </c>
      <c r="B24" s="80">
        <f t="shared" ref="B24:D26" si="0">B19-$J$11</f>
        <v>231961.72405287897</v>
      </c>
      <c r="C24" s="80">
        <f t="shared" si="0"/>
        <v>204088.71773938794</v>
      </c>
      <c r="D24" s="80">
        <f t="shared" si="0"/>
        <v>25876.843407734916</v>
      </c>
      <c r="E24" s="4"/>
      <c r="F24" s="4"/>
      <c r="G24" s="4"/>
      <c r="H24" s="4"/>
      <c r="I24" s="4"/>
      <c r="J24" s="4"/>
      <c r="K24" s="4"/>
      <c r="L24" s="4"/>
      <c r="M24" s="4"/>
      <c r="N24" s="4"/>
      <c r="O24" s="4"/>
      <c r="P24" s="4"/>
      <c r="Q24" s="4"/>
    </row>
    <row r="25" spans="1:17" ht="20" customHeight="1" thickBot="1">
      <c r="A25" s="108" t="s">
        <v>184</v>
      </c>
      <c r="B25" s="113">
        <f t="shared" si="0"/>
        <v>810044.91813995317</v>
      </c>
      <c r="C25" s="113">
        <f t="shared" si="0"/>
        <v>578345.96215446224</v>
      </c>
      <c r="D25" s="114">
        <f t="shared" si="0"/>
        <v>324095.46151229664</v>
      </c>
      <c r="E25" s="4"/>
      <c r="F25" s="4"/>
      <c r="G25" s="4"/>
      <c r="H25" s="4"/>
      <c r="I25" s="4"/>
      <c r="J25" s="4"/>
      <c r="K25" s="4"/>
      <c r="L25" s="4"/>
      <c r="M25" s="4"/>
      <c r="N25" s="4"/>
      <c r="O25" s="4"/>
      <c r="P25" s="4"/>
      <c r="Q25" s="4"/>
    </row>
    <row r="26" spans="1:17" ht="21" customHeight="1">
      <c r="A26" s="74" t="s">
        <v>185</v>
      </c>
      <c r="B26" s="80">
        <f t="shared" si="0"/>
        <v>1388128.1122270273</v>
      </c>
      <c r="C26" s="80">
        <f t="shared" si="0"/>
        <v>952603.20656953647</v>
      </c>
      <c r="D26" s="80">
        <f t="shared" si="0"/>
        <v>622314.07961685839</v>
      </c>
      <c r="E26" s="4"/>
      <c r="F26" s="4"/>
      <c r="G26" s="4"/>
      <c r="H26" s="4"/>
      <c r="I26" s="4"/>
      <c r="J26" s="4"/>
      <c r="K26" s="4"/>
      <c r="L26" s="4"/>
      <c r="M26" s="4"/>
      <c r="N26" s="4"/>
      <c r="O26" s="4"/>
      <c r="P26" s="4"/>
      <c r="Q26" s="4"/>
    </row>
    <row r="27" spans="1:17" ht="15.75" customHeight="1" thickBot="1">
      <c r="A27" s="74"/>
      <c r="B27" s="58"/>
      <c r="C27" s="4"/>
      <c r="D27" s="58"/>
      <c r="E27" s="4"/>
      <c r="F27" s="4"/>
      <c r="G27" s="4"/>
      <c r="H27" s="4"/>
      <c r="I27" s="4"/>
      <c r="J27" s="4"/>
      <c r="K27" s="4"/>
      <c r="L27" s="4"/>
      <c r="M27" s="4"/>
      <c r="N27" s="4"/>
      <c r="O27" s="4"/>
      <c r="P27" s="4"/>
      <c r="Q27" s="4"/>
    </row>
    <row r="28" spans="1:17" ht="15.75" customHeight="1" thickBot="1">
      <c r="A28" s="278" t="s">
        <v>196</v>
      </c>
      <c r="B28" s="276" t="s">
        <v>176</v>
      </c>
      <c r="C28" s="276" t="s">
        <v>177</v>
      </c>
      <c r="D28" s="277" t="s">
        <v>178</v>
      </c>
      <c r="E28" s="4"/>
      <c r="F28" s="4"/>
      <c r="G28" s="4"/>
      <c r="H28" s="4"/>
      <c r="I28" s="4"/>
      <c r="J28" s="4"/>
      <c r="K28" s="4"/>
      <c r="L28" s="4"/>
      <c r="M28" s="4"/>
      <c r="N28" s="4"/>
      <c r="O28" s="4"/>
      <c r="P28" s="4"/>
      <c r="Q28" s="4"/>
    </row>
    <row r="29" spans="1:17" ht="24" customHeight="1" thickBot="1">
      <c r="A29" s="74" t="s">
        <v>183</v>
      </c>
      <c r="B29" s="80">
        <f t="shared" ref="B29:D31" si="1">B24/$F$11</f>
        <v>57.04912052456443</v>
      </c>
      <c r="C29" s="80">
        <f t="shared" si="1"/>
        <v>50.193978784896196</v>
      </c>
      <c r="D29" s="80">
        <f t="shared" si="1"/>
        <v>6.3642015267424776</v>
      </c>
      <c r="E29" s="4"/>
      <c r="F29" s="4"/>
      <c r="G29" s="4"/>
      <c r="H29" s="4"/>
      <c r="I29" s="4"/>
      <c r="J29" s="4"/>
      <c r="K29" s="4"/>
      <c r="L29" s="4"/>
      <c r="M29" s="4"/>
      <c r="N29" s="4"/>
      <c r="O29" s="4"/>
      <c r="P29" s="4"/>
      <c r="Q29" s="4"/>
    </row>
    <row r="30" spans="1:17" ht="16" customHeight="1" thickBot="1">
      <c r="A30" s="108" t="s">
        <v>184</v>
      </c>
      <c r="B30" s="113">
        <f t="shared" si="1"/>
        <v>199.22403299064268</v>
      </c>
      <c r="C30" s="113">
        <f t="shared" si="1"/>
        <v>142.23953815899219</v>
      </c>
      <c r="D30" s="114">
        <f t="shared" si="1"/>
        <v>79.708672285365623</v>
      </c>
      <c r="E30" s="4"/>
      <c r="F30" s="4"/>
      <c r="G30" s="4"/>
      <c r="H30" s="4"/>
      <c r="I30" s="4"/>
      <c r="J30" s="4"/>
      <c r="K30" s="4"/>
      <c r="L30" s="4"/>
      <c r="M30" s="4"/>
      <c r="N30" s="4"/>
      <c r="O30" s="4"/>
      <c r="P30" s="4"/>
      <c r="Q30" s="4"/>
    </row>
    <row r="31" spans="1:17" ht="15.75" customHeight="1">
      <c r="A31" s="74" t="s">
        <v>185</v>
      </c>
      <c r="B31" s="80">
        <f t="shared" si="1"/>
        <v>341.39894545672092</v>
      </c>
      <c r="C31" s="80">
        <f t="shared" si="1"/>
        <v>234.28509753308816</v>
      </c>
      <c r="D31" s="80">
        <f t="shared" si="1"/>
        <v>153.0531430439888</v>
      </c>
      <c r="E31" s="4"/>
      <c r="F31" s="4"/>
      <c r="G31" s="4"/>
      <c r="H31" s="4"/>
      <c r="I31" s="4"/>
      <c r="J31" s="4"/>
      <c r="K31" s="4"/>
      <c r="L31" s="4"/>
      <c r="M31" s="4"/>
      <c r="N31" s="4"/>
      <c r="O31" s="4"/>
      <c r="P31" s="4"/>
      <c r="Q31" s="4"/>
    </row>
    <row r="32" spans="1:17" ht="15.75" customHeight="1">
      <c r="A32" s="58"/>
      <c r="B32" s="58"/>
      <c r="C32" s="58"/>
      <c r="D32" s="4"/>
      <c r="E32" s="4"/>
      <c r="F32" s="4"/>
      <c r="G32" s="4"/>
      <c r="H32" s="4"/>
      <c r="I32" s="4"/>
      <c r="J32" s="4"/>
      <c r="K32" s="4"/>
      <c r="L32" s="4"/>
      <c r="M32" s="4"/>
      <c r="N32" s="4"/>
      <c r="O32" s="4"/>
      <c r="P32" s="4"/>
      <c r="Q32" s="4"/>
    </row>
    <row r="33" spans="1:17" ht="15.75" customHeight="1" thickBot="1">
      <c r="A33" s="4"/>
      <c r="B33" s="4"/>
      <c r="C33" s="4"/>
      <c r="D33" s="4"/>
      <c r="E33" s="287"/>
      <c r="F33" s="4"/>
      <c r="G33" s="4"/>
      <c r="H33" s="4"/>
      <c r="I33" s="4"/>
      <c r="J33" s="4"/>
      <c r="K33" s="4"/>
      <c r="L33" s="4"/>
      <c r="M33" s="4"/>
      <c r="N33" s="4"/>
      <c r="O33" s="4"/>
      <c r="P33" s="4"/>
      <c r="Q33" s="4"/>
    </row>
    <row r="34" spans="1:17" ht="19" customHeight="1" thickBot="1">
      <c r="A34" s="280" t="s">
        <v>109</v>
      </c>
      <c r="B34" s="281" t="s">
        <v>214</v>
      </c>
      <c r="C34" s="221" t="s">
        <v>156</v>
      </c>
      <c r="D34" s="281" t="s">
        <v>215</v>
      </c>
      <c r="E34" s="221" t="s">
        <v>216</v>
      </c>
      <c r="F34" s="223" t="s">
        <v>217</v>
      </c>
      <c r="G34" s="4"/>
      <c r="H34" s="4"/>
      <c r="I34" s="4"/>
      <c r="J34" s="4"/>
      <c r="K34" s="4"/>
      <c r="L34" s="4"/>
      <c r="M34" s="4"/>
      <c r="N34" s="4"/>
      <c r="O34" s="4"/>
      <c r="P34" s="4"/>
      <c r="Q34" s="4"/>
    </row>
    <row r="35" spans="1:17" ht="22" customHeight="1">
      <c r="A35" s="628">
        <v>45159</v>
      </c>
      <c r="B35" s="629" t="s">
        <v>209</v>
      </c>
      <c r="C35" s="630" t="s">
        <v>210</v>
      </c>
      <c r="D35" s="629" t="s">
        <v>208</v>
      </c>
      <c r="E35" s="630">
        <v>4.5</v>
      </c>
      <c r="F35" s="631" t="s">
        <v>218</v>
      </c>
      <c r="G35" s="4"/>
      <c r="H35" s="4"/>
      <c r="I35" s="4"/>
      <c r="J35" s="4"/>
      <c r="K35" s="4"/>
      <c r="L35" s="4"/>
      <c r="M35" s="4"/>
      <c r="N35" s="4"/>
      <c r="O35" s="4"/>
      <c r="P35" s="4"/>
      <c r="Q35" s="4"/>
    </row>
    <row r="36" spans="1:17" ht="22" customHeight="1" thickBot="1">
      <c r="A36" s="282">
        <v>45154</v>
      </c>
      <c r="B36" s="283" t="s">
        <v>212</v>
      </c>
      <c r="C36" s="284" t="s">
        <v>213</v>
      </c>
      <c r="D36" s="284" t="s">
        <v>211</v>
      </c>
      <c r="E36" s="284">
        <v>7.1</v>
      </c>
      <c r="F36" s="285" t="s">
        <v>218</v>
      </c>
      <c r="G36" s="4"/>
      <c r="H36" s="4"/>
      <c r="I36" s="4"/>
      <c r="J36" s="4"/>
      <c r="K36" s="4"/>
      <c r="L36" s="4"/>
      <c r="M36" s="4"/>
      <c r="N36" s="4"/>
      <c r="O36" s="4"/>
      <c r="P36" s="4"/>
      <c r="Q36" s="4"/>
    </row>
    <row r="37" spans="1:17" ht="15.75" customHeight="1">
      <c r="A37" s="271"/>
      <c r="B37" s="272"/>
      <c r="C37" s="272"/>
      <c r="D37" s="4"/>
      <c r="E37" s="4"/>
      <c r="F37" s="4"/>
      <c r="G37" s="4"/>
      <c r="H37" s="4"/>
      <c r="I37" s="4"/>
      <c r="J37" s="4"/>
      <c r="K37" s="4"/>
      <c r="L37" s="4"/>
      <c r="M37" s="4"/>
      <c r="N37" s="4"/>
      <c r="O37" s="4"/>
      <c r="P37" s="4"/>
      <c r="Q37" s="4"/>
    </row>
    <row r="38" spans="1:17" ht="15.75" customHeight="1">
      <c r="A38" s="161"/>
      <c r="B38" s="133"/>
      <c r="C38" s="4"/>
      <c r="D38" s="4"/>
      <c r="E38" s="4"/>
      <c r="F38" s="4"/>
      <c r="G38" s="4"/>
      <c r="H38" s="4"/>
      <c r="I38" s="4"/>
      <c r="J38" s="4"/>
      <c r="K38" s="4"/>
      <c r="L38" s="4"/>
      <c r="M38" s="4"/>
      <c r="N38" s="4"/>
      <c r="O38" s="4"/>
      <c r="P38" s="4"/>
      <c r="Q38" s="4"/>
    </row>
    <row r="39" spans="1:17" ht="15.75" customHeight="1">
      <c r="A39" s="161"/>
      <c r="B39" s="273"/>
      <c r="C39" s="4"/>
      <c r="D39" s="4"/>
      <c r="E39" s="4"/>
      <c r="F39" s="4"/>
      <c r="G39" s="4"/>
      <c r="H39" s="4"/>
      <c r="I39" s="4"/>
      <c r="J39" s="4"/>
      <c r="K39" s="4"/>
      <c r="L39" s="4"/>
      <c r="M39" s="4"/>
      <c r="N39" s="4"/>
      <c r="O39" s="4"/>
      <c r="P39" s="4"/>
      <c r="Q39" s="4"/>
    </row>
    <row r="40" spans="1:17" ht="15.75" customHeight="1">
      <c r="A40" s="4"/>
      <c r="B40" s="134"/>
      <c r="C40" s="4"/>
      <c r="D40" s="4"/>
      <c r="E40" s="4"/>
      <c r="F40" s="4"/>
      <c r="G40" s="4"/>
      <c r="H40" s="4"/>
      <c r="I40" s="4"/>
      <c r="J40" s="4"/>
      <c r="K40" s="4"/>
      <c r="L40" s="4"/>
      <c r="M40" s="4"/>
      <c r="N40" s="4"/>
      <c r="O40" s="4"/>
      <c r="P40" s="4"/>
      <c r="Q40" s="4"/>
    </row>
    <row r="41" spans="1:17" ht="15.75" customHeight="1">
      <c r="A41" s="161"/>
      <c r="B41" s="162"/>
      <c r="C41" s="4"/>
      <c r="D41" s="4"/>
      <c r="E41" s="4"/>
      <c r="F41" s="4"/>
      <c r="G41" s="4"/>
      <c r="H41" s="4"/>
      <c r="I41" s="4"/>
      <c r="J41" s="4"/>
      <c r="K41" s="4"/>
      <c r="L41" s="4"/>
      <c r="M41" s="4"/>
      <c r="N41" s="4"/>
      <c r="O41" s="4"/>
      <c r="P41" s="4"/>
      <c r="Q41" s="4"/>
    </row>
    <row r="42" spans="1:17" ht="15.75" customHeight="1">
      <c r="A42" s="161"/>
      <c r="B42" s="4"/>
      <c r="C42" s="4"/>
      <c r="D42" s="4"/>
      <c r="E42" s="4"/>
      <c r="F42" s="4"/>
      <c r="G42" s="4"/>
      <c r="H42" s="4"/>
      <c r="I42" s="4"/>
      <c r="J42" s="4"/>
      <c r="K42" s="4"/>
      <c r="L42" s="4"/>
      <c r="M42" s="4"/>
      <c r="N42" s="4"/>
      <c r="O42" s="4"/>
      <c r="P42" s="4"/>
      <c r="Q42" s="4"/>
    </row>
    <row r="43" spans="1:17" ht="15.75" customHeight="1">
      <c r="A43" s="4"/>
      <c r="B43" s="4"/>
      <c r="C43" s="4"/>
      <c r="D43" s="4"/>
      <c r="E43" s="4"/>
      <c r="F43" s="4"/>
      <c r="G43" s="4"/>
      <c r="H43" s="4"/>
      <c r="I43" s="4"/>
      <c r="J43" s="4"/>
      <c r="K43" s="4"/>
      <c r="L43" s="4"/>
      <c r="M43" s="4"/>
      <c r="N43" s="4"/>
      <c r="O43" s="4"/>
      <c r="P43" s="4"/>
      <c r="Q43" s="4"/>
    </row>
    <row r="44" spans="1:17" ht="15.75" customHeight="1">
      <c r="A44" s="4"/>
      <c r="B44" s="4"/>
      <c r="C44" s="4"/>
      <c r="D44" s="4"/>
      <c r="E44" s="4"/>
      <c r="F44" s="4"/>
      <c r="G44" s="4"/>
      <c r="H44" s="4"/>
      <c r="I44" s="4"/>
      <c r="J44" s="4"/>
      <c r="K44" s="4"/>
      <c r="L44" s="4"/>
      <c r="M44" s="4"/>
      <c r="N44" s="4"/>
      <c r="O44" s="4"/>
      <c r="P44" s="4"/>
      <c r="Q44" s="4"/>
    </row>
    <row r="45" spans="1:17" ht="15.75" customHeight="1">
      <c r="A45" s="4"/>
      <c r="B45" s="4"/>
      <c r="C45" s="4"/>
      <c r="D45" s="4"/>
      <c r="E45" s="4"/>
      <c r="F45" s="4"/>
      <c r="G45" s="4"/>
      <c r="H45" s="4"/>
      <c r="I45" s="4"/>
      <c r="J45" s="4"/>
      <c r="K45" s="4"/>
      <c r="L45" s="4"/>
      <c r="M45" s="4"/>
      <c r="N45" s="4"/>
      <c r="O45" s="4"/>
      <c r="P45" s="4"/>
      <c r="Q45" s="4"/>
    </row>
    <row r="46" spans="1:17" ht="15.75" customHeight="1">
      <c r="A46" s="4"/>
      <c r="B46" s="4"/>
      <c r="C46" s="4"/>
      <c r="D46" s="4"/>
      <c r="E46" s="4"/>
      <c r="F46" s="4"/>
      <c r="G46" s="4"/>
      <c r="H46" s="4"/>
      <c r="I46" s="4"/>
      <c r="J46" s="4"/>
      <c r="K46" s="4"/>
      <c r="L46" s="4"/>
      <c r="M46" s="4"/>
      <c r="N46" s="4"/>
      <c r="O46" s="4"/>
      <c r="P46" s="4"/>
      <c r="Q46" s="4"/>
    </row>
    <row r="48" spans="1:17" ht="15.75" customHeight="1">
      <c r="B48" s="81"/>
    </row>
    <row r="50" spans="1:16" ht="15.75" customHeight="1">
      <c r="A50" s="77"/>
    </row>
    <row r="56" spans="1:16" ht="15.75" customHeight="1">
      <c r="A56" s="787"/>
      <c r="B56" s="787"/>
      <c r="C56" s="787"/>
      <c r="D56" s="786"/>
      <c r="E56" s="787"/>
      <c r="F56" s="786"/>
      <c r="J56" s="786"/>
      <c r="L56" s="85"/>
      <c r="M56" s="86"/>
      <c r="O56" s="70"/>
    </row>
    <row r="57" spans="1:16" ht="15.75" customHeight="1">
      <c r="A57" s="787"/>
      <c r="B57" s="787"/>
      <c r="C57" s="787"/>
      <c r="D57" s="786"/>
      <c r="E57" s="787"/>
      <c r="F57" s="786"/>
      <c r="G57" s="46"/>
      <c r="H57" s="46"/>
      <c r="I57" s="46"/>
      <c r="J57" s="786"/>
      <c r="K57" s="86"/>
      <c r="L57" s="85"/>
      <c r="M57" s="86"/>
      <c r="N57" s="85"/>
      <c r="O57" s="87"/>
      <c r="P57" s="85"/>
    </row>
    <row r="61" spans="1:16" ht="15.75" customHeight="1">
      <c r="I61" s="46"/>
    </row>
    <row r="63" spans="1:16" ht="15.75" customHeight="1">
      <c r="A63" s="58"/>
      <c r="B63" s="74"/>
      <c r="C63" s="74"/>
    </row>
    <row r="64" spans="1:16" ht="15.75" customHeight="1">
      <c r="A64" s="74"/>
    </row>
    <row r="65" spans="1:1" ht="15.75" customHeight="1">
      <c r="A65" s="74"/>
    </row>
    <row r="66" spans="1:1" ht="15.75" customHeight="1">
      <c r="A66" s="74"/>
    </row>
    <row r="67" spans="1:1" ht="15.75" customHeight="1">
      <c r="A67" s="74"/>
    </row>
    <row r="68" spans="1:1" ht="15.75" customHeight="1">
      <c r="A68" s="74"/>
    </row>
    <row r="69" spans="1:1" ht="15.75" customHeight="1">
      <c r="A69" s="74"/>
    </row>
    <row r="70" spans="1:1" ht="15.75" customHeight="1">
      <c r="A70" s="74"/>
    </row>
    <row r="71" spans="1:1" ht="15.75" customHeight="1">
      <c r="A71" s="74"/>
    </row>
    <row r="72" spans="1:1" ht="15.75" customHeight="1">
      <c r="A72" s="74"/>
    </row>
    <row r="73" spans="1:1" ht="15.75" customHeight="1">
      <c r="A73" s="74"/>
    </row>
    <row r="74" spans="1:1" ht="15.75" customHeight="1">
      <c r="A74" s="74"/>
    </row>
    <row r="75" spans="1:1" ht="15.75" customHeight="1">
      <c r="A75" s="74"/>
    </row>
    <row r="76" spans="1:1" ht="15.75" customHeight="1">
      <c r="A76" s="74"/>
    </row>
    <row r="77" spans="1:1" ht="15.75" customHeight="1">
      <c r="A77" s="74"/>
    </row>
    <row r="78" spans="1:1" ht="15.75" customHeight="1">
      <c r="A78" s="74"/>
    </row>
    <row r="79" spans="1:1" ht="15.75" customHeight="1">
      <c r="A79" s="74"/>
    </row>
    <row r="80" spans="1:1" ht="15.75" customHeight="1">
      <c r="A80" s="74"/>
    </row>
    <row r="81" spans="1:1" ht="15.75" customHeight="1">
      <c r="A81" s="74"/>
    </row>
  </sheetData>
  <mergeCells count="14">
    <mergeCell ref="F6:F7"/>
    <mergeCell ref="A6:A7"/>
    <mergeCell ref="B6:B7"/>
    <mergeCell ref="D6:D7"/>
    <mergeCell ref="J6:J7"/>
    <mergeCell ref="C6:C7"/>
    <mergeCell ref="E6:E7"/>
    <mergeCell ref="F56:F57"/>
    <mergeCell ref="J56:J57"/>
    <mergeCell ref="A56:A57"/>
    <mergeCell ref="B56:B57"/>
    <mergeCell ref="C56:C57"/>
    <mergeCell ref="D56:D57"/>
    <mergeCell ref="E56:E57"/>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876F-2D4E-4680-AB22-F431433D1778}">
  <dimension ref="B2:V109"/>
  <sheetViews>
    <sheetView topLeftCell="C54" zoomScale="63" zoomScaleNormal="100" workbookViewId="0">
      <selection activeCell="J76" sqref="J76"/>
    </sheetView>
  </sheetViews>
  <sheetFormatPr baseColWidth="10" defaultColWidth="11.5" defaultRowHeight="13"/>
  <cols>
    <col min="2" max="2" width="82" customWidth="1"/>
    <col min="3" max="5" width="24.6640625" customWidth="1"/>
    <col min="6" max="6" width="24.83203125" customWidth="1"/>
    <col min="7" max="7" width="24" customWidth="1"/>
    <col min="8" max="8" width="25.1640625" customWidth="1"/>
    <col min="9" max="9" width="24.5" customWidth="1"/>
    <col min="10" max="10" width="24.83203125" customWidth="1"/>
    <col min="11" max="11" width="24.6640625" customWidth="1"/>
    <col min="12" max="12" width="24.5" customWidth="1"/>
    <col min="13" max="13" width="24.1640625" customWidth="1"/>
    <col min="14" max="14" width="27.5" customWidth="1"/>
  </cols>
  <sheetData>
    <row r="2" spans="2:19" ht="18">
      <c r="B2" s="4"/>
      <c r="C2" s="169"/>
      <c r="D2" s="4"/>
      <c r="E2" s="4"/>
      <c r="F2" s="4"/>
      <c r="G2" s="4"/>
      <c r="H2" s="172"/>
      <c r="I2" s="4"/>
      <c r="J2" s="4"/>
      <c r="K2" s="4"/>
      <c r="L2" s="4"/>
      <c r="M2" s="4"/>
      <c r="N2" s="4"/>
      <c r="O2" s="4"/>
      <c r="P2" s="4"/>
      <c r="Q2" s="4"/>
      <c r="R2" s="4"/>
      <c r="S2" s="4"/>
    </row>
    <row r="3" spans="2:19" ht="21" thickBot="1">
      <c r="B3" s="201" t="s">
        <v>219</v>
      </c>
      <c r="C3" s="4"/>
      <c r="D3" s="169"/>
      <c r="E3" s="169"/>
      <c r="F3" s="169"/>
      <c r="G3" s="169"/>
      <c r="H3" s="169"/>
      <c r="I3" s="170"/>
      <c r="J3" s="170"/>
      <c r="K3" s="170"/>
      <c r="L3" s="4"/>
      <c r="M3" s="4"/>
      <c r="N3" s="4"/>
      <c r="O3" s="4"/>
      <c r="P3" s="4"/>
      <c r="Q3" s="4"/>
      <c r="R3" s="4"/>
      <c r="S3" s="4"/>
    </row>
    <row r="4" spans="2:19" ht="19" thickBot="1">
      <c r="B4" s="174" t="s">
        <v>66</v>
      </c>
      <c r="C4" s="175">
        <v>2023</v>
      </c>
      <c r="D4" s="176">
        <v>2022</v>
      </c>
      <c r="E4" s="176">
        <v>2021</v>
      </c>
      <c r="F4" s="176">
        <v>2020</v>
      </c>
      <c r="G4" s="176">
        <v>2019</v>
      </c>
      <c r="H4" s="176">
        <v>2018</v>
      </c>
      <c r="I4" s="176">
        <v>2017</v>
      </c>
      <c r="J4" s="176">
        <v>2016</v>
      </c>
      <c r="K4" s="177">
        <v>2015</v>
      </c>
      <c r="L4" s="4"/>
      <c r="M4" s="4"/>
      <c r="N4" s="4"/>
      <c r="O4" s="4"/>
      <c r="P4" s="4"/>
      <c r="Q4" s="4"/>
      <c r="R4" s="4"/>
      <c r="S4" s="4"/>
    </row>
    <row r="5" spans="2:19" ht="18">
      <c r="B5" s="364" t="s">
        <v>4</v>
      </c>
      <c r="C5" s="365"/>
      <c r="D5" s="366"/>
      <c r="E5" s="366">
        <f>D9/E9-1</f>
        <v>0.44825654670214266</v>
      </c>
      <c r="F5" s="366">
        <f>E9/F9-1</f>
        <v>0.57375676301087597</v>
      </c>
      <c r="G5" s="366">
        <f t="shared" ref="G5:J5" si="0">F9/G9-1</f>
        <v>-0.31492651110825931</v>
      </c>
      <c r="H5" s="366">
        <f t="shared" si="0"/>
        <v>-8.7088059763207548E-2</v>
      </c>
      <c r="I5" s="366">
        <f t="shared" si="0"/>
        <v>0.18762660468237824</v>
      </c>
      <c r="J5" s="366">
        <f t="shared" si="0"/>
        <v>0.17417857520397484</v>
      </c>
      <c r="K5" s="367"/>
      <c r="L5" s="4"/>
      <c r="M5" s="4"/>
      <c r="N5" s="4"/>
      <c r="O5" s="4"/>
      <c r="P5" s="4"/>
      <c r="Q5" s="4"/>
      <c r="R5" s="4"/>
      <c r="S5" s="4"/>
    </row>
    <row r="6" spans="2:19" ht="18">
      <c r="B6" s="368" t="s">
        <v>5</v>
      </c>
      <c r="C6" s="369">
        <v>152384</v>
      </c>
      <c r="D6" s="327">
        <v>398675</v>
      </c>
      <c r="E6" s="370">
        <v>276692</v>
      </c>
      <c r="F6" s="327">
        <v>178574</v>
      </c>
      <c r="G6" s="370">
        <v>255583</v>
      </c>
      <c r="H6" s="327">
        <v>279332</v>
      </c>
      <c r="I6" s="327">
        <v>237162</v>
      </c>
      <c r="J6" s="327">
        <v>200628</v>
      </c>
      <c r="K6" s="371">
        <v>239854</v>
      </c>
      <c r="L6" s="4"/>
      <c r="M6" s="4"/>
      <c r="N6" s="4"/>
      <c r="O6" s="172"/>
      <c r="P6" s="172"/>
      <c r="Q6" s="4"/>
      <c r="R6" s="4"/>
      <c r="S6" s="4"/>
    </row>
    <row r="7" spans="2:19" ht="18">
      <c r="B7" s="368" t="s">
        <v>6</v>
      </c>
      <c r="C7" s="286">
        <f>'INCOME STATEMENT'!D12</f>
        <v>1382</v>
      </c>
      <c r="D7" s="327">
        <v>11463</v>
      </c>
      <c r="E7" s="370">
        <v>6657</v>
      </c>
      <c r="F7" s="327">
        <v>1732</v>
      </c>
      <c r="G7" s="370">
        <v>5441</v>
      </c>
      <c r="H7" s="327">
        <v>7355</v>
      </c>
      <c r="I7" s="327">
        <v>5380</v>
      </c>
      <c r="J7" s="327">
        <v>4806</v>
      </c>
      <c r="K7" s="371">
        <v>7644</v>
      </c>
      <c r="L7" s="4"/>
      <c r="M7" s="4"/>
      <c r="N7" s="4"/>
      <c r="O7" s="4"/>
      <c r="P7" s="4"/>
      <c r="Q7" s="4"/>
      <c r="R7" s="4"/>
      <c r="S7" s="4"/>
    </row>
    <row r="8" spans="2:19" ht="18">
      <c r="B8" s="368" t="s">
        <v>7</v>
      </c>
      <c r="C8" s="286">
        <f>'INCOME STATEMENT'!D13</f>
        <v>737</v>
      </c>
      <c r="D8" s="327">
        <v>3542</v>
      </c>
      <c r="E8" s="370">
        <v>2291</v>
      </c>
      <c r="F8" s="327">
        <v>1196</v>
      </c>
      <c r="G8" s="370">
        <v>3914</v>
      </c>
      <c r="H8" s="327">
        <v>3525</v>
      </c>
      <c r="I8" s="327">
        <v>1821</v>
      </c>
      <c r="J8" s="327">
        <v>2680</v>
      </c>
      <c r="K8" s="371">
        <v>1750</v>
      </c>
      <c r="L8" s="4"/>
      <c r="M8" s="4"/>
      <c r="N8" s="4"/>
      <c r="O8" s="4"/>
      <c r="P8" s="4"/>
      <c r="Q8" s="4"/>
      <c r="R8" s="4"/>
      <c r="S8" s="4"/>
    </row>
    <row r="9" spans="2:19" ht="18">
      <c r="B9" s="178" t="s">
        <v>8</v>
      </c>
      <c r="C9" s="182">
        <f>'INCOME STATEMENT'!D14</f>
        <v>82914</v>
      </c>
      <c r="D9" s="179">
        <v>413680</v>
      </c>
      <c r="E9" s="180">
        <v>285640</v>
      </c>
      <c r="F9" s="179">
        <v>181502</v>
      </c>
      <c r="G9" s="180">
        <v>264938</v>
      </c>
      <c r="H9" s="179">
        <v>290212</v>
      </c>
      <c r="I9" s="179">
        <v>244363</v>
      </c>
      <c r="J9" s="179">
        <v>208114</v>
      </c>
      <c r="K9" s="181">
        <v>249248</v>
      </c>
      <c r="L9" s="4"/>
      <c r="M9" s="4"/>
      <c r="N9" s="4"/>
      <c r="O9" s="4"/>
      <c r="P9" s="4"/>
      <c r="Q9" s="4"/>
      <c r="R9" s="4"/>
      <c r="S9" s="4"/>
    </row>
    <row r="10" spans="2:19" ht="18">
      <c r="B10" s="372" t="s">
        <v>9</v>
      </c>
      <c r="C10" s="286"/>
      <c r="D10" s="373"/>
      <c r="E10" s="374"/>
      <c r="F10" s="373"/>
      <c r="G10" s="375"/>
      <c r="H10" s="375"/>
      <c r="I10" s="375"/>
      <c r="J10" s="375"/>
      <c r="K10" s="376"/>
      <c r="L10" s="4"/>
      <c r="M10" s="4"/>
      <c r="N10" s="4"/>
      <c r="O10" s="4"/>
      <c r="P10" s="4"/>
      <c r="Q10" s="4"/>
      <c r="R10" s="4"/>
      <c r="S10" s="4"/>
    </row>
    <row r="11" spans="2:19" ht="18">
      <c r="B11" s="368" t="s">
        <v>10</v>
      </c>
      <c r="C11" s="286">
        <f>'INCOME STATEMENT'!D16</f>
        <v>47598</v>
      </c>
      <c r="D11" s="327">
        <v>228959</v>
      </c>
      <c r="E11" s="370">
        <v>155164</v>
      </c>
      <c r="F11" s="327">
        <v>94007</v>
      </c>
      <c r="G11" s="370">
        <v>143801</v>
      </c>
      <c r="H11" s="327">
        <v>156172</v>
      </c>
      <c r="I11" s="327">
        <v>128217</v>
      </c>
      <c r="J11" s="327">
        <v>104171</v>
      </c>
      <c r="K11" s="371">
        <v>130003</v>
      </c>
      <c r="L11" s="4"/>
      <c r="M11" s="4"/>
      <c r="N11" s="4"/>
      <c r="O11" s="4"/>
      <c r="P11" s="4"/>
      <c r="Q11" s="4"/>
      <c r="R11" s="4"/>
      <c r="S11" s="4"/>
    </row>
    <row r="12" spans="2:19" ht="18">
      <c r="B12" s="368" t="s">
        <v>11</v>
      </c>
      <c r="C12" s="286">
        <f>'INCOME STATEMENT'!D17</f>
        <v>8860</v>
      </c>
      <c r="D12" s="327">
        <v>42609</v>
      </c>
      <c r="E12" s="370">
        <v>36035</v>
      </c>
      <c r="F12" s="327">
        <v>30431</v>
      </c>
      <c r="G12" s="370">
        <v>36826</v>
      </c>
      <c r="H12" s="327">
        <v>36682</v>
      </c>
      <c r="I12" s="327">
        <v>32690</v>
      </c>
      <c r="J12" s="327">
        <v>30448</v>
      </c>
      <c r="K12" s="371">
        <v>33951</v>
      </c>
      <c r="L12" s="4"/>
      <c r="M12" s="4"/>
      <c r="N12" s="4"/>
      <c r="O12" s="4"/>
      <c r="P12" s="4"/>
      <c r="Q12" s="4"/>
      <c r="R12" s="4"/>
      <c r="S12" s="4"/>
    </row>
    <row r="13" spans="2:19" ht="18">
      <c r="B13" s="368" t="s">
        <v>12</v>
      </c>
      <c r="C13" s="286">
        <f>'INCOME STATEMENT'!D18</f>
        <v>2449</v>
      </c>
      <c r="D13" s="327">
        <v>10095</v>
      </c>
      <c r="E13" s="370">
        <v>9574</v>
      </c>
      <c r="F13" s="327">
        <v>10168</v>
      </c>
      <c r="G13" s="370">
        <v>11398</v>
      </c>
      <c r="H13" s="327">
        <v>11480</v>
      </c>
      <c r="I13" s="327">
        <v>10649</v>
      </c>
      <c r="J13" s="327">
        <v>10443</v>
      </c>
      <c r="K13" s="371">
        <v>11038</v>
      </c>
      <c r="L13" s="4"/>
      <c r="M13" s="4"/>
      <c r="N13" s="4"/>
      <c r="O13" s="4"/>
      <c r="P13" s="4"/>
      <c r="Q13" s="4"/>
      <c r="R13" s="4"/>
      <c r="S13" s="4"/>
    </row>
    <row r="14" spans="2:19" ht="18">
      <c r="B14" s="368" t="s">
        <v>220</v>
      </c>
      <c r="C14" s="286">
        <f>'INCOME STATEMENT'!D19</f>
        <v>4242</v>
      </c>
      <c r="D14" s="327">
        <v>24040</v>
      </c>
      <c r="E14" s="370">
        <v>20607</v>
      </c>
      <c r="F14" s="327">
        <v>46009</v>
      </c>
      <c r="G14" s="370">
        <v>18998</v>
      </c>
      <c r="H14" s="327">
        <v>18745</v>
      </c>
      <c r="I14" s="327">
        <v>19893</v>
      </c>
      <c r="J14" s="327">
        <v>22308</v>
      </c>
      <c r="K14" s="371">
        <v>18048</v>
      </c>
      <c r="L14" s="4"/>
      <c r="M14" s="4"/>
      <c r="N14" s="4"/>
      <c r="O14" s="4"/>
      <c r="P14" s="4"/>
      <c r="Q14" s="4"/>
      <c r="R14" s="4"/>
      <c r="S14" s="4"/>
    </row>
    <row r="15" spans="2:19" ht="18">
      <c r="B15" s="368" t="s">
        <v>14</v>
      </c>
      <c r="C15" s="286">
        <f>'INCOME STATEMENT'!D20</f>
        <v>133</v>
      </c>
      <c r="D15" s="327">
        <v>1025</v>
      </c>
      <c r="E15" s="370">
        <v>1054</v>
      </c>
      <c r="F15" s="327">
        <v>1285</v>
      </c>
      <c r="G15" s="370">
        <v>1269</v>
      </c>
      <c r="H15" s="327">
        <v>1466</v>
      </c>
      <c r="I15" s="327">
        <v>1790</v>
      </c>
      <c r="J15" s="327">
        <v>1467</v>
      </c>
      <c r="K15" s="371">
        <v>1523</v>
      </c>
      <c r="L15" s="4"/>
      <c r="M15" s="4"/>
      <c r="N15" s="4"/>
      <c r="O15" s="4"/>
      <c r="P15" s="4"/>
      <c r="Q15" s="4"/>
      <c r="R15" s="4"/>
      <c r="S15" s="4"/>
    </row>
    <row r="16" spans="2:19" ht="18">
      <c r="B16" s="368" t="s">
        <v>15</v>
      </c>
      <c r="C16" s="286">
        <f>'INCOME STATEMENT'!D21</f>
        <v>164</v>
      </c>
      <c r="D16" s="374">
        <v>482</v>
      </c>
      <c r="E16" s="375">
        <v>786</v>
      </c>
      <c r="F16" s="327">
        <v>1205</v>
      </c>
      <c r="G16" s="370">
        <v>1235</v>
      </c>
      <c r="H16" s="327">
        <v>1285</v>
      </c>
      <c r="I16" s="327">
        <v>1745</v>
      </c>
      <c r="J16" s="327">
        <v>1835</v>
      </c>
      <c r="K16" s="371">
        <v>2099</v>
      </c>
      <c r="L16" s="4"/>
      <c r="M16" s="4"/>
      <c r="N16" s="4"/>
      <c r="O16" s="4"/>
      <c r="P16" s="4"/>
      <c r="Q16" s="4"/>
      <c r="R16" s="4"/>
      <c r="S16" s="4"/>
    </row>
    <row r="17" spans="2:22" ht="18">
      <c r="B17" s="368" t="s">
        <v>16</v>
      </c>
      <c r="C17" s="286">
        <f>'INCOME STATEMENT'!D22</f>
        <v>249</v>
      </c>
      <c r="D17" s="374">
        <v>798</v>
      </c>
      <c r="E17" s="375">
        <v>947</v>
      </c>
      <c r="F17" s="327">
        <v>1158</v>
      </c>
      <c r="G17" s="375">
        <v>830</v>
      </c>
      <c r="H17" s="374">
        <v>766</v>
      </c>
      <c r="I17" s="374">
        <v>601</v>
      </c>
      <c r="J17" s="374">
        <v>453</v>
      </c>
      <c r="K17" s="377">
        <v>311</v>
      </c>
      <c r="L17" s="4"/>
      <c r="M17" s="172"/>
      <c r="N17" s="4"/>
      <c r="O17" s="4"/>
      <c r="P17" s="4"/>
      <c r="Q17" s="4"/>
      <c r="R17" s="4"/>
      <c r="S17" s="4"/>
    </row>
    <row r="18" spans="2:22" ht="18">
      <c r="B18" s="368" t="s">
        <v>17</v>
      </c>
      <c r="C18" s="286">
        <f>'INCOME STATEMENT'!D23</f>
        <v>7563</v>
      </c>
      <c r="D18" s="327">
        <v>27919</v>
      </c>
      <c r="E18" s="370">
        <v>30239</v>
      </c>
      <c r="F18" s="327">
        <v>26122</v>
      </c>
      <c r="G18" s="370">
        <v>30525</v>
      </c>
      <c r="H18" s="327">
        <v>32663</v>
      </c>
      <c r="I18" s="327">
        <v>30104</v>
      </c>
      <c r="J18" s="327">
        <v>29020</v>
      </c>
      <c r="K18" s="371">
        <v>30309</v>
      </c>
      <c r="L18" s="4"/>
      <c r="M18" s="4"/>
      <c r="N18" s="4"/>
      <c r="O18" s="4"/>
      <c r="P18" s="4"/>
      <c r="Q18" s="4"/>
      <c r="R18" s="4"/>
      <c r="S18" s="4"/>
    </row>
    <row r="19" spans="2:22" ht="18">
      <c r="B19" s="372" t="s">
        <v>18</v>
      </c>
      <c r="C19" s="286">
        <f>'INCOME STATEMENT'!D24</f>
        <v>71258</v>
      </c>
      <c r="D19" s="327">
        <v>335927</v>
      </c>
      <c r="E19" s="370">
        <v>254406</v>
      </c>
      <c r="F19" s="327">
        <v>210385</v>
      </c>
      <c r="G19" s="370">
        <v>244882</v>
      </c>
      <c r="H19" s="327">
        <v>259259</v>
      </c>
      <c r="I19" s="327">
        <v>225689</v>
      </c>
      <c r="J19" s="327">
        <v>200145</v>
      </c>
      <c r="K19" s="371">
        <v>227282</v>
      </c>
      <c r="L19" s="4"/>
      <c r="M19" s="4"/>
      <c r="N19" s="4"/>
      <c r="O19" s="4"/>
      <c r="P19" s="4"/>
      <c r="Q19" s="4"/>
      <c r="R19" s="4"/>
      <c r="S19" s="4"/>
    </row>
    <row r="20" spans="2:22" ht="18">
      <c r="B20" s="368" t="s">
        <v>221</v>
      </c>
      <c r="C20" s="286">
        <f>'INCOME STATEMENT'!D25</f>
        <v>11656</v>
      </c>
      <c r="D20" s="327">
        <v>77753</v>
      </c>
      <c r="E20" s="370">
        <v>31234</v>
      </c>
      <c r="F20" s="327">
        <v>-28883</v>
      </c>
      <c r="G20" s="370">
        <v>20056</v>
      </c>
      <c r="H20" s="327">
        <v>30953</v>
      </c>
      <c r="I20" s="327">
        <v>18674</v>
      </c>
      <c r="J20" s="327">
        <v>7969</v>
      </c>
      <c r="K20" s="371">
        <v>21966</v>
      </c>
      <c r="L20" s="4"/>
      <c r="M20" s="4"/>
      <c r="N20" s="4"/>
      <c r="O20" s="4"/>
      <c r="P20" s="4"/>
      <c r="Q20" s="4"/>
      <c r="R20" s="4"/>
      <c r="S20" s="4"/>
    </row>
    <row r="21" spans="2:22" ht="18">
      <c r="B21" s="368" t="s">
        <v>222</v>
      </c>
      <c r="C21" s="286">
        <f>'INCOME STATEMENT'!D26</f>
        <v>3503</v>
      </c>
      <c r="D21" s="327">
        <v>20176</v>
      </c>
      <c r="E21" s="370">
        <v>7636</v>
      </c>
      <c r="F21" s="327">
        <v>-5632</v>
      </c>
      <c r="G21" s="370">
        <v>5282</v>
      </c>
      <c r="H21" s="327">
        <v>9532</v>
      </c>
      <c r="I21" s="327">
        <v>-1174</v>
      </c>
      <c r="J21" s="374">
        <v>-406</v>
      </c>
      <c r="K21" s="371">
        <v>5415</v>
      </c>
      <c r="L21" s="4"/>
      <c r="M21" s="4"/>
      <c r="N21" s="4"/>
      <c r="O21" s="4"/>
      <c r="P21" s="4"/>
      <c r="Q21" s="4"/>
      <c r="R21" s="4"/>
      <c r="S21" s="4"/>
    </row>
    <row r="22" spans="2:22" ht="18">
      <c r="B22" s="372" t="s">
        <v>223</v>
      </c>
      <c r="C22" s="286">
        <f>'INCOME STATEMENT'!D27</f>
        <v>8153</v>
      </c>
      <c r="D22" s="327">
        <v>57577</v>
      </c>
      <c r="E22" s="370">
        <v>23598</v>
      </c>
      <c r="F22" s="327">
        <v>-23251</v>
      </c>
      <c r="G22" s="370">
        <v>14774</v>
      </c>
      <c r="H22" s="327">
        <v>21421</v>
      </c>
      <c r="I22" s="327">
        <v>19848</v>
      </c>
      <c r="J22" s="327">
        <v>8375</v>
      </c>
      <c r="K22" s="371">
        <v>16551</v>
      </c>
      <c r="N22" s="4"/>
      <c r="O22" s="4"/>
      <c r="P22" s="4"/>
      <c r="Q22" s="4"/>
      <c r="R22" s="4"/>
      <c r="S22" s="4"/>
    </row>
    <row r="23" spans="2:22" ht="18">
      <c r="B23" s="368" t="s">
        <v>224</v>
      </c>
      <c r="C23" s="286">
        <f>'INCOME STATEMENT'!D28</f>
        <v>273</v>
      </c>
      <c r="D23" s="327">
        <v>1837</v>
      </c>
      <c r="E23" s="375">
        <v>558</v>
      </c>
      <c r="F23" s="374">
        <v>-811</v>
      </c>
      <c r="G23" s="375">
        <v>434</v>
      </c>
      <c r="H23" s="374">
        <v>581</v>
      </c>
      <c r="I23" s="374">
        <v>138</v>
      </c>
      <c r="J23" s="374">
        <v>535</v>
      </c>
      <c r="K23" s="377">
        <v>401</v>
      </c>
      <c r="N23" s="4"/>
      <c r="O23" s="4"/>
      <c r="P23" s="4"/>
      <c r="Q23" s="4"/>
      <c r="R23" s="4"/>
      <c r="S23" s="4"/>
    </row>
    <row r="24" spans="2:22" ht="18">
      <c r="B24" s="178" t="s">
        <v>225</v>
      </c>
      <c r="C24" s="182">
        <f>'INCOME STATEMENT'!D29</f>
        <v>7880</v>
      </c>
      <c r="D24" s="179">
        <v>55740</v>
      </c>
      <c r="E24" s="180">
        <v>23040</v>
      </c>
      <c r="F24" s="179">
        <v>-22440</v>
      </c>
      <c r="G24" s="180">
        <v>14340</v>
      </c>
      <c r="H24" s="179">
        <v>20840</v>
      </c>
      <c r="I24" s="179">
        <v>19710</v>
      </c>
      <c r="J24" s="179">
        <v>7840</v>
      </c>
      <c r="K24" s="181">
        <v>16150</v>
      </c>
      <c r="N24" s="4"/>
      <c r="O24" s="4"/>
      <c r="P24" s="4"/>
      <c r="Q24" s="4"/>
      <c r="R24" s="4"/>
      <c r="S24" s="4"/>
    </row>
    <row r="25" spans="2:22" ht="18">
      <c r="B25" s="368" t="s">
        <v>226</v>
      </c>
      <c r="C25" s="286"/>
      <c r="D25" s="374">
        <v>13.26</v>
      </c>
      <c r="E25" s="375">
        <v>5.39</v>
      </c>
      <c r="F25" s="374">
        <v>-5.25</v>
      </c>
      <c r="G25" s="375">
        <v>3.36</v>
      </c>
      <c r="H25" s="374">
        <v>4.88</v>
      </c>
      <c r="I25" s="374">
        <v>4.63</v>
      </c>
      <c r="J25" s="374">
        <v>1.88</v>
      </c>
      <c r="K25" s="377">
        <v>3.85</v>
      </c>
      <c r="N25" s="4"/>
      <c r="O25" s="4"/>
      <c r="P25" s="4"/>
      <c r="Q25" s="4"/>
      <c r="R25" s="4"/>
      <c r="S25" s="4"/>
    </row>
    <row r="26" spans="2:22" ht="19.5" customHeight="1" thickBot="1">
      <c r="B26" s="183" t="s">
        <v>227</v>
      </c>
      <c r="C26" s="184">
        <f>'INCOME STATEMENT'!D31</f>
        <v>1.94</v>
      </c>
      <c r="D26" s="185">
        <v>13.26</v>
      </c>
      <c r="E26" s="186">
        <v>5.39</v>
      </c>
      <c r="F26" s="185">
        <v>-5.25</v>
      </c>
      <c r="G26" s="186">
        <v>3.36</v>
      </c>
      <c r="H26" s="185">
        <v>4.88</v>
      </c>
      <c r="I26" s="185">
        <v>4.63</v>
      </c>
      <c r="J26" s="185">
        <v>1.88</v>
      </c>
      <c r="K26" s="187">
        <v>3.85</v>
      </c>
      <c r="N26" s="4"/>
      <c r="O26" s="4"/>
      <c r="P26" s="4"/>
      <c r="Q26" s="4"/>
      <c r="R26" s="4"/>
      <c r="S26" s="4"/>
    </row>
    <row r="27" spans="2:22" ht="19" thickBot="1">
      <c r="B27" s="188"/>
      <c r="C27" s="189"/>
      <c r="D27" s="188"/>
      <c r="E27" s="188"/>
      <c r="F27" s="188"/>
      <c r="G27" s="4"/>
      <c r="H27" s="170"/>
      <c r="I27" s="170"/>
      <c r="J27" s="170"/>
      <c r="K27" s="170"/>
      <c r="N27" s="4"/>
      <c r="O27" s="4"/>
      <c r="P27" s="4"/>
      <c r="Q27" s="4"/>
      <c r="R27" s="4"/>
      <c r="S27" s="4"/>
    </row>
    <row r="28" spans="2:22" ht="20">
      <c r="B28" s="378" t="s">
        <v>206</v>
      </c>
      <c r="C28" s="379">
        <f>C9</f>
        <v>82914</v>
      </c>
      <c r="D28" s="379">
        <f>D9</f>
        <v>413680</v>
      </c>
      <c r="E28" s="379">
        <f>E9</f>
        <v>285640</v>
      </c>
      <c r="F28" s="380">
        <f>F9</f>
        <v>181502</v>
      </c>
      <c r="G28" s="70"/>
      <c r="H28" s="70"/>
      <c r="I28" s="70"/>
      <c r="J28" s="70"/>
      <c r="K28" s="170"/>
      <c r="L28" s="4"/>
      <c r="M28" s="4"/>
      <c r="N28" s="4"/>
      <c r="O28" s="4"/>
      <c r="P28" s="4"/>
      <c r="Q28" s="4"/>
      <c r="R28" s="4"/>
      <c r="S28" s="4"/>
    </row>
    <row r="29" spans="2:22" ht="20">
      <c r="B29" s="381" t="s">
        <v>228</v>
      </c>
      <c r="C29" s="291">
        <v>60838</v>
      </c>
      <c r="D29" s="291">
        <v>299487</v>
      </c>
      <c r="E29" s="291">
        <v>221438</v>
      </c>
      <c r="F29" s="382">
        <v>150560</v>
      </c>
      <c r="G29" s="70"/>
      <c r="H29" s="70"/>
      <c r="I29" s="70"/>
      <c r="J29" s="70"/>
      <c r="K29" s="4"/>
      <c r="L29" s="4"/>
      <c r="M29" s="4"/>
      <c r="N29" s="4"/>
      <c r="O29" s="4"/>
      <c r="P29" s="4"/>
      <c r="Q29" s="4"/>
      <c r="R29" s="4"/>
      <c r="S29" s="4"/>
    </row>
    <row r="30" spans="2:22" ht="20">
      <c r="B30" s="383" t="s">
        <v>229</v>
      </c>
      <c r="C30" s="384">
        <f>C28-C29</f>
        <v>22076</v>
      </c>
      <c r="D30" s="294">
        <f>D28-D29</f>
        <v>114193</v>
      </c>
      <c r="E30" s="294">
        <f>E28-E29</f>
        <v>64202</v>
      </c>
      <c r="F30" s="385">
        <f>F28-F29</f>
        <v>30942</v>
      </c>
      <c r="G30" s="70"/>
      <c r="H30" s="70"/>
      <c r="I30" s="70"/>
      <c r="J30" s="70"/>
      <c r="K30" s="4"/>
      <c r="L30" s="4"/>
      <c r="M30" s="4"/>
      <c r="N30" s="4"/>
      <c r="O30" s="4"/>
      <c r="P30" s="4"/>
      <c r="Q30" s="4"/>
      <c r="R30" s="4"/>
      <c r="S30" s="4"/>
      <c r="V30" s="54"/>
    </row>
    <row r="31" spans="2:22" ht="20">
      <c r="B31" s="381" t="s">
        <v>230</v>
      </c>
      <c r="C31" s="295">
        <f>C15</f>
        <v>133</v>
      </c>
      <c r="D31" s="295">
        <f>D15</f>
        <v>1025</v>
      </c>
      <c r="E31" s="295">
        <f>E15</f>
        <v>1054</v>
      </c>
      <c r="F31" s="386">
        <f>F15</f>
        <v>1285</v>
      </c>
      <c r="G31" s="70"/>
      <c r="H31" s="70"/>
      <c r="I31" s="70"/>
      <c r="J31" s="70"/>
      <c r="K31" s="4"/>
      <c r="L31" s="4"/>
      <c r="M31" s="4"/>
      <c r="N31" s="4"/>
      <c r="O31" s="4"/>
      <c r="P31" s="4"/>
      <c r="Q31" s="4"/>
      <c r="R31" s="4"/>
      <c r="S31" s="4"/>
    </row>
    <row r="32" spans="2:22" ht="20">
      <c r="B32" s="381" t="s">
        <v>231</v>
      </c>
      <c r="C32" s="295">
        <f>C13</f>
        <v>2449</v>
      </c>
      <c r="D32" s="295">
        <f>D13</f>
        <v>10095</v>
      </c>
      <c r="E32" s="295">
        <f>E13</f>
        <v>9574</v>
      </c>
      <c r="F32" s="386">
        <f>F13</f>
        <v>10168</v>
      </c>
      <c r="G32" s="70"/>
      <c r="H32" s="70"/>
      <c r="I32" s="70"/>
      <c r="J32" s="70"/>
      <c r="K32" s="4"/>
      <c r="L32" s="4"/>
      <c r="M32" s="4"/>
      <c r="N32" s="4"/>
      <c r="O32" s="4"/>
      <c r="P32" s="4"/>
      <c r="Q32" s="4"/>
      <c r="R32" s="4"/>
      <c r="S32" s="4"/>
    </row>
    <row r="33" spans="2:20" ht="20">
      <c r="B33" s="381" t="s">
        <v>232</v>
      </c>
      <c r="C33" s="295">
        <f>C20</f>
        <v>11656</v>
      </c>
      <c r="D33" s="295">
        <f>D20</f>
        <v>77753</v>
      </c>
      <c r="E33" s="295">
        <f>E20</f>
        <v>31234</v>
      </c>
      <c r="F33" s="386">
        <f>F20</f>
        <v>-28883</v>
      </c>
      <c r="G33" s="4"/>
      <c r="H33" s="4"/>
      <c r="I33" s="4"/>
      <c r="J33" s="4"/>
      <c r="K33" s="4"/>
      <c r="L33" s="4"/>
      <c r="M33" s="4"/>
      <c r="N33" s="4"/>
      <c r="O33" s="4"/>
      <c r="P33" s="4"/>
      <c r="Q33" s="4"/>
      <c r="R33" s="4"/>
      <c r="S33" s="4"/>
    </row>
    <row r="34" spans="2:20" ht="22" thickBot="1">
      <c r="B34" s="387" t="s">
        <v>233</v>
      </c>
      <c r="C34" s="295">
        <f>C17</f>
        <v>249</v>
      </c>
      <c r="D34" s="291">
        <f>D17</f>
        <v>798</v>
      </c>
      <c r="E34" s="291">
        <f>E17</f>
        <v>947</v>
      </c>
      <c r="F34" s="386">
        <f>F17</f>
        <v>1158</v>
      </c>
      <c r="G34" s="4"/>
      <c r="H34" s="4"/>
      <c r="I34" s="4"/>
      <c r="J34" s="4"/>
      <c r="K34" s="4"/>
      <c r="L34" s="4"/>
      <c r="M34" s="4"/>
      <c r="N34" s="4"/>
      <c r="O34" s="4"/>
      <c r="P34" s="4"/>
      <c r="Q34" s="4"/>
      <c r="R34" s="4"/>
      <c r="S34" s="4"/>
    </row>
    <row r="35" spans="2:20" ht="21" thickBot="1">
      <c r="B35" s="383" t="s">
        <v>165</v>
      </c>
      <c r="C35" s="294">
        <f>C33+C34</f>
        <v>11905</v>
      </c>
      <c r="D35" s="294">
        <f>D33+D34</f>
        <v>78551</v>
      </c>
      <c r="E35" s="294">
        <f>E33+E34</f>
        <v>32181</v>
      </c>
      <c r="F35" s="385">
        <f>F33+F34</f>
        <v>-27725</v>
      </c>
      <c r="G35" s="70"/>
      <c r="H35" s="231"/>
      <c r="I35" s="232" t="s">
        <v>234</v>
      </c>
      <c r="J35" s="70"/>
      <c r="K35" s="4"/>
      <c r="L35" s="4"/>
      <c r="M35" s="4"/>
      <c r="N35" s="4"/>
      <c r="O35" s="4"/>
      <c r="P35" s="4"/>
      <c r="Q35" s="4"/>
      <c r="R35" s="171"/>
      <c r="S35" s="171"/>
    </row>
    <row r="36" spans="2:20" ht="21">
      <c r="B36" s="388" t="s">
        <v>181</v>
      </c>
      <c r="C36" s="300">
        <f>AVERAGE(D36:E36)</f>
        <v>0.15127313857259433</v>
      </c>
      <c r="D36" s="300">
        <f>D35/D28</f>
        <v>0.18988348481918391</v>
      </c>
      <c r="E36" s="300">
        <f>E35/E28</f>
        <v>0.11266279232600476</v>
      </c>
      <c r="F36" s="389">
        <f>F35/F28</f>
        <v>-0.15275313770647156</v>
      </c>
      <c r="G36" s="61"/>
      <c r="H36" s="394"/>
      <c r="I36" s="395">
        <v>2019</v>
      </c>
      <c r="J36" s="70"/>
      <c r="K36" s="4"/>
      <c r="L36" s="4"/>
      <c r="M36" s="4"/>
      <c r="N36" s="4"/>
      <c r="O36" s="4"/>
      <c r="P36" s="4"/>
      <c r="Q36" s="4"/>
      <c r="R36" s="4"/>
      <c r="S36" s="4"/>
    </row>
    <row r="37" spans="2:20" ht="20">
      <c r="B37" s="383" t="s">
        <v>167</v>
      </c>
      <c r="C37" s="301">
        <f>C35+C14</f>
        <v>16147</v>
      </c>
      <c r="D37" s="301">
        <f>D35+D14</f>
        <v>102591</v>
      </c>
      <c r="E37" s="301">
        <f>E35+E14</f>
        <v>52788</v>
      </c>
      <c r="F37" s="390">
        <f>F35+F14</f>
        <v>18284</v>
      </c>
      <c r="G37" s="61"/>
      <c r="H37" s="394"/>
      <c r="I37" s="396">
        <v>50052</v>
      </c>
      <c r="J37" s="70"/>
      <c r="K37" s="4"/>
      <c r="L37" s="4"/>
      <c r="M37" s="4"/>
      <c r="N37" s="4"/>
      <c r="O37" s="4"/>
      <c r="P37" s="4"/>
      <c r="Q37" s="4"/>
      <c r="R37" s="4"/>
      <c r="S37" s="4"/>
    </row>
    <row r="38" spans="2:20" ht="21">
      <c r="B38" s="388" t="s">
        <v>182</v>
      </c>
      <c r="C38" s="300">
        <f>AVERAGE(D38:F38)</f>
        <v>0.17784642237179193</v>
      </c>
      <c r="D38" s="300">
        <f>D37/D28</f>
        <v>0.24799603558305938</v>
      </c>
      <c r="E38" s="300">
        <f>E37/E28</f>
        <v>0.18480604957288896</v>
      </c>
      <c r="F38" s="389">
        <f>F37/F28</f>
        <v>0.10073718195942745</v>
      </c>
      <c r="G38" s="64"/>
      <c r="H38" s="394"/>
      <c r="I38" s="395">
        <v>63989</v>
      </c>
      <c r="J38" s="4"/>
      <c r="K38" s="4"/>
      <c r="L38" s="4"/>
      <c r="M38" s="4"/>
      <c r="N38" s="4"/>
      <c r="O38" s="4"/>
      <c r="P38" s="4"/>
      <c r="Q38" s="4"/>
      <c r="R38" s="4"/>
      <c r="S38" s="4"/>
    </row>
    <row r="39" spans="2:20" ht="21" thickBot="1">
      <c r="B39" s="391"/>
      <c r="C39" s="392"/>
      <c r="D39" s="392"/>
      <c r="E39" s="392"/>
      <c r="F39" s="393">
        <f>E50-F50</f>
        <v>0.12550021630873331</v>
      </c>
      <c r="G39" s="73"/>
      <c r="H39" s="227" t="s">
        <v>235</v>
      </c>
      <c r="I39" s="233">
        <f>I37-I38</f>
        <v>-13937</v>
      </c>
      <c r="P39" s="4"/>
      <c r="Q39" s="4"/>
      <c r="R39" s="4"/>
      <c r="S39" s="4"/>
    </row>
    <row r="40" spans="2:20" ht="20">
      <c r="B40" s="73"/>
      <c r="C40" s="73"/>
      <c r="D40" s="73"/>
      <c r="E40" s="73"/>
      <c r="F40" s="73"/>
      <c r="G40" s="73"/>
      <c r="P40" s="4"/>
      <c r="Q40" s="4"/>
      <c r="R40" s="4"/>
      <c r="S40" s="71"/>
    </row>
    <row r="41" spans="2:20" ht="27" customHeight="1">
      <c r="E41" s="55"/>
      <c r="G41" s="73"/>
      <c r="J41" s="4"/>
      <c r="M41" s="4"/>
      <c r="N41" s="4"/>
      <c r="O41" s="4"/>
      <c r="P41" s="4"/>
      <c r="Q41" s="4"/>
      <c r="R41" s="4"/>
      <c r="S41" s="4"/>
    </row>
    <row r="42" spans="2:20" ht="27" customHeight="1" thickBot="1">
      <c r="J42" s="4"/>
      <c r="M42" s="4"/>
      <c r="N42" s="4"/>
      <c r="O42" s="4"/>
      <c r="P42" s="4"/>
      <c r="Q42" s="4"/>
      <c r="R42" s="4"/>
      <c r="S42" s="4"/>
    </row>
    <row r="43" spans="2:20" ht="27" customHeight="1" thickBot="1">
      <c r="B43" s="197" t="s">
        <v>236</v>
      </c>
      <c r="C43" s="198">
        <v>2023</v>
      </c>
      <c r="D43" s="198">
        <v>2024</v>
      </c>
      <c r="E43" s="198">
        <v>2025</v>
      </c>
      <c r="F43" s="198">
        <v>2026</v>
      </c>
      <c r="G43" s="198">
        <v>2027</v>
      </c>
      <c r="H43" s="198">
        <v>2028</v>
      </c>
      <c r="I43" s="199">
        <v>2029</v>
      </c>
      <c r="J43" s="4"/>
      <c r="M43" s="4"/>
      <c r="N43" s="4"/>
      <c r="O43" s="4"/>
      <c r="P43" s="4"/>
      <c r="Q43" s="4"/>
      <c r="R43" s="4"/>
      <c r="S43" s="4"/>
    </row>
    <row r="44" spans="2:20" ht="25.5" customHeight="1" thickBot="1">
      <c r="B44" s="397" t="s">
        <v>237</v>
      </c>
      <c r="C44" s="398">
        <v>-0.17</v>
      </c>
      <c r="D44" s="398">
        <v>-0.05</v>
      </c>
      <c r="E44" s="398">
        <v>0.13</v>
      </c>
      <c r="F44" s="398">
        <v>0.12</v>
      </c>
      <c r="G44" s="398">
        <v>0.1</v>
      </c>
      <c r="H44" s="398">
        <v>7.0000000000000007E-2</v>
      </c>
      <c r="I44" s="399">
        <v>0.05</v>
      </c>
      <c r="J44" s="4"/>
      <c r="K44" s="4"/>
      <c r="L44" s="4"/>
      <c r="M44" s="4"/>
      <c r="N44" s="4"/>
      <c r="O44" s="4"/>
      <c r="P44" s="4"/>
      <c r="Q44" s="4"/>
      <c r="R44" s="4"/>
      <c r="S44" s="4"/>
      <c r="T44" s="55"/>
    </row>
    <row r="45" spans="2:20" ht="25.5" customHeight="1" thickBot="1">
      <c r="B45" s="4"/>
      <c r="C45" s="190"/>
      <c r="D45" s="247"/>
      <c r="E45" s="247"/>
      <c r="F45" s="247"/>
      <c r="G45" s="247"/>
      <c r="H45" s="190"/>
      <c r="I45" s="172"/>
      <c r="J45" s="4"/>
      <c r="K45" s="4"/>
      <c r="L45" s="4"/>
      <c r="M45" s="4"/>
      <c r="N45" s="4"/>
      <c r="O45" s="4"/>
      <c r="P45" s="4"/>
      <c r="Q45" s="4"/>
      <c r="R45" s="4"/>
      <c r="S45" s="4"/>
      <c r="T45" s="55"/>
    </row>
    <row r="46" spans="2:20" ht="24" customHeight="1" thickBot="1">
      <c r="B46" s="234"/>
      <c r="C46" s="200"/>
      <c r="D46" s="254" t="s">
        <v>238</v>
      </c>
      <c r="E46" s="248"/>
      <c r="F46" s="249"/>
      <c r="G46" s="254" t="s">
        <v>239</v>
      </c>
      <c r="H46" s="200"/>
      <c r="I46" s="200"/>
      <c r="J46" s="200"/>
      <c r="K46" s="200"/>
      <c r="L46" s="200"/>
      <c r="M46" s="235"/>
      <c r="N46" s="4"/>
      <c r="O46" s="4"/>
      <c r="P46" s="4"/>
      <c r="Q46" s="4"/>
      <c r="R46" s="4"/>
      <c r="S46" s="4"/>
      <c r="T46" s="55"/>
    </row>
    <row r="47" spans="2:20" ht="24" customHeight="1" thickBot="1">
      <c r="B47" s="236"/>
      <c r="C47" s="237"/>
      <c r="D47" s="238">
        <v>2020</v>
      </c>
      <c r="E47" s="238">
        <v>2021</v>
      </c>
      <c r="F47" s="239">
        <v>2022</v>
      </c>
      <c r="G47" s="238">
        <v>2023</v>
      </c>
      <c r="H47" s="238">
        <v>2024</v>
      </c>
      <c r="I47" s="238">
        <v>2025</v>
      </c>
      <c r="J47" s="238">
        <v>2026</v>
      </c>
      <c r="K47" s="238">
        <v>2027</v>
      </c>
      <c r="L47" s="238">
        <v>2028</v>
      </c>
      <c r="M47" s="239">
        <v>2029</v>
      </c>
      <c r="N47" s="4"/>
      <c r="O47" s="4"/>
      <c r="P47" s="4"/>
      <c r="Q47" s="4"/>
      <c r="R47" s="4"/>
      <c r="S47" s="4"/>
      <c r="T47" s="55"/>
    </row>
    <row r="48" spans="2:20" ht="24" customHeight="1">
      <c r="B48" s="400"/>
      <c r="C48" s="401"/>
      <c r="D48" s="402"/>
      <c r="E48" s="402"/>
      <c r="F48" s="403"/>
      <c r="G48" s="404"/>
      <c r="H48" s="404"/>
      <c r="I48" s="404"/>
      <c r="J48" s="404"/>
      <c r="K48" s="404"/>
      <c r="L48" s="404"/>
      <c r="M48" s="405"/>
      <c r="N48" s="171"/>
      <c r="O48" s="171"/>
      <c r="P48" s="171"/>
      <c r="Q48" s="171"/>
      <c r="R48" s="4"/>
      <c r="S48" s="4"/>
      <c r="T48" s="55"/>
    </row>
    <row r="49" spans="2:20" ht="24" customHeight="1">
      <c r="B49" s="406" t="s">
        <v>240</v>
      </c>
      <c r="C49" s="407"/>
      <c r="D49" s="408">
        <f>F9</f>
        <v>181502</v>
      </c>
      <c r="E49" s="408">
        <f>E9</f>
        <v>285640</v>
      </c>
      <c r="F49" s="409">
        <f>D9</f>
        <v>413680</v>
      </c>
      <c r="G49" s="410">
        <f>F49*(1+$C$44)</f>
        <v>343354.39999999997</v>
      </c>
      <c r="H49" s="410">
        <f>G49*(1+$D$44)</f>
        <v>326186.67999999993</v>
      </c>
      <c r="I49" s="410">
        <f>H49*(1+$E$44)</f>
        <v>368590.94839999988</v>
      </c>
      <c r="J49" s="410">
        <f>I49*(1+$F$44)</f>
        <v>412821.86220799992</v>
      </c>
      <c r="K49" s="410">
        <f>J49*(1+$G$44)</f>
        <v>454104.04842879996</v>
      </c>
      <c r="L49" s="410">
        <f>K49*(1+$H$44)</f>
        <v>485891.33181881596</v>
      </c>
      <c r="M49" s="411">
        <f>L49*(1+$I$44)</f>
        <v>510185.89840975677</v>
      </c>
      <c r="N49" s="4"/>
      <c r="O49" s="4"/>
      <c r="P49" s="4"/>
      <c r="Q49" s="4"/>
      <c r="R49" s="4"/>
      <c r="S49" s="4"/>
      <c r="T49" s="55"/>
    </row>
    <row r="50" spans="2:20" ht="24" customHeight="1">
      <c r="B50" s="412" t="s">
        <v>241</v>
      </c>
      <c r="C50" s="407" t="s">
        <v>70</v>
      </c>
      <c r="D50" s="413"/>
      <c r="E50" s="414">
        <f>E49/D49-1</f>
        <v>0.57375676301087597</v>
      </c>
      <c r="F50" s="415">
        <f>F49/E49-1</f>
        <v>0.44825654670214266</v>
      </c>
      <c r="G50" s="414">
        <f t="shared" ref="G50:M50" si="1">(G49/F49)-1</f>
        <v>-0.17000000000000004</v>
      </c>
      <c r="H50" s="414">
        <f t="shared" si="1"/>
        <v>-5.0000000000000044E-2</v>
      </c>
      <c r="I50" s="414">
        <f t="shared" si="1"/>
        <v>0.12999999999999989</v>
      </c>
      <c r="J50" s="414">
        <f t="shared" si="1"/>
        <v>0.12000000000000011</v>
      </c>
      <c r="K50" s="414">
        <f t="shared" si="1"/>
        <v>0.10000000000000009</v>
      </c>
      <c r="L50" s="414">
        <f t="shared" si="1"/>
        <v>7.0000000000000062E-2</v>
      </c>
      <c r="M50" s="415">
        <f t="shared" si="1"/>
        <v>5.0000000000000044E-2</v>
      </c>
      <c r="N50" s="4"/>
      <c r="O50" s="4"/>
      <c r="P50" s="4"/>
      <c r="Q50" s="4"/>
      <c r="R50" s="4"/>
      <c r="S50" s="4"/>
      <c r="T50" s="55"/>
    </row>
    <row r="51" spans="2:20" ht="23.25" customHeight="1">
      <c r="B51" s="412"/>
      <c r="C51" s="407"/>
      <c r="D51" s="413"/>
      <c r="E51" s="414"/>
      <c r="F51" s="415"/>
      <c r="G51" s="414"/>
      <c r="H51" s="414"/>
      <c r="I51" s="414"/>
      <c r="J51" s="414"/>
      <c r="K51" s="414"/>
      <c r="L51" s="414"/>
      <c r="M51" s="415"/>
      <c r="N51" s="4"/>
      <c r="O51" s="4"/>
      <c r="P51" s="4"/>
      <c r="Q51" s="4"/>
      <c r="R51" s="4"/>
      <c r="S51" s="4"/>
      <c r="T51" s="55"/>
    </row>
    <row r="52" spans="2:20" ht="23.25" customHeight="1">
      <c r="B52" s="412" t="s">
        <v>165</v>
      </c>
      <c r="C52" s="407"/>
      <c r="D52" s="408">
        <f>F20</f>
        <v>-28883</v>
      </c>
      <c r="E52" s="408">
        <f>E20</f>
        <v>31234</v>
      </c>
      <c r="F52" s="409">
        <f>D20</f>
        <v>77753</v>
      </c>
      <c r="G52" s="410">
        <f>G49*$C$53</f>
        <v>56053.738239049257</v>
      </c>
      <c r="H52" s="410">
        <f t="shared" ref="H52:M52" si="2">H49*$C$53</f>
        <v>53251.051327096793</v>
      </c>
      <c r="I52" s="410">
        <f t="shared" si="2"/>
        <v>60173.687999619367</v>
      </c>
      <c r="J52" s="410">
        <f t="shared" si="2"/>
        <v>67394.530559573701</v>
      </c>
      <c r="K52" s="410">
        <f t="shared" si="2"/>
        <v>74133.983615531077</v>
      </c>
      <c r="L52" s="410">
        <f t="shared" si="2"/>
        <v>79323.362468618259</v>
      </c>
      <c r="M52" s="411">
        <f t="shared" si="2"/>
        <v>83289.530592049166</v>
      </c>
      <c r="N52" s="4"/>
      <c r="O52" s="4"/>
      <c r="P52" s="4"/>
      <c r="Q52" s="4"/>
      <c r="R52" s="4"/>
      <c r="S52" s="4"/>
    </row>
    <row r="53" spans="2:20" ht="23.25" customHeight="1">
      <c r="B53" s="412" t="s">
        <v>181</v>
      </c>
      <c r="C53" s="416">
        <f>'COMPARABLE ANALYSIS'!K15</f>
        <v>0.16325329816379014</v>
      </c>
      <c r="D53" s="414">
        <f>D52/D49</f>
        <v>-0.15913323269165078</v>
      </c>
      <c r="E53" s="414">
        <f>E52/E49</f>
        <v>0.10934743033188629</v>
      </c>
      <c r="F53" s="415">
        <f>F52/F49</f>
        <v>0.18795445755173082</v>
      </c>
      <c r="G53" s="414">
        <f>G52/G49</f>
        <v>0.16325329816379014</v>
      </c>
      <c r="H53" s="414">
        <f t="shared" ref="H53:L53" si="3">H52/H49</f>
        <v>0.16325329816379014</v>
      </c>
      <c r="I53" s="414">
        <f t="shared" si="3"/>
        <v>0.16325329816379014</v>
      </c>
      <c r="J53" s="414">
        <f t="shared" si="3"/>
        <v>0.16325329816379014</v>
      </c>
      <c r="K53" s="414">
        <f t="shared" si="3"/>
        <v>0.16325329816379014</v>
      </c>
      <c r="L53" s="414">
        <f t="shared" si="3"/>
        <v>0.16325329816379014</v>
      </c>
      <c r="M53" s="415">
        <f>M52/M49</f>
        <v>0.16325329816379014</v>
      </c>
      <c r="N53" s="4"/>
      <c r="O53" s="4"/>
      <c r="P53" s="4"/>
      <c r="Q53" s="4"/>
      <c r="R53" s="4"/>
      <c r="S53" s="4"/>
    </row>
    <row r="54" spans="2:20" ht="23.25" customHeight="1">
      <c r="B54" s="412"/>
      <c r="C54" s="417"/>
      <c r="D54" s="413"/>
      <c r="E54" s="413"/>
      <c r="F54" s="418"/>
      <c r="G54" s="413"/>
      <c r="H54" s="413"/>
      <c r="I54" s="413"/>
      <c r="J54" s="413"/>
      <c r="K54" s="413"/>
      <c r="L54" s="413"/>
      <c r="M54" s="418"/>
      <c r="N54" s="4"/>
      <c r="O54" s="4"/>
      <c r="P54" s="4"/>
      <c r="Q54" s="4"/>
      <c r="R54" s="4"/>
      <c r="S54" s="4"/>
    </row>
    <row r="55" spans="2:20" ht="23.25" customHeight="1">
      <c r="B55" s="412" t="s">
        <v>242</v>
      </c>
      <c r="C55" s="413"/>
      <c r="D55" s="419">
        <v>227553</v>
      </c>
      <c r="E55" s="408">
        <v>216552</v>
      </c>
      <c r="F55" s="409">
        <v>204692</v>
      </c>
      <c r="G55" s="410"/>
      <c r="H55" s="410"/>
      <c r="I55" s="410"/>
      <c r="J55" s="410"/>
      <c r="K55" s="410"/>
      <c r="L55" s="410"/>
      <c r="M55" s="411"/>
      <c r="N55" s="4"/>
      <c r="O55" s="4"/>
      <c r="P55" s="4"/>
      <c r="Q55" s="4"/>
      <c r="R55" s="4"/>
      <c r="S55" s="4"/>
    </row>
    <row r="56" spans="2:20" ht="23.25" customHeight="1">
      <c r="B56" s="412" t="s">
        <v>243</v>
      </c>
      <c r="C56" s="417">
        <f>AVERAGE(D56:F56)</f>
        <v>0.83555280546098365</v>
      </c>
      <c r="D56" s="414">
        <f>D55/D49</f>
        <v>1.2537217220746879</v>
      </c>
      <c r="E56" s="414">
        <f>E55/E49</f>
        <v>0.75812911356952806</v>
      </c>
      <c r="F56" s="415">
        <f>F55/F49</f>
        <v>0.49480758073873526</v>
      </c>
      <c r="G56" s="414">
        <f>C56</f>
        <v>0.83555280546098365</v>
      </c>
      <c r="H56" s="414">
        <f>AVERAGE(D56:G56)</f>
        <v>0.83555280546098365</v>
      </c>
      <c r="I56" s="414">
        <f t="shared" ref="I56:L56" si="4">AVERAGE(E56:H56)</f>
        <v>0.73101057630755761</v>
      </c>
      <c r="J56" s="414">
        <f t="shared" si="4"/>
        <v>0.72423094199206506</v>
      </c>
      <c r="K56" s="414">
        <f>AVERAGE(G56:J56)</f>
        <v>0.78158678230539747</v>
      </c>
      <c r="L56" s="414">
        <f t="shared" si="4"/>
        <v>0.768095276516501</v>
      </c>
      <c r="M56" s="415">
        <f>AVERAGE(I56:L56)</f>
        <v>0.75123089428038026</v>
      </c>
      <c r="N56" s="4"/>
      <c r="O56" s="4"/>
      <c r="P56" s="4"/>
      <c r="Q56" s="4"/>
      <c r="R56" s="4"/>
      <c r="S56" s="4"/>
    </row>
    <row r="57" spans="2:20" ht="24" customHeight="1">
      <c r="B57" s="412"/>
      <c r="C57" s="417"/>
      <c r="D57" s="413"/>
      <c r="E57" s="413"/>
      <c r="F57" s="418"/>
      <c r="G57" s="413"/>
      <c r="H57" s="413"/>
      <c r="I57" s="413"/>
      <c r="J57" s="413"/>
      <c r="K57" s="413"/>
      <c r="L57" s="413"/>
      <c r="M57" s="418"/>
      <c r="N57" s="4"/>
      <c r="O57" s="4"/>
      <c r="P57" s="4"/>
      <c r="Q57" s="4"/>
      <c r="R57" s="4"/>
      <c r="S57" s="4"/>
    </row>
    <row r="58" spans="2:20" ht="24.75" customHeight="1">
      <c r="B58" s="412" t="s">
        <v>41</v>
      </c>
      <c r="C58" s="407"/>
      <c r="D58" s="419">
        <v>-2289</v>
      </c>
      <c r="E58" s="419">
        <v>2511</v>
      </c>
      <c r="F58" s="420">
        <v>28586</v>
      </c>
      <c r="G58" s="421">
        <f>G59*(G49)</f>
        <v>7471.5148322460191</v>
      </c>
      <c r="H58" s="421">
        <f t="shared" ref="H58:M58" si="5">H59*(H49)</f>
        <v>7097.9390906337176</v>
      </c>
      <c r="I58" s="421">
        <f t="shared" si="5"/>
        <v>8020.6711724160996</v>
      </c>
      <c r="J58" s="421">
        <f t="shared" si="5"/>
        <v>8983.1517131060336</v>
      </c>
      <c r="K58" s="421">
        <f t="shared" si="5"/>
        <v>9881.4668844166372</v>
      </c>
      <c r="L58" s="421">
        <f t="shared" si="5"/>
        <v>10573.169566325801</v>
      </c>
      <c r="M58" s="422">
        <f t="shared" si="5"/>
        <v>11101.828044642092</v>
      </c>
      <c r="N58" s="4"/>
      <c r="O58" s="4"/>
      <c r="P58" s="4"/>
      <c r="Q58" s="4"/>
      <c r="R58" s="4"/>
      <c r="S58" s="4"/>
    </row>
    <row r="59" spans="2:20" ht="24" customHeight="1">
      <c r="B59" s="412" t="s">
        <v>244</v>
      </c>
      <c r="C59" s="417">
        <f>AVERAGE(D59:F59)</f>
        <v>2.1760358487457915E-2</v>
      </c>
      <c r="D59" s="414">
        <f>D58/D49</f>
        <v>-1.2611431278994171E-2</v>
      </c>
      <c r="E59" s="414">
        <f>E58/E49</f>
        <v>8.7907856042571068E-3</v>
      </c>
      <c r="F59" s="415">
        <f>F58/F49</f>
        <v>6.9101721137110814E-2</v>
      </c>
      <c r="G59" s="417">
        <f>C59</f>
        <v>2.1760358487457915E-2</v>
      </c>
      <c r="H59" s="414">
        <f>G59</f>
        <v>2.1760358487457915E-2</v>
      </c>
      <c r="I59" s="414">
        <f t="shared" ref="I59:M59" si="6">H59</f>
        <v>2.1760358487457915E-2</v>
      </c>
      <c r="J59" s="414">
        <f t="shared" si="6"/>
        <v>2.1760358487457915E-2</v>
      </c>
      <c r="K59" s="414">
        <f t="shared" si="6"/>
        <v>2.1760358487457915E-2</v>
      </c>
      <c r="L59" s="414">
        <f t="shared" si="6"/>
        <v>2.1760358487457915E-2</v>
      </c>
      <c r="M59" s="415">
        <f t="shared" si="6"/>
        <v>2.1760358487457915E-2</v>
      </c>
      <c r="N59" s="4"/>
      <c r="O59" s="4"/>
      <c r="P59" s="4"/>
      <c r="Q59" s="4"/>
      <c r="R59" s="4"/>
      <c r="S59" s="4"/>
    </row>
    <row r="60" spans="2:20" ht="24" customHeight="1">
      <c r="B60" s="412"/>
      <c r="C60" s="407"/>
      <c r="D60" s="414"/>
      <c r="E60" s="414"/>
      <c r="F60" s="415"/>
      <c r="G60" s="414"/>
      <c r="H60" s="414"/>
      <c r="I60" s="414"/>
      <c r="J60" s="414"/>
      <c r="K60" s="414"/>
      <c r="L60" s="414"/>
      <c r="M60" s="415"/>
      <c r="N60" s="4"/>
      <c r="O60" s="4"/>
      <c r="P60" s="4"/>
      <c r="Q60" s="4"/>
      <c r="R60" s="4"/>
      <c r="S60" s="4"/>
    </row>
    <row r="61" spans="2:20" ht="23.25" customHeight="1">
      <c r="B61" s="412" t="s">
        <v>245</v>
      </c>
      <c r="C61" s="423">
        <v>0.27</v>
      </c>
      <c r="D61" s="414">
        <v>0</v>
      </c>
      <c r="E61" s="414">
        <v>0</v>
      </c>
      <c r="F61" s="415">
        <v>0</v>
      </c>
      <c r="G61" s="414">
        <f>C61</f>
        <v>0.27</v>
      </c>
      <c r="H61" s="414">
        <f t="shared" ref="H61:M61" si="7">G61</f>
        <v>0.27</v>
      </c>
      <c r="I61" s="414">
        <f t="shared" si="7"/>
        <v>0.27</v>
      </c>
      <c r="J61" s="414">
        <f t="shared" si="7"/>
        <v>0.27</v>
      </c>
      <c r="K61" s="414">
        <f t="shared" si="7"/>
        <v>0.27</v>
      </c>
      <c r="L61" s="414">
        <f t="shared" si="7"/>
        <v>0.27</v>
      </c>
      <c r="M61" s="415">
        <f t="shared" si="7"/>
        <v>0.27</v>
      </c>
      <c r="N61" s="4"/>
      <c r="O61" s="4"/>
      <c r="P61" s="4"/>
      <c r="Q61" s="4"/>
      <c r="R61" s="4"/>
      <c r="S61" s="4"/>
    </row>
    <row r="62" spans="2:20" ht="23.25" customHeight="1">
      <c r="B62" s="424"/>
      <c r="C62" s="401"/>
      <c r="D62" s="401"/>
      <c r="E62" s="401"/>
      <c r="F62" s="425"/>
      <c r="G62" s="401"/>
      <c r="H62" s="401"/>
      <c r="I62" s="401"/>
      <c r="J62" s="401"/>
      <c r="K62" s="401"/>
      <c r="L62" s="401"/>
      <c r="M62" s="425"/>
      <c r="N62" s="4"/>
      <c r="O62" s="4"/>
      <c r="P62" s="4"/>
      <c r="Q62" s="4"/>
      <c r="R62" s="4"/>
      <c r="S62" s="4"/>
    </row>
    <row r="63" spans="2:20" ht="22.5" customHeight="1">
      <c r="B63" s="426" t="s">
        <v>206</v>
      </c>
      <c r="C63" s="427"/>
      <c r="D63" s="427">
        <f>D49</f>
        <v>181502</v>
      </c>
      <c r="E63" s="427">
        <f>E49</f>
        <v>285640</v>
      </c>
      <c r="F63" s="428">
        <f>F49</f>
        <v>413680</v>
      </c>
      <c r="G63" s="427">
        <f t="shared" ref="G63:M63" si="8">F63*(1+G50)</f>
        <v>343354.39999999997</v>
      </c>
      <c r="H63" s="427">
        <f t="shared" si="8"/>
        <v>326186.67999999993</v>
      </c>
      <c r="I63" s="427">
        <f t="shared" si="8"/>
        <v>368590.94839999988</v>
      </c>
      <c r="J63" s="427">
        <f t="shared" si="8"/>
        <v>412821.86220799992</v>
      </c>
      <c r="K63" s="427">
        <f t="shared" si="8"/>
        <v>454104.04842879996</v>
      </c>
      <c r="L63" s="427">
        <f t="shared" si="8"/>
        <v>485891.33181881596</v>
      </c>
      <c r="M63" s="428">
        <f t="shared" si="8"/>
        <v>510185.89840975677</v>
      </c>
      <c r="N63" s="4"/>
      <c r="O63" s="4"/>
      <c r="P63" s="4"/>
      <c r="Q63" s="4"/>
      <c r="R63" s="4"/>
      <c r="S63" s="4"/>
    </row>
    <row r="64" spans="2:20" ht="24" customHeight="1">
      <c r="B64" s="429" t="s">
        <v>165</v>
      </c>
      <c r="C64" s="404"/>
      <c r="D64" s="430">
        <f>D52</f>
        <v>-28883</v>
      </c>
      <c r="E64" s="430">
        <f>E52</f>
        <v>31234</v>
      </c>
      <c r="F64" s="431">
        <f>F52</f>
        <v>77753</v>
      </c>
      <c r="G64" s="432">
        <f t="shared" ref="G64:M64" si="9">G49*G53</f>
        <v>56053.738239049257</v>
      </c>
      <c r="H64" s="432">
        <f t="shared" si="9"/>
        <v>53251.051327096793</v>
      </c>
      <c r="I64" s="432">
        <f t="shared" si="9"/>
        <v>60173.687999619367</v>
      </c>
      <c r="J64" s="432">
        <f t="shared" si="9"/>
        <v>67394.530559573701</v>
      </c>
      <c r="K64" s="432">
        <f t="shared" si="9"/>
        <v>74133.983615531077</v>
      </c>
      <c r="L64" s="432">
        <f t="shared" si="9"/>
        <v>79323.362468618259</v>
      </c>
      <c r="M64" s="433">
        <f t="shared" si="9"/>
        <v>83289.530592049166</v>
      </c>
      <c r="N64" s="71"/>
      <c r="O64" s="4"/>
      <c r="P64" s="4"/>
      <c r="Q64" s="4"/>
      <c r="R64" s="4"/>
      <c r="S64" s="4"/>
    </row>
    <row r="65" spans="2:19" s="67" customFormat="1" ht="24" customHeight="1">
      <c r="B65" s="429" t="s">
        <v>246</v>
      </c>
      <c r="C65" s="404"/>
      <c r="D65" s="434">
        <f t="shared" ref="D65:M65" si="10">D64*(1-D61)</f>
        <v>-28883</v>
      </c>
      <c r="E65" s="434">
        <f t="shared" si="10"/>
        <v>31234</v>
      </c>
      <c r="F65" s="435">
        <f t="shared" si="10"/>
        <v>77753</v>
      </c>
      <c r="G65" s="432">
        <f t="shared" si="10"/>
        <v>40919.228914505955</v>
      </c>
      <c r="H65" s="432">
        <f t="shared" si="10"/>
        <v>38873.267468780658</v>
      </c>
      <c r="I65" s="432">
        <f t="shared" si="10"/>
        <v>43926.792239722134</v>
      </c>
      <c r="J65" s="432">
        <f t="shared" si="10"/>
        <v>49198.007308488799</v>
      </c>
      <c r="K65" s="432">
        <f t="shared" si="10"/>
        <v>54117.808039337688</v>
      </c>
      <c r="L65" s="432">
        <f t="shared" si="10"/>
        <v>57906.054602091324</v>
      </c>
      <c r="M65" s="433">
        <f t="shared" si="10"/>
        <v>60801.35733219589</v>
      </c>
      <c r="N65" s="71"/>
      <c r="O65" s="71"/>
      <c r="P65" s="71"/>
      <c r="Q65" s="71"/>
      <c r="R65" s="71"/>
      <c r="S65" s="71"/>
    </row>
    <row r="66" spans="2:19" ht="23.25" customHeight="1">
      <c r="B66" s="429"/>
      <c r="C66" s="404"/>
      <c r="D66" s="434"/>
      <c r="E66" s="434"/>
      <c r="F66" s="435"/>
      <c r="G66" s="434"/>
      <c r="H66" s="434"/>
      <c r="I66" s="434"/>
      <c r="J66" s="434"/>
      <c r="K66" s="434"/>
      <c r="L66" s="434"/>
      <c r="M66" s="435"/>
      <c r="N66" s="4"/>
      <c r="O66" s="4"/>
      <c r="P66" s="4"/>
      <c r="Q66" s="4"/>
      <c r="R66" s="4"/>
      <c r="S66" s="4"/>
    </row>
    <row r="67" spans="2:19" ht="23.25" customHeight="1">
      <c r="B67" s="429" t="s">
        <v>242</v>
      </c>
      <c r="C67" s="434">
        <v>253018</v>
      </c>
      <c r="D67" s="430">
        <f>D55</f>
        <v>227553</v>
      </c>
      <c r="E67" s="430">
        <f>E55</f>
        <v>216552</v>
      </c>
      <c r="F67" s="431">
        <f>F55</f>
        <v>204692</v>
      </c>
      <c r="G67" s="432">
        <f t="shared" ref="G67:M67" si="11">G49*G56</f>
        <v>286890.73218737275</v>
      </c>
      <c r="H67" s="432">
        <f t="shared" si="11"/>
        <v>272546.19557800406</v>
      </c>
      <c r="I67" s="432">
        <f t="shared" si="11"/>
        <v>269443.88161163311</v>
      </c>
      <c r="J67" s="432">
        <f t="shared" si="11"/>
        <v>298978.36614181829</v>
      </c>
      <c r="K67" s="432">
        <f t="shared" si="11"/>
        <v>354921.72204332013</v>
      </c>
      <c r="L67" s="432">
        <f t="shared" si="11"/>
        <v>373210.83687034441</v>
      </c>
      <c r="M67" s="433">
        <f t="shared" si="11"/>
        <v>383267.40871160082</v>
      </c>
      <c r="N67" s="4"/>
      <c r="O67" s="4"/>
      <c r="P67" s="4"/>
      <c r="Q67" s="4"/>
      <c r="R67" s="4"/>
      <c r="S67" s="4"/>
    </row>
    <row r="68" spans="2:19" ht="23.25" customHeight="1">
      <c r="B68" s="429" t="s">
        <v>247</v>
      </c>
      <c r="C68" s="404"/>
      <c r="D68" s="430">
        <f>D67-C67</f>
        <v>-25465</v>
      </c>
      <c r="E68" s="430">
        <f>E67-D67</f>
        <v>-11001</v>
      </c>
      <c r="F68" s="431">
        <f>F67-E67</f>
        <v>-11860</v>
      </c>
      <c r="G68" s="432">
        <f>G67-F67</f>
        <v>82198.732187372749</v>
      </c>
      <c r="H68" s="432">
        <f>H67-G67</f>
        <v>-14344.53660936869</v>
      </c>
      <c r="I68" s="432">
        <f t="shared" ref="I68:M68" si="12">I67-H67</f>
        <v>-3102.3139663709444</v>
      </c>
      <c r="J68" s="432">
        <f t="shared" si="12"/>
        <v>29534.484530185175</v>
      </c>
      <c r="K68" s="432">
        <f t="shared" si="12"/>
        <v>55943.35590150184</v>
      </c>
      <c r="L68" s="432">
        <f t="shared" si="12"/>
        <v>18289.114827024285</v>
      </c>
      <c r="M68" s="433">
        <f t="shared" si="12"/>
        <v>10056.571841256402</v>
      </c>
      <c r="N68" s="4"/>
      <c r="O68" s="4"/>
      <c r="P68" s="4"/>
      <c r="Q68" s="4"/>
      <c r="R68" s="4"/>
      <c r="S68" s="4"/>
    </row>
    <row r="69" spans="2:19" ht="18" customHeight="1">
      <c r="B69" s="429"/>
      <c r="C69" s="404"/>
      <c r="D69" s="434"/>
      <c r="E69" s="430"/>
      <c r="F69" s="431"/>
      <c r="G69" s="432"/>
      <c r="H69" s="432"/>
      <c r="I69" s="432"/>
      <c r="J69" s="432"/>
      <c r="K69" s="432"/>
      <c r="L69" s="432"/>
      <c r="M69" s="433"/>
      <c r="N69" s="4"/>
      <c r="O69" s="4"/>
      <c r="P69" s="4"/>
      <c r="Q69" s="4"/>
      <c r="R69" s="4"/>
      <c r="S69" s="4"/>
    </row>
    <row r="70" spans="2:19" ht="24" customHeight="1">
      <c r="B70" s="429" t="s">
        <v>41</v>
      </c>
      <c r="C70" s="430">
        <f>I39</f>
        <v>-13937</v>
      </c>
      <c r="D70" s="430">
        <f>D58</f>
        <v>-2289</v>
      </c>
      <c r="E70" s="430">
        <f>E58</f>
        <v>2511</v>
      </c>
      <c r="F70" s="431">
        <f>F58</f>
        <v>28586</v>
      </c>
      <c r="G70" s="432">
        <f t="shared" ref="G70:M70" si="13">G49*G59</f>
        <v>7471.5148322460191</v>
      </c>
      <c r="H70" s="432">
        <f t="shared" si="13"/>
        <v>7097.9390906337176</v>
      </c>
      <c r="I70" s="432">
        <f t="shared" si="13"/>
        <v>8020.6711724160996</v>
      </c>
      <c r="J70" s="432">
        <f t="shared" si="13"/>
        <v>8983.1517131060336</v>
      </c>
      <c r="K70" s="432">
        <f t="shared" si="13"/>
        <v>9881.4668844166372</v>
      </c>
      <c r="L70" s="432">
        <f t="shared" si="13"/>
        <v>10573.169566325801</v>
      </c>
      <c r="M70" s="433">
        <f t="shared" si="13"/>
        <v>11101.828044642092</v>
      </c>
      <c r="N70" s="4"/>
      <c r="P70" s="4"/>
      <c r="Q70" s="4"/>
      <c r="R70" s="4"/>
      <c r="S70" s="4"/>
    </row>
    <row r="71" spans="2:19" ht="23.25" customHeight="1">
      <c r="B71" s="429" t="s">
        <v>248</v>
      </c>
      <c r="C71" s="434"/>
      <c r="D71" s="430">
        <f t="shared" ref="D71:M71" si="14">D70-C70</f>
        <v>11648</v>
      </c>
      <c r="E71" s="430">
        <f t="shared" si="14"/>
        <v>4800</v>
      </c>
      <c r="F71" s="431">
        <f t="shared" si="14"/>
        <v>26075</v>
      </c>
      <c r="G71" s="430">
        <f t="shared" si="14"/>
        <v>-21114.485167753981</v>
      </c>
      <c r="H71" s="430">
        <f t="shared" si="14"/>
        <v>-373.5757416123015</v>
      </c>
      <c r="I71" s="430">
        <f t="shared" si="14"/>
        <v>922.73208178238201</v>
      </c>
      <c r="J71" s="430">
        <f t="shared" si="14"/>
        <v>962.48054068993406</v>
      </c>
      <c r="K71" s="430">
        <f t="shared" si="14"/>
        <v>898.31517131060355</v>
      </c>
      <c r="L71" s="430">
        <f t="shared" si="14"/>
        <v>691.70268190916431</v>
      </c>
      <c r="M71" s="431">
        <f t="shared" si="14"/>
        <v>528.65847831629071</v>
      </c>
      <c r="N71" s="4"/>
      <c r="O71" s="4"/>
      <c r="P71" s="4"/>
      <c r="Q71" s="4"/>
      <c r="R71" s="4"/>
      <c r="S71" s="4"/>
    </row>
    <row r="72" spans="2:19" ht="18.75" customHeight="1" thickBot="1">
      <c r="B72" s="429"/>
      <c r="C72" s="434"/>
      <c r="D72" s="430"/>
      <c r="E72" s="430"/>
      <c r="F72" s="431"/>
      <c r="G72" s="430"/>
      <c r="H72" s="430"/>
      <c r="I72" s="430"/>
      <c r="J72" s="430"/>
      <c r="K72" s="430"/>
      <c r="L72" s="430"/>
      <c r="M72" s="431"/>
      <c r="N72" s="70"/>
      <c r="O72" s="70"/>
      <c r="P72" s="70"/>
      <c r="Q72" s="4"/>
      <c r="R72" s="4"/>
      <c r="S72" s="4"/>
    </row>
    <row r="73" spans="2:19" s="61" customFormat="1" ht="24.75" customHeight="1" thickBot="1">
      <c r="B73" s="242" t="s">
        <v>249</v>
      </c>
      <c r="C73" s="243"/>
      <c r="D73" s="244">
        <f>D65-D68-D71</f>
        <v>-15066</v>
      </c>
      <c r="E73" s="244">
        <f t="shared" ref="E73:M73" si="15">E65-E68-E71</f>
        <v>37435</v>
      </c>
      <c r="F73" s="245">
        <f t="shared" si="15"/>
        <v>63538</v>
      </c>
      <c r="G73" s="244">
        <f t="shared" si="15"/>
        <v>-20165.018105112813</v>
      </c>
      <c r="H73" s="244">
        <f t="shared" si="15"/>
        <v>53591.379819761649</v>
      </c>
      <c r="I73" s="244">
        <f t="shared" si="15"/>
        <v>46106.374124310692</v>
      </c>
      <c r="J73" s="244">
        <f t="shared" si="15"/>
        <v>18701.042237613692</v>
      </c>
      <c r="K73" s="244">
        <f t="shared" si="15"/>
        <v>-2723.8630334747559</v>
      </c>
      <c r="L73" s="244">
        <f t="shared" si="15"/>
        <v>38925.237093157877</v>
      </c>
      <c r="M73" s="245">
        <f t="shared" si="15"/>
        <v>50216.127012623198</v>
      </c>
      <c r="N73" s="70"/>
      <c r="O73" s="70"/>
      <c r="P73" s="70"/>
      <c r="Q73" s="70"/>
      <c r="R73" s="70"/>
      <c r="S73" s="70"/>
    </row>
    <row r="74" spans="2:19" s="61" customFormat="1" ht="18" customHeight="1">
      <c r="B74" s="246"/>
      <c r="C74" s="246"/>
      <c r="D74" s="246"/>
      <c r="E74" s="246"/>
      <c r="F74" s="246"/>
      <c r="G74" s="246"/>
      <c r="H74" s="246"/>
      <c r="I74" s="246"/>
      <c r="J74" s="246"/>
      <c r="K74" s="246"/>
      <c r="L74" s="246"/>
      <c r="M74" s="246"/>
      <c r="N74" s="70"/>
      <c r="O74" s="70"/>
      <c r="P74" s="70"/>
      <c r="Q74" s="70"/>
      <c r="R74" s="70"/>
      <c r="S74" s="70"/>
    </row>
    <row r="75" spans="2:19" s="61" customFormat="1" ht="25.5" customHeight="1">
      <c r="B75" s="170"/>
      <c r="C75" s="170"/>
      <c r="D75" s="170"/>
      <c r="E75" s="170"/>
      <c r="F75" s="170"/>
      <c r="G75" s="170"/>
      <c r="H75" s="170"/>
      <c r="I75" s="170"/>
      <c r="J75" s="170"/>
      <c r="K75" s="170"/>
      <c r="L75" s="170"/>
      <c r="M75" s="170"/>
      <c r="N75" s="70"/>
      <c r="O75" s="70"/>
      <c r="P75" s="70"/>
      <c r="Q75" s="70"/>
      <c r="R75" s="70"/>
      <c r="S75" s="70"/>
    </row>
    <row r="76" spans="2:19" ht="25.5" customHeight="1" thickBot="1">
      <c r="B76" s="224"/>
      <c r="C76" s="224"/>
      <c r="D76" s="224"/>
      <c r="E76" s="224"/>
      <c r="F76" s="262"/>
      <c r="G76" s="262"/>
      <c r="H76" s="262"/>
      <c r="I76" s="262"/>
      <c r="J76" s="262"/>
      <c r="K76" s="170"/>
      <c r="L76" s="170"/>
      <c r="M76" s="170"/>
      <c r="N76" s="4"/>
      <c r="O76" s="4"/>
      <c r="P76" s="4"/>
      <c r="Q76" s="4"/>
      <c r="R76" s="4"/>
      <c r="S76" s="4"/>
    </row>
    <row r="77" spans="2:19" ht="27.75" customHeight="1" thickBot="1">
      <c r="B77" s="378"/>
      <c r="C77" s="436"/>
      <c r="D77" s="224"/>
      <c r="E77" s="224"/>
      <c r="F77" s="263"/>
      <c r="G77" s="263"/>
      <c r="H77" s="263"/>
      <c r="I77" s="263"/>
      <c r="J77" s="263"/>
      <c r="K77" s="170"/>
      <c r="L77" s="170"/>
      <c r="M77" s="170"/>
      <c r="N77" s="4"/>
      <c r="O77" s="4"/>
      <c r="P77" s="4"/>
      <c r="Q77" s="4"/>
      <c r="R77" s="4"/>
      <c r="S77" s="4"/>
    </row>
    <row r="78" spans="2:19" ht="24" customHeight="1">
      <c r="B78" s="225" t="s">
        <v>250</v>
      </c>
      <c r="C78" s="226">
        <f>M73*(1+D83)/(D84-D83)</f>
        <v>804735.21440296562</v>
      </c>
      <c r="D78" s="224"/>
      <c r="E78" s="224"/>
      <c r="K78" s="170"/>
      <c r="L78" s="170"/>
      <c r="M78" s="170"/>
      <c r="N78" s="4"/>
      <c r="O78" s="4"/>
      <c r="P78" s="4"/>
      <c r="Q78" s="4"/>
      <c r="R78" s="4"/>
      <c r="S78" s="4"/>
    </row>
    <row r="79" spans="2:19" ht="24.75" customHeight="1" thickBot="1">
      <c r="B79" s="227" t="s">
        <v>251</v>
      </c>
      <c r="C79" s="228">
        <f>C78/M63</f>
        <v>1.5773372351358896</v>
      </c>
      <c r="D79" s="61"/>
      <c r="E79" s="62"/>
      <c r="K79" s="173"/>
      <c r="L79" s="173"/>
      <c r="M79" s="173"/>
      <c r="N79" s="4"/>
      <c r="O79" s="4"/>
      <c r="P79" s="4"/>
      <c r="Q79" s="4"/>
      <c r="R79" s="4"/>
      <c r="S79" s="4"/>
    </row>
    <row r="80" spans="2:19" s="61" customFormat="1" ht="25.5" customHeight="1" thickBot="1">
      <c r="B80" s="437"/>
      <c r="C80" s="438"/>
      <c r="E80" s="73"/>
      <c r="F80" s="4"/>
      <c r="I80" s="4"/>
      <c r="J80" s="4"/>
      <c r="K80" s="4"/>
      <c r="L80" s="4"/>
      <c r="O80" s="70"/>
      <c r="P80" s="70"/>
      <c r="Q80" s="70"/>
      <c r="R80" s="70"/>
      <c r="S80" s="70"/>
    </row>
    <row r="81" spans="2:19" ht="21" thickBot="1">
      <c r="B81" s="73"/>
      <c r="C81" s="73"/>
      <c r="D81" s="73"/>
      <c r="Q81" s="4"/>
      <c r="R81" s="4"/>
      <c r="S81" s="4"/>
    </row>
    <row r="82" spans="2:19" ht="20">
      <c r="B82" s="439"/>
      <c r="C82" s="440"/>
      <c r="D82" s="441"/>
      <c r="Q82" s="4"/>
      <c r="R82" s="4"/>
      <c r="S82" s="4"/>
    </row>
    <row r="83" spans="2:19" ht="20">
      <c r="B83" s="442" t="s">
        <v>252</v>
      </c>
      <c r="C83" s="443"/>
      <c r="D83" s="444">
        <v>0.03</v>
      </c>
      <c r="F83" s="61"/>
      <c r="G83" s="61"/>
      <c r="H83" s="61"/>
      <c r="I83" s="61"/>
      <c r="J83" s="61"/>
      <c r="K83" s="61"/>
      <c r="L83" s="61"/>
      <c r="Q83" s="4"/>
      <c r="R83" s="4"/>
      <c r="S83" s="4"/>
    </row>
    <row r="84" spans="2:19" ht="20">
      <c r="B84" s="442" t="s">
        <v>253</v>
      </c>
      <c r="C84" s="443"/>
      <c r="D84" s="444">
        <f>WACC!C31</f>
        <v>9.4272831482060823E-2</v>
      </c>
      <c r="F84" s="61"/>
      <c r="G84" s="61"/>
      <c r="H84" s="644" t="s">
        <v>254</v>
      </c>
      <c r="I84" s="645"/>
      <c r="J84" s="61"/>
      <c r="K84" s="61"/>
      <c r="L84" s="61"/>
      <c r="Q84" s="4"/>
      <c r="R84" s="4"/>
      <c r="S84" s="4"/>
    </row>
    <row r="85" spans="2:19" ht="20">
      <c r="B85" s="442"/>
      <c r="C85" s="443"/>
      <c r="D85" s="395"/>
      <c r="F85" s="61"/>
      <c r="G85" s="61"/>
      <c r="H85" s="61"/>
      <c r="I85" s="61"/>
      <c r="J85" s="61"/>
      <c r="K85" s="61"/>
      <c r="L85" s="61"/>
      <c r="Q85" s="4"/>
      <c r="R85" s="4"/>
      <c r="S85" s="4"/>
    </row>
    <row r="86" spans="2:19" ht="20">
      <c r="B86" s="442" t="s">
        <v>255</v>
      </c>
      <c r="C86" s="443"/>
      <c r="D86" s="445">
        <f>C78/(1+D84)^7</f>
        <v>428325.26173588377</v>
      </c>
      <c r="F86" s="646">
        <f>D93</f>
        <v>142.53485572450458</v>
      </c>
      <c r="G86" s="647">
        <v>0.03</v>
      </c>
      <c r="H86" s="648">
        <v>3.5000000000000003E-2</v>
      </c>
      <c r="I86" s="647">
        <v>0.04</v>
      </c>
      <c r="J86" s="648">
        <v>4.4999999999999998E-2</v>
      </c>
      <c r="K86" s="647">
        <v>0.05</v>
      </c>
      <c r="L86" s="649">
        <v>5.5E-2</v>
      </c>
      <c r="Q86" s="4"/>
      <c r="R86" s="4"/>
      <c r="S86" s="4"/>
    </row>
    <row r="87" spans="2:19" ht="20">
      <c r="B87" s="446" t="s">
        <v>256</v>
      </c>
      <c r="C87" s="443"/>
      <c r="D87" s="445">
        <f>NPV(D84,D73:M73)</f>
        <v>159260.46163995177</v>
      </c>
      <c r="F87" s="640">
        <v>0.08</v>
      </c>
      <c r="G87" s="712">
        <f t="dataTable" ref="G87:L93" dt2D="1" dtr="1" r1="D83" r2="D84"/>
        <v>188.64132218280284</v>
      </c>
      <c r="H87" s="713">
        <v>205.93633121327741</v>
      </c>
      <c r="I87" s="713">
        <v>227.55509250137067</v>
      </c>
      <c r="J87" s="713">
        <v>255.35064272891904</v>
      </c>
      <c r="K87" s="713">
        <v>292.41137636565037</v>
      </c>
      <c r="L87" s="714">
        <v>344.29640345707412</v>
      </c>
      <c r="Q87" s="4"/>
      <c r="R87" s="4"/>
      <c r="S87" s="4"/>
    </row>
    <row r="88" spans="2:19" ht="20">
      <c r="B88" s="446" t="s">
        <v>257</v>
      </c>
      <c r="C88" s="443"/>
      <c r="D88" s="396">
        <f>SUM(D86,D87)</f>
        <v>587585.72337583557</v>
      </c>
      <c r="F88" s="641">
        <v>8.5000000000000006E-2</v>
      </c>
      <c r="G88" s="715">
        <v>169.7660261770811</v>
      </c>
      <c r="H88" s="716">
        <v>183.52971106763783</v>
      </c>
      <c r="I88" s="716">
        <v>200.35199260054046</v>
      </c>
      <c r="J88" s="716">
        <v>221.37984451666873</v>
      </c>
      <c r="K88" s="716">
        <v>248.41565412311942</v>
      </c>
      <c r="L88" s="717">
        <v>284.46340026505356</v>
      </c>
      <c r="Q88" s="4"/>
      <c r="R88" s="4"/>
      <c r="S88" s="4"/>
    </row>
    <row r="89" spans="2:19" ht="24" customHeight="1">
      <c r="B89" s="446" t="s">
        <v>136</v>
      </c>
      <c r="C89" s="443"/>
      <c r="D89" s="447">
        <v>37567</v>
      </c>
      <c r="F89" s="640">
        <v>0.09</v>
      </c>
      <c r="G89" s="715">
        <v>154.03635426738435</v>
      </c>
      <c r="H89" s="716">
        <v>165.19400895743937</v>
      </c>
      <c r="I89" s="716">
        <v>178.5831945855054</v>
      </c>
      <c r="J89" s="716">
        <v>194.94775479758607</v>
      </c>
      <c r="K89" s="716">
        <v>215.40345506268693</v>
      </c>
      <c r="L89" s="717">
        <v>241.70364111781655</v>
      </c>
      <c r="Q89" s="4"/>
      <c r="R89" s="4"/>
      <c r="S89" s="4"/>
    </row>
    <row r="90" spans="2:19" ht="20">
      <c r="B90" s="446" t="s">
        <v>204</v>
      </c>
      <c r="C90" s="443"/>
      <c r="D90" s="396">
        <v>29528</v>
      </c>
      <c r="F90" s="642">
        <v>9.4299999999999995E-2</v>
      </c>
      <c r="G90" s="718">
        <v>142.466620935881</v>
      </c>
      <c r="H90" s="716">
        <v>151.89770861710031</v>
      </c>
      <c r="I90" s="716">
        <v>163.06564485839687</v>
      </c>
      <c r="J90" s="716">
        <v>176.49888256851622</v>
      </c>
      <c r="K90" s="716">
        <v>192.96445384751132</v>
      </c>
      <c r="L90" s="717">
        <v>213.61973792014376</v>
      </c>
      <c r="Q90" s="4"/>
      <c r="R90" s="4"/>
      <c r="S90" s="4"/>
    </row>
    <row r="91" spans="2:19" ht="20">
      <c r="B91" s="446" t="s">
        <v>258</v>
      </c>
      <c r="C91" s="443"/>
      <c r="D91" s="396">
        <f>D88-D89+D90</f>
        <v>579546.72337583557</v>
      </c>
      <c r="F91" s="640">
        <v>0.1</v>
      </c>
      <c r="G91" s="715">
        <v>129.324336405834</v>
      </c>
      <c r="H91" s="716">
        <v>136.98521070703319</v>
      </c>
      <c r="I91" s="716">
        <v>145.92289739176556</v>
      </c>
      <c r="J91" s="716">
        <v>156.48561801917654</v>
      </c>
      <c r="K91" s="716">
        <v>169.16088277206975</v>
      </c>
      <c r="L91" s="717">
        <v>184.65287302560583</v>
      </c>
      <c r="Q91" s="4"/>
      <c r="R91" s="4"/>
      <c r="S91" s="4"/>
    </row>
    <row r="92" spans="2:19" ht="20">
      <c r="B92" s="446" t="s">
        <v>259</v>
      </c>
      <c r="C92" s="443"/>
      <c r="D92" s="396">
        <v>4066</v>
      </c>
      <c r="F92" s="641">
        <v>0.105</v>
      </c>
      <c r="G92" s="715">
        <v>119.44509054487025</v>
      </c>
      <c r="H92" s="716">
        <v>125.90628590628894</v>
      </c>
      <c r="I92" s="716">
        <v>133.36151132331051</v>
      </c>
      <c r="J92" s="716">
        <v>142.05927430983567</v>
      </c>
      <c r="K92" s="716">
        <v>152.33844874845636</v>
      </c>
      <c r="L92" s="717">
        <v>164.67345807480109</v>
      </c>
      <c r="Q92" s="4"/>
      <c r="R92" s="4"/>
      <c r="S92" s="4"/>
    </row>
    <row r="93" spans="2:19" ht="27" customHeight="1">
      <c r="B93" s="229" t="s">
        <v>260</v>
      </c>
      <c r="C93" s="230"/>
      <c r="D93" s="632">
        <f>D91/D92</f>
        <v>142.53485572450458</v>
      </c>
      <c r="E93" s="73"/>
      <c r="F93" s="643">
        <v>0.11</v>
      </c>
      <c r="G93" s="719">
        <v>110.80572412571061</v>
      </c>
      <c r="H93" s="720">
        <v>116.30818193255803</v>
      </c>
      <c r="I93" s="720">
        <v>122.59670514038361</v>
      </c>
      <c r="J93" s="720">
        <v>129.85269345710546</v>
      </c>
      <c r="K93" s="720">
        <v>138.31801315994761</v>
      </c>
      <c r="L93" s="721">
        <v>148.32248189967012</v>
      </c>
      <c r="M93" s="4"/>
      <c r="N93" s="4"/>
      <c r="O93" s="4"/>
      <c r="P93" s="4"/>
      <c r="Q93" s="4"/>
      <c r="R93" s="4"/>
      <c r="S93" s="4"/>
    </row>
    <row r="94" spans="2:19" ht="20">
      <c r="E94" s="73"/>
      <c r="F94" s="61"/>
      <c r="G94" s="61"/>
      <c r="H94" s="61"/>
      <c r="I94" s="61"/>
      <c r="J94" s="61"/>
      <c r="K94" s="61"/>
      <c r="L94" s="61"/>
      <c r="M94" s="4"/>
      <c r="N94" s="4"/>
      <c r="O94" s="4"/>
      <c r="P94" s="4"/>
      <c r="Q94" s="4"/>
      <c r="R94" s="4"/>
      <c r="S94" s="4"/>
    </row>
    <row r="95" spans="2:19" ht="21" customHeight="1">
      <c r="E95" s="73"/>
      <c r="F95" s="4"/>
      <c r="G95" s="4"/>
      <c r="H95" s="4"/>
      <c r="I95" s="4"/>
      <c r="J95" s="4"/>
      <c r="K95" s="4"/>
      <c r="L95" s="4"/>
      <c r="M95" s="4"/>
      <c r="N95" s="4"/>
      <c r="O95" s="4"/>
      <c r="P95" s="4"/>
      <c r="Q95" s="4"/>
      <c r="R95" s="4"/>
      <c r="S95" s="4"/>
    </row>
    <row r="96" spans="2:19" ht="18">
      <c r="B96" s="4"/>
      <c r="C96" s="4"/>
      <c r="D96" s="4"/>
      <c r="E96" s="4"/>
      <c r="F96" s="4"/>
      <c r="G96" s="4"/>
    </row>
    <row r="97" spans="2:19" ht="18">
      <c r="B97" s="4"/>
      <c r="C97" s="4"/>
      <c r="D97" s="4"/>
      <c r="E97" s="4"/>
      <c r="F97" s="4"/>
      <c r="G97" s="4"/>
    </row>
    <row r="98" spans="2:19" ht="18">
      <c r="L98" s="4"/>
      <c r="M98" s="4"/>
    </row>
    <row r="99" spans="2:19" ht="18">
      <c r="L99" s="4"/>
      <c r="M99" s="4"/>
    </row>
    <row r="100" spans="2:19" ht="18">
      <c r="L100" s="4"/>
      <c r="M100" s="4"/>
    </row>
    <row r="101" spans="2:19" ht="18">
      <c r="L101" s="4"/>
      <c r="M101" s="4"/>
    </row>
    <row r="102" spans="2:19" ht="18">
      <c r="L102" s="4"/>
      <c r="M102" s="4"/>
    </row>
    <row r="103" spans="2:19" ht="18">
      <c r="L103" s="4"/>
      <c r="M103" s="4"/>
    </row>
    <row r="104" spans="2:19" ht="18">
      <c r="L104" s="4"/>
      <c r="M104" s="4"/>
    </row>
    <row r="105" spans="2:19" ht="18">
      <c r="L105" s="4"/>
      <c r="M105" s="4"/>
    </row>
    <row r="106" spans="2:19" ht="18">
      <c r="N106" s="4"/>
      <c r="O106" s="4"/>
      <c r="P106" s="4"/>
      <c r="Q106" s="4"/>
      <c r="R106" s="4"/>
      <c r="S106" s="4"/>
    </row>
    <row r="107" spans="2:19" ht="18">
      <c r="N107" s="4"/>
      <c r="O107" s="4"/>
      <c r="P107" s="4"/>
      <c r="Q107" s="4"/>
      <c r="R107" s="4"/>
      <c r="S107" s="4"/>
    </row>
    <row r="108" spans="2:19" ht="18">
      <c r="N108" s="4"/>
      <c r="O108" s="4"/>
      <c r="P108" s="4"/>
      <c r="Q108" s="4"/>
      <c r="R108" s="4"/>
      <c r="S108" s="4"/>
    </row>
    <row r="109" spans="2:19" ht="18">
      <c r="B109" s="4"/>
      <c r="C109" s="4"/>
      <c r="D109" s="4"/>
      <c r="E109" s="4"/>
      <c r="F109" s="4"/>
      <c r="G109" s="4"/>
      <c r="H109" s="4"/>
      <c r="I109" s="4"/>
      <c r="J109" s="4"/>
      <c r="K109" s="4"/>
      <c r="L109" s="4"/>
      <c r="M109" s="4"/>
      <c r="N109" s="4"/>
      <c r="O109" s="4"/>
      <c r="P109" s="4"/>
      <c r="Q109" s="4"/>
      <c r="R109" s="4"/>
      <c r="S109"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W94"/>
  <sheetViews>
    <sheetView topLeftCell="A56" zoomScale="50" workbookViewId="0">
      <selection activeCell="P57" sqref="P57"/>
    </sheetView>
  </sheetViews>
  <sheetFormatPr baseColWidth="10" defaultColWidth="11.5" defaultRowHeight="15.75" customHeight="1"/>
  <cols>
    <col min="2" max="2" width="92.5" customWidth="1"/>
    <col min="3" max="4" width="24.5" customWidth="1"/>
    <col min="5" max="5" width="24.6640625" customWidth="1"/>
    <col min="6" max="6" width="24.5" customWidth="1"/>
    <col min="7" max="7" width="25" customWidth="1"/>
    <col min="8" max="8" width="24.5" customWidth="1"/>
    <col min="9" max="9" width="25" customWidth="1"/>
    <col min="10" max="10" width="24.83203125" customWidth="1"/>
    <col min="11" max="11" width="24.6640625" customWidth="1"/>
    <col min="12" max="12" width="23.83203125" customWidth="1"/>
    <col min="13" max="13" width="25.1640625" customWidth="1"/>
    <col min="14" max="14" width="24.1640625" customWidth="1"/>
  </cols>
  <sheetData>
    <row r="2" spans="2:22" ht="18">
      <c r="C2" s="56"/>
      <c r="H2" s="55"/>
    </row>
    <row r="3" spans="2:22" ht="24" thickBot="1">
      <c r="B3" s="65" t="s">
        <v>219</v>
      </c>
      <c r="C3" s="470"/>
      <c r="D3" s="471"/>
      <c r="E3" s="471"/>
      <c r="F3" s="469"/>
      <c r="G3" s="469"/>
      <c r="H3" s="469"/>
      <c r="I3" s="70"/>
      <c r="J3" s="70"/>
      <c r="K3" s="70"/>
      <c r="L3" s="470"/>
    </row>
    <row r="4" spans="2:22" ht="19" thickBot="1">
      <c r="B4" s="485" t="s">
        <v>66</v>
      </c>
      <c r="C4" s="175">
        <v>2023</v>
      </c>
      <c r="D4" s="176">
        <v>2022</v>
      </c>
      <c r="E4" s="176">
        <v>2021</v>
      </c>
      <c r="F4" s="176">
        <v>2020</v>
      </c>
      <c r="G4" s="176">
        <v>2019</v>
      </c>
      <c r="H4" s="176">
        <v>2018</v>
      </c>
      <c r="I4" s="176">
        <v>2017</v>
      </c>
      <c r="J4" s="176">
        <v>2016</v>
      </c>
      <c r="K4" s="177">
        <v>2015</v>
      </c>
      <c r="L4" s="470"/>
      <c r="V4" s="67"/>
    </row>
    <row r="5" spans="2:22" ht="18">
      <c r="B5" s="486" t="s">
        <v>4</v>
      </c>
      <c r="C5" s="472"/>
      <c r="D5" s="473"/>
      <c r="E5" s="473">
        <f>D9/E9-1</f>
        <v>0.44825654670214266</v>
      </c>
      <c r="F5" s="473">
        <f>E9/F9-1</f>
        <v>0.57375676301087597</v>
      </c>
      <c r="G5" s="473">
        <f t="shared" ref="G5:J5" si="0">F9/G9-1</f>
        <v>-0.31492651110825931</v>
      </c>
      <c r="H5" s="473">
        <f t="shared" si="0"/>
        <v>-8.7088059763207548E-2</v>
      </c>
      <c r="I5" s="473">
        <f t="shared" si="0"/>
        <v>0.18762660468237824</v>
      </c>
      <c r="J5" s="473">
        <f t="shared" si="0"/>
        <v>0.17417857520397484</v>
      </c>
      <c r="K5" s="474"/>
      <c r="L5" s="470"/>
    </row>
    <row r="6" spans="2:22" ht="18">
      <c r="B6" s="472" t="s">
        <v>5</v>
      </c>
      <c r="C6" s="472">
        <v>152384</v>
      </c>
      <c r="D6" s="475">
        <v>398675</v>
      </c>
      <c r="E6" s="476">
        <v>276692</v>
      </c>
      <c r="F6" s="475">
        <v>178574</v>
      </c>
      <c r="G6" s="476">
        <v>255583</v>
      </c>
      <c r="H6" s="475">
        <v>279332</v>
      </c>
      <c r="I6" s="475">
        <v>237162</v>
      </c>
      <c r="J6" s="475">
        <v>200628</v>
      </c>
      <c r="K6" s="475">
        <v>239854</v>
      </c>
      <c r="L6" s="470"/>
    </row>
    <row r="7" spans="2:22" ht="18">
      <c r="B7" s="472" t="s">
        <v>6</v>
      </c>
      <c r="C7" s="475">
        <f>'INCOME STATEMENT'!D12</f>
        <v>1382</v>
      </c>
      <c r="D7" s="475">
        <v>11463</v>
      </c>
      <c r="E7" s="476">
        <v>6657</v>
      </c>
      <c r="F7" s="475">
        <v>1732</v>
      </c>
      <c r="G7" s="476">
        <v>5441</v>
      </c>
      <c r="H7" s="475">
        <v>7355</v>
      </c>
      <c r="I7" s="475">
        <v>5380</v>
      </c>
      <c r="J7" s="475">
        <v>4806</v>
      </c>
      <c r="K7" s="475">
        <v>7644</v>
      </c>
      <c r="L7" s="470"/>
    </row>
    <row r="8" spans="2:22" ht="18">
      <c r="B8" s="472" t="s">
        <v>7</v>
      </c>
      <c r="C8" s="475">
        <f>'INCOME STATEMENT'!D13</f>
        <v>737</v>
      </c>
      <c r="D8" s="475">
        <v>3542</v>
      </c>
      <c r="E8" s="476">
        <v>2291</v>
      </c>
      <c r="F8" s="475">
        <v>1196</v>
      </c>
      <c r="G8" s="476">
        <v>3914</v>
      </c>
      <c r="H8" s="475">
        <v>3525</v>
      </c>
      <c r="I8" s="475">
        <v>1821</v>
      </c>
      <c r="J8" s="475">
        <v>2680</v>
      </c>
      <c r="K8" s="475">
        <v>1750</v>
      </c>
      <c r="L8" s="470"/>
    </row>
    <row r="9" spans="2:22" ht="18">
      <c r="B9" s="477" t="s">
        <v>8</v>
      </c>
      <c r="C9" s="478">
        <f>'INCOME STATEMENT'!D14</f>
        <v>82914</v>
      </c>
      <c r="D9" s="479">
        <v>413680</v>
      </c>
      <c r="E9" s="480">
        <v>285640</v>
      </c>
      <c r="F9" s="479">
        <v>181502</v>
      </c>
      <c r="G9" s="480">
        <v>264938</v>
      </c>
      <c r="H9" s="479">
        <v>290212</v>
      </c>
      <c r="I9" s="479">
        <v>244363</v>
      </c>
      <c r="J9" s="479">
        <v>208114</v>
      </c>
      <c r="K9" s="479">
        <v>249248</v>
      </c>
      <c r="L9" s="470"/>
    </row>
    <row r="10" spans="2:22" ht="18">
      <c r="B10" s="486" t="s">
        <v>9</v>
      </c>
      <c r="C10" s="475"/>
      <c r="D10" s="481"/>
      <c r="E10" s="482"/>
      <c r="F10" s="481"/>
      <c r="G10" s="474"/>
      <c r="H10" s="474"/>
      <c r="I10" s="474"/>
      <c r="J10" s="474"/>
      <c r="K10" s="474"/>
      <c r="L10" s="470"/>
    </row>
    <row r="11" spans="2:22" ht="18">
      <c r="B11" s="472" t="s">
        <v>10</v>
      </c>
      <c r="C11" s="475">
        <f>'INCOME STATEMENT'!D16</f>
        <v>47598</v>
      </c>
      <c r="D11" s="475">
        <v>228959</v>
      </c>
      <c r="E11" s="476">
        <v>155164</v>
      </c>
      <c r="F11" s="475">
        <v>94007</v>
      </c>
      <c r="G11" s="476">
        <v>143801</v>
      </c>
      <c r="H11" s="475">
        <v>156172</v>
      </c>
      <c r="I11" s="475">
        <v>128217</v>
      </c>
      <c r="J11" s="475">
        <v>104171</v>
      </c>
      <c r="K11" s="475">
        <v>130003</v>
      </c>
      <c r="L11" s="470"/>
    </row>
    <row r="12" spans="2:22" ht="18">
      <c r="B12" s="472" t="s">
        <v>11</v>
      </c>
      <c r="C12" s="475">
        <f>'INCOME STATEMENT'!D17</f>
        <v>8860</v>
      </c>
      <c r="D12" s="475">
        <v>42609</v>
      </c>
      <c r="E12" s="476">
        <v>36035</v>
      </c>
      <c r="F12" s="475">
        <v>30431</v>
      </c>
      <c r="G12" s="476">
        <v>36826</v>
      </c>
      <c r="H12" s="475">
        <v>36682</v>
      </c>
      <c r="I12" s="475">
        <v>32690</v>
      </c>
      <c r="J12" s="475">
        <v>30448</v>
      </c>
      <c r="K12" s="475">
        <v>33951</v>
      </c>
      <c r="L12" s="470"/>
    </row>
    <row r="13" spans="2:22" ht="18">
      <c r="B13" s="472" t="s">
        <v>12</v>
      </c>
      <c r="C13" s="475">
        <f>'INCOME STATEMENT'!D18</f>
        <v>2449</v>
      </c>
      <c r="D13" s="475">
        <v>10095</v>
      </c>
      <c r="E13" s="476">
        <v>9574</v>
      </c>
      <c r="F13" s="475">
        <v>10168</v>
      </c>
      <c r="G13" s="476">
        <v>11398</v>
      </c>
      <c r="H13" s="475">
        <v>11480</v>
      </c>
      <c r="I13" s="475">
        <v>10649</v>
      </c>
      <c r="J13" s="475">
        <v>10443</v>
      </c>
      <c r="K13" s="475">
        <v>11038</v>
      </c>
      <c r="L13" s="470"/>
    </row>
    <row r="14" spans="2:22" ht="18">
      <c r="B14" s="472" t="s">
        <v>220</v>
      </c>
      <c r="C14" s="475">
        <f>'INCOME STATEMENT'!D19</f>
        <v>4242</v>
      </c>
      <c r="D14" s="475">
        <v>24040</v>
      </c>
      <c r="E14" s="476">
        <v>20607</v>
      </c>
      <c r="F14" s="475">
        <v>46009</v>
      </c>
      <c r="G14" s="476">
        <v>18998</v>
      </c>
      <c r="H14" s="475">
        <v>18745</v>
      </c>
      <c r="I14" s="475">
        <v>19893</v>
      </c>
      <c r="J14" s="475">
        <v>22308</v>
      </c>
      <c r="K14" s="475">
        <v>18048</v>
      </c>
      <c r="L14" s="470"/>
    </row>
    <row r="15" spans="2:22" ht="18">
      <c r="B15" s="472" t="s">
        <v>14</v>
      </c>
      <c r="C15" s="475">
        <f>'INCOME STATEMENT'!D20</f>
        <v>133</v>
      </c>
      <c r="D15" s="475">
        <v>1025</v>
      </c>
      <c r="E15" s="476">
        <v>1054</v>
      </c>
      <c r="F15" s="475">
        <v>1285</v>
      </c>
      <c r="G15" s="476">
        <v>1269</v>
      </c>
      <c r="H15" s="475">
        <v>1466</v>
      </c>
      <c r="I15" s="475">
        <v>1790</v>
      </c>
      <c r="J15" s="475">
        <v>1467</v>
      </c>
      <c r="K15" s="475">
        <v>1523</v>
      </c>
      <c r="L15" s="470"/>
    </row>
    <row r="16" spans="2:22" ht="18">
      <c r="B16" s="472" t="s">
        <v>15</v>
      </c>
      <c r="C16" s="475">
        <f>'INCOME STATEMENT'!D21</f>
        <v>164</v>
      </c>
      <c r="D16" s="472">
        <v>482</v>
      </c>
      <c r="E16" s="474">
        <v>786</v>
      </c>
      <c r="F16" s="475">
        <v>1205</v>
      </c>
      <c r="G16" s="476">
        <v>1235</v>
      </c>
      <c r="H16" s="475">
        <v>1285</v>
      </c>
      <c r="I16" s="475">
        <v>1745</v>
      </c>
      <c r="J16" s="475">
        <v>1835</v>
      </c>
      <c r="K16" s="475">
        <v>2099</v>
      </c>
      <c r="L16" s="470"/>
    </row>
    <row r="17" spans="2:23" ht="18">
      <c r="B17" s="472" t="s">
        <v>16</v>
      </c>
      <c r="C17" s="475">
        <f>'INCOME STATEMENT'!D22</f>
        <v>249</v>
      </c>
      <c r="D17" s="472">
        <v>798</v>
      </c>
      <c r="E17" s="474">
        <v>947</v>
      </c>
      <c r="F17" s="475">
        <v>1158</v>
      </c>
      <c r="G17" s="474">
        <v>830</v>
      </c>
      <c r="H17" s="472">
        <v>766</v>
      </c>
      <c r="I17" s="472">
        <v>601</v>
      </c>
      <c r="J17" s="472">
        <v>453</v>
      </c>
      <c r="K17" s="472">
        <v>311</v>
      </c>
      <c r="L17" s="470"/>
      <c r="M17" s="55">
        <f>AVERAGE(E49:F49)</f>
        <v>0.51100665485650931</v>
      </c>
    </row>
    <row r="18" spans="2:23" ht="18">
      <c r="B18" s="472" t="s">
        <v>17</v>
      </c>
      <c r="C18" s="475">
        <f>'INCOME STATEMENT'!D23</f>
        <v>7563</v>
      </c>
      <c r="D18" s="475">
        <v>27919</v>
      </c>
      <c r="E18" s="476">
        <v>30239</v>
      </c>
      <c r="F18" s="475">
        <v>26122</v>
      </c>
      <c r="G18" s="476">
        <v>30525</v>
      </c>
      <c r="H18" s="475">
        <v>32663</v>
      </c>
      <c r="I18" s="475">
        <v>30104</v>
      </c>
      <c r="J18" s="475">
        <v>29020</v>
      </c>
      <c r="K18" s="475">
        <v>30309</v>
      </c>
      <c r="L18" s="470"/>
    </row>
    <row r="19" spans="2:23" ht="18">
      <c r="B19" s="477" t="s">
        <v>18</v>
      </c>
      <c r="C19" s="479">
        <f>'INCOME STATEMENT'!D24</f>
        <v>71258</v>
      </c>
      <c r="D19" s="479">
        <v>335927</v>
      </c>
      <c r="E19" s="480">
        <v>254406</v>
      </c>
      <c r="F19" s="479">
        <v>210385</v>
      </c>
      <c r="G19" s="480">
        <v>244882</v>
      </c>
      <c r="H19" s="479">
        <v>259259</v>
      </c>
      <c r="I19" s="479">
        <v>225689</v>
      </c>
      <c r="J19" s="479">
        <v>200145</v>
      </c>
      <c r="K19" s="479">
        <v>227282</v>
      </c>
      <c r="L19" s="470"/>
    </row>
    <row r="20" spans="2:23" ht="18">
      <c r="B20" s="472" t="s">
        <v>221</v>
      </c>
      <c r="C20" s="475">
        <f>'INCOME STATEMENT'!D25</f>
        <v>11656</v>
      </c>
      <c r="D20" s="475">
        <v>77753</v>
      </c>
      <c r="E20" s="476">
        <v>31234</v>
      </c>
      <c r="F20" s="475">
        <v>-28883</v>
      </c>
      <c r="G20" s="476">
        <v>20056</v>
      </c>
      <c r="H20" s="475">
        <v>30953</v>
      </c>
      <c r="I20" s="475">
        <v>18674</v>
      </c>
      <c r="J20" s="475">
        <v>7969</v>
      </c>
      <c r="K20" s="475">
        <v>21966</v>
      </c>
      <c r="L20" s="470"/>
    </row>
    <row r="21" spans="2:23" ht="18">
      <c r="B21" s="472" t="s">
        <v>222</v>
      </c>
      <c r="C21" s="475">
        <f>'INCOME STATEMENT'!D26</f>
        <v>3503</v>
      </c>
      <c r="D21" s="475">
        <v>20176</v>
      </c>
      <c r="E21" s="476">
        <v>7636</v>
      </c>
      <c r="F21" s="475">
        <v>-5632</v>
      </c>
      <c r="G21" s="476">
        <v>5282</v>
      </c>
      <c r="H21" s="475">
        <v>9532</v>
      </c>
      <c r="I21" s="475">
        <v>-1174</v>
      </c>
      <c r="J21" s="472">
        <v>-406</v>
      </c>
      <c r="K21" s="475">
        <v>5415</v>
      </c>
      <c r="L21" s="470"/>
    </row>
    <row r="22" spans="2:23" ht="18">
      <c r="B22" s="477" t="s">
        <v>223</v>
      </c>
      <c r="C22" s="479">
        <f>'INCOME STATEMENT'!D27</f>
        <v>8153</v>
      </c>
      <c r="D22" s="479">
        <v>57577</v>
      </c>
      <c r="E22" s="480">
        <v>23598</v>
      </c>
      <c r="F22" s="479">
        <v>-23251</v>
      </c>
      <c r="G22" s="480">
        <v>14774</v>
      </c>
      <c r="H22" s="479">
        <v>21421</v>
      </c>
      <c r="I22" s="479">
        <v>19848</v>
      </c>
      <c r="J22" s="479">
        <v>8375</v>
      </c>
      <c r="K22" s="479">
        <v>16551</v>
      </c>
      <c r="L22" s="470"/>
    </row>
    <row r="23" spans="2:23" ht="18">
      <c r="B23" s="472" t="s">
        <v>224</v>
      </c>
      <c r="C23" s="475">
        <f>'INCOME STATEMENT'!D28</f>
        <v>273</v>
      </c>
      <c r="D23" s="475">
        <v>1837</v>
      </c>
      <c r="E23" s="474">
        <v>558</v>
      </c>
      <c r="F23" s="472">
        <v>-811</v>
      </c>
      <c r="G23" s="474">
        <v>434</v>
      </c>
      <c r="H23" s="472">
        <v>581</v>
      </c>
      <c r="I23" s="472">
        <v>138</v>
      </c>
      <c r="J23" s="472">
        <v>535</v>
      </c>
      <c r="K23" s="472">
        <v>401</v>
      </c>
      <c r="L23" s="470"/>
    </row>
    <row r="24" spans="2:23" ht="18">
      <c r="B24" s="477" t="s">
        <v>225</v>
      </c>
      <c r="C24" s="478">
        <f>'INCOME STATEMENT'!D29</f>
        <v>7880</v>
      </c>
      <c r="D24" s="479">
        <v>55740</v>
      </c>
      <c r="E24" s="480">
        <v>23040</v>
      </c>
      <c r="F24" s="479">
        <v>-22440</v>
      </c>
      <c r="G24" s="480">
        <v>14340</v>
      </c>
      <c r="H24" s="479">
        <v>20840</v>
      </c>
      <c r="I24" s="479">
        <v>19710</v>
      </c>
      <c r="J24" s="479">
        <v>7840</v>
      </c>
      <c r="K24" s="479">
        <v>16150</v>
      </c>
      <c r="L24" s="470"/>
    </row>
    <row r="25" spans="2:23" ht="18">
      <c r="B25" s="472" t="s">
        <v>261</v>
      </c>
      <c r="C25" s="475"/>
      <c r="D25" s="472">
        <v>13.26</v>
      </c>
      <c r="E25" s="474">
        <v>5.39</v>
      </c>
      <c r="F25" s="472">
        <v>-5.25</v>
      </c>
      <c r="G25" s="474">
        <v>3.36</v>
      </c>
      <c r="H25" s="472">
        <v>4.88</v>
      </c>
      <c r="I25" s="472">
        <v>4.63</v>
      </c>
      <c r="J25" s="472">
        <v>1.88</v>
      </c>
      <c r="K25" s="472">
        <v>3.85</v>
      </c>
      <c r="L25" s="470"/>
      <c r="N25">
        <v>1</v>
      </c>
    </row>
    <row r="26" spans="2:23" ht="18">
      <c r="B26" s="477" t="s">
        <v>262</v>
      </c>
      <c r="C26" s="483">
        <f>'INCOME STATEMENT'!D31</f>
        <v>1.94</v>
      </c>
      <c r="D26" s="192">
        <v>13.26</v>
      </c>
      <c r="E26" s="484">
        <v>5.39</v>
      </c>
      <c r="F26" s="192">
        <v>-5.25</v>
      </c>
      <c r="G26" s="484">
        <v>3.36</v>
      </c>
      <c r="H26" s="192">
        <v>4.88</v>
      </c>
      <c r="I26" s="192">
        <v>4.63</v>
      </c>
      <c r="J26" s="192">
        <v>1.88</v>
      </c>
      <c r="K26" s="192">
        <v>3.85</v>
      </c>
      <c r="L26" s="470"/>
    </row>
    <row r="27" spans="2:23" ht="20" thickBot="1">
      <c r="H27" s="58"/>
      <c r="I27" s="58"/>
      <c r="J27" s="58"/>
      <c r="K27" s="58"/>
    </row>
    <row r="28" spans="2:23" ht="21">
      <c r="B28" s="510" t="s">
        <v>206</v>
      </c>
      <c r="C28" s="511"/>
      <c r="D28" s="289">
        <f>D9</f>
        <v>413680</v>
      </c>
      <c r="E28" s="289">
        <f>E9</f>
        <v>285640</v>
      </c>
      <c r="F28" s="512">
        <f>F9</f>
        <v>181502</v>
      </c>
      <c r="G28" s="65"/>
      <c r="H28" s="61"/>
      <c r="I28" s="61"/>
      <c r="J28" s="61"/>
      <c r="K28" s="58"/>
    </row>
    <row r="29" spans="2:23" ht="20">
      <c r="B29" s="290" t="s">
        <v>228</v>
      </c>
      <c r="C29" s="291"/>
      <c r="D29" s="291">
        <v>299487</v>
      </c>
      <c r="E29" s="291">
        <v>221438</v>
      </c>
      <c r="F29" s="293">
        <v>150560</v>
      </c>
      <c r="G29" s="61"/>
      <c r="H29" s="61"/>
      <c r="I29" s="61"/>
      <c r="J29" s="61"/>
    </row>
    <row r="30" spans="2:23" ht="20">
      <c r="B30" s="513" t="s">
        <v>229</v>
      </c>
      <c r="C30" s="292"/>
      <c r="D30" s="294">
        <f>D28-D29</f>
        <v>114193</v>
      </c>
      <c r="E30" s="294">
        <f>E28-E29</f>
        <v>64202</v>
      </c>
      <c r="F30" s="514">
        <f>F28-F29</f>
        <v>30942</v>
      </c>
      <c r="G30" s="61"/>
      <c r="H30" s="61"/>
      <c r="I30" s="61"/>
      <c r="J30" s="61"/>
      <c r="W30" s="54"/>
    </row>
    <row r="31" spans="2:23" ht="20">
      <c r="B31" s="290" t="s">
        <v>230</v>
      </c>
      <c r="C31" s="291"/>
      <c r="D31" s="295">
        <f>D15</f>
        <v>1025</v>
      </c>
      <c r="E31" s="295">
        <f>E15</f>
        <v>1054</v>
      </c>
      <c r="F31" s="296">
        <f>F15</f>
        <v>1285</v>
      </c>
      <c r="G31" s="61"/>
      <c r="H31" s="61"/>
      <c r="I31" s="61"/>
      <c r="J31" s="61"/>
    </row>
    <row r="32" spans="2:23" ht="20">
      <c r="B32" s="290" t="s">
        <v>231</v>
      </c>
      <c r="C32" s="291"/>
      <c r="D32" s="295">
        <f>D13</f>
        <v>10095</v>
      </c>
      <c r="E32" s="295">
        <f>E13</f>
        <v>9574</v>
      </c>
      <c r="F32" s="296">
        <f>F13</f>
        <v>10168</v>
      </c>
      <c r="G32" s="61"/>
      <c r="H32" s="61"/>
      <c r="I32" s="61"/>
      <c r="J32" s="61"/>
    </row>
    <row r="33" spans="2:20" ht="21" thickBot="1">
      <c r="B33" s="290" t="s">
        <v>232</v>
      </c>
      <c r="C33" s="291"/>
      <c r="D33" s="295">
        <f>D20</f>
        <v>77753</v>
      </c>
      <c r="E33" s="295">
        <f>E20</f>
        <v>31234</v>
      </c>
      <c r="F33" s="296">
        <f>F20</f>
        <v>-28883</v>
      </c>
      <c r="G33" s="61"/>
      <c r="H33" s="61"/>
      <c r="I33" s="61"/>
      <c r="J33" s="61"/>
    </row>
    <row r="34" spans="2:20" ht="21">
      <c r="B34" s="387" t="s">
        <v>233</v>
      </c>
      <c r="C34" s="291"/>
      <c r="D34" s="291">
        <f>D17</f>
        <v>798</v>
      </c>
      <c r="E34" s="291">
        <f>E17</f>
        <v>947</v>
      </c>
      <c r="F34" s="293">
        <f>F17</f>
        <v>1158</v>
      </c>
      <c r="G34" s="61"/>
      <c r="H34" s="487"/>
      <c r="I34" s="495" t="s">
        <v>234</v>
      </c>
      <c r="J34" s="61"/>
    </row>
    <row r="35" spans="2:20" ht="21">
      <c r="B35" s="513" t="s">
        <v>165</v>
      </c>
      <c r="C35" s="292"/>
      <c r="D35" s="294">
        <f>D33+D34</f>
        <v>78551</v>
      </c>
      <c r="E35" s="294">
        <f>E33+E34</f>
        <v>32181</v>
      </c>
      <c r="F35" s="514">
        <f>F33+F34</f>
        <v>-27725</v>
      </c>
      <c r="G35" s="61"/>
      <c r="H35" s="488"/>
      <c r="I35" s="489">
        <v>2019</v>
      </c>
      <c r="J35" s="61"/>
      <c r="S35" s="59"/>
      <c r="T35" s="59"/>
    </row>
    <row r="36" spans="2:20" ht="21">
      <c r="B36" s="515" t="s">
        <v>181</v>
      </c>
      <c r="C36" s="516"/>
      <c r="D36" s="300">
        <f>D35/D28</f>
        <v>0.18988348481918391</v>
      </c>
      <c r="E36" s="300">
        <f>E35/E28</f>
        <v>0.11266279232600476</v>
      </c>
      <c r="F36" s="517">
        <f>F35/F28</f>
        <v>-0.15275313770647156</v>
      </c>
      <c r="G36" s="61"/>
      <c r="H36" s="488"/>
      <c r="I36" s="490">
        <v>50052</v>
      </c>
      <c r="J36" s="61"/>
    </row>
    <row r="37" spans="2:20" ht="20">
      <c r="B37" s="513" t="s">
        <v>167</v>
      </c>
      <c r="C37" s="518"/>
      <c r="D37" s="301">
        <f>D35+D14</f>
        <v>102591</v>
      </c>
      <c r="E37" s="301">
        <f>E35+E14</f>
        <v>52788</v>
      </c>
      <c r="F37" s="519">
        <f>F35+F14</f>
        <v>18284</v>
      </c>
      <c r="G37" s="61"/>
      <c r="H37" s="488"/>
      <c r="I37" s="489">
        <v>63989</v>
      </c>
      <c r="J37" s="61"/>
    </row>
    <row r="38" spans="2:20" ht="22" thickBot="1">
      <c r="B38" s="520" t="s">
        <v>182</v>
      </c>
      <c r="C38" s="521"/>
      <c r="D38" s="304">
        <f>D37/D28</f>
        <v>0.24799603558305938</v>
      </c>
      <c r="E38" s="304">
        <f>E37/E28</f>
        <v>0.18480604957288896</v>
      </c>
      <c r="F38" s="522">
        <f>F37/F28</f>
        <v>0.10073718195942745</v>
      </c>
      <c r="G38" s="64"/>
      <c r="H38" s="491" t="s">
        <v>235</v>
      </c>
      <c r="I38" s="492">
        <f>I36-I37</f>
        <v>-13937</v>
      </c>
    </row>
    <row r="39" spans="2:20" ht="24.75" customHeight="1"/>
    <row r="40" spans="2:20" ht="24" customHeight="1"/>
    <row r="41" spans="2:20" ht="22.5" customHeight="1" thickBot="1"/>
    <row r="42" spans="2:20" ht="27.75" customHeight="1" thickBot="1">
      <c r="B42" s="493" t="s">
        <v>236</v>
      </c>
      <c r="C42" s="191">
        <v>2023</v>
      </c>
      <c r="D42" s="191">
        <v>2024</v>
      </c>
      <c r="E42" s="191">
        <v>2025</v>
      </c>
      <c r="F42" s="191">
        <v>2026</v>
      </c>
      <c r="G42" s="191">
        <v>2027</v>
      </c>
      <c r="H42" s="191">
        <v>2028</v>
      </c>
      <c r="I42" s="494">
        <v>2029</v>
      </c>
    </row>
    <row r="43" spans="2:20" ht="27" customHeight="1" thickBot="1">
      <c r="B43" s="397" t="s">
        <v>237</v>
      </c>
      <c r="C43" s="398">
        <v>0.1</v>
      </c>
      <c r="D43" s="398">
        <v>0.15</v>
      </c>
      <c r="E43" s="398">
        <v>0.15</v>
      </c>
      <c r="F43" s="398">
        <v>0.2</v>
      </c>
      <c r="G43" s="398">
        <v>0.25</v>
      </c>
      <c r="H43" s="398">
        <v>0.11</v>
      </c>
      <c r="I43" s="399">
        <v>7.0000000000000007E-2</v>
      </c>
    </row>
    <row r="44" spans="2:20" ht="28.5" customHeight="1"/>
    <row r="45" spans="2:20" ht="31" customHeight="1" thickBot="1">
      <c r="O45" s="59"/>
      <c r="P45" s="59"/>
      <c r="Q45" s="59"/>
      <c r="R45" s="59"/>
    </row>
    <row r="46" spans="2:20" ht="24.75" customHeight="1" thickBot="1">
      <c r="B46" s="525"/>
      <c r="C46" s="526"/>
      <c r="D46" s="527" t="s">
        <v>238</v>
      </c>
      <c r="E46" s="526"/>
      <c r="F46" s="528"/>
      <c r="G46" s="527" t="s">
        <v>239</v>
      </c>
      <c r="H46" s="526"/>
      <c r="I46" s="526"/>
      <c r="J46" s="526"/>
      <c r="K46" s="526"/>
      <c r="L46" s="526"/>
      <c r="M46" s="528"/>
      <c r="N46" s="255"/>
    </row>
    <row r="47" spans="2:20" ht="24" customHeight="1" thickBot="1">
      <c r="B47" s="496"/>
      <c r="C47" s="248"/>
      <c r="D47" s="529">
        <v>2020</v>
      </c>
      <c r="E47" s="529">
        <v>2021</v>
      </c>
      <c r="F47" s="530">
        <v>2022</v>
      </c>
      <c r="G47" s="529">
        <v>2023</v>
      </c>
      <c r="H47" s="529">
        <v>2024</v>
      </c>
      <c r="I47" s="529">
        <v>2025</v>
      </c>
      <c r="J47" s="529">
        <v>2026</v>
      </c>
      <c r="K47" s="529">
        <v>2027</v>
      </c>
      <c r="L47" s="529">
        <v>2028</v>
      </c>
      <c r="M47" s="530">
        <v>2029</v>
      </c>
      <c r="N47" s="255"/>
    </row>
    <row r="48" spans="2:20" ht="24.75" customHeight="1">
      <c r="B48" s="546" t="s">
        <v>240</v>
      </c>
      <c r="C48" s="547"/>
      <c r="D48" s="408">
        <f>F9</f>
        <v>181502</v>
      </c>
      <c r="E48" s="408">
        <f>E9</f>
        <v>285640</v>
      </c>
      <c r="F48" s="408">
        <f>D9</f>
        <v>413680</v>
      </c>
      <c r="G48" s="548">
        <f>F48*(1+$C$43)</f>
        <v>455048.00000000006</v>
      </c>
      <c r="H48" s="410">
        <f>G48*(1+$D$43)</f>
        <v>523305.2</v>
      </c>
      <c r="I48" s="410">
        <f>H48*(1+$E$43)</f>
        <v>601800.98</v>
      </c>
      <c r="J48" s="410">
        <f>I48*(1+$F$43)</f>
        <v>722161.17599999998</v>
      </c>
      <c r="K48" s="410">
        <f>J48*(1+$G$43)</f>
        <v>902701.47</v>
      </c>
      <c r="L48" s="410">
        <f>K48*(1+$H$43)</f>
        <v>1001998.6317</v>
      </c>
      <c r="M48" s="549">
        <f>L48*(1+$I$43)</f>
        <v>1072138.5359190002</v>
      </c>
      <c r="N48" s="497"/>
    </row>
    <row r="49" spans="2:14" ht="26">
      <c r="B49" s="550" t="s">
        <v>241</v>
      </c>
      <c r="C49" s="551" t="s">
        <v>70</v>
      </c>
      <c r="D49" s="552"/>
      <c r="E49" s="553">
        <f>E48/D48-1</f>
        <v>0.57375676301087597</v>
      </c>
      <c r="F49" s="553">
        <f>F48/E48-1</f>
        <v>0.44825654670214266</v>
      </c>
      <c r="G49" s="554">
        <f>(G48/F48)-1</f>
        <v>0.10000000000000009</v>
      </c>
      <c r="H49" s="414">
        <f>(H48/G48)-1</f>
        <v>0.14999999999999991</v>
      </c>
      <c r="I49" s="414">
        <f>(I48/H48)-1</f>
        <v>0.14999999999999991</v>
      </c>
      <c r="J49" s="414">
        <f t="shared" ref="J49:M49" si="1">(J48/I48)-1</f>
        <v>0.19999999999999996</v>
      </c>
      <c r="K49" s="414">
        <f t="shared" si="1"/>
        <v>0.25</v>
      </c>
      <c r="L49" s="414">
        <f t="shared" si="1"/>
        <v>0.1100000000000001</v>
      </c>
      <c r="M49" s="555">
        <f t="shared" si="1"/>
        <v>7.0000000000000062E-2</v>
      </c>
      <c r="N49" s="255"/>
    </row>
    <row r="50" spans="2:14" ht="26">
      <c r="B50" s="556" t="s">
        <v>165</v>
      </c>
      <c r="C50" s="547"/>
      <c r="D50" s="408">
        <f>F20</f>
        <v>-28883</v>
      </c>
      <c r="E50" s="408">
        <f>E20</f>
        <v>31234</v>
      </c>
      <c r="F50" s="408">
        <f>D20</f>
        <v>77753</v>
      </c>
      <c r="G50" s="548">
        <f t="shared" ref="G50:M50" si="2">G48*$C$51</f>
        <v>74288.086822836383</v>
      </c>
      <c r="H50" s="410">
        <f t="shared" si="2"/>
        <v>85431.299846261827</v>
      </c>
      <c r="I50" s="410">
        <f t="shared" si="2"/>
        <v>98245.994823201108</v>
      </c>
      <c r="J50" s="410">
        <f t="shared" si="2"/>
        <v>117895.19378784133</v>
      </c>
      <c r="K50" s="410">
        <f t="shared" si="2"/>
        <v>147368.99223480164</v>
      </c>
      <c r="L50" s="410">
        <f t="shared" si="2"/>
        <v>163579.58138062985</v>
      </c>
      <c r="M50" s="549">
        <f t="shared" si="2"/>
        <v>175030.15207727396</v>
      </c>
      <c r="N50" s="255"/>
    </row>
    <row r="51" spans="2:14" ht="25">
      <c r="B51" s="550" t="s">
        <v>181</v>
      </c>
      <c r="C51" s="553">
        <f>'COMPARABLE ANALYSIS'!K15</f>
        <v>0.16325329816379014</v>
      </c>
      <c r="D51" s="553">
        <f>D50/D48</f>
        <v>-0.15913323269165078</v>
      </c>
      <c r="E51" s="553">
        <f>E50/E48</f>
        <v>0.10934743033188629</v>
      </c>
      <c r="F51" s="553">
        <f>F50/F48</f>
        <v>0.18795445755173082</v>
      </c>
      <c r="G51" s="554">
        <f>G50/G48</f>
        <v>0.16325329816379014</v>
      </c>
      <c r="H51" s="414">
        <f t="shared" ref="H51:M51" si="3">H50/H48</f>
        <v>0.16325329816379014</v>
      </c>
      <c r="I51" s="414">
        <f t="shared" si="3"/>
        <v>0.16325329816379014</v>
      </c>
      <c r="J51" s="414">
        <f t="shared" si="3"/>
        <v>0.16325329816379014</v>
      </c>
      <c r="K51" s="414">
        <f t="shared" si="3"/>
        <v>0.16325329816379011</v>
      </c>
      <c r="L51" s="414">
        <f t="shared" si="3"/>
        <v>0.16325329816379014</v>
      </c>
      <c r="M51" s="555">
        <f t="shared" si="3"/>
        <v>0.16325329816379014</v>
      </c>
      <c r="N51" s="255"/>
    </row>
    <row r="52" spans="2:14" ht="26">
      <c r="B52" s="556"/>
      <c r="C52" s="557"/>
      <c r="D52" s="413"/>
      <c r="E52" s="413"/>
      <c r="F52" s="413"/>
      <c r="G52" s="556"/>
      <c r="H52" s="413"/>
      <c r="I52" s="413"/>
      <c r="J52" s="413"/>
      <c r="K52" s="413"/>
      <c r="L52" s="413"/>
      <c r="M52" s="558"/>
      <c r="N52" s="255"/>
    </row>
    <row r="53" spans="2:14" ht="25">
      <c r="B53" s="556" t="s">
        <v>242</v>
      </c>
      <c r="C53" s="413"/>
      <c r="D53" s="419">
        <v>227553</v>
      </c>
      <c r="E53" s="408">
        <v>216552</v>
      </c>
      <c r="F53" s="408">
        <v>204692</v>
      </c>
      <c r="G53" s="548"/>
      <c r="H53" s="410"/>
      <c r="I53" s="410"/>
      <c r="J53" s="410"/>
      <c r="K53" s="410"/>
      <c r="L53" s="410"/>
      <c r="M53" s="549"/>
      <c r="N53" s="255"/>
    </row>
    <row r="54" spans="2:14" ht="26">
      <c r="B54" s="550" t="s">
        <v>243</v>
      </c>
      <c r="C54" s="551" t="s">
        <v>70</v>
      </c>
      <c r="D54" s="553">
        <f>D53/D48</f>
        <v>1.2537217220746879</v>
      </c>
      <c r="E54" s="553">
        <f>E53/E48</f>
        <v>0.75812911356952806</v>
      </c>
      <c r="F54" s="553">
        <f>F53/F48</f>
        <v>0.49480758073873526</v>
      </c>
      <c r="G54" s="554">
        <f>AVERAGE(D54:F54)</f>
        <v>0.83555280546098365</v>
      </c>
      <c r="H54" s="414">
        <f>AVERAGE(D54:G54)</f>
        <v>0.83555280546098365</v>
      </c>
      <c r="I54" s="414">
        <f t="shared" ref="I54:M54" si="4">AVERAGE(E54:H54)</f>
        <v>0.73101057630755761</v>
      </c>
      <c r="J54" s="414">
        <f t="shared" si="4"/>
        <v>0.72423094199206506</v>
      </c>
      <c r="K54" s="414">
        <f t="shared" si="4"/>
        <v>0.78158678230539747</v>
      </c>
      <c r="L54" s="414">
        <f t="shared" si="4"/>
        <v>0.768095276516501</v>
      </c>
      <c r="M54" s="555">
        <f t="shared" si="4"/>
        <v>0.75123089428038026</v>
      </c>
      <c r="N54" s="255"/>
    </row>
    <row r="55" spans="2:14" ht="26">
      <c r="B55" s="556"/>
      <c r="C55" s="557"/>
      <c r="D55" s="413"/>
      <c r="E55" s="413"/>
      <c r="F55" s="413"/>
      <c r="G55" s="556"/>
      <c r="H55" s="413"/>
      <c r="I55" s="413"/>
      <c r="J55" s="413"/>
      <c r="K55" s="413"/>
      <c r="L55" s="413"/>
      <c r="M55" s="558"/>
      <c r="N55" s="255"/>
    </row>
    <row r="56" spans="2:14" ht="31.5" customHeight="1">
      <c r="B56" s="556" t="s">
        <v>41</v>
      </c>
      <c r="C56" s="547"/>
      <c r="D56" s="419">
        <v>-2289</v>
      </c>
      <c r="E56" s="419">
        <v>2511</v>
      </c>
      <c r="F56" s="419">
        <v>28586</v>
      </c>
      <c r="G56" s="559">
        <f>G57*(G48)</f>
        <v>9902.0076090007497</v>
      </c>
      <c r="H56" s="560">
        <f t="shared" ref="H56:M56" si="5">H57*(H48)</f>
        <v>11387.308750350861</v>
      </c>
      <c r="I56" s="560">
        <f t="shared" si="5"/>
        <v>13095.40506290349</v>
      </c>
      <c r="J56" s="560">
        <f t="shared" si="5"/>
        <v>15714.486075484188</v>
      </c>
      <c r="K56" s="560">
        <f t="shared" si="5"/>
        <v>19643.107594355235</v>
      </c>
      <c r="L56" s="560">
        <f t="shared" si="5"/>
        <v>21803.849429734313</v>
      </c>
      <c r="M56" s="561">
        <f t="shared" si="5"/>
        <v>23330.118889815716</v>
      </c>
      <c r="N56" s="255"/>
    </row>
    <row r="57" spans="2:14" ht="23" customHeight="1">
      <c r="B57" s="550" t="s">
        <v>244</v>
      </c>
      <c r="C57" s="551" t="s">
        <v>70</v>
      </c>
      <c r="D57" s="553">
        <f>D56/D48</f>
        <v>-1.2611431278994171E-2</v>
      </c>
      <c r="E57" s="553">
        <f>E56/E48</f>
        <v>8.7907856042571068E-3</v>
      </c>
      <c r="F57" s="553">
        <f>F56/F48</f>
        <v>6.9101721137110814E-2</v>
      </c>
      <c r="G57" s="554">
        <f>AVERAGE(D57:F57)</f>
        <v>2.1760358487457915E-2</v>
      </c>
      <c r="H57" s="414">
        <f>G57</f>
        <v>2.1760358487457915E-2</v>
      </c>
      <c r="I57" s="414">
        <f t="shared" ref="I57:M57" si="6">H57</f>
        <v>2.1760358487457915E-2</v>
      </c>
      <c r="J57" s="414">
        <f t="shared" si="6"/>
        <v>2.1760358487457915E-2</v>
      </c>
      <c r="K57" s="414">
        <f t="shared" si="6"/>
        <v>2.1760358487457915E-2</v>
      </c>
      <c r="L57" s="414">
        <f t="shared" si="6"/>
        <v>2.1760358487457915E-2</v>
      </c>
      <c r="M57" s="555">
        <f t="shared" si="6"/>
        <v>2.1760358487457915E-2</v>
      </c>
      <c r="N57" s="255"/>
    </row>
    <row r="58" spans="2:14" ht="15.75" customHeight="1">
      <c r="B58" s="556"/>
      <c r="C58" s="547"/>
      <c r="D58" s="414"/>
      <c r="E58" s="414"/>
      <c r="F58" s="414"/>
      <c r="G58" s="554"/>
      <c r="H58" s="414"/>
      <c r="I58" s="414"/>
      <c r="J58" s="414"/>
      <c r="K58" s="414"/>
      <c r="L58" s="414"/>
      <c r="M58" s="555"/>
      <c r="N58" s="255"/>
    </row>
    <row r="59" spans="2:14" ht="22" customHeight="1">
      <c r="B59" s="556"/>
      <c r="C59" s="547"/>
      <c r="D59" s="413"/>
      <c r="E59" s="413"/>
      <c r="F59" s="413"/>
      <c r="G59" s="556"/>
      <c r="H59" s="413"/>
      <c r="I59" s="413"/>
      <c r="J59" s="413"/>
      <c r="K59" s="413"/>
      <c r="L59" s="413"/>
      <c r="M59" s="558"/>
      <c r="N59" s="255"/>
    </row>
    <row r="60" spans="2:14" ht="29" customHeight="1">
      <c r="B60" s="556" t="s">
        <v>245</v>
      </c>
      <c r="C60" s="547"/>
      <c r="D60" s="414">
        <v>0</v>
      </c>
      <c r="E60" s="414">
        <v>0</v>
      </c>
      <c r="F60" s="414">
        <v>0</v>
      </c>
      <c r="G60" s="562">
        <f>WACC!C8</f>
        <v>0.27266000000000001</v>
      </c>
      <c r="H60" s="563">
        <f t="shared" ref="H60:M60" si="7">G60</f>
        <v>0.27266000000000001</v>
      </c>
      <c r="I60" s="563">
        <f t="shared" si="7"/>
        <v>0.27266000000000001</v>
      </c>
      <c r="J60" s="563">
        <f t="shared" si="7"/>
        <v>0.27266000000000001</v>
      </c>
      <c r="K60" s="563">
        <f t="shared" si="7"/>
        <v>0.27266000000000001</v>
      </c>
      <c r="L60" s="563">
        <f t="shared" si="7"/>
        <v>0.27266000000000001</v>
      </c>
      <c r="M60" s="564">
        <f t="shared" si="7"/>
        <v>0.27266000000000001</v>
      </c>
      <c r="N60" s="255"/>
    </row>
    <row r="61" spans="2:14" s="67" customFormat="1" ht="24" customHeight="1">
      <c r="B61" s="498"/>
      <c r="C61" s="523"/>
      <c r="D61" s="434"/>
      <c r="E61" s="434"/>
      <c r="F61" s="434"/>
      <c r="G61" s="498"/>
      <c r="H61" s="434"/>
      <c r="I61" s="434"/>
      <c r="J61" s="434"/>
      <c r="K61" s="434"/>
      <c r="L61" s="434"/>
      <c r="M61" s="499"/>
      <c r="N61" s="255"/>
    </row>
    <row r="62" spans="2:14" ht="32" customHeight="1">
      <c r="B62" s="500" t="s">
        <v>206</v>
      </c>
      <c r="C62" s="524"/>
      <c r="D62" s="432">
        <f>D48</f>
        <v>181502</v>
      </c>
      <c r="E62" s="432">
        <f>E48</f>
        <v>285640</v>
      </c>
      <c r="F62" s="432">
        <f>F48</f>
        <v>413680</v>
      </c>
      <c r="G62" s="500">
        <f>F62*(1+G49)</f>
        <v>455048.00000000006</v>
      </c>
      <c r="H62" s="432">
        <f>G62*(1+H49)</f>
        <v>523305.2</v>
      </c>
      <c r="I62" s="432">
        <f t="shared" ref="I62:M62" si="8">H62*(1+I49)</f>
        <v>601800.98</v>
      </c>
      <c r="J62" s="432">
        <f t="shared" si="8"/>
        <v>722161.17599999998</v>
      </c>
      <c r="K62" s="432">
        <f t="shared" si="8"/>
        <v>902701.47</v>
      </c>
      <c r="L62" s="432">
        <f t="shared" si="8"/>
        <v>1001998.6317</v>
      </c>
      <c r="M62" s="501">
        <f t="shared" si="8"/>
        <v>1072138.5359190002</v>
      </c>
      <c r="N62" s="502"/>
    </row>
    <row r="63" spans="2:14" ht="27" customHeight="1">
      <c r="B63" s="498" t="s">
        <v>165</v>
      </c>
      <c r="C63" s="404"/>
      <c r="D63" s="430">
        <f>D50</f>
        <v>-28883</v>
      </c>
      <c r="E63" s="430">
        <f>E50</f>
        <v>31234</v>
      </c>
      <c r="F63" s="430">
        <f>F50</f>
        <v>77753</v>
      </c>
      <c r="G63" s="500">
        <f>G48*G51</f>
        <v>74288.086822836383</v>
      </c>
      <c r="H63" s="432">
        <f>H48*H51</f>
        <v>85431.299846261827</v>
      </c>
      <c r="I63" s="432">
        <f t="shared" ref="I63:M63" si="9">I48*I51</f>
        <v>98245.994823201108</v>
      </c>
      <c r="J63" s="432">
        <f t="shared" si="9"/>
        <v>117895.19378784133</v>
      </c>
      <c r="K63" s="432">
        <f t="shared" si="9"/>
        <v>147368.99223480164</v>
      </c>
      <c r="L63" s="432">
        <f t="shared" si="9"/>
        <v>163579.58138062985</v>
      </c>
      <c r="M63" s="501">
        <f t="shared" si="9"/>
        <v>175030.15207727396</v>
      </c>
      <c r="N63" s="255"/>
    </row>
    <row r="64" spans="2:14" ht="27" customHeight="1">
      <c r="B64" s="498" t="s">
        <v>246</v>
      </c>
      <c r="C64" s="404"/>
      <c r="D64" s="434">
        <f>D63*(1-D60)</f>
        <v>-28883</v>
      </c>
      <c r="E64" s="434">
        <f>E63*(1-E60)</f>
        <v>31234</v>
      </c>
      <c r="F64" s="434">
        <f>F63*(1-F60)</f>
        <v>77753</v>
      </c>
      <c r="G64" s="500">
        <f>G63*(1-G60)</f>
        <v>54032.697069721813</v>
      </c>
      <c r="H64" s="432">
        <f>H63*(1-H60)</f>
        <v>62137.601630180077</v>
      </c>
      <c r="I64" s="432">
        <f t="shared" ref="I64:M64" si="10">I63*(1-I60)</f>
        <v>71458.241874707091</v>
      </c>
      <c r="J64" s="432">
        <f t="shared" si="10"/>
        <v>85749.89024964851</v>
      </c>
      <c r="K64" s="432">
        <f t="shared" si="10"/>
        <v>107187.36281206063</v>
      </c>
      <c r="L64" s="432">
        <f t="shared" si="10"/>
        <v>118977.97272138731</v>
      </c>
      <c r="M64" s="501">
        <f t="shared" si="10"/>
        <v>127306.43081188443</v>
      </c>
      <c r="N64" s="503"/>
    </row>
    <row r="65" spans="2:17" ht="30" customHeight="1">
      <c r="B65" s="498"/>
      <c r="C65" s="404"/>
      <c r="D65" s="434"/>
      <c r="E65" s="434"/>
      <c r="F65" s="434"/>
      <c r="G65" s="498"/>
      <c r="H65" s="434"/>
      <c r="I65" s="434"/>
      <c r="J65" s="434"/>
      <c r="K65" s="434"/>
      <c r="L65" s="434"/>
      <c r="M65" s="499"/>
      <c r="N65" s="255"/>
    </row>
    <row r="66" spans="2:17" ht="31" customHeight="1">
      <c r="B66" s="498" t="s">
        <v>242</v>
      </c>
      <c r="C66" s="434">
        <v>253018</v>
      </c>
      <c r="D66" s="430">
        <f>D53</f>
        <v>227553</v>
      </c>
      <c r="E66" s="430">
        <f>E53</f>
        <v>216552</v>
      </c>
      <c r="F66" s="430">
        <f>F53</f>
        <v>204692</v>
      </c>
      <c r="G66" s="500">
        <f t="shared" ref="G66:M66" si="11">G48*G54</f>
        <v>380216.63301940972</v>
      </c>
      <c r="H66" s="432">
        <f t="shared" si="11"/>
        <v>437249.12797232118</v>
      </c>
      <c r="I66" s="432">
        <f t="shared" si="11"/>
        <v>439922.88121225295</v>
      </c>
      <c r="J66" s="432">
        <f t="shared" si="11"/>
        <v>523011.46876457747</v>
      </c>
      <c r="K66" s="432">
        <f t="shared" si="11"/>
        <v>705539.53731965227</v>
      </c>
      <c r="L66" s="432">
        <f t="shared" si="11"/>
        <v>769630.4160847672</v>
      </c>
      <c r="M66" s="501">
        <f t="shared" si="11"/>
        <v>805423.59113088809</v>
      </c>
      <c r="N66" s="255"/>
    </row>
    <row r="67" spans="2:17" ht="37" customHeight="1">
      <c r="B67" s="498" t="s">
        <v>247</v>
      </c>
      <c r="C67" s="404"/>
      <c r="D67" s="430">
        <f>D66-C66</f>
        <v>-25465</v>
      </c>
      <c r="E67" s="430">
        <f>E66-D66</f>
        <v>-11001</v>
      </c>
      <c r="F67" s="430">
        <f>F66-E66</f>
        <v>-11860</v>
      </c>
      <c r="G67" s="500">
        <f>G66-F66</f>
        <v>175524.63301940972</v>
      </c>
      <c r="H67" s="432">
        <f>H66-G66</f>
        <v>57032.494952911453</v>
      </c>
      <c r="I67" s="432">
        <f t="shared" ref="I67:M67" si="12">I66-H66</f>
        <v>2673.7532399317715</v>
      </c>
      <c r="J67" s="432">
        <f t="shared" si="12"/>
        <v>83088.587552324519</v>
      </c>
      <c r="K67" s="432">
        <f t="shared" si="12"/>
        <v>182528.0685550748</v>
      </c>
      <c r="L67" s="432">
        <f t="shared" si="12"/>
        <v>64090.878765114932</v>
      </c>
      <c r="M67" s="501">
        <f t="shared" si="12"/>
        <v>35793.175046120887</v>
      </c>
      <c r="N67" s="255"/>
    </row>
    <row r="68" spans="2:17" ht="22" customHeight="1">
      <c r="B68" s="498"/>
      <c r="C68" s="404"/>
      <c r="D68" s="434"/>
      <c r="E68" s="430"/>
      <c r="F68" s="430"/>
      <c r="G68" s="500"/>
      <c r="H68" s="432"/>
      <c r="I68" s="432"/>
      <c r="J68" s="432"/>
      <c r="K68" s="432"/>
      <c r="L68" s="432"/>
      <c r="M68" s="501"/>
      <c r="N68" s="255"/>
      <c r="O68" s="61"/>
      <c r="P68" s="61"/>
      <c r="Q68" s="61"/>
    </row>
    <row r="69" spans="2:17" s="61" customFormat="1" ht="19" customHeight="1">
      <c r="B69" s="498" t="s">
        <v>41</v>
      </c>
      <c r="C69" s="430">
        <f>I38</f>
        <v>-13937</v>
      </c>
      <c r="D69" s="430">
        <f>D56</f>
        <v>-2289</v>
      </c>
      <c r="E69" s="430">
        <f>E56</f>
        <v>2511</v>
      </c>
      <c r="F69" s="430">
        <f>F56</f>
        <v>28586</v>
      </c>
      <c r="G69" s="500">
        <f>G48*G57</f>
        <v>9902.0076090007497</v>
      </c>
      <c r="H69" s="432">
        <f t="shared" ref="H69:M69" si="13">H48*H57</f>
        <v>11387.308750350861</v>
      </c>
      <c r="I69" s="432">
        <f t="shared" si="13"/>
        <v>13095.40506290349</v>
      </c>
      <c r="J69" s="432">
        <f t="shared" si="13"/>
        <v>15714.486075484188</v>
      </c>
      <c r="K69" s="432">
        <f t="shared" si="13"/>
        <v>19643.107594355235</v>
      </c>
      <c r="L69" s="432">
        <f t="shared" si="13"/>
        <v>21803.849429734313</v>
      </c>
      <c r="M69" s="501">
        <f t="shared" si="13"/>
        <v>23330.118889815716</v>
      </c>
      <c r="N69" s="255"/>
    </row>
    <row r="70" spans="2:17" s="61" customFormat="1" ht="33" customHeight="1">
      <c r="B70" s="498" t="s">
        <v>248</v>
      </c>
      <c r="C70" s="434"/>
      <c r="D70" s="430">
        <f t="shared" ref="D70:M70" si="14">D69-C69</f>
        <v>11648</v>
      </c>
      <c r="E70" s="430">
        <f t="shared" si="14"/>
        <v>4800</v>
      </c>
      <c r="F70" s="430">
        <f t="shared" si="14"/>
        <v>26075</v>
      </c>
      <c r="G70" s="504">
        <f t="shared" si="14"/>
        <v>-18683.99239099925</v>
      </c>
      <c r="H70" s="430">
        <f t="shared" si="14"/>
        <v>1485.3011413501117</v>
      </c>
      <c r="I70" s="430">
        <f t="shared" si="14"/>
        <v>1708.0963125526287</v>
      </c>
      <c r="J70" s="430">
        <f t="shared" si="14"/>
        <v>2619.0810125806984</v>
      </c>
      <c r="K70" s="430">
        <f t="shared" si="14"/>
        <v>3928.6215188710466</v>
      </c>
      <c r="L70" s="430">
        <f t="shared" si="14"/>
        <v>2160.7418353790781</v>
      </c>
      <c r="M70" s="505">
        <f t="shared" si="14"/>
        <v>1526.2694600814029</v>
      </c>
      <c r="N70" s="255"/>
    </row>
    <row r="71" spans="2:17" s="61" customFormat="1" ht="26" customHeight="1" thickBot="1">
      <c r="B71" s="498"/>
      <c r="C71" s="434"/>
      <c r="D71" s="430"/>
      <c r="E71" s="430"/>
      <c r="F71" s="430"/>
      <c r="G71" s="504"/>
      <c r="H71" s="430"/>
      <c r="I71" s="430"/>
      <c r="J71" s="430"/>
      <c r="K71" s="430"/>
      <c r="L71" s="430"/>
      <c r="M71" s="505"/>
      <c r="N71" s="246"/>
    </row>
    <row r="72" spans="2:17" ht="26.25" customHeight="1" thickBot="1">
      <c r="B72" s="242" t="s">
        <v>249</v>
      </c>
      <c r="C72" s="531"/>
      <c r="D72" s="506">
        <f>D64-D67-D70</f>
        <v>-15066</v>
      </c>
      <c r="E72" s="506">
        <f t="shared" ref="E72:M72" si="15">E64-E67-E70</f>
        <v>37435</v>
      </c>
      <c r="F72" s="506">
        <f t="shared" si="15"/>
        <v>63538</v>
      </c>
      <c r="G72" s="507">
        <f t="shared" si="15"/>
        <v>-102807.94355868865</v>
      </c>
      <c r="H72" s="506">
        <f t="shared" si="15"/>
        <v>3619.8055359185128</v>
      </c>
      <c r="I72" s="506">
        <f t="shared" si="15"/>
        <v>67076.392322222688</v>
      </c>
      <c r="J72" s="506">
        <f t="shared" si="15"/>
        <v>42.221684743291917</v>
      </c>
      <c r="K72" s="506">
        <f t="shared" si="15"/>
        <v>-79269.327261885221</v>
      </c>
      <c r="L72" s="506">
        <f t="shared" si="15"/>
        <v>52726.352120893302</v>
      </c>
      <c r="M72" s="508">
        <f t="shared" si="15"/>
        <v>89986.986305682149</v>
      </c>
      <c r="N72" s="246"/>
    </row>
    <row r="73" spans="2:17" ht="32.25" customHeight="1">
      <c r="B73" s="255"/>
      <c r="C73" s="255"/>
      <c r="D73" s="255"/>
      <c r="E73" s="255"/>
      <c r="F73" s="255"/>
      <c r="G73" s="255"/>
      <c r="H73" s="255"/>
      <c r="I73" s="255"/>
      <c r="J73" s="255"/>
      <c r="K73" s="255"/>
      <c r="L73" s="255"/>
      <c r="M73" s="255"/>
      <c r="N73" s="246"/>
    </row>
    <row r="74" spans="2:17" ht="21.75" customHeight="1">
      <c r="B74" s="255"/>
      <c r="C74" s="255"/>
      <c r="D74" s="255"/>
      <c r="E74" s="255"/>
      <c r="F74" s="255"/>
      <c r="G74" s="255"/>
      <c r="H74" s="255"/>
      <c r="I74" s="255"/>
      <c r="J74" s="255"/>
      <c r="K74" s="255"/>
      <c r="L74" s="255"/>
      <c r="M74" s="255"/>
      <c r="N74" s="246"/>
    </row>
    <row r="75" spans="2:17" ht="27" customHeight="1" thickBot="1">
      <c r="B75" s="255"/>
      <c r="C75" s="255"/>
      <c r="D75" s="255"/>
      <c r="E75" s="255"/>
      <c r="F75" s="255"/>
      <c r="G75" s="255"/>
      <c r="H75" s="255"/>
      <c r="I75" s="255"/>
      <c r="J75" s="255"/>
      <c r="K75" s="255"/>
      <c r="L75" s="255"/>
      <c r="M75" s="255"/>
      <c r="N75" s="255"/>
    </row>
    <row r="76" spans="2:17" s="61" customFormat="1" ht="27" customHeight="1" thickBot="1">
      <c r="B76" s="439"/>
      <c r="C76" s="509"/>
      <c r="D76"/>
      <c r="E76"/>
      <c r="F76"/>
      <c r="G76"/>
      <c r="H76"/>
      <c r="I76"/>
      <c r="J76"/>
      <c r="K76"/>
      <c r="L76"/>
      <c r="M76"/>
      <c r="N76"/>
    </row>
    <row r="77" spans="2:17" ht="30.75" customHeight="1">
      <c r="B77" s="567" t="s">
        <v>250</v>
      </c>
      <c r="C77" s="568">
        <f>M72*(1+D81)/(D82-D81)</f>
        <v>1442080.4834266924</v>
      </c>
      <c r="O77" s="4"/>
      <c r="P77" s="4"/>
    </row>
    <row r="78" spans="2:17" ht="34" customHeight="1" thickBot="1">
      <c r="B78" s="569" t="s">
        <v>251</v>
      </c>
      <c r="C78" s="570">
        <f>C77/M62</f>
        <v>1.345050508972323</v>
      </c>
      <c r="O78" s="4"/>
      <c r="P78" s="4"/>
    </row>
    <row r="79" spans="2:17" ht="39" customHeight="1">
      <c r="B79" s="565"/>
      <c r="C79" s="566"/>
      <c r="D79" s="61"/>
      <c r="E79" s="62"/>
      <c r="F79" s="62"/>
      <c r="G79" s="62"/>
      <c r="H79" s="62"/>
      <c r="I79" s="62"/>
      <c r="J79" s="62"/>
      <c r="K79" s="62"/>
      <c r="L79" s="62"/>
      <c r="M79" s="62"/>
      <c r="N79" s="61"/>
      <c r="O79" s="4"/>
      <c r="P79" s="4"/>
    </row>
    <row r="80" spans="2:17" ht="24.75" customHeight="1">
      <c r="D80" s="60"/>
      <c r="F80" s="61"/>
      <c r="G80" s="61"/>
      <c r="H80" s="61"/>
      <c r="I80" s="61"/>
      <c r="J80" s="61"/>
      <c r="K80" s="61"/>
      <c r="L80" s="61"/>
      <c r="M80" s="4"/>
      <c r="N80" s="4"/>
      <c r="O80" s="4"/>
      <c r="P80" s="4"/>
    </row>
    <row r="81" spans="2:16" ht="27" customHeight="1">
      <c r="B81" s="288" t="s">
        <v>252</v>
      </c>
      <c r="C81" s="363"/>
      <c r="D81" s="359">
        <v>0.03</v>
      </c>
      <c r="F81" s="61"/>
      <c r="G81" s="61"/>
      <c r="H81" s="61"/>
      <c r="I81" s="61"/>
      <c r="J81" s="61"/>
      <c r="K81" s="61"/>
      <c r="L81" s="61"/>
      <c r="O81" s="4"/>
      <c r="P81" s="4"/>
    </row>
    <row r="82" spans="2:16" ht="23" customHeight="1">
      <c r="B82" s="290" t="s">
        <v>253</v>
      </c>
      <c r="C82" s="305"/>
      <c r="D82" s="302">
        <f>WACC!C11</f>
        <v>9.4272831482060823E-2</v>
      </c>
      <c r="F82" s="61"/>
      <c r="G82" s="61"/>
      <c r="H82" s="644" t="s">
        <v>254</v>
      </c>
      <c r="I82" s="645"/>
      <c r="J82" s="61"/>
      <c r="K82" s="61"/>
      <c r="L82" s="61"/>
      <c r="O82" s="4"/>
      <c r="P82" s="4"/>
    </row>
    <row r="83" spans="2:16" ht="24" customHeight="1">
      <c r="B83" s="290"/>
      <c r="C83" s="305"/>
      <c r="D83" s="360"/>
      <c r="F83" s="61"/>
      <c r="G83" s="61"/>
      <c r="H83" s="61"/>
      <c r="I83" s="61"/>
      <c r="J83" s="61"/>
      <c r="K83" s="61"/>
      <c r="L83" s="61"/>
      <c r="M83" s="4"/>
      <c r="N83" s="4"/>
      <c r="O83" s="4"/>
      <c r="P83" s="4"/>
    </row>
    <row r="84" spans="2:16" ht="24" customHeight="1">
      <c r="B84" s="290" t="s">
        <v>255</v>
      </c>
      <c r="C84" s="305"/>
      <c r="D84" s="625">
        <f>C77/(1+D82)^7</f>
        <v>767556.1966878823</v>
      </c>
      <c r="F84" s="660">
        <f>D91</f>
        <v>200.84398247483497</v>
      </c>
      <c r="G84" s="661">
        <v>0.03</v>
      </c>
      <c r="H84" s="662">
        <v>3.5000000000000003E-2</v>
      </c>
      <c r="I84" s="661">
        <v>0.04</v>
      </c>
      <c r="J84" s="662">
        <v>4.4999999999999998E-2</v>
      </c>
      <c r="K84" s="661">
        <v>0.05</v>
      </c>
      <c r="L84" s="663">
        <v>5.5E-2</v>
      </c>
      <c r="M84" s="4"/>
      <c r="N84" s="4"/>
      <c r="O84" s="4"/>
      <c r="P84" s="4"/>
    </row>
    <row r="85" spans="2:16" ht="23" customHeight="1">
      <c r="B85" s="361" t="s">
        <v>256</v>
      </c>
      <c r="C85" s="305"/>
      <c r="D85" s="625">
        <f>NPV(D82,D72:M72)</f>
        <v>57114.436054796657</v>
      </c>
      <c r="F85" s="640">
        <v>0.08</v>
      </c>
      <c r="G85" s="664">
        <f t="dataTable" ref="G85:L91" dt2D="1" dtr="1" r1="D81" r2="D82"/>
        <v>279.53775496037156</v>
      </c>
      <c r="H85" s="665">
        <v>310.53030323855194</v>
      </c>
      <c r="I85" s="665">
        <v>349.27098858627755</v>
      </c>
      <c r="J85" s="665">
        <v>399.08044117621034</v>
      </c>
      <c r="K85" s="665">
        <v>465.49304462945423</v>
      </c>
      <c r="L85" s="666">
        <v>558.47068946399543</v>
      </c>
      <c r="M85" s="4"/>
      <c r="N85" s="4"/>
    </row>
    <row r="86" spans="2:16" ht="24" customHeight="1">
      <c r="B86" s="361" t="s">
        <v>257</v>
      </c>
      <c r="C86" s="305"/>
      <c r="D86" s="303">
        <f>SUM(D84,D85)</f>
        <v>824670.63274267898</v>
      </c>
      <c r="F86" s="641">
        <v>8.5000000000000006E-2</v>
      </c>
      <c r="G86" s="667">
        <v>247.12984503795832</v>
      </c>
      <c r="H86" s="668">
        <v>271.79428248951461</v>
      </c>
      <c r="I86" s="668">
        <v>301.93970604141668</v>
      </c>
      <c r="J86" s="668">
        <v>339.62148548129431</v>
      </c>
      <c r="K86" s="668">
        <v>388.06948761827994</v>
      </c>
      <c r="L86" s="669">
        <v>452.6668238009272</v>
      </c>
      <c r="N86" s="4"/>
    </row>
    <row r="87" spans="2:16" ht="23" customHeight="1">
      <c r="B87" s="361" t="s">
        <v>136</v>
      </c>
      <c r="C87" s="305"/>
      <c r="D87" s="362">
        <v>37567</v>
      </c>
      <c r="F87" s="640">
        <v>0.09</v>
      </c>
      <c r="G87" s="667">
        <v>220.31504189824884</v>
      </c>
      <c r="H87" s="668">
        <v>240.3094894896594</v>
      </c>
      <c r="I87" s="668">
        <v>264.30282659935204</v>
      </c>
      <c r="J87" s="668">
        <v>293.62801640008752</v>
      </c>
      <c r="K87" s="668">
        <v>330.2845036510069</v>
      </c>
      <c r="L87" s="669">
        <v>377.41427297361741</v>
      </c>
      <c r="N87" s="4"/>
    </row>
    <row r="88" spans="2:16" ht="22" customHeight="1">
      <c r="B88" s="361" t="s">
        <v>263</v>
      </c>
      <c r="C88" s="305"/>
      <c r="D88" s="303">
        <v>29528</v>
      </c>
      <c r="F88" s="641">
        <v>9.4299999999999995E-2</v>
      </c>
      <c r="G88" s="670">
        <v>200.72885553564933</v>
      </c>
      <c r="H88" s="668">
        <v>217.62930581936459</v>
      </c>
      <c r="I88" s="668">
        <v>237.64217788645288</v>
      </c>
      <c r="J88" s="668">
        <v>261.71445605234197</v>
      </c>
      <c r="K88" s="668">
        <v>291.22065705477502</v>
      </c>
      <c r="L88" s="669">
        <v>328.23479724357759</v>
      </c>
    </row>
    <row r="89" spans="2:16" ht="23.25" customHeight="1">
      <c r="B89" s="361" t="s">
        <v>258</v>
      </c>
      <c r="C89" s="305"/>
      <c r="D89" s="303">
        <f>D86-D87+D88</f>
        <v>816631.63274267898</v>
      </c>
      <c r="F89" s="640">
        <v>0.1</v>
      </c>
      <c r="G89" s="667">
        <v>178.65165134561295</v>
      </c>
      <c r="H89" s="668">
        <v>192.37989029678235</v>
      </c>
      <c r="I89" s="668">
        <v>208.39616907314664</v>
      </c>
      <c r="J89" s="668">
        <v>227.3244985361226</v>
      </c>
      <c r="K89" s="668">
        <v>250.0384938916938</v>
      </c>
      <c r="L89" s="669">
        <v>277.80004377072527</v>
      </c>
    </row>
    <row r="90" spans="2:16" ht="24.75" customHeight="1">
      <c r="B90" s="361" t="s">
        <v>259</v>
      </c>
      <c r="C90" s="305"/>
      <c r="D90" s="303">
        <v>4066</v>
      </c>
      <c r="F90" s="641">
        <v>0.105</v>
      </c>
      <c r="G90" s="667">
        <v>162.19891978287501</v>
      </c>
      <c r="H90" s="668">
        <v>173.77734155881492</v>
      </c>
      <c r="I90" s="668">
        <v>187.13705899259173</v>
      </c>
      <c r="J90" s="668">
        <v>202.72339599866467</v>
      </c>
      <c r="K90" s="668">
        <v>221.14361246038732</v>
      </c>
      <c r="L90" s="669">
        <v>243.24787221445436</v>
      </c>
    </row>
    <row r="91" spans="2:16" ht="24.75" customHeight="1">
      <c r="B91" s="571" t="s">
        <v>260</v>
      </c>
      <c r="C91" s="572"/>
      <c r="D91" s="627">
        <f>D89/D90</f>
        <v>200.84398247483497</v>
      </c>
      <c r="F91" s="643">
        <v>0.11</v>
      </c>
      <c r="G91" s="671">
        <v>147.93040924570397</v>
      </c>
      <c r="H91" s="672">
        <v>157.79077930546381</v>
      </c>
      <c r="I91" s="672">
        <v>169.05977365947513</v>
      </c>
      <c r="J91" s="672">
        <v>182.06245945256518</v>
      </c>
      <c r="K91" s="672">
        <v>197.23225954450351</v>
      </c>
      <c r="L91" s="673">
        <v>215.16020510770329</v>
      </c>
    </row>
    <row r="92" spans="2:16" ht="26.25" customHeight="1">
      <c r="F92" s="61"/>
      <c r="G92" s="61"/>
      <c r="H92" s="61"/>
      <c r="I92" s="61"/>
      <c r="J92" s="61"/>
      <c r="K92" s="61"/>
      <c r="L92" s="61"/>
    </row>
    <row r="93" spans="2:16" ht="15.75" customHeight="1">
      <c r="F93" s="61"/>
      <c r="G93" s="61"/>
      <c r="H93" s="61"/>
      <c r="I93" s="61"/>
      <c r="J93" s="61"/>
      <c r="K93" s="61"/>
      <c r="L93" s="61"/>
    </row>
    <row r="94" spans="2:16" ht="15.75" customHeight="1">
      <c r="F94" s="61"/>
      <c r="G94" s="61"/>
      <c r="H94" s="61"/>
      <c r="I94" s="61"/>
      <c r="J94" s="61"/>
      <c r="K94" s="61"/>
      <c r="L94" s="6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V90"/>
  <sheetViews>
    <sheetView topLeftCell="A80" zoomScale="42" zoomScaleNormal="91" workbookViewId="0">
      <selection activeCell="AR77" sqref="AR77"/>
    </sheetView>
  </sheetViews>
  <sheetFormatPr baseColWidth="10" defaultColWidth="11.5" defaultRowHeight="13"/>
  <cols>
    <col min="2" max="2" width="92.5" customWidth="1"/>
    <col min="3" max="3" width="24.1640625" customWidth="1"/>
    <col min="4" max="4" width="26.33203125" customWidth="1"/>
    <col min="5" max="6" width="24.5" customWidth="1"/>
    <col min="7" max="7" width="23.1640625" customWidth="1"/>
    <col min="8" max="8" width="23.33203125" customWidth="1"/>
    <col min="9" max="9" width="23.6640625" customWidth="1"/>
    <col min="10" max="10" width="24.1640625" customWidth="1"/>
    <col min="11" max="11" width="24.6640625" customWidth="1"/>
    <col min="12" max="12" width="25" customWidth="1"/>
    <col min="13" max="13" width="24.33203125" customWidth="1"/>
    <col min="14" max="14" width="24.1640625" customWidth="1"/>
  </cols>
  <sheetData>
    <row r="2" spans="2:21" ht="18">
      <c r="C2" s="56"/>
      <c r="H2" s="55"/>
    </row>
    <row r="3" spans="2:21" ht="23">
      <c r="B3" s="65" t="s">
        <v>219</v>
      </c>
      <c r="D3" s="57"/>
      <c r="E3" s="57"/>
      <c r="F3" s="56"/>
      <c r="G3" s="56"/>
      <c r="H3" s="56"/>
      <c r="I3" s="58"/>
      <c r="J3" s="58"/>
      <c r="K3" s="58"/>
    </row>
    <row r="4" spans="2:21" ht="23">
      <c r="B4" s="574" t="s">
        <v>66</v>
      </c>
      <c r="C4" s="575">
        <v>2023</v>
      </c>
      <c r="D4" s="575">
        <v>2022</v>
      </c>
      <c r="E4" s="575">
        <v>2021</v>
      </c>
      <c r="F4" s="358">
        <v>2020</v>
      </c>
      <c r="G4" s="358">
        <v>2019</v>
      </c>
      <c r="H4" s="358">
        <v>2018</v>
      </c>
      <c r="I4" s="358">
        <v>2017</v>
      </c>
      <c r="J4" s="358">
        <v>2016</v>
      </c>
      <c r="K4" s="358">
        <v>2015</v>
      </c>
      <c r="U4" s="67"/>
    </row>
    <row r="5" spans="2:21" ht="18">
      <c r="B5" s="576" t="s">
        <v>4</v>
      </c>
      <c r="C5" s="195"/>
      <c r="D5" s="194"/>
      <c r="E5" s="194">
        <f>D9/E9-1</f>
        <v>0.44825654670214266</v>
      </c>
      <c r="F5" s="194">
        <f>E9/F9-1</f>
        <v>0.57375676301087597</v>
      </c>
      <c r="G5" s="194">
        <f t="shared" ref="G5:J5" si="0">F9/G9-1</f>
        <v>-0.31492651110825931</v>
      </c>
      <c r="H5" s="194">
        <f t="shared" si="0"/>
        <v>-8.7088059763207548E-2</v>
      </c>
      <c r="I5" s="194">
        <f t="shared" si="0"/>
        <v>0.18762660468237824</v>
      </c>
      <c r="J5" s="194">
        <f t="shared" si="0"/>
        <v>0.17417857520397484</v>
      </c>
      <c r="K5" s="577"/>
    </row>
    <row r="6" spans="2:21" ht="18">
      <c r="B6" s="195" t="s">
        <v>5</v>
      </c>
      <c r="C6" s="195">
        <v>152384</v>
      </c>
      <c r="D6" s="196">
        <v>398675</v>
      </c>
      <c r="E6" s="578">
        <v>276692</v>
      </c>
      <c r="F6" s="196">
        <v>178574</v>
      </c>
      <c r="G6" s="578">
        <v>255583</v>
      </c>
      <c r="H6" s="196">
        <v>279332</v>
      </c>
      <c r="I6" s="196">
        <v>237162</v>
      </c>
      <c r="J6" s="196">
        <v>200628</v>
      </c>
      <c r="K6" s="196">
        <v>239854</v>
      </c>
      <c r="O6" s="55"/>
      <c r="P6" s="55"/>
    </row>
    <row r="7" spans="2:21" ht="18">
      <c r="B7" s="195" t="s">
        <v>6</v>
      </c>
      <c r="C7" s="196">
        <f>'INCOME STATEMENT'!D12</f>
        <v>1382</v>
      </c>
      <c r="D7" s="196">
        <v>11463</v>
      </c>
      <c r="E7" s="578">
        <v>6657</v>
      </c>
      <c r="F7" s="196">
        <v>1732</v>
      </c>
      <c r="G7" s="578">
        <v>5441</v>
      </c>
      <c r="H7" s="196">
        <v>7355</v>
      </c>
      <c r="I7" s="196">
        <v>5380</v>
      </c>
      <c r="J7" s="196">
        <v>4806</v>
      </c>
      <c r="K7" s="196">
        <v>7644</v>
      </c>
    </row>
    <row r="8" spans="2:21" ht="18">
      <c r="B8" s="195" t="s">
        <v>7</v>
      </c>
      <c r="C8" s="196">
        <f>'INCOME STATEMENT'!D13</f>
        <v>737</v>
      </c>
      <c r="D8" s="196">
        <v>3542</v>
      </c>
      <c r="E8" s="578">
        <v>2291</v>
      </c>
      <c r="F8" s="196">
        <v>1196</v>
      </c>
      <c r="G8" s="578">
        <v>3914</v>
      </c>
      <c r="H8" s="196">
        <v>3525</v>
      </c>
      <c r="I8" s="196">
        <v>1821</v>
      </c>
      <c r="J8" s="196">
        <v>2680</v>
      </c>
      <c r="K8" s="196">
        <v>1750</v>
      </c>
    </row>
    <row r="9" spans="2:21" ht="18">
      <c r="B9" s="358" t="s">
        <v>8</v>
      </c>
      <c r="C9" s="579">
        <f>'INCOME STATEMENT'!D14</f>
        <v>82914</v>
      </c>
      <c r="D9" s="580">
        <v>413680</v>
      </c>
      <c r="E9" s="581">
        <v>285640</v>
      </c>
      <c r="F9" s="580">
        <v>181502</v>
      </c>
      <c r="G9" s="581">
        <v>264938</v>
      </c>
      <c r="H9" s="580">
        <v>290212</v>
      </c>
      <c r="I9" s="580">
        <v>244363</v>
      </c>
      <c r="J9" s="580">
        <v>208114</v>
      </c>
      <c r="K9" s="580">
        <v>249248</v>
      </c>
    </row>
    <row r="10" spans="2:21" ht="18">
      <c r="B10" s="576" t="s">
        <v>9</v>
      </c>
      <c r="C10" s="196"/>
      <c r="D10" s="582"/>
      <c r="E10" s="583"/>
      <c r="F10" s="582"/>
      <c r="G10" s="577"/>
      <c r="H10" s="577"/>
      <c r="I10" s="577"/>
      <c r="J10" s="577"/>
      <c r="K10" s="577"/>
    </row>
    <row r="11" spans="2:21" ht="18">
      <c r="B11" s="195" t="s">
        <v>10</v>
      </c>
      <c r="C11" s="196">
        <f>'INCOME STATEMENT'!D16</f>
        <v>47598</v>
      </c>
      <c r="D11" s="196">
        <v>228959</v>
      </c>
      <c r="E11" s="578">
        <v>155164</v>
      </c>
      <c r="F11" s="196">
        <v>94007</v>
      </c>
      <c r="G11" s="578">
        <v>143801</v>
      </c>
      <c r="H11" s="196">
        <v>156172</v>
      </c>
      <c r="I11" s="196">
        <v>128217</v>
      </c>
      <c r="J11" s="196">
        <v>104171</v>
      </c>
      <c r="K11" s="196">
        <v>130003</v>
      </c>
    </row>
    <row r="12" spans="2:21" ht="18">
      <c r="B12" s="195" t="s">
        <v>11</v>
      </c>
      <c r="C12" s="196">
        <f>'INCOME STATEMENT'!D17</f>
        <v>8860</v>
      </c>
      <c r="D12" s="196">
        <v>42609</v>
      </c>
      <c r="E12" s="578">
        <v>36035</v>
      </c>
      <c r="F12" s="196">
        <v>30431</v>
      </c>
      <c r="G12" s="578">
        <v>36826</v>
      </c>
      <c r="H12" s="196">
        <v>36682</v>
      </c>
      <c r="I12" s="196">
        <v>32690</v>
      </c>
      <c r="J12" s="196">
        <v>30448</v>
      </c>
      <c r="K12" s="196">
        <v>33951</v>
      </c>
    </row>
    <row r="13" spans="2:21" ht="18">
      <c r="B13" s="195" t="s">
        <v>12</v>
      </c>
      <c r="C13" s="196">
        <f>'INCOME STATEMENT'!D18</f>
        <v>2449</v>
      </c>
      <c r="D13" s="196">
        <v>10095</v>
      </c>
      <c r="E13" s="578">
        <v>9574</v>
      </c>
      <c r="F13" s="196">
        <v>10168</v>
      </c>
      <c r="G13" s="578">
        <v>11398</v>
      </c>
      <c r="H13" s="196">
        <v>11480</v>
      </c>
      <c r="I13" s="196">
        <v>10649</v>
      </c>
      <c r="J13" s="196">
        <v>10443</v>
      </c>
      <c r="K13" s="196">
        <v>11038</v>
      </c>
    </row>
    <row r="14" spans="2:21" ht="18">
      <c r="B14" s="195" t="s">
        <v>220</v>
      </c>
      <c r="C14" s="196">
        <f>'INCOME STATEMENT'!D19</f>
        <v>4242</v>
      </c>
      <c r="D14" s="196">
        <v>24040</v>
      </c>
      <c r="E14" s="578">
        <v>20607</v>
      </c>
      <c r="F14" s="196">
        <v>46009</v>
      </c>
      <c r="G14" s="578">
        <v>18998</v>
      </c>
      <c r="H14" s="196">
        <v>18745</v>
      </c>
      <c r="I14" s="196">
        <v>19893</v>
      </c>
      <c r="J14" s="196">
        <v>22308</v>
      </c>
      <c r="K14" s="196">
        <v>18048</v>
      </c>
    </row>
    <row r="15" spans="2:21" ht="18">
      <c r="B15" s="195" t="s">
        <v>14</v>
      </c>
      <c r="C15" s="196">
        <f>'INCOME STATEMENT'!D20</f>
        <v>133</v>
      </c>
      <c r="D15" s="196">
        <v>1025</v>
      </c>
      <c r="E15" s="578">
        <v>1054</v>
      </c>
      <c r="F15" s="196">
        <v>1285</v>
      </c>
      <c r="G15" s="578">
        <v>1269</v>
      </c>
      <c r="H15" s="196">
        <v>1466</v>
      </c>
      <c r="I15" s="196">
        <v>1790</v>
      </c>
      <c r="J15" s="196">
        <v>1467</v>
      </c>
      <c r="K15" s="196">
        <v>1523</v>
      </c>
    </row>
    <row r="16" spans="2:21" ht="18">
      <c r="B16" s="195" t="s">
        <v>15</v>
      </c>
      <c r="C16" s="196">
        <f>'INCOME STATEMENT'!D21</f>
        <v>164</v>
      </c>
      <c r="D16" s="195">
        <v>482</v>
      </c>
      <c r="E16" s="577">
        <v>786</v>
      </c>
      <c r="F16" s="196">
        <v>1205</v>
      </c>
      <c r="G16" s="578">
        <v>1235</v>
      </c>
      <c r="H16" s="196">
        <v>1285</v>
      </c>
      <c r="I16" s="196">
        <v>1745</v>
      </c>
      <c r="J16" s="196">
        <v>1835</v>
      </c>
      <c r="K16" s="196">
        <v>2099</v>
      </c>
    </row>
    <row r="17" spans="2:22" ht="18">
      <c r="B17" s="195" t="s">
        <v>16</v>
      </c>
      <c r="C17" s="196">
        <f>'INCOME STATEMENT'!D22</f>
        <v>249</v>
      </c>
      <c r="D17" s="195">
        <v>798</v>
      </c>
      <c r="E17" s="577">
        <v>947</v>
      </c>
      <c r="F17" s="196">
        <v>1158</v>
      </c>
      <c r="G17" s="577">
        <v>830</v>
      </c>
      <c r="H17" s="195">
        <v>766</v>
      </c>
      <c r="I17" s="195">
        <v>601</v>
      </c>
      <c r="J17" s="195">
        <v>453</v>
      </c>
      <c r="K17" s="195">
        <v>311</v>
      </c>
      <c r="M17" s="55"/>
    </row>
    <row r="18" spans="2:22" ht="18">
      <c r="B18" s="193" t="s">
        <v>17</v>
      </c>
      <c r="C18" s="580">
        <f>'INCOME STATEMENT'!D23</f>
        <v>7563</v>
      </c>
      <c r="D18" s="580">
        <v>27919</v>
      </c>
      <c r="E18" s="581">
        <v>30239</v>
      </c>
      <c r="F18" s="580">
        <v>26122</v>
      </c>
      <c r="G18" s="581">
        <v>30525</v>
      </c>
      <c r="H18" s="580">
        <v>32663</v>
      </c>
      <c r="I18" s="580">
        <v>30104</v>
      </c>
      <c r="J18" s="580">
        <v>29020</v>
      </c>
      <c r="K18" s="580">
        <v>30309</v>
      </c>
    </row>
    <row r="19" spans="2:22" ht="18">
      <c r="B19" s="358" t="s">
        <v>18</v>
      </c>
      <c r="C19" s="580">
        <f>'INCOME STATEMENT'!D24</f>
        <v>71258</v>
      </c>
      <c r="D19" s="580">
        <v>335927</v>
      </c>
      <c r="E19" s="581">
        <v>254406</v>
      </c>
      <c r="F19" s="580">
        <v>210385</v>
      </c>
      <c r="G19" s="581">
        <v>244882</v>
      </c>
      <c r="H19" s="580">
        <v>259259</v>
      </c>
      <c r="I19" s="580">
        <v>225689</v>
      </c>
      <c r="J19" s="580">
        <v>200145</v>
      </c>
      <c r="K19" s="580">
        <v>227282</v>
      </c>
    </row>
    <row r="20" spans="2:22" ht="18">
      <c r="B20" s="195" t="s">
        <v>221</v>
      </c>
      <c r="C20" s="196">
        <f>'INCOME STATEMENT'!D25</f>
        <v>11656</v>
      </c>
      <c r="D20" s="196">
        <v>77753</v>
      </c>
      <c r="E20" s="578">
        <v>31234</v>
      </c>
      <c r="F20" s="196">
        <v>-28883</v>
      </c>
      <c r="G20" s="578">
        <v>20056</v>
      </c>
      <c r="H20" s="196">
        <v>30953</v>
      </c>
      <c r="I20" s="196">
        <v>18674</v>
      </c>
      <c r="J20" s="196">
        <v>7969</v>
      </c>
      <c r="K20" s="196">
        <v>21966</v>
      </c>
    </row>
    <row r="21" spans="2:22" ht="18">
      <c r="B21" s="195" t="s">
        <v>222</v>
      </c>
      <c r="C21" s="196">
        <f>'INCOME STATEMENT'!D26</f>
        <v>3503</v>
      </c>
      <c r="D21" s="196">
        <v>20176</v>
      </c>
      <c r="E21" s="578">
        <v>7636</v>
      </c>
      <c r="F21" s="196">
        <v>-5632</v>
      </c>
      <c r="G21" s="578">
        <v>5282</v>
      </c>
      <c r="H21" s="196">
        <v>9532</v>
      </c>
      <c r="I21" s="196">
        <v>-1174</v>
      </c>
      <c r="J21" s="195">
        <v>-406</v>
      </c>
      <c r="K21" s="584">
        <v>5415</v>
      </c>
    </row>
    <row r="22" spans="2:22" ht="18">
      <c r="B22" s="358" t="s">
        <v>223</v>
      </c>
      <c r="C22" s="580">
        <f>'INCOME STATEMENT'!D27</f>
        <v>8153</v>
      </c>
      <c r="D22" s="580">
        <v>57577</v>
      </c>
      <c r="E22" s="581">
        <v>23598</v>
      </c>
      <c r="F22" s="580">
        <v>-23251</v>
      </c>
      <c r="G22" s="581">
        <v>14774</v>
      </c>
      <c r="H22" s="580">
        <v>21421</v>
      </c>
      <c r="I22" s="580">
        <v>19848</v>
      </c>
      <c r="J22" s="580">
        <v>8375</v>
      </c>
      <c r="K22" s="585">
        <v>16551</v>
      </c>
    </row>
    <row r="23" spans="2:22" ht="18">
      <c r="B23" s="195" t="s">
        <v>224</v>
      </c>
      <c r="C23" s="196">
        <f>'INCOME STATEMENT'!D28</f>
        <v>273</v>
      </c>
      <c r="D23" s="196">
        <v>1837</v>
      </c>
      <c r="E23" s="577">
        <v>558</v>
      </c>
      <c r="F23" s="195">
        <v>-811</v>
      </c>
      <c r="G23" s="577">
        <v>434</v>
      </c>
      <c r="H23" s="195">
        <v>581</v>
      </c>
      <c r="I23" s="195">
        <v>138</v>
      </c>
      <c r="J23" s="195">
        <v>535</v>
      </c>
      <c r="K23" s="586">
        <v>401</v>
      </c>
    </row>
    <row r="24" spans="2:22" ht="18">
      <c r="B24" s="358" t="s">
        <v>225</v>
      </c>
      <c r="C24" s="579">
        <f>'INCOME STATEMENT'!D29</f>
        <v>7880</v>
      </c>
      <c r="D24" s="580">
        <v>55740</v>
      </c>
      <c r="E24" s="581">
        <v>23040</v>
      </c>
      <c r="F24" s="580">
        <v>-22440</v>
      </c>
      <c r="G24" s="581">
        <v>14340</v>
      </c>
      <c r="H24" s="580">
        <v>20840</v>
      </c>
      <c r="I24" s="580">
        <v>19710</v>
      </c>
      <c r="J24" s="580">
        <v>7840</v>
      </c>
      <c r="K24" s="585">
        <v>16150</v>
      </c>
    </row>
    <row r="25" spans="2:22" ht="18">
      <c r="B25" s="195" t="s">
        <v>264</v>
      </c>
      <c r="C25" s="196"/>
      <c r="D25" s="195">
        <v>13.26</v>
      </c>
      <c r="E25" s="577">
        <v>5.39</v>
      </c>
      <c r="F25" s="195">
        <v>-5.25</v>
      </c>
      <c r="G25" s="577">
        <v>3.36</v>
      </c>
      <c r="H25" s="195">
        <v>4.88</v>
      </c>
      <c r="I25" s="195">
        <v>4.63</v>
      </c>
      <c r="J25" s="195">
        <v>1.88</v>
      </c>
      <c r="K25" s="586">
        <v>3.85</v>
      </c>
    </row>
    <row r="26" spans="2:22" ht="18">
      <c r="B26" s="358" t="s">
        <v>265</v>
      </c>
      <c r="C26" s="587">
        <f>'INCOME STATEMENT'!D31</f>
        <v>1.94</v>
      </c>
      <c r="D26" s="193">
        <v>13.26</v>
      </c>
      <c r="E26" s="588">
        <v>5.39</v>
      </c>
      <c r="F26" s="193">
        <v>-5.25</v>
      </c>
      <c r="G26" s="588">
        <v>3.36</v>
      </c>
      <c r="H26" s="193">
        <v>4.88</v>
      </c>
      <c r="I26" s="193">
        <v>4.63</v>
      </c>
      <c r="J26" s="193">
        <v>1.88</v>
      </c>
      <c r="K26" s="589">
        <v>3.85</v>
      </c>
    </row>
    <row r="27" spans="2:22" ht="20" thickBot="1">
      <c r="H27" s="58"/>
      <c r="I27" s="58"/>
      <c r="J27" s="58"/>
      <c r="K27" s="58"/>
    </row>
    <row r="28" spans="2:22" ht="21">
      <c r="B28" s="378" t="s">
        <v>206</v>
      </c>
      <c r="C28" s="573"/>
      <c r="D28" s="379">
        <f>D9</f>
        <v>413680</v>
      </c>
      <c r="E28" s="379">
        <f>E9</f>
        <v>285640</v>
      </c>
      <c r="F28" s="380">
        <f>F9</f>
        <v>181502</v>
      </c>
      <c r="G28" s="61"/>
      <c r="H28" s="61"/>
      <c r="I28" s="61"/>
      <c r="J28" s="61"/>
      <c r="K28" s="58"/>
    </row>
    <row r="29" spans="2:22" ht="20">
      <c r="B29" s="381" t="s">
        <v>228</v>
      </c>
      <c r="C29" s="291"/>
      <c r="D29" s="291">
        <v>299487</v>
      </c>
      <c r="E29" s="291">
        <v>221438</v>
      </c>
      <c r="F29" s="382">
        <v>150560</v>
      </c>
      <c r="G29" s="61"/>
      <c r="H29" s="61"/>
      <c r="I29" s="61"/>
      <c r="J29" s="61"/>
    </row>
    <row r="30" spans="2:22" ht="20">
      <c r="B30" s="383" t="s">
        <v>229</v>
      </c>
      <c r="C30" s="292"/>
      <c r="D30" s="294">
        <f>D28-D29</f>
        <v>114193</v>
      </c>
      <c r="E30" s="294">
        <f>E28-E29</f>
        <v>64202</v>
      </c>
      <c r="F30" s="385">
        <f>F28-F29</f>
        <v>30942</v>
      </c>
      <c r="G30" s="61"/>
      <c r="H30" s="61"/>
      <c r="I30" s="61"/>
      <c r="J30" s="61"/>
      <c r="V30" s="54"/>
    </row>
    <row r="31" spans="2:22" ht="20">
      <c r="B31" s="381" t="s">
        <v>230</v>
      </c>
      <c r="C31" s="291"/>
      <c r="D31" s="295">
        <f>D15</f>
        <v>1025</v>
      </c>
      <c r="E31" s="295">
        <f>E15</f>
        <v>1054</v>
      </c>
      <c r="F31" s="386">
        <f>F15</f>
        <v>1285</v>
      </c>
      <c r="G31" s="61"/>
      <c r="H31" s="61"/>
      <c r="I31" s="61"/>
      <c r="J31" s="61"/>
    </row>
    <row r="32" spans="2:22" ht="20">
      <c r="B32" s="381" t="s">
        <v>231</v>
      </c>
      <c r="C32" s="291"/>
      <c r="D32" s="295">
        <f>D13</f>
        <v>10095</v>
      </c>
      <c r="E32" s="295">
        <f>E13</f>
        <v>9574</v>
      </c>
      <c r="F32" s="386">
        <f>F13</f>
        <v>10168</v>
      </c>
      <c r="G32" s="61"/>
      <c r="J32" s="61"/>
    </row>
    <row r="33" spans="2:19" ht="20">
      <c r="B33" s="381" t="s">
        <v>232</v>
      </c>
      <c r="C33" s="291"/>
      <c r="D33" s="295">
        <f>D20</f>
        <v>77753</v>
      </c>
      <c r="E33" s="295">
        <f>E20</f>
        <v>31234</v>
      </c>
      <c r="F33" s="386">
        <f>F20</f>
        <v>-28883</v>
      </c>
      <c r="G33" s="61"/>
    </row>
    <row r="34" spans="2:19" ht="22" thickBot="1">
      <c r="B34" s="387" t="s">
        <v>233</v>
      </c>
      <c r="C34" s="291"/>
      <c r="D34" s="291">
        <f>D17</f>
        <v>798</v>
      </c>
      <c r="E34" s="291">
        <f>E17</f>
        <v>947</v>
      </c>
      <c r="F34" s="382">
        <f>F17</f>
        <v>1158</v>
      </c>
      <c r="G34" s="61"/>
    </row>
    <row r="35" spans="2:19" ht="21">
      <c r="B35" s="383" t="s">
        <v>165</v>
      </c>
      <c r="C35" s="292"/>
      <c r="D35" s="294">
        <f>D33+D34</f>
        <v>78551</v>
      </c>
      <c r="E35" s="294">
        <f>E33+E34</f>
        <v>32181</v>
      </c>
      <c r="F35" s="385">
        <f>F33+F34</f>
        <v>-27725</v>
      </c>
      <c r="G35" s="61"/>
      <c r="H35" s="487"/>
      <c r="I35" s="495" t="s">
        <v>234</v>
      </c>
      <c r="J35" s="61"/>
      <c r="R35" s="59"/>
      <c r="S35" s="59"/>
    </row>
    <row r="36" spans="2:19" ht="21">
      <c r="B36" s="388" t="s">
        <v>181</v>
      </c>
      <c r="C36" s="516"/>
      <c r="D36" s="300">
        <f>D35/D28</f>
        <v>0.18988348481918391</v>
      </c>
      <c r="E36" s="300">
        <f>E35/E28</f>
        <v>0.11266279232600476</v>
      </c>
      <c r="F36" s="389">
        <f>F35/F28</f>
        <v>-0.15275313770647156</v>
      </c>
      <c r="G36" s="61"/>
      <c r="H36" s="488"/>
      <c r="I36" s="489">
        <v>2019</v>
      </c>
      <c r="J36" s="61"/>
    </row>
    <row r="37" spans="2:19" ht="20">
      <c r="B37" s="383" t="s">
        <v>167</v>
      </c>
      <c r="C37" s="518"/>
      <c r="D37" s="301">
        <f>D35+D14</f>
        <v>102591</v>
      </c>
      <c r="E37" s="301">
        <f>E35+E14</f>
        <v>52788</v>
      </c>
      <c r="F37" s="390">
        <f>F35+F14</f>
        <v>18284</v>
      </c>
      <c r="G37" s="61"/>
      <c r="H37" s="488"/>
      <c r="I37" s="490">
        <v>50052</v>
      </c>
      <c r="J37" s="61"/>
    </row>
    <row r="38" spans="2:19" ht="21">
      <c r="B38" s="388" t="s">
        <v>182</v>
      </c>
      <c r="C38" s="516"/>
      <c r="D38" s="300">
        <f>D37/D28</f>
        <v>0.24799603558305938</v>
      </c>
      <c r="E38" s="300">
        <f>E37/E28</f>
        <v>0.18480604957288896</v>
      </c>
      <c r="F38" s="389">
        <f>F37/F28</f>
        <v>0.10073718195942745</v>
      </c>
      <c r="G38" s="64"/>
      <c r="H38" s="488"/>
      <c r="I38" s="489">
        <v>63989</v>
      </c>
    </row>
    <row r="39" spans="2:19" ht="24" customHeight="1" thickBot="1">
      <c r="B39" s="297"/>
      <c r="C39" s="298"/>
      <c r="D39" s="298"/>
      <c r="E39" s="298"/>
      <c r="F39" s="299"/>
      <c r="H39" s="491" t="s">
        <v>235</v>
      </c>
      <c r="I39" s="492">
        <f>I37-I38</f>
        <v>-13937</v>
      </c>
    </row>
    <row r="40" spans="2:19" ht="26.25" customHeight="1" thickBot="1">
      <c r="Q40" s="67"/>
    </row>
    <row r="41" spans="2:19" ht="25.5" customHeight="1">
      <c r="B41" s="240" t="s">
        <v>266</v>
      </c>
      <c r="C41" s="241">
        <v>2023</v>
      </c>
      <c r="D41" s="617">
        <v>2024</v>
      </c>
      <c r="E41" s="617">
        <v>2025</v>
      </c>
      <c r="F41" s="617">
        <v>2026</v>
      </c>
      <c r="G41" s="617">
        <v>2027</v>
      </c>
      <c r="H41" s="617">
        <v>2028</v>
      </c>
      <c r="I41" s="618">
        <v>2029</v>
      </c>
    </row>
    <row r="42" spans="2:19" ht="23.25" customHeight="1" thickBot="1">
      <c r="B42" s="619" t="s">
        <v>237</v>
      </c>
      <c r="C42" s="620">
        <v>-0.2</v>
      </c>
      <c r="D42" s="620">
        <v>-0.1</v>
      </c>
      <c r="E42" s="620">
        <v>0.05</v>
      </c>
      <c r="F42" s="620">
        <v>0.08</v>
      </c>
      <c r="G42" s="620">
        <v>7.0000000000000007E-2</v>
      </c>
      <c r="H42" s="620">
        <v>0.05</v>
      </c>
      <c r="I42" s="621">
        <v>0.03</v>
      </c>
    </row>
    <row r="43" spans="2:19" ht="24" customHeight="1"/>
    <row r="44" spans="2:19" ht="22.5" customHeight="1" thickBot="1"/>
    <row r="45" spans="2:19" ht="24.75" customHeight="1">
      <c r="B45" s="590"/>
      <c r="C45" s="590"/>
      <c r="D45" s="591" t="s">
        <v>238</v>
      </c>
      <c r="E45" s="592"/>
      <c r="F45" s="593"/>
      <c r="G45" s="594" t="s">
        <v>239</v>
      </c>
      <c r="H45" s="592"/>
      <c r="I45" s="592"/>
      <c r="J45" s="592"/>
      <c r="K45" s="592"/>
      <c r="L45" s="592"/>
      <c r="M45" s="593"/>
      <c r="N45" s="59"/>
      <c r="O45" s="59"/>
      <c r="P45" s="59"/>
      <c r="Q45" s="59"/>
    </row>
    <row r="46" spans="2:19" ht="22.5" customHeight="1" thickBot="1">
      <c r="B46" s="595"/>
      <c r="C46" s="595"/>
      <c r="D46" s="596">
        <v>2020</v>
      </c>
      <c r="E46" s="596">
        <v>2021</v>
      </c>
      <c r="F46" s="597">
        <v>2022</v>
      </c>
      <c r="G46" s="598">
        <v>2023</v>
      </c>
      <c r="H46" s="596">
        <v>2024</v>
      </c>
      <c r="I46" s="596">
        <v>2025</v>
      </c>
      <c r="J46" s="596">
        <v>2026</v>
      </c>
      <c r="K46" s="596">
        <v>2027</v>
      </c>
      <c r="L46" s="596">
        <v>2028</v>
      </c>
      <c r="M46" s="597">
        <v>2029</v>
      </c>
    </row>
    <row r="47" spans="2:19" ht="24" customHeight="1">
      <c r="B47" s="546" t="s">
        <v>240</v>
      </c>
      <c r="C47" s="556"/>
      <c r="D47" s="408">
        <f>F9</f>
        <v>181502</v>
      </c>
      <c r="E47" s="408">
        <f>E9</f>
        <v>285640</v>
      </c>
      <c r="F47" s="599">
        <f>D9</f>
        <v>413680</v>
      </c>
      <c r="G47" s="548">
        <f>F47*(1+$C$42)</f>
        <v>330944</v>
      </c>
      <c r="H47" s="410">
        <f>G47*(1+$C$42)</f>
        <v>264755.20000000001</v>
      </c>
      <c r="I47" s="410">
        <f>H47*(1+$D$42)</f>
        <v>238279.68000000002</v>
      </c>
      <c r="J47" s="410">
        <f>I47*(1+$D$42)</f>
        <v>214451.71200000003</v>
      </c>
      <c r="K47" s="410">
        <f>J47*(1+$E$42)</f>
        <v>225174.29760000005</v>
      </c>
      <c r="L47" s="410">
        <f>K47*(1+$F$42)</f>
        <v>243188.24140800006</v>
      </c>
      <c r="M47" s="549">
        <f>L47*(1+$G$42)</f>
        <v>260211.41830656008</v>
      </c>
    </row>
    <row r="48" spans="2:19" ht="25">
      <c r="B48" s="550" t="s">
        <v>241</v>
      </c>
      <c r="C48" s="550" t="s">
        <v>70</v>
      </c>
      <c r="D48" s="552"/>
      <c r="E48" s="553">
        <f>E47/D47-1</f>
        <v>0.57375676301087597</v>
      </c>
      <c r="F48" s="600">
        <f>F47/E47-1</f>
        <v>0.44825654670214266</v>
      </c>
      <c r="G48" s="554">
        <f>(G47/F47)-1</f>
        <v>-0.19999999999999996</v>
      </c>
      <c r="H48" s="414">
        <f>(H47/G47)-1</f>
        <v>-0.19999999999999996</v>
      </c>
      <c r="I48" s="414">
        <f>(I47/H47)-1</f>
        <v>-9.9999999999999978E-2</v>
      </c>
      <c r="J48" s="414">
        <f t="shared" ref="J48:M48" si="1">(J47/I47)-1</f>
        <v>-9.9999999999999978E-2</v>
      </c>
      <c r="K48" s="414">
        <f t="shared" si="1"/>
        <v>5.0000000000000044E-2</v>
      </c>
      <c r="L48" s="414">
        <f t="shared" si="1"/>
        <v>8.0000000000000071E-2</v>
      </c>
      <c r="M48" s="555">
        <f t="shared" si="1"/>
        <v>7.0000000000000062E-2</v>
      </c>
    </row>
    <row r="49" spans="1:13" ht="25">
      <c r="B49" s="556" t="s">
        <v>165</v>
      </c>
      <c r="C49" s="556"/>
      <c r="D49" s="408">
        <f>F20</f>
        <v>-28883</v>
      </c>
      <c r="E49" s="408">
        <f>E20</f>
        <v>31234</v>
      </c>
      <c r="F49" s="599">
        <f>D20</f>
        <v>77753</v>
      </c>
      <c r="G49" s="548">
        <f t="shared" ref="G49:M49" si="2">G47*$C$50</f>
        <v>54027.699507517362</v>
      </c>
      <c r="H49" s="410">
        <f t="shared" si="2"/>
        <v>43222.159606013891</v>
      </c>
      <c r="I49" s="410">
        <f t="shared" si="2"/>
        <v>38899.943645412503</v>
      </c>
      <c r="J49" s="410">
        <f t="shared" si="2"/>
        <v>35009.949280871253</v>
      </c>
      <c r="K49" s="410">
        <f t="shared" si="2"/>
        <v>36760.446744914821</v>
      </c>
      <c r="L49" s="410">
        <f t="shared" si="2"/>
        <v>39701.28248450801</v>
      </c>
      <c r="M49" s="549">
        <f t="shared" si="2"/>
        <v>42480.372258423573</v>
      </c>
    </row>
    <row r="50" spans="1:13" ht="25">
      <c r="B50" s="550" t="s">
        <v>181</v>
      </c>
      <c r="C50" s="601">
        <f>'COMPARABLE ANALYSIS'!K15</f>
        <v>0.16325329816379014</v>
      </c>
      <c r="D50" s="553">
        <f>D49/D47</f>
        <v>-0.15913323269165078</v>
      </c>
      <c r="E50" s="553">
        <f>E49/E47</f>
        <v>0.10934743033188629</v>
      </c>
      <c r="F50" s="600">
        <f>F49/F47</f>
        <v>0.18795445755173082</v>
      </c>
      <c r="G50" s="554">
        <f>G49/G47</f>
        <v>0.16325329816379014</v>
      </c>
      <c r="H50" s="414">
        <f t="shared" ref="H50:M50" si="3">H49/H47</f>
        <v>0.16325329816379014</v>
      </c>
      <c r="I50" s="414">
        <f t="shared" si="3"/>
        <v>0.16325329816379014</v>
      </c>
      <c r="J50" s="414">
        <f t="shared" si="3"/>
        <v>0.16325329816379011</v>
      </c>
      <c r="K50" s="414">
        <f t="shared" si="3"/>
        <v>0.16325329816379014</v>
      </c>
      <c r="L50" s="414">
        <f t="shared" si="3"/>
        <v>0.16325329816379014</v>
      </c>
      <c r="M50" s="555">
        <f t="shared" si="3"/>
        <v>0.16325329816379014</v>
      </c>
    </row>
    <row r="51" spans="1:13" ht="25">
      <c r="B51" s="556"/>
      <c r="C51" s="554"/>
      <c r="D51" s="413"/>
      <c r="E51" s="413"/>
      <c r="F51" s="558"/>
      <c r="G51" s="556"/>
      <c r="H51" s="413"/>
      <c r="I51" s="413"/>
      <c r="J51" s="413"/>
      <c r="K51" s="413"/>
      <c r="L51" s="413"/>
      <c r="M51" s="558"/>
    </row>
    <row r="52" spans="1:13" ht="25">
      <c r="B52" s="556" t="s">
        <v>242</v>
      </c>
      <c r="C52" s="556"/>
      <c r="D52" s="419">
        <v>227553</v>
      </c>
      <c r="E52" s="408">
        <v>216552</v>
      </c>
      <c r="F52" s="599">
        <v>204692</v>
      </c>
      <c r="G52" s="548"/>
      <c r="H52" s="410"/>
      <c r="I52" s="410"/>
      <c r="J52" s="410"/>
      <c r="K52" s="410"/>
      <c r="L52" s="410"/>
      <c r="M52" s="549"/>
    </row>
    <row r="53" spans="1:13" ht="25">
      <c r="B53" s="550" t="s">
        <v>243</v>
      </c>
      <c r="C53" s="550" t="s">
        <v>70</v>
      </c>
      <c r="D53" s="553">
        <f>D52/D47</f>
        <v>1.2537217220746879</v>
      </c>
      <c r="E53" s="553">
        <f>E52/E47</f>
        <v>0.75812911356952806</v>
      </c>
      <c r="F53" s="600">
        <f>F52/F47</f>
        <v>0.49480758073873526</v>
      </c>
      <c r="G53" s="554">
        <f>AVERAGE(D53:F53)</f>
        <v>0.83555280546098365</v>
      </c>
      <c r="H53" s="414">
        <f>AVERAGE(D53:G53)</f>
        <v>0.83555280546098365</v>
      </c>
      <c r="I53" s="414">
        <f t="shared" ref="I53:M53" si="4">AVERAGE(E53:H53)</f>
        <v>0.73101057630755761</v>
      </c>
      <c r="J53" s="414">
        <f t="shared" si="4"/>
        <v>0.72423094199206506</v>
      </c>
      <c r="K53" s="414">
        <f t="shared" si="4"/>
        <v>0.78158678230539747</v>
      </c>
      <c r="L53" s="414">
        <f t="shared" si="4"/>
        <v>0.768095276516501</v>
      </c>
      <c r="M53" s="555">
        <f t="shared" si="4"/>
        <v>0.75123089428038026</v>
      </c>
    </row>
    <row r="54" spans="1:13" ht="25">
      <c r="B54" s="556"/>
      <c r="C54" s="554"/>
      <c r="D54" s="413"/>
      <c r="E54" s="413"/>
      <c r="F54" s="558"/>
      <c r="G54" s="556"/>
      <c r="H54" s="413"/>
      <c r="I54" s="413"/>
      <c r="J54" s="413"/>
      <c r="K54" s="413"/>
      <c r="L54" s="413"/>
      <c r="M54" s="558"/>
    </row>
    <row r="55" spans="1:13" ht="25">
      <c r="B55" s="556" t="s">
        <v>41</v>
      </c>
      <c r="C55" s="556"/>
      <c r="D55" s="419">
        <v>-2289</v>
      </c>
      <c r="E55" s="419">
        <v>2511</v>
      </c>
      <c r="F55" s="602">
        <v>28586</v>
      </c>
      <c r="G55" s="548">
        <f>G56*(G47)</f>
        <v>7201.4600792732717</v>
      </c>
      <c r="H55" s="410">
        <f t="shared" ref="H55:M55" si="5">H56*(H47)</f>
        <v>5761.1680634186177</v>
      </c>
      <c r="I55" s="410">
        <f t="shared" si="5"/>
        <v>5185.0512570767569</v>
      </c>
      <c r="J55" s="410">
        <f t="shared" si="5"/>
        <v>4666.5461313690812</v>
      </c>
      <c r="K55" s="410">
        <f t="shared" si="5"/>
        <v>4899.8734379375355</v>
      </c>
      <c r="L55" s="410">
        <f t="shared" si="5"/>
        <v>5291.8633129725386</v>
      </c>
      <c r="M55" s="549">
        <f t="shared" si="5"/>
        <v>5662.293744880616</v>
      </c>
    </row>
    <row r="56" spans="1:13" ht="31.5" customHeight="1">
      <c r="B56" s="550" t="s">
        <v>244</v>
      </c>
      <c r="C56" s="550" t="s">
        <v>70</v>
      </c>
      <c r="D56" s="553">
        <f>D55/D47</f>
        <v>-1.2611431278994171E-2</v>
      </c>
      <c r="E56" s="553">
        <f>E55/E47</f>
        <v>8.7907856042571068E-3</v>
      </c>
      <c r="F56" s="600">
        <f>F55/F47</f>
        <v>6.9101721137110814E-2</v>
      </c>
      <c r="G56" s="554">
        <f>AVERAGE(D56:F56)</f>
        <v>2.1760358487457915E-2</v>
      </c>
      <c r="H56" s="414">
        <f>G56</f>
        <v>2.1760358487457915E-2</v>
      </c>
      <c r="I56" s="414">
        <f t="shared" ref="I56:M56" si="6">H56</f>
        <v>2.1760358487457915E-2</v>
      </c>
      <c r="J56" s="414">
        <f t="shared" si="6"/>
        <v>2.1760358487457915E-2</v>
      </c>
      <c r="K56" s="414">
        <f t="shared" si="6"/>
        <v>2.1760358487457915E-2</v>
      </c>
      <c r="L56" s="414">
        <f t="shared" si="6"/>
        <v>2.1760358487457915E-2</v>
      </c>
      <c r="M56" s="555">
        <f t="shared" si="6"/>
        <v>2.1760358487457915E-2</v>
      </c>
    </row>
    <row r="57" spans="1:13" ht="23.25" customHeight="1">
      <c r="B57" s="556"/>
      <c r="C57" s="556"/>
      <c r="D57" s="414"/>
      <c r="E57" s="414"/>
      <c r="F57" s="555"/>
      <c r="G57" s="554"/>
      <c r="H57" s="414"/>
      <c r="I57" s="414"/>
      <c r="J57" s="414"/>
      <c r="K57" s="414"/>
      <c r="L57" s="414"/>
      <c r="M57" s="555"/>
    </row>
    <row r="58" spans="1:13" ht="23.25" customHeight="1">
      <c r="A58" s="67"/>
      <c r="B58" s="556"/>
      <c r="C58" s="556"/>
      <c r="D58" s="413"/>
      <c r="E58" s="413"/>
      <c r="F58" s="558"/>
      <c r="G58" s="556"/>
      <c r="H58" s="413"/>
      <c r="I58" s="413"/>
      <c r="J58" s="413"/>
      <c r="K58" s="413"/>
      <c r="L58" s="413"/>
      <c r="M58" s="558"/>
    </row>
    <row r="59" spans="1:13" ht="26.25" customHeight="1">
      <c r="B59" s="556" t="s">
        <v>245</v>
      </c>
      <c r="C59" s="556"/>
      <c r="D59" s="414">
        <v>0</v>
      </c>
      <c r="E59" s="414">
        <v>0</v>
      </c>
      <c r="F59" s="555">
        <v>0</v>
      </c>
      <c r="G59" s="562">
        <f>WACC!C8</f>
        <v>0.27266000000000001</v>
      </c>
      <c r="H59" s="563">
        <f t="shared" ref="H59:M59" si="7">G59</f>
        <v>0.27266000000000001</v>
      </c>
      <c r="I59" s="563">
        <f t="shared" si="7"/>
        <v>0.27266000000000001</v>
      </c>
      <c r="J59" s="563">
        <f t="shared" si="7"/>
        <v>0.27266000000000001</v>
      </c>
      <c r="K59" s="563">
        <f t="shared" si="7"/>
        <v>0.27266000000000001</v>
      </c>
      <c r="L59" s="563">
        <f t="shared" si="7"/>
        <v>0.27266000000000001</v>
      </c>
      <c r="M59" s="564">
        <f t="shared" si="7"/>
        <v>0.27266000000000001</v>
      </c>
    </row>
    <row r="60" spans="1:13" ht="25">
      <c r="B60" s="556"/>
      <c r="C60" s="556"/>
      <c r="D60" s="413"/>
      <c r="E60" s="413"/>
      <c r="F60" s="558"/>
      <c r="G60" s="556"/>
      <c r="H60" s="413"/>
      <c r="I60" s="413"/>
      <c r="J60" s="413"/>
      <c r="K60" s="413"/>
      <c r="L60" s="413"/>
      <c r="M60" s="558"/>
    </row>
    <row r="61" spans="1:13" s="67" customFormat="1" ht="28.5" customHeight="1">
      <c r="A61"/>
      <c r="B61" s="500" t="s">
        <v>206</v>
      </c>
      <c r="C61" s="500"/>
      <c r="D61" s="432">
        <f>D47</f>
        <v>181502</v>
      </c>
      <c r="E61" s="432">
        <f>E47</f>
        <v>285640</v>
      </c>
      <c r="F61" s="501">
        <f>F47</f>
        <v>413680</v>
      </c>
      <c r="G61" s="500">
        <f>F61*(1+G48)</f>
        <v>330944</v>
      </c>
      <c r="H61" s="432">
        <f>G61*(1+H48)</f>
        <v>264755.20000000001</v>
      </c>
      <c r="I61" s="432">
        <f t="shared" ref="I61:M61" si="8">H61*(1+I48)</f>
        <v>238279.68000000002</v>
      </c>
      <c r="J61" s="432">
        <f t="shared" si="8"/>
        <v>214451.71200000003</v>
      </c>
      <c r="K61" s="432">
        <f t="shared" si="8"/>
        <v>225174.29760000005</v>
      </c>
      <c r="L61" s="432">
        <f t="shared" si="8"/>
        <v>243188.24140800006</v>
      </c>
      <c r="M61" s="501">
        <f t="shared" si="8"/>
        <v>260211.41830656008</v>
      </c>
    </row>
    <row r="62" spans="1:13" ht="37" customHeight="1">
      <c r="B62" s="498" t="s">
        <v>165</v>
      </c>
      <c r="C62" s="498"/>
      <c r="D62" s="430">
        <f>D49</f>
        <v>-28883</v>
      </c>
      <c r="E62" s="430">
        <f>E49</f>
        <v>31234</v>
      </c>
      <c r="F62" s="505">
        <f>F49</f>
        <v>77753</v>
      </c>
      <c r="G62" s="500">
        <f>G47*G50</f>
        <v>54027.699507517362</v>
      </c>
      <c r="H62" s="432">
        <f>H47*H50</f>
        <v>43222.159606013891</v>
      </c>
      <c r="I62" s="432">
        <f t="shared" ref="I62:M62" si="9">I47*I50</f>
        <v>38899.943645412503</v>
      </c>
      <c r="J62" s="432">
        <f t="shared" si="9"/>
        <v>35009.949280871253</v>
      </c>
      <c r="K62" s="432">
        <f t="shared" si="9"/>
        <v>36760.446744914821</v>
      </c>
      <c r="L62" s="432">
        <f t="shared" si="9"/>
        <v>39701.28248450801</v>
      </c>
      <c r="M62" s="501">
        <f t="shared" si="9"/>
        <v>42480.372258423573</v>
      </c>
    </row>
    <row r="63" spans="1:13" ht="39" customHeight="1">
      <c r="B63" s="498" t="s">
        <v>246</v>
      </c>
      <c r="C63" s="498"/>
      <c r="D63" s="434">
        <f>D62*(1-D59)</f>
        <v>-28883</v>
      </c>
      <c r="E63" s="434">
        <f>E62*(1-E59)</f>
        <v>31234</v>
      </c>
      <c r="F63" s="499">
        <f>F62*(1-F59)</f>
        <v>77753</v>
      </c>
      <c r="G63" s="500">
        <f>G62*(1-G59)</f>
        <v>39296.506959797676</v>
      </c>
      <c r="H63" s="432">
        <f>H62*(1-H59)</f>
        <v>31437.205567838144</v>
      </c>
      <c r="I63" s="432">
        <f t="shared" ref="I63:M63" si="10">I62*(1-I59)</f>
        <v>28293.48501105433</v>
      </c>
      <c r="J63" s="432">
        <f t="shared" si="10"/>
        <v>25464.136509948898</v>
      </c>
      <c r="K63" s="432">
        <f t="shared" si="10"/>
        <v>26737.343335446345</v>
      </c>
      <c r="L63" s="432">
        <f t="shared" si="10"/>
        <v>28876.330802282057</v>
      </c>
      <c r="M63" s="501">
        <f t="shared" si="10"/>
        <v>30897.673958441799</v>
      </c>
    </row>
    <row r="64" spans="1:13" ht="23.25" customHeight="1">
      <c r="B64" s="498"/>
      <c r="C64" s="498"/>
      <c r="D64" s="434"/>
      <c r="E64" s="434"/>
      <c r="F64" s="499"/>
      <c r="G64" s="498"/>
      <c r="H64" s="434"/>
      <c r="I64" s="434"/>
      <c r="J64" s="434"/>
      <c r="K64" s="434"/>
      <c r="L64" s="434"/>
      <c r="M64" s="499"/>
    </row>
    <row r="65" spans="1:16" ht="26.25" customHeight="1">
      <c r="B65" s="498" t="s">
        <v>242</v>
      </c>
      <c r="C65" s="498">
        <v>253018</v>
      </c>
      <c r="D65" s="430">
        <f>D52</f>
        <v>227553</v>
      </c>
      <c r="E65" s="430">
        <f>E52</f>
        <v>216552</v>
      </c>
      <c r="F65" s="505">
        <f>F52</f>
        <v>204692</v>
      </c>
      <c r="G65" s="500">
        <f t="shared" ref="G65:M65" si="11">G47*G53</f>
        <v>276521.18765047978</v>
      </c>
      <c r="H65" s="432">
        <f t="shared" si="11"/>
        <v>221216.95012038382</v>
      </c>
      <c r="I65" s="432">
        <f t="shared" si="11"/>
        <v>174184.96619918043</v>
      </c>
      <c r="J65" s="432">
        <f t="shared" si="11"/>
        <v>155312.56539357107</v>
      </c>
      <c r="K65" s="432">
        <f t="shared" si="11"/>
        <v>175993.25471906201</v>
      </c>
      <c r="L65" s="432">
        <f t="shared" si="11"/>
        <v>186791.7395298394</v>
      </c>
      <c r="M65" s="501">
        <f t="shared" si="11"/>
        <v>195478.85647640325</v>
      </c>
    </row>
    <row r="66" spans="1:16" ht="29.25" customHeight="1">
      <c r="A66" s="61"/>
      <c r="B66" s="498" t="s">
        <v>247</v>
      </c>
      <c r="C66" s="498"/>
      <c r="D66" s="430">
        <f>D65-C65</f>
        <v>-25465</v>
      </c>
      <c r="E66" s="430">
        <f>E65-D65</f>
        <v>-11001</v>
      </c>
      <c r="F66" s="505">
        <f>F65-E65</f>
        <v>-11860</v>
      </c>
      <c r="G66" s="500">
        <f>G65-F65</f>
        <v>71829.187650479784</v>
      </c>
      <c r="H66" s="432">
        <f>H65-G65</f>
        <v>-55304.237530095968</v>
      </c>
      <c r="I66" s="432">
        <f t="shared" ref="I66:M66" si="12">I65-H65</f>
        <v>-47031.983921203384</v>
      </c>
      <c r="J66" s="432">
        <f t="shared" si="12"/>
        <v>-18872.400805609359</v>
      </c>
      <c r="K66" s="432">
        <f t="shared" si="12"/>
        <v>20680.689325490937</v>
      </c>
      <c r="L66" s="432">
        <f t="shared" si="12"/>
        <v>10798.484810777387</v>
      </c>
      <c r="M66" s="501">
        <f t="shared" si="12"/>
        <v>8687.1169465638523</v>
      </c>
    </row>
    <row r="67" spans="1:16" ht="24" customHeight="1">
      <c r="A67" s="61"/>
      <c r="B67" s="498"/>
      <c r="C67" s="498"/>
      <c r="D67" s="434"/>
      <c r="E67" s="430"/>
      <c r="F67" s="505"/>
      <c r="G67" s="500"/>
      <c r="H67" s="432"/>
      <c r="I67" s="432"/>
      <c r="J67" s="432"/>
      <c r="K67" s="432"/>
      <c r="L67" s="432"/>
      <c r="M67" s="501"/>
    </row>
    <row r="68" spans="1:16" ht="27" customHeight="1">
      <c r="A68" s="61"/>
      <c r="B68" s="498" t="s">
        <v>41</v>
      </c>
      <c r="C68" s="504">
        <f>I39</f>
        <v>-13937</v>
      </c>
      <c r="D68" s="430">
        <f>D55</f>
        <v>-2289</v>
      </c>
      <c r="E68" s="430">
        <f>E55</f>
        <v>2511</v>
      </c>
      <c r="F68" s="505">
        <f>F55</f>
        <v>28586</v>
      </c>
      <c r="G68" s="500">
        <f>G47*G56</f>
        <v>7201.4600792732717</v>
      </c>
      <c r="H68" s="432">
        <f t="shared" ref="H68:M68" si="13">H47*H56</f>
        <v>5761.1680634186177</v>
      </c>
      <c r="I68" s="432">
        <f t="shared" si="13"/>
        <v>5185.0512570767569</v>
      </c>
      <c r="J68" s="432">
        <f t="shared" si="13"/>
        <v>4666.5461313690812</v>
      </c>
      <c r="K68" s="432">
        <f t="shared" si="13"/>
        <v>4899.8734379375355</v>
      </c>
      <c r="L68" s="432">
        <f t="shared" si="13"/>
        <v>5291.8633129725386</v>
      </c>
      <c r="M68" s="501">
        <f t="shared" si="13"/>
        <v>5662.293744880616</v>
      </c>
      <c r="N68" s="61"/>
      <c r="O68" s="61"/>
      <c r="P68" s="61"/>
    </row>
    <row r="69" spans="1:16" s="61" customFormat="1" ht="37" customHeight="1">
      <c r="A69"/>
      <c r="B69" s="498" t="s">
        <v>248</v>
      </c>
      <c r="C69" s="498"/>
      <c r="D69" s="430">
        <f t="shared" ref="D69:M69" si="14">D68-C68</f>
        <v>11648</v>
      </c>
      <c r="E69" s="430">
        <f t="shared" si="14"/>
        <v>4800</v>
      </c>
      <c r="F69" s="505">
        <f t="shared" si="14"/>
        <v>26075</v>
      </c>
      <c r="G69" s="504">
        <f t="shared" si="14"/>
        <v>-21384.539920726729</v>
      </c>
      <c r="H69" s="430">
        <f t="shared" si="14"/>
        <v>-1440.292015854654</v>
      </c>
      <c r="I69" s="430">
        <f t="shared" si="14"/>
        <v>-576.11680634186087</v>
      </c>
      <c r="J69" s="430">
        <f t="shared" si="14"/>
        <v>-518.50512570767569</v>
      </c>
      <c r="K69" s="430">
        <f t="shared" si="14"/>
        <v>233.32730656845433</v>
      </c>
      <c r="L69" s="430">
        <f t="shared" si="14"/>
        <v>391.98987503500302</v>
      </c>
      <c r="M69" s="505">
        <f t="shared" si="14"/>
        <v>370.43043190807748</v>
      </c>
    </row>
    <row r="70" spans="1:16" s="61" customFormat="1" ht="23.25" customHeight="1" thickBot="1">
      <c r="A70"/>
      <c r="B70" s="498"/>
      <c r="C70" s="498"/>
      <c r="D70" s="430"/>
      <c r="E70" s="430"/>
      <c r="F70" s="505"/>
      <c r="G70" s="504"/>
      <c r="H70" s="430"/>
      <c r="I70" s="430"/>
      <c r="J70" s="430"/>
      <c r="K70" s="430"/>
      <c r="L70" s="430"/>
      <c r="M70" s="505"/>
    </row>
    <row r="71" spans="1:16" s="61" customFormat="1" ht="24.75" customHeight="1" thickBot="1">
      <c r="A71"/>
      <c r="B71" s="613" t="s">
        <v>249</v>
      </c>
      <c r="C71" s="613"/>
      <c r="D71" s="614">
        <f>D63-D66-D69</f>
        <v>-15066</v>
      </c>
      <c r="E71" s="614">
        <f t="shared" ref="E71:M71" si="15">E63-E66-E69</f>
        <v>37435</v>
      </c>
      <c r="F71" s="615">
        <f t="shared" si="15"/>
        <v>63538</v>
      </c>
      <c r="G71" s="616">
        <f t="shared" si="15"/>
        <v>-11148.140769955378</v>
      </c>
      <c r="H71" s="614">
        <f t="shared" si="15"/>
        <v>88181.73511378876</v>
      </c>
      <c r="I71" s="614">
        <f t="shared" si="15"/>
        <v>75901.585738599577</v>
      </c>
      <c r="J71" s="614">
        <f t="shared" si="15"/>
        <v>44855.042441265934</v>
      </c>
      <c r="K71" s="614">
        <f t="shared" si="15"/>
        <v>5823.3267033869533</v>
      </c>
      <c r="L71" s="614">
        <f t="shared" si="15"/>
        <v>17685.856116469666</v>
      </c>
      <c r="M71" s="615">
        <f t="shared" si="15"/>
        <v>21840.12657996987</v>
      </c>
    </row>
    <row r="72" spans="1:16" ht="24.75" customHeight="1" thickBot="1">
      <c r="E72" s="62"/>
      <c r="F72" s="62"/>
      <c r="G72" s="62"/>
      <c r="H72" s="62"/>
      <c r="I72" s="62"/>
      <c r="J72" s="62"/>
      <c r="K72" s="62"/>
      <c r="L72" s="62"/>
      <c r="M72" s="62"/>
    </row>
    <row r="73" spans="1:16" ht="24" customHeight="1" thickBot="1">
      <c r="B73" s="363"/>
      <c r="C73" s="468"/>
      <c r="M73" s="62"/>
    </row>
    <row r="74" spans="1:16" ht="24.75" customHeight="1">
      <c r="A74" s="61"/>
      <c r="B74" s="594" t="s">
        <v>250</v>
      </c>
      <c r="C74" s="622">
        <f>M71*(1+D79)/(D80-D79)</f>
        <v>349408.95612254372</v>
      </c>
      <c r="D74" s="61"/>
      <c r="M74" s="62"/>
    </row>
    <row r="75" spans="1:16" ht="23.25" customHeight="1" thickBot="1">
      <c r="B75" s="623" t="s">
        <v>251</v>
      </c>
      <c r="C75" s="624">
        <f>C74/M61</f>
        <v>1.3427887154087077</v>
      </c>
      <c r="M75" s="4"/>
    </row>
    <row r="76" spans="1:16" ht="24.75" customHeight="1" thickBot="1">
      <c r="B76" s="328"/>
      <c r="C76" s="329"/>
    </row>
    <row r="77" spans="1:16" s="61" customFormat="1" ht="25.5" customHeight="1">
      <c r="A77"/>
      <c r="B77"/>
      <c r="C77"/>
      <c r="D77"/>
      <c r="E77"/>
      <c r="F77"/>
      <c r="G77"/>
      <c r="H77"/>
      <c r="I77"/>
      <c r="J77"/>
      <c r="K77"/>
      <c r="L77"/>
      <c r="M77"/>
    </row>
    <row r="78" spans="1:16" ht="19" thickBot="1">
      <c r="M78" s="4"/>
      <c r="N78" s="4"/>
      <c r="O78" s="4"/>
    </row>
    <row r="79" spans="1:16" ht="26" thickBot="1">
      <c r="B79" s="603" t="s">
        <v>252</v>
      </c>
      <c r="C79" s="604"/>
      <c r="D79" s="605">
        <v>0.03</v>
      </c>
      <c r="F79" s="61"/>
      <c r="G79" s="61"/>
      <c r="H79" s="61"/>
      <c r="I79" s="61"/>
      <c r="J79" s="61"/>
      <c r="K79" s="61"/>
      <c r="L79" s="61"/>
      <c r="M79" s="4"/>
      <c r="O79" s="4"/>
    </row>
    <row r="80" spans="1:16" ht="26" thickBot="1">
      <c r="B80" s="498" t="s">
        <v>253</v>
      </c>
      <c r="C80" s="404"/>
      <c r="D80" s="606">
        <v>9.4381092651441553E-2</v>
      </c>
      <c r="F80" s="61"/>
      <c r="G80" s="61"/>
      <c r="H80" s="644" t="s">
        <v>254</v>
      </c>
      <c r="I80" s="645"/>
      <c r="J80" s="61"/>
      <c r="K80" s="61"/>
      <c r="L80" s="61"/>
      <c r="M80" s="4"/>
      <c r="O80" s="4"/>
    </row>
    <row r="81" spans="2:15" ht="26" thickBot="1">
      <c r="B81" s="498"/>
      <c r="C81" s="404"/>
      <c r="D81" s="607"/>
      <c r="F81" s="61"/>
      <c r="G81" s="61"/>
      <c r="H81" s="61"/>
      <c r="I81" s="61"/>
      <c r="J81" s="61"/>
      <c r="K81" s="61"/>
      <c r="L81" s="61"/>
      <c r="M81" s="4"/>
      <c r="N81" s="4"/>
      <c r="O81" s="4"/>
    </row>
    <row r="82" spans="2:15" ht="25">
      <c r="B82" s="498" t="s">
        <v>255</v>
      </c>
      <c r="C82" s="404"/>
      <c r="D82" s="612">
        <f>C74/(1+D80)^7</f>
        <v>185846.31918318901</v>
      </c>
      <c r="F82" s="646">
        <f>D89</f>
        <v>93.399401105102214</v>
      </c>
      <c r="G82" s="674">
        <v>0.03</v>
      </c>
      <c r="H82" s="675">
        <v>3.5000000000000003E-2</v>
      </c>
      <c r="I82" s="674">
        <v>0.04</v>
      </c>
      <c r="J82" s="675">
        <v>4.4999999999999998E-2</v>
      </c>
      <c r="K82" s="674">
        <v>0.05</v>
      </c>
      <c r="L82" s="676">
        <v>5.5E-2</v>
      </c>
      <c r="M82" s="4"/>
      <c r="N82" s="4"/>
      <c r="O82" s="4"/>
    </row>
    <row r="83" spans="2:15" ht="25">
      <c r="B83" s="608" t="s">
        <v>256</v>
      </c>
      <c r="C83" s="404"/>
      <c r="D83" s="612">
        <f>NPV(D80,D71:M71)</f>
        <v>201954.64571015662</v>
      </c>
      <c r="F83" s="640">
        <v>0.08</v>
      </c>
      <c r="G83" s="650">
        <f t="dataTable" ref="G83:L89" dt2D="1" dtr="1" r1="D79" r2="D80"/>
        <v>115.83719261380568</v>
      </c>
      <c r="H83" s="651">
        <v>123.3591822394161</v>
      </c>
      <c r="I83" s="651">
        <v>132.7616692714291</v>
      </c>
      <c r="J83" s="651">
        <v>144.85058116973156</v>
      </c>
      <c r="K83" s="651">
        <v>160.96913036746821</v>
      </c>
      <c r="L83" s="652">
        <v>183.53509924429946</v>
      </c>
      <c r="N83" s="4"/>
      <c r="O83" s="4"/>
    </row>
    <row r="84" spans="2:15" ht="25">
      <c r="B84" s="608" t="s">
        <v>257</v>
      </c>
      <c r="C84" s="404"/>
      <c r="D84" s="609">
        <f>SUM(D82,D83)</f>
        <v>387800.9648933456</v>
      </c>
      <c r="F84" s="641">
        <v>8.5000000000000006E-2</v>
      </c>
      <c r="G84" s="653">
        <v>106.81750076651532</v>
      </c>
      <c r="H84" s="654">
        <v>112.80363785233664</v>
      </c>
      <c r="I84" s="654">
        <v>120.12002762389602</v>
      </c>
      <c r="J84" s="654">
        <v>129.26551483834524</v>
      </c>
      <c r="K84" s="654">
        <v>141.02399839977997</v>
      </c>
      <c r="L84" s="655">
        <v>156.7019764816929</v>
      </c>
      <c r="N84" s="4"/>
      <c r="O84" s="4"/>
    </row>
    <row r="85" spans="2:15" ht="25">
      <c r="B85" s="608" t="s">
        <v>136</v>
      </c>
      <c r="C85" s="404"/>
      <c r="D85" s="610">
        <v>37567</v>
      </c>
      <c r="F85" s="640">
        <v>0.09</v>
      </c>
      <c r="G85" s="653">
        <v>99.189858201583803</v>
      </c>
      <c r="H85" s="654">
        <v>104.04257395772203</v>
      </c>
      <c r="I85" s="654">
        <v>109.86583286508794</v>
      </c>
      <c r="J85" s="654">
        <v>116.98314930742401</v>
      </c>
      <c r="K85" s="654">
        <v>125.87979486034413</v>
      </c>
      <c r="L85" s="655">
        <v>137.31833914266997</v>
      </c>
      <c r="N85" s="4"/>
      <c r="O85" s="4"/>
    </row>
    <row r="86" spans="2:15" ht="24" customHeight="1">
      <c r="B86" s="608" t="s">
        <v>263</v>
      </c>
      <c r="C86" s="404"/>
      <c r="D86" s="609">
        <v>29528</v>
      </c>
      <c r="F86" s="642">
        <v>9.4399999999999998E-2</v>
      </c>
      <c r="G86" s="656">
        <v>93.375960742859419</v>
      </c>
      <c r="H86" s="654">
        <v>97.46224865119315</v>
      </c>
      <c r="I86" s="654">
        <v>102.29969242502942</v>
      </c>
      <c r="J86" s="654">
        <v>108.11637582919688</v>
      </c>
      <c r="K86" s="654">
        <v>115.24312306313185</v>
      </c>
      <c r="L86" s="655">
        <v>124.17868939197412</v>
      </c>
    </row>
    <row r="87" spans="2:15" ht="25">
      <c r="B87" s="608" t="s">
        <v>258</v>
      </c>
      <c r="C87" s="404"/>
      <c r="D87" s="609">
        <f>D84-D85+D86</f>
        <v>379761.9648933456</v>
      </c>
      <c r="F87" s="640">
        <v>0.1</v>
      </c>
      <c r="G87" s="653">
        <v>86.937627891447178</v>
      </c>
      <c r="H87" s="654">
        <v>90.269514964485865</v>
      </c>
      <c r="I87" s="654">
        <v>94.156716549697691</v>
      </c>
      <c r="J87" s="654">
        <v>98.750682059493457</v>
      </c>
      <c r="K87" s="654">
        <v>104.26344067124839</v>
      </c>
      <c r="L87" s="655">
        <v>111.00125675228219</v>
      </c>
    </row>
    <row r="88" spans="2:15" ht="25">
      <c r="B88" s="608" t="s">
        <v>259</v>
      </c>
      <c r="C88" s="404"/>
      <c r="D88" s="609">
        <v>4066</v>
      </c>
      <c r="F88" s="641">
        <v>0.105</v>
      </c>
      <c r="G88" s="653">
        <v>81.921368117154401</v>
      </c>
      <c r="H88" s="654">
        <v>84.731487752940438</v>
      </c>
      <c r="I88" s="654">
        <v>87.973933486539721</v>
      </c>
      <c r="J88" s="654">
        <v>91.756786842405546</v>
      </c>
      <c r="K88" s="654">
        <v>96.227431717519707</v>
      </c>
      <c r="L88" s="655">
        <v>101.59220556765671</v>
      </c>
    </row>
    <row r="89" spans="2:15" ht="25">
      <c r="B89" s="611" t="s">
        <v>260</v>
      </c>
      <c r="C89" s="191"/>
      <c r="D89" s="626">
        <f>D87/D88</f>
        <v>93.399401105102214</v>
      </c>
      <c r="F89" s="643">
        <v>0.11</v>
      </c>
      <c r="G89" s="657">
        <v>77.465123178080347</v>
      </c>
      <c r="H89" s="658">
        <v>79.858266220997237</v>
      </c>
      <c r="I89" s="658">
        <v>82.593286841473699</v>
      </c>
      <c r="J89" s="658">
        <v>85.749079865100384</v>
      </c>
      <c r="K89" s="658">
        <v>89.430838392664853</v>
      </c>
      <c r="L89" s="659">
        <v>93.782007561604658</v>
      </c>
    </row>
    <row r="90" spans="2:15" ht="25">
      <c r="B90" s="255"/>
      <c r="C90" s="255"/>
      <c r="D90" s="255"/>
      <c r="F90" s="61"/>
      <c r="G90" s="61"/>
      <c r="H90" s="61"/>
      <c r="I90" s="61"/>
      <c r="J90" s="61"/>
      <c r="K90" s="61"/>
      <c r="L90" s="6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1:AC78"/>
  <sheetViews>
    <sheetView zoomScale="69" workbookViewId="0">
      <selection activeCell="C7" sqref="C7"/>
    </sheetView>
  </sheetViews>
  <sheetFormatPr baseColWidth="10" defaultColWidth="12.6640625" defaultRowHeight="15.75" customHeight="1"/>
  <cols>
    <col min="2" max="2" width="49.33203125" customWidth="1"/>
    <col min="3" max="3" width="26.5" customWidth="1"/>
    <col min="4" max="4" width="26" customWidth="1"/>
    <col min="5" max="5" width="25.6640625" customWidth="1"/>
    <col min="11" max="11" width="44.83203125" customWidth="1"/>
    <col min="12" max="12" width="16.5" customWidth="1"/>
    <col min="19" max="19" width="40.83203125" customWidth="1"/>
    <col min="20" max="20" width="12.83203125" bestFit="1" customWidth="1"/>
    <col min="26" max="26" width="38.33203125" customWidth="1"/>
  </cols>
  <sheetData>
    <row r="1" spans="2:29" ht="15.75" customHeight="1" thickBot="1"/>
    <row r="2" spans="2:29" ht="21" customHeight="1" thickBot="1">
      <c r="B2" s="225" t="s">
        <v>267</v>
      </c>
      <c r="C2" s="679" t="s">
        <v>70</v>
      </c>
      <c r="D2" s="679" t="s">
        <v>70</v>
      </c>
      <c r="E2" s="680" t="s">
        <v>70</v>
      </c>
    </row>
    <row r="3" spans="2:29" ht="21" customHeight="1" thickBot="1">
      <c r="B3" s="231" t="s">
        <v>196</v>
      </c>
      <c r="C3" s="690" t="s">
        <v>268</v>
      </c>
      <c r="D3" s="690" t="s">
        <v>177</v>
      </c>
      <c r="E3" s="691" t="s">
        <v>178</v>
      </c>
      <c r="S3" s="58"/>
      <c r="T3" s="74"/>
      <c r="U3" s="74"/>
      <c r="V3" s="74"/>
      <c r="Z3" s="74"/>
      <c r="AA3" s="74"/>
      <c r="AB3" s="74"/>
      <c r="AC3" s="74"/>
    </row>
    <row r="4" spans="2:29" ht="21" customHeight="1">
      <c r="B4" s="394" t="s">
        <v>70</v>
      </c>
      <c r="C4" s="443"/>
      <c r="D4" s="443" t="s">
        <v>70</v>
      </c>
      <c r="E4" s="681" t="s">
        <v>70</v>
      </c>
      <c r="S4" s="74"/>
      <c r="T4" s="75"/>
      <c r="U4" s="75"/>
      <c r="V4" s="75"/>
      <c r="Z4" s="74"/>
      <c r="AA4" s="639"/>
      <c r="AB4" s="639"/>
      <c r="AC4" s="639"/>
    </row>
    <row r="5" spans="2:29" ht="15.75" customHeight="1">
      <c r="B5" s="682" t="s">
        <v>183</v>
      </c>
      <c r="C5" s="694">
        <f>'COMPARABLE ANALYSIS'!I39</f>
        <v>29.961442688724805</v>
      </c>
      <c r="D5" s="694">
        <f>'COMPARABLE ANALYSIS'!J39</f>
        <v>54.914458402648442</v>
      </c>
      <c r="E5" s="695">
        <f>'COMPARABLE ANALYSIS'!K39</f>
        <v>75.657461413748948</v>
      </c>
      <c r="S5" s="74"/>
      <c r="T5" s="75"/>
      <c r="U5" s="75"/>
      <c r="V5" s="75"/>
      <c r="Z5" s="74"/>
      <c r="AA5" s="639"/>
      <c r="AB5" s="639"/>
      <c r="AC5" s="639"/>
    </row>
    <row r="6" spans="2:29" ht="15.75" customHeight="1">
      <c r="B6" s="682" t="s">
        <v>184</v>
      </c>
      <c r="C6" s="694">
        <f>'COMPARABLE ANALYSIS'!I40</f>
        <v>136.40171274452356</v>
      </c>
      <c r="D6" s="694">
        <f>'COMPARABLE ANALYSIS'!J40</f>
        <v>98.898913381233854</v>
      </c>
      <c r="E6" s="695">
        <f>'COMPARABLE ANALYSIS'!K40</f>
        <v>97.186855329810143</v>
      </c>
      <c r="S6" s="74"/>
      <c r="T6" s="639"/>
      <c r="U6" s="75"/>
      <c r="V6" s="75"/>
      <c r="Z6" s="74"/>
      <c r="AA6" s="639"/>
      <c r="AB6" s="639"/>
      <c r="AC6" s="639"/>
    </row>
    <row r="7" spans="2:29" ht="24" customHeight="1" thickBot="1">
      <c r="B7" s="683" t="s">
        <v>185</v>
      </c>
      <c r="C7" s="696">
        <f>'COMPARABLE ANALYSIS'!I41</f>
        <v>246.9585072052929</v>
      </c>
      <c r="D7" s="696">
        <f>'COMPARABLE ANALYSIS'!J41</f>
        <v>126.11777077823291</v>
      </c>
      <c r="E7" s="697">
        <f>'COMPARABLE ANALYSIS'!K41</f>
        <v>108.6798300112625</v>
      </c>
      <c r="U7" s="75"/>
      <c r="AA7" s="639"/>
      <c r="AB7" s="639"/>
      <c r="AC7" s="639"/>
    </row>
    <row r="8" spans="2:29" ht="15.75" customHeight="1">
      <c r="B8" s="73"/>
      <c r="C8" s="698"/>
      <c r="D8" s="698"/>
      <c r="E8" s="698"/>
      <c r="S8" s="74"/>
      <c r="T8" s="75"/>
      <c r="U8" s="75"/>
      <c r="V8" s="75"/>
      <c r="Z8" s="74"/>
      <c r="AA8" s="639"/>
      <c r="AB8" s="639"/>
      <c r="AC8" s="639"/>
    </row>
    <row r="9" spans="2:29" ht="15.75" customHeight="1" thickBot="1">
      <c r="B9" s="73"/>
      <c r="C9" s="73"/>
      <c r="D9" s="73"/>
      <c r="E9" s="73"/>
      <c r="S9" s="74"/>
      <c r="T9" s="639"/>
      <c r="U9" s="639"/>
      <c r="V9" s="639"/>
      <c r="Z9" s="74"/>
      <c r="AA9" s="639"/>
      <c r="AB9" s="639"/>
      <c r="AC9" s="639"/>
    </row>
    <row r="10" spans="2:29" ht="21.75" customHeight="1" thickBot="1">
      <c r="B10" s="231" t="s">
        <v>275</v>
      </c>
      <c r="C10" s="230" t="s">
        <v>70</v>
      </c>
      <c r="D10" s="230" t="s">
        <v>70</v>
      </c>
      <c r="E10" s="232" t="s">
        <v>70</v>
      </c>
      <c r="S10" s="74"/>
      <c r="T10" s="639"/>
      <c r="U10" s="76"/>
      <c r="V10" s="76"/>
      <c r="Z10" s="74"/>
      <c r="AA10" s="639"/>
      <c r="AB10" s="639"/>
      <c r="AC10" s="639"/>
    </row>
    <row r="11" spans="2:29" ht="21" customHeight="1" thickBot="1">
      <c r="B11" s="227" t="s">
        <v>196</v>
      </c>
      <c r="C11" s="692" t="s">
        <v>268</v>
      </c>
      <c r="D11" s="692" t="s">
        <v>177</v>
      </c>
      <c r="E11" s="693" t="s">
        <v>178</v>
      </c>
      <c r="AA11" s="639"/>
      <c r="AB11" s="639"/>
      <c r="AC11" s="639"/>
    </row>
    <row r="12" spans="2:29" ht="21" customHeight="1">
      <c r="B12" s="682" t="s">
        <v>70</v>
      </c>
      <c r="C12" s="684"/>
      <c r="D12" s="684" t="s">
        <v>70</v>
      </c>
      <c r="E12" s="685" t="s">
        <v>70</v>
      </c>
      <c r="S12" s="74"/>
      <c r="T12" s="82"/>
      <c r="U12" s="82"/>
      <c r="V12" s="82"/>
      <c r="Z12" s="74"/>
      <c r="AA12" s="639"/>
      <c r="AB12" s="639"/>
      <c r="AC12" s="639"/>
    </row>
    <row r="13" spans="2:29" ht="21" customHeight="1">
      <c r="B13" s="682" t="s">
        <v>183</v>
      </c>
      <c r="C13" s="699">
        <f>'PRECEDENT TRANSACTION'!B29</f>
        <v>57.04912052456443</v>
      </c>
      <c r="D13" s="699">
        <f>'PRECEDENT TRANSACTION'!C29</f>
        <v>50.193978784896196</v>
      </c>
      <c r="E13" s="700">
        <f>'PRECEDENT TRANSACTION'!D29</f>
        <v>6.3642015267424776</v>
      </c>
    </row>
    <row r="14" spans="2:29" ht="21" customHeight="1">
      <c r="B14" s="682" t="s">
        <v>184</v>
      </c>
      <c r="C14" s="699">
        <f>'PRECEDENT TRANSACTION'!B30</f>
        <v>199.22403299064268</v>
      </c>
      <c r="D14" s="699">
        <f>'PRECEDENT TRANSACTION'!C30</f>
        <v>142.23953815899219</v>
      </c>
      <c r="E14" s="700">
        <f>'PRECEDENT TRANSACTION'!D30</f>
        <v>79.708672285365623</v>
      </c>
      <c r="S14" s="74"/>
      <c r="T14" s="74"/>
      <c r="U14" s="74"/>
      <c r="V14" s="74"/>
    </row>
    <row r="15" spans="2:29" ht="21" customHeight="1" thickBot="1">
      <c r="B15" s="683" t="s">
        <v>185</v>
      </c>
      <c r="C15" s="701">
        <f>'PRECEDENT TRANSACTION'!B31</f>
        <v>341.39894545672092</v>
      </c>
      <c r="D15" s="701">
        <f>'PRECEDENT TRANSACTION'!C31</f>
        <v>234.28509753308816</v>
      </c>
      <c r="E15" s="702">
        <f>'PRECEDENT TRANSACTION'!D31</f>
        <v>153.0531430439888</v>
      </c>
      <c r="T15" s="74"/>
      <c r="U15" s="74"/>
      <c r="V15" s="74"/>
    </row>
    <row r="16" spans="2:29" ht="15.75" customHeight="1">
      <c r="B16" s="73"/>
      <c r="C16" s="73"/>
      <c r="D16" s="73"/>
      <c r="E16" s="73"/>
      <c r="S16" s="74"/>
      <c r="T16" s="74"/>
      <c r="U16" s="74"/>
      <c r="V16" s="74"/>
    </row>
    <row r="17" spans="2:22" ht="15.75" customHeight="1" thickBot="1">
      <c r="B17" s="73"/>
      <c r="C17" s="677"/>
      <c r="D17" s="677"/>
      <c r="E17" s="677"/>
      <c r="S17" s="74"/>
      <c r="T17" s="75"/>
      <c r="U17" s="75"/>
      <c r="V17" s="75"/>
    </row>
    <row r="18" spans="2:22" ht="21.75" customHeight="1" thickBot="1">
      <c r="B18" s="686" t="s">
        <v>70</v>
      </c>
      <c r="C18" s="690" t="s">
        <v>269</v>
      </c>
      <c r="D18" s="690" t="s">
        <v>270</v>
      </c>
      <c r="E18" s="691" t="s">
        <v>271</v>
      </c>
      <c r="S18" s="74"/>
      <c r="T18" s="75"/>
      <c r="U18" s="75"/>
      <c r="V18" s="75"/>
    </row>
    <row r="19" spans="2:22" ht="21" customHeight="1">
      <c r="B19" s="687" t="s">
        <v>272</v>
      </c>
      <c r="C19" s="694">
        <f>C5</f>
        <v>29.961442688724805</v>
      </c>
      <c r="D19" s="694">
        <f>C6</f>
        <v>136.40171274452356</v>
      </c>
      <c r="E19" s="703">
        <f>C7</f>
        <v>246.9585072052929</v>
      </c>
      <c r="S19" s="74"/>
      <c r="T19" s="75"/>
      <c r="U19" s="75"/>
      <c r="V19" s="75"/>
    </row>
    <row r="20" spans="2:22" ht="15.75" customHeight="1">
      <c r="B20" s="687" t="s">
        <v>70</v>
      </c>
      <c r="C20" s="694"/>
      <c r="D20" s="694"/>
      <c r="E20" s="703"/>
      <c r="S20" s="74"/>
      <c r="T20" s="75"/>
      <c r="U20" s="75"/>
      <c r="V20" s="75"/>
    </row>
    <row r="21" spans="2:22" ht="21" customHeight="1">
      <c r="B21" s="687" t="s">
        <v>273</v>
      </c>
      <c r="C21" s="694">
        <f>D5</f>
        <v>54.914458402648442</v>
      </c>
      <c r="D21" s="694">
        <f>D6</f>
        <v>98.898913381233854</v>
      </c>
      <c r="E21" s="703">
        <f>D7</f>
        <v>126.11777077823291</v>
      </c>
      <c r="S21" s="74"/>
      <c r="T21" s="75"/>
      <c r="U21" s="75"/>
      <c r="V21" s="75"/>
    </row>
    <row r="22" spans="2:22" ht="15.75" customHeight="1">
      <c r="B22" s="488"/>
      <c r="C22" s="694"/>
      <c r="D22" s="694"/>
      <c r="E22" s="704"/>
      <c r="S22" s="74" t="s">
        <v>70</v>
      </c>
      <c r="T22" s="75"/>
      <c r="U22" s="75"/>
      <c r="V22" s="74"/>
    </row>
    <row r="23" spans="2:22" ht="21" customHeight="1">
      <c r="B23" s="687" t="s">
        <v>274</v>
      </c>
      <c r="C23" s="694">
        <f>C13</f>
        <v>57.04912052456443</v>
      </c>
      <c r="D23" s="694">
        <f>C14</f>
        <v>199.22403299064268</v>
      </c>
      <c r="E23" s="703">
        <f>C15</f>
        <v>341.39894545672092</v>
      </c>
      <c r="S23" s="74"/>
      <c r="T23" s="75"/>
      <c r="U23" s="75"/>
      <c r="V23" s="75"/>
    </row>
    <row r="24" spans="2:22" ht="15.75" customHeight="1">
      <c r="B24" s="687" t="s">
        <v>70</v>
      </c>
      <c r="C24" s="705"/>
      <c r="D24" s="705"/>
      <c r="E24" s="704"/>
    </row>
    <row r="25" spans="2:22" ht="21" customHeight="1">
      <c r="B25" s="687" t="s">
        <v>276</v>
      </c>
      <c r="C25" s="699">
        <f>D13</f>
        <v>50.193978784896196</v>
      </c>
      <c r="D25" s="699">
        <f>D14</f>
        <v>142.23953815899219</v>
      </c>
      <c r="E25" s="706">
        <f>D15</f>
        <v>234.28509753308816</v>
      </c>
      <c r="O25" s="75"/>
      <c r="T25" s="82"/>
      <c r="U25" s="75"/>
      <c r="V25" s="75"/>
    </row>
    <row r="26" spans="2:22" ht="15.75" customHeight="1">
      <c r="B26" s="488"/>
      <c r="C26" s="705"/>
      <c r="D26" s="705"/>
      <c r="E26" s="704"/>
    </row>
    <row r="27" spans="2:22" ht="21" customHeight="1" thickBot="1">
      <c r="B27" s="688" t="s">
        <v>277</v>
      </c>
      <c r="C27" s="707">
        <f>C77</f>
        <v>93.399401105102214</v>
      </c>
      <c r="D27" s="707">
        <f>C75</f>
        <v>142.53485572450458</v>
      </c>
      <c r="E27" s="708">
        <f>C76</f>
        <v>200.84398247483497</v>
      </c>
    </row>
    <row r="28" spans="2:22" ht="15.75" customHeight="1" thickBot="1">
      <c r="B28" s="677"/>
      <c r="C28" s="678"/>
      <c r="D28" s="678"/>
      <c r="E28" s="678"/>
    </row>
    <row r="29" spans="2:22" ht="21" customHeight="1" thickBot="1">
      <c r="B29" s="231"/>
      <c r="C29" s="690" t="s">
        <v>269</v>
      </c>
      <c r="D29" s="690" t="s">
        <v>278</v>
      </c>
      <c r="E29" s="691" t="s">
        <v>279</v>
      </c>
    </row>
    <row r="30" spans="2:22" ht="15.75" customHeight="1">
      <c r="B30" s="687" t="s">
        <v>70</v>
      </c>
      <c r="C30" s="684"/>
      <c r="D30" s="684"/>
      <c r="E30" s="689"/>
    </row>
    <row r="31" spans="2:22" ht="21" customHeight="1">
      <c r="B31" s="687" t="s">
        <v>272</v>
      </c>
      <c r="C31" s="694">
        <f>C19</f>
        <v>29.961442688724805</v>
      </c>
      <c r="D31" s="694">
        <f>D19-C31</f>
        <v>106.44027005579876</v>
      </c>
      <c r="E31" s="703">
        <f>E19-D31</f>
        <v>140.51823714949415</v>
      </c>
    </row>
    <row r="32" spans="2:22" ht="15.75" customHeight="1">
      <c r="B32" s="687" t="s">
        <v>70</v>
      </c>
      <c r="C32" s="694"/>
      <c r="D32" s="694"/>
      <c r="E32" s="709"/>
    </row>
    <row r="33" spans="2:5" ht="21.75" customHeight="1">
      <c r="B33" s="687" t="s">
        <v>273</v>
      </c>
      <c r="C33" s="694">
        <f>C21</f>
        <v>54.914458402648442</v>
      </c>
      <c r="D33" s="694">
        <f>D21-C33</f>
        <v>43.984454978585411</v>
      </c>
      <c r="E33" s="703">
        <f>E21-D33</f>
        <v>82.133315799647505</v>
      </c>
    </row>
    <row r="34" spans="2:5" ht="15.75" customHeight="1">
      <c r="B34" s="687"/>
      <c r="C34" s="694"/>
      <c r="D34" s="694"/>
      <c r="E34" s="709"/>
    </row>
    <row r="35" spans="2:5" ht="21" customHeight="1">
      <c r="B35" s="687" t="s">
        <v>274</v>
      </c>
      <c r="C35" s="694">
        <f>C23</f>
        <v>57.04912052456443</v>
      </c>
      <c r="D35" s="694">
        <f>D23-C35</f>
        <v>142.17491246607824</v>
      </c>
      <c r="E35" s="703">
        <f>E23-D35</f>
        <v>199.22403299064268</v>
      </c>
    </row>
    <row r="36" spans="2:5" ht="15.75" customHeight="1">
      <c r="B36" s="687" t="s">
        <v>70</v>
      </c>
      <c r="C36" s="694"/>
      <c r="D36" s="694"/>
      <c r="E36" s="709"/>
    </row>
    <row r="37" spans="2:5" ht="21" customHeight="1">
      <c r="B37" s="687" t="s">
        <v>276</v>
      </c>
      <c r="C37" s="694">
        <f>C25</f>
        <v>50.193978784896196</v>
      </c>
      <c r="D37" s="694">
        <f>D25-C37</f>
        <v>92.045559374096001</v>
      </c>
      <c r="E37" s="703">
        <f>E25-D37</f>
        <v>142.23953815899216</v>
      </c>
    </row>
    <row r="38" spans="2:5" ht="15.75" customHeight="1">
      <c r="B38" s="488"/>
      <c r="C38" s="705"/>
      <c r="D38" s="705"/>
      <c r="E38" s="704"/>
    </row>
    <row r="39" spans="2:5" ht="21" customHeight="1" thickBot="1">
      <c r="B39" s="688" t="s">
        <v>277</v>
      </c>
      <c r="C39" s="707">
        <f>C27</f>
        <v>93.399401105102214</v>
      </c>
      <c r="D39" s="710">
        <f>D27-C39</f>
        <v>49.135454619402367</v>
      </c>
      <c r="E39" s="711">
        <f>E27-D39</f>
        <v>151.70852785543261</v>
      </c>
    </row>
    <row r="42" spans="2:5" ht="21.75" customHeight="1"/>
    <row r="43" spans="2:5" ht="21" customHeight="1">
      <c r="B43" s="73" t="s">
        <v>290</v>
      </c>
    </row>
    <row r="60" spans="2:12" ht="15.75" customHeight="1" thickBot="1"/>
    <row r="61" spans="2:12" ht="24" customHeight="1" thickBot="1">
      <c r="B61" s="83" t="s">
        <v>280</v>
      </c>
      <c r="C61" s="84" t="s">
        <v>281</v>
      </c>
      <c r="K61" s="74"/>
      <c r="L61" s="74"/>
    </row>
    <row r="66" spans="2:3" ht="15.75" customHeight="1">
      <c r="B66" s="58"/>
      <c r="C66" s="58"/>
    </row>
    <row r="67" spans="2:3" ht="15.75" customHeight="1">
      <c r="B67" s="58"/>
      <c r="C67" s="58"/>
    </row>
    <row r="69" spans="2:3" ht="15.75" customHeight="1">
      <c r="B69" s="74" t="s">
        <v>282</v>
      </c>
      <c r="C69" s="74">
        <v>108.99</v>
      </c>
    </row>
    <row r="70" spans="2:3" ht="15.75" customHeight="1">
      <c r="B70" s="58"/>
      <c r="C70" s="74"/>
    </row>
    <row r="71" spans="2:3" ht="15.75" customHeight="1">
      <c r="B71" s="58" t="s">
        <v>283</v>
      </c>
      <c r="C71" s="76">
        <f>'COMPARABLE ANALYSIS'!I40</f>
        <v>136.40171274452356</v>
      </c>
    </row>
    <row r="72" spans="2:3" ht="15.75" customHeight="1">
      <c r="B72" s="58" t="s">
        <v>284</v>
      </c>
      <c r="C72" s="76">
        <f>'COMPARABLE ANALYSIS'!K40</f>
        <v>97.186855329810143</v>
      </c>
    </row>
    <row r="73" spans="2:3" ht="15.75" customHeight="1">
      <c r="B73" s="58" t="s">
        <v>285</v>
      </c>
      <c r="C73" s="76">
        <f>'PRECEDENT TRANSACTION'!B30</f>
        <v>199.22403299064268</v>
      </c>
    </row>
    <row r="74" spans="2:3" ht="15.75" customHeight="1">
      <c r="B74" s="58" t="s">
        <v>286</v>
      </c>
      <c r="C74" s="76">
        <f>'PRECEDENT TRANSACTION'!D30</f>
        <v>79.708672285365623</v>
      </c>
    </row>
    <row r="75" spans="2:3" ht="15.75" customHeight="1">
      <c r="B75" s="58" t="s">
        <v>287</v>
      </c>
      <c r="C75" s="82">
        <f>'DCF BASELINE'!D93</f>
        <v>142.53485572450458</v>
      </c>
    </row>
    <row r="76" spans="2:3" ht="15.75" customHeight="1">
      <c r="B76" s="58" t="s">
        <v>288</v>
      </c>
      <c r="C76" s="82">
        <f>'DCF OPTIMISM '!D91</f>
        <v>200.84398247483497</v>
      </c>
    </row>
    <row r="77" spans="2:3" ht="15.75" customHeight="1">
      <c r="B77" s="58" t="s">
        <v>289</v>
      </c>
      <c r="C77" s="82">
        <f>'DCF PESSIMISM'!D89</f>
        <v>93.399401105102214</v>
      </c>
    </row>
    <row r="78" spans="2:3" ht="15.75" customHeight="1">
      <c r="B78" s="58"/>
      <c r="C78" s="58"/>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9BD9-63DF-EB42-AB08-9158501D03D0}">
  <dimension ref="D4:AL20"/>
  <sheetViews>
    <sheetView topLeftCell="X1" workbookViewId="0">
      <selection activeCell="AH29" sqref="AH29:AH30"/>
    </sheetView>
  </sheetViews>
  <sheetFormatPr baseColWidth="10" defaultRowHeight="13"/>
  <cols>
    <col min="4" max="4" width="10.83203125" customWidth="1"/>
  </cols>
  <sheetData>
    <row r="4" spans="4:38">
      <c r="D4" s="722"/>
      <c r="E4" s="722"/>
      <c r="F4" s="722"/>
      <c r="G4" s="722"/>
      <c r="H4" s="722"/>
      <c r="I4" s="722"/>
      <c r="J4" s="722"/>
      <c r="K4" s="722"/>
      <c r="L4" s="722"/>
      <c r="M4" s="722"/>
      <c r="N4" s="722"/>
      <c r="O4" s="722"/>
      <c r="P4" s="722"/>
      <c r="Q4" s="722"/>
      <c r="R4" s="722"/>
      <c r="S4" s="722"/>
      <c r="T4" s="722"/>
      <c r="U4" s="722"/>
      <c r="V4" s="722"/>
      <c r="W4" s="722"/>
      <c r="X4" s="722"/>
      <c r="Y4" s="722"/>
      <c r="Z4" s="722"/>
      <c r="AA4" s="722"/>
      <c r="AB4" s="722"/>
      <c r="AC4" s="722"/>
      <c r="AD4" s="722"/>
      <c r="AE4" s="722"/>
      <c r="AF4" s="722"/>
      <c r="AG4" s="722"/>
      <c r="AH4" s="722"/>
      <c r="AI4" s="722"/>
      <c r="AJ4" s="722"/>
      <c r="AK4" s="722"/>
      <c r="AL4" s="722"/>
    </row>
    <row r="5" spans="4:38">
      <c r="D5" s="722"/>
      <c r="E5" s="722"/>
      <c r="F5" s="722"/>
      <c r="G5" s="722"/>
      <c r="H5" s="722"/>
      <c r="I5" s="722"/>
      <c r="J5" s="722"/>
      <c r="K5" s="722"/>
      <c r="L5" s="722"/>
      <c r="M5" s="722"/>
      <c r="N5" s="722"/>
      <c r="O5" s="722"/>
      <c r="P5" s="722"/>
      <c r="Q5" s="722"/>
      <c r="R5" s="722"/>
      <c r="S5" s="722"/>
      <c r="T5" s="722"/>
      <c r="U5" s="722"/>
      <c r="V5" s="722"/>
      <c r="W5" s="722"/>
      <c r="X5" s="722"/>
      <c r="Y5" s="722"/>
      <c r="Z5" s="722"/>
      <c r="AA5" s="722"/>
      <c r="AB5" s="722"/>
      <c r="AC5" s="722"/>
      <c r="AD5" s="722"/>
      <c r="AE5" s="722"/>
      <c r="AF5" s="722"/>
      <c r="AG5" s="722"/>
      <c r="AH5" s="722"/>
      <c r="AI5" s="722"/>
      <c r="AJ5" s="722"/>
      <c r="AK5" s="722"/>
      <c r="AL5" s="722"/>
    </row>
    <row r="6" spans="4:38">
      <c r="D6" s="722"/>
      <c r="E6" s="722"/>
      <c r="F6" s="722"/>
      <c r="G6" s="722"/>
      <c r="H6" s="722"/>
      <c r="I6" s="722"/>
      <c r="J6" s="722"/>
      <c r="K6" s="722"/>
      <c r="L6" s="722"/>
      <c r="M6" s="722"/>
      <c r="N6" s="722"/>
      <c r="O6" s="722"/>
      <c r="P6" s="722"/>
      <c r="Q6" s="722"/>
      <c r="R6" s="722"/>
      <c r="S6" s="722"/>
      <c r="T6" s="722"/>
      <c r="U6" s="722"/>
      <c r="V6" s="722"/>
      <c r="W6" s="722"/>
      <c r="X6" s="722"/>
      <c r="Y6" s="722"/>
      <c r="Z6" s="722"/>
      <c r="AA6" s="722"/>
      <c r="AB6" s="722"/>
      <c r="AC6" s="722"/>
      <c r="AD6" s="722"/>
      <c r="AE6" s="722"/>
      <c r="AF6" s="722"/>
      <c r="AG6" s="722"/>
      <c r="AH6" s="722"/>
      <c r="AI6" s="722"/>
      <c r="AJ6" s="722"/>
      <c r="AK6" s="722"/>
      <c r="AL6" s="722"/>
    </row>
    <row r="7" spans="4:38" ht="18">
      <c r="D7" s="723" t="s">
        <v>291</v>
      </c>
      <c r="E7" s="722"/>
      <c r="F7" s="722"/>
      <c r="G7" s="722"/>
      <c r="H7" s="722"/>
      <c r="I7" s="722"/>
      <c r="J7" s="722"/>
      <c r="K7" s="722"/>
      <c r="L7" s="722"/>
      <c r="M7" s="722"/>
      <c r="N7" s="722"/>
      <c r="O7" s="722"/>
      <c r="P7" s="722"/>
      <c r="Q7" s="722"/>
      <c r="R7" s="722"/>
      <c r="S7" s="722"/>
      <c r="T7" s="722"/>
      <c r="U7" s="722"/>
      <c r="V7" s="722"/>
      <c r="W7" s="722"/>
      <c r="X7" s="722"/>
      <c r="Y7" s="722"/>
      <c r="Z7" s="722"/>
      <c r="AA7" s="722"/>
      <c r="AB7" s="722"/>
      <c r="AC7" s="722"/>
      <c r="AD7" s="722"/>
      <c r="AE7" s="722"/>
      <c r="AF7" s="722"/>
      <c r="AG7" s="722"/>
      <c r="AH7" s="722"/>
      <c r="AI7" s="722"/>
      <c r="AJ7" s="722"/>
      <c r="AK7" s="722"/>
      <c r="AL7" s="722"/>
    </row>
    <row r="8" spans="4:38" ht="18">
      <c r="D8" s="724" t="s">
        <v>292</v>
      </c>
      <c r="E8" s="722"/>
      <c r="F8" s="722"/>
      <c r="G8" s="722"/>
      <c r="H8" s="722"/>
      <c r="I8" s="722"/>
      <c r="J8" s="722"/>
      <c r="K8" s="722"/>
      <c r="L8" s="722"/>
      <c r="M8" s="722"/>
      <c r="N8" s="722"/>
      <c r="O8" s="722"/>
      <c r="P8" s="722"/>
      <c r="Q8" s="722"/>
      <c r="R8" s="722"/>
      <c r="S8" s="722"/>
      <c r="T8" s="722"/>
      <c r="U8" s="722"/>
      <c r="V8" s="722"/>
      <c r="W8" s="722"/>
      <c r="X8" s="722"/>
      <c r="Y8" s="722"/>
      <c r="Z8" s="722"/>
      <c r="AA8" s="722"/>
      <c r="AB8" s="722"/>
      <c r="AC8" s="722"/>
      <c r="AD8" s="722"/>
      <c r="AE8" s="722"/>
      <c r="AF8" s="722"/>
      <c r="AG8" s="722"/>
      <c r="AH8" s="722"/>
      <c r="AI8" s="722"/>
      <c r="AJ8" s="722"/>
      <c r="AK8" s="722"/>
      <c r="AL8" s="722"/>
    </row>
    <row r="9" spans="4:38" ht="18">
      <c r="D9" s="725" t="s">
        <v>293</v>
      </c>
      <c r="E9" s="722"/>
      <c r="F9" s="722"/>
      <c r="G9" s="722"/>
      <c r="H9" s="722"/>
      <c r="I9" s="722"/>
      <c r="J9" s="722"/>
      <c r="K9" s="722"/>
      <c r="L9" s="722"/>
      <c r="M9" s="722"/>
      <c r="N9" s="722"/>
      <c r="O9" s="722"/>
      <c r="P9" s="722"/>
      <c r="Q9" s="722"/>
      <c r="R9" s="722"/>
      <c r="S9" s="722"/>
      <c r="T9" s="722"/>
      <c r="U9" s="722"/>
      <c r="V9" s="722"/>
      <c r="W9" s="722"/>
      <c r="X9" s="722"/>
      <c r="Y9" s="722"/>
      <c r="Z9" s="722"/>
      <c r="AA9" s="722"/>
      <c r="AB9" s="722"/>
      <c r="AC9" s="722"/>
      <c r="AD9" s="722"/>
      <c r="AE9" s="722"/>
      <c r="AF9" s="722"/>
      <c r="AG9" s="722"/>
      <c r="AH9" s="722"/>
      <c r="AI9" s="722"/>
      <c r="AJ9" s="722"/>
      <c r="AK9" s="722"/>
      <c r="AL9" s="722"/>
    </row>
    <row r="10" spans="4:38" ht="18">
      <c r="D10" s="724" t="s">
        <v>294</v>
      </c>
      <c r="E10" s="722"/>
      <c r="F10" s="722"/>
      <c r="G10" s="722"/>
      <c r="H10" s="722"/>
      <c r="I10" s="722"/>
      <c r="J10" s="722"/>
      <c r="K10" s="722"/>
      <c r="L10" s="722"/>
      <c r="M10" s="722"/>
      <c r="N10" s="722"/>
      <c r="O10" s="722"/>
      <c r="P10" s="722"/>
      <c r="Q10" s="722"/>
      <c r="R10" s="722"/>
      <c r="S10" s="722"/>
      <c r="T10" s="722"/>
      <c r="U10" s="722"/>
      <c r="V10" s="722"/>
      <c r="W10" s="722"/>
      <c r="X10" s="722"/>
      <c r="Y10" s="722"/>
      <c r="Z10" s="722"/>
      <c r="AA10" s="722"/>
      <c r="AB10" s="722"/>
      <c r="AC10" s="722"/>
      <c r="AD10" s="722"/>
      <c r="AE10" s="722"/>
      <c r="AF10" s="722"/>
      <c r="AG10" s="722"/>
      <c r="AH10" s="722"/>
      <c r="AI10" s="722"/>
      <c r="AJ10" s="722"/>
      <c r="AK10" s="722"/>
      <c r="AL10" s="722"/>
    </row>
    <row r="11" spans="4:38" ht="18">
      <c r="D11" s="725" t="s">
        <v>295</v>
      </c>
      <c r="E11" s="722"/>
      <c r="F11" s="722"/>
      <c r="G11" s="722"/>
      <c r="H11" s="722"/>
      <c r="I11" s="722"/>
      <c r="J11" s="722"/>
      <c r="K11" s="722"/>
      <c r="L11" s="722"/>
      <c r="M11" s="722"/>
      <c r="N11" s="722"/>
      <c r="O11" s="722"/>
      <c r="P11" s="722"/>
      <c r="Q11" s="722"/>
      <c r="R11" s="722"/>
      <c r="S11" s="722"/>
      <c r="T11" s="722"/>
      <c r="U11" s="722"/>
      <c r="V11" s="722"/>
      <c r="W11" s="722"/>
      <c r="X11" s="722"/>
      <c r="Y11" s="722"/>
      <c r="Z11" s="722"/>
      <c r="AA11" s="722"/>
      <c r="AB11" s="722"/>
      <c r="AC11" s="722"/>
      <c r="AD11" s="722"/>
      <c r="AE11" s="722"/>
      <c r="AF11" s="722"/>
      <c r="AG11" s="722"/>
      <c r="AH11" s="722"/>
      <c r="AI11" s="722"/>
      <c r="AJ11" s="722"/>
      <c r="AK11" s="722"/>
      <c r="AL11" s="722"/>
    </row>
    <row r="12" spans="4:38" ht="18">
      <c r="D12" s="723" t="s">
        <v>296</v>
      </c>
      <c r="E12" s="722"/>
      <c r="F12" s="722"/>
      <c r="G12" s="722"/>
      <c r="H12" s="722"/>
      <c r="I12" s="722"/>
      <c r="J12" s="722"/>
      <c r="K12" s="722"/>
      <c r="L12" s="722"/>
      <c r="M12" s="722"/>
      <c r="N12" s="722"/>
      <c r="O12" s="722"/>
      <c r="P12" s="722"/>
      <c r="Q12" s="722"/>
      <c r="R12" s="722"/>
      <c r="S12" s="722"/>
      <c r="T12" s="722"/>
      <c r="U12" s="722"/>
      <c r="V12" s="722"/>
      <c r="W12" s="722"/>
      <c r="X12" s="722"/>
      <c r="Y12" s="722"/>
      <c r="Z12" s="722"/>
      <c r="AA12" s="722"/>
      <c r="AB12" s="722"/>
      <c r="AC12" s="722"/>
      <c r="AD12" s="722"/>
      <c r="AE12" s="722"/>
      <c r="AF12" s="722"/>
      <c r="AG12" s="722"/>
      <c r="AH12" s="722"/>
      <c r="AI12" s="722"/>
      <c r="AJ12" s="722"/>
      <c r="AK12" s="722"/>
      <c r="AL12" s="722"/>
    </row>
    <row r="13" spans="4:38" ht="18">
      <c r="D13" s="725" t="s">
        <v>297</v>
      </c>
      <c r="E13" s="722"/>
      <c r="F13" s="722"/>
      <c r="G13" s="722"/>
      <c r="H13" s="722"/>
      <c r="I13" s="722"/>
      <c r="J13" s="722"/>
      <c r="K13" s="722"/>
      <c r="L13" s="722"/>
      <c r="M13" s="722"/>
      <c r="N13" s="722"/>
      <c r="O13" s="722"/>
      <c r="P13" s="722"/>
      <c r="Q13" s="722"/>
      <c r="R13" s="722"/>
      <c r="S13" s="722"/>
      <c r="T13" s="722"/>
      <c r="U13" s="722"/>
      <c r="V13" s="722"/>
      <c r="W13" s="722"/>
      <c r="X13" s="722"/>
      <c r="Y13" s="722"/>
      <c r="Z13" s="722"/>
      <c r="AA13" s="722"/>
      <c r="AB13" s="722"/>
      <c r="AC13" s="722"/>
      <c r="AD13" s="722"/>
      <c r="AE13" s="722"/>
      <c r="AF13" s="722"/>
      <c r="AG13" s="722"/>
      <c r="AH13" s="722"/>
      <c r="AI13" s="722"/>
      <c r="AJ13" s="722"/>
      <c r="AK13" s="722"/>
      <c r="AL13" s="722"/>
    </row>
    <row r="14" spans="4:38" ht="18">
      <c r="D14" s="723" t="s">
        <v>298</v>
      </c>
      <c r="E14" s="722"/>
      <c r="F14" s="722"/>
      <c r="G14" s="722"/>
      <c r="H14" s="722"/>
      <c r="I14" s="722"/>
      <c r="J14" s="722"/>
      <c r="K14" s="722"/>
      <c r="L14" s="722"/>
      <c r="M14" s="722"/>
      <c r="N14" s="722"/>
      <c r="O14" s="722"/>
      <c r="P14" s="722"/>
      <c r="Q14" s="722"/>
      <c r="R14" s="722"/>
      <c r="S14" s="722"/>
      <c r="T14" s="722"/>
      <c r="U14" s="722"/>
      <c r="V14" s="722"/>
      <c r="W14" s="722"/>
      <c r="X14" s="722"/>
      <c r="Y14" s="722"/>
      <c r="Z14" s="722"/>
      <c r="AA14" s="722"/>
      <c r="AB14" s="722"/>
      <c r="AC14" s="722"/>
      <c r="AD14" s="722"/>
      <c r="AE14" s="722"/>
      <c r="AF14" s="722"/>
      <c r="AG14" s="722"/>
      <c r="AH14" s="722"/>
      <c r="AI14" s="722"/>
      <c r="AJ14" s="722"/>
      <c r="AK14" s="722"/>
      <c r="AL14" s="722"/>
    </row>
    <row r="15" spans="4:38" ht="18">
      <c r="D15" s="726" t="s">
        <v>299</v>
      </c>
      <c r="E15" s="722"/>
      <c r="F15" s="722"/>
      <c r="G15" s="722"/>
      <c r="H15" s="722"/>
      <c r="I15" s="722"/>
      <c r="J15" s="722"/>
      <c r="K15" s="722"/>
      <c r="L15" s="722"/>
      <c r="M15" s="722"/>
      <c r="N15" s="722"/>
      <c r="O15" s="722"/>
      <c r="P15" s="722"/>
      <c r="Q15" s="722"/>
      <c r="R15" s="722"/>
      <c r="S15" s="722"/>
      <c r="T15" s="722"/>
      <c r="U15" s="722"/>
      <c r="V15" s="722"/>
      <c r="W15" s="722"/>
      <c r="X15" s="722"/>
      <c r="Y15" s="722"/>
      <c r="Z15" s="722"/>
      <c r="AA15" s="722"/>
      <c r="AB15" s="722"/>
      <c r="AC15" s="722"/>
      <c r="AD15" s="722"/>
      <c r="AE15" s="722"/>
      <c r="AF15" s="722"/>
      <c r="AG15" s="722"/>
      <c r="AH15" s="722"/>
      <c r="AI15" s="722"/>
      <c r="AJ15" s="722"/>
      <c r="AK15" s="722"/>
      <c r="AL15" s="722"/>
    </row>
    <row r="16" spans="4:38" ht="18">
      <c r="D16" s="726" t="s">
        <v>300</v>
      </c>
      <c r="E16" s="722"/>
      <c r="F16" s="722"/>
      <c r="G16" s="722"/>
      <c r="H16" s="722"/>
      <c r="I16" s="722"/>
      <c r="J16" s="722"/>
      <c r="K16" s="722"/>
      <c r="L16" s="722"/>
      <c r="M16" s="722"/>
      <c r="N16" s="722"/>
      <c r="O16" s="722"/>
      <c r="P16" s="722"/>
      <c r="Q16" s="722"/>
      <c r="R16" s="722"/>
      <c r="S16" s="722"/>
      <c r="T16" s="722"/>
      <c r="U16" s="722"/>
      <c r="V16" s="722"/>
      <c r="W16" s="722"/>
      <c r="X16" s="722"/>
      <c r="Y16" s="722"/>
      <c r="Z16" s="722"/>
      <c r="AA16" s="722"/>
      <c r="AB16" s="722"/>
      <c r="AC16" s="722"/>
      <c r="AD16" s="722"/>
      <c r="AE16" s="722"/>
      <c r="AF16" s="722"/>
      <c r="AG16" s="722"/>
      <c r="AH16" s="722"/>
      <c r="AI16" s="722"/>
      <c r="AJ16" s="722"/>
      <c r="AK16" s="722"/>
      <c r="AL16" s="722"/>
    </row>
    <row r="17" spans="4:38" ht="18">
      <c r="D17" s="723" t="s">
        <v>301</v>
      </c>
      <c r="E17" s="722"/>
      <c r="F17" s="722"/>
      <c r="G17" s="722"/>
      <c r="H17" s="722"/>
      <c r="I17" s="722"/>
      <c r="J17" s="722"/>
      <c r="K17" s="722"/>
      <c r="L17" s="722"/>
      <c r="M17" s="722"/>
      <c r="N17" s="722"/>
      <c r="O17" s="722"/>
      <c r="P17" s="722"/>
      <c r="Q17" s="722"/>
      <c r="R17" s="722"/>
      <c r="S17" s="722"/>
      <c r="T17" s="722"/>
      <c r="U17" s="722"/>
      <c r="V17" s="722"/>
      <c r="W17" s="722"/>
      <c r="X17" s="722"/>
      <c r="Y17" s="722"/>
      <c r="Z17" s="722"/>
      <c r="AA17" s="722"/>
      <c r="AB17" s="722"/>
      <c r="AC17" s="722"/>
      <c r="AD17" s="722"/>
      <c r="AE17" s="722"/>
      <c r="AF17" s="722"/>
      <c r="AG17" s="722"/>
      <c r="AH17" s="722"/>
      <c r="AI17" s="722"/>
      <c r="AJ17" s="722"/>
      <c r="AK17" s="722"/>
      <c r="AL17" s="722"/>
    </row>
    <row r="18" spans="4:38" ht="21">
      <c r="D18" s="723" t="s">
        <v>302</v>
      </c>
      <c r="E18" s="722"/>
      <c r="F18" s="722"/>
      <c r="G18" s="722"/>
      <c r="H18" s="722"/>
      <c r="I18" s="722"/>
      <c r="J18" s="722"/>
      <c r="K18" s="722"/>
      <c r="L18" s="722"/>
      <c r="M18" s="722"/>
      <c r="N18" s="722"/>
      <c r="O18" s="722"/>
      <c r="P18" s="722"/>
      <c r="Q18" s="722"/>
      <c r="R18" s="722"/>
      <c r="S18" s="722"/>
      <c r="T18" s="722"/>
      <c r="U18" s="722"/>
      <c r="V18" s="722"/>
      <c r="W18" s="722"/>
      <c r="X18" s="722"/>
      <c r="Y18" s="722"/>
      <c r="Z18" s="722"/>
      <c r="AA18" s="722"/>
      <c r="AB18" s="722"/>
      <c r="AC18" s="722"/>
      <c r="AD18" s="722"/>
      <c r="AE18" s="722"/>
      <c r="AF18" s="722"/>
      <c r="AG18" s="722"/>
      <c r="AH18" s="722"/>
      <c r="AI18" s="722"/>
      <c r="AJ18" s="722"/>
      <c r="AK18" s="722"/>
      <c r="AL18" s="722"/>
    </row>
    <row r="19" spans="4:38">
      <c r="D19" s="722"/>
      <c r="E19" s="722"/>
      <c r="F19" s="722"/>
      <c r="G19" s="722"/>
      <c r="H19" s="722"/>
      <c r="I19" s="722"/>
      <c r="J19" s="722"/>
      <c r="K19" s="722"/>
      <c r="L19" s="722"/>
      <c r="M19" s="722"/>
      <c r="N19" s="722"/>
      <c r="O19" s="722"/>
      <c r="P19" s="722"/>
      <c r="Q19" s="722"/>
      <c r="R19" s="722"/>
      <c r="S19" s="722"/>
      <c r="T19" s="722"/>
      <c r="U19" s="722"/>
      <c r="V19" s="722"/>
      <c r="W19" s="722"/>
      <c r="X19" s="722"/>
      <c r="Y19" s="722"/>
      <c r="Z19" s="722"/>
      <c r="AA19" s="722"/>
      <c r="AB19" s="722"/>
      <c r="AC19" s="722"/>
      <c r="AD19" s="722"/>
      <c r="AE19" s="722"/>
      <c r="AF19" s="722"/>
      <c r="AG19" s="722"/>
      <c r="AH19" s="722"/>
      <c r="AI19" s="722"/>
      <c r="AJ19" s="722"/>
      <c r="AK19" s="722"/>
      <c r="AL19" s="722"/>
    </row>
    <row r="20" spans="4:38">
      <c r="D20" s="722"/>
      <c r="E20" s="722"/>
      <c r="F20" s="722"/>
      <c r="G20" s="722"/>
      <c r="H20" s="722"/>
      <c r="I20" s="722"/>
      <c r="J20" s="722"/>
      <c r="K20" s="722"/>
      <c r="L20" s="722"/>
      <c r="M20" s="722"/>
      <c r="N20" s="722"/>
      <c r="O20" s="722"/>
      <c r="P20" s="722"/>
      <c r="Q20" s="722"/>
      <c r="R20" s="722"/>
      <c r="S20" s="722"/>
      <c r="T20" s="722"/>
      <c r="U20" s="722"/>
      <c r="V20" s="722"/>
      <c r="W20" s="722"/>
      <c r="X20" s="722"/>
      <c r="Y20" s="722"/>
      <c r="Z20" s="722"/>
      <c r="AA20" s="722"/>
      <c r="AB20" s="722"/>
      <c r="AC20" s="722"/>
      <c r="AD20" s="722"/>
      <c r="AE20" s="722"/>
      <c r="AF20" s="722"/>
      <c r="AG20" s="722"/>
      <c r="AH20" s="722"/>
      <c r="AI20" s="722"/>
      <c r="AJ20" s="722"/>
      <c r="AK20" s="722"/>
      <c r="AL20" s="7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15054-8A55-4A7E-B11D-2CBE9362D212}">
  <dimension ref="A1:N12"/>
  <sheetViews>
    <sheetView tabSelected="1" workbookViewId="0">
      <selection activeCell="B17" sqref="B17"/>
    </sheetView>
  </sheetViews>
  <sheetFormatPr baseColWidth="10" defaultColWidth="8.83203125" defaultRowHeight="13"/>
  <cols>
    <col min="1" max="1" width="18.5" customWidth="1"/>
    <col min="2" max="2" width="91.1640625" customWidth="1"/>
    <col min="3" max="3" width="24.5" customWidth="1"/>
    <col min="4" max="4" width="30.5" customWidth="1"/>
    <col min="5" max="5" width="20.5" customWidth="1"/>
    <col min="6" max="6" width="18" customWidth="1"/>
    <col min="7" max="7" width="23.6640625" customWidth="1"/>
    <col min="8" max="8" width="14.5" customWidth="1"/>
    <col min="9" max="9" width="18.33203125" customWidth="1"/>
    <col min="10" max="10" width="16.83203125" customWidth="1"/>
    <col min="11" max="11" width="16" customWidth="1"/>
    <col min="12" max="12" width="15.83203125" customWidth="1"/>
    <col min="13" max="13" width="17.33203125" customWidth="1"/>
    <col min="14" max="14" width="15.6640625" customWidth="1"/>
  </cols>
  <sheetData>
    <row r="1" spans="1:14" ht="16">
      <c r="A1" s="633"/>
      <c r="B1" s="633"/>
      <c r="C1" s="634"/>
      <c r="D1" s="634"/>
      <c r="E1" s="634"/>
      <c r="F1" s="634"/>
      <c r="G1" s="634"/>
      <c r="H1" s="634"/>
      <c r="I1" s="634"/>
      <c r="J1" s="634"/>
      <c r="K1" s="634"/>
      <c r="L1" s="634"/>
      <c r="M1" s="634"/>
      <c r="N1" s="634"/>
    </row>
    <row r="2" spans="1:14" ht="16">
      <c r="A2" s="6"/>
      <c r="B2" s="6"/>
      <c r="C2" s="7"/>
      <c r="D2" s="8"/>
      <c r="E2" s="8"/>
      <c r="F2" s="8"/>
      <c r="G2" s="7"/>
      <c r="H2" s="8"/>
      <c r="I2" s="8"/>
      <c r="J2" s="68"/>
      <c r="K2" s="8"/>
      <c r="L2" s="8"/>
      <c r="M2" s="8"/>
      <c r="N2" s="68"/>
    </row>
    <row r="3" spans="1:14" ht="16">
      <c r="A3" s="6"/>
      <c r="B3" s="6"/>
      <c r="C3" s="7"/>
      <c r="D3" s="8"/>
      <c r="E3" s="8"/>
      <c r="F3" s="8"/>
      <c r="G3" s="7"/>
      <c r="H3" s="8"/>
      <c r="I3" s="8"/>
      <c r="J3" s="68"/>
      <c r="K3" s="8"/>
      <c r="L3" s="8"/>
      <c r="M3" s="8"/>
      <c r="N3" s="68"/>
    </row>
    <row r="4" spans="1:14" ht="16">
      <c r="A4" s="727" t="s">
        <v>308</v>
      </c>
      <c r="B4" s="727" t="s">
        <v>303</v>
      </c>
      <c r="C4" s="7"/>
      <c r="D4" s="8"/>
      <c r="E4" s="8"/>
      <c r="F4" s="8"/>
      <c r="G4" s="7"/>
      <c r="H4" s="8"/>
      <c r="I4" s="8"/>
      <c r="J4" s="68"/>
      <c r="K4" s="8"/>
      <c r="L4" s="8"/>
      <c r="M4" s="8"/>
      <c r="N4" s="68"/>
    </row>
    <row r="5" spans="1:14" ht="16">
      <c r="A5" s="728"/>
      <c r="B5" s="728"/>
      <c r="C5" s="45"/>
      <c r="D5" s="44"/>
      <c r="E5" s="44"/>
      <c r="F5" s="44"/>
      <c r="G5" s="45"/>
      <c r="H5" s="44"/>
      <c r="I5" s="44"/>
      <c r="J5" s="44"/>
      <c r="K5" s="44"/>
      <c r="L5" s="635"/>
      <c r="M5" s="44"/>
      <c r="N5" s="635"/>
    </row>
    <row r="6" spans="1:14">
      <c r="A6" s="729" t="s">
        <v>306</v>
      </c>
      <c r="B6" s="730" t="s">
        <v>304</v>
      </c>
    </row>
    <row r="7" spans="1:14">
      <c r="A7" s="730"/>
      <c r="B7" s="730"/>
    </row>
    <row r="8" spans="1:14">
      <c r="A8" s="729" t="s">
        <v>307</v>
      </c>
      <c r="B8" s="730" t="s">
        <v>305</v>
      </c>
    </row>
    <row r="9" spans="1:14">
      <c r="A9" s="730"/>
      <c r="B9" s="730"/>
    </row>
    <row r="10" spans="1:14">
      <c r="A10" s="729" t="s">
        <v>310</v>
      </c>
      <c r="B10" s="730" t="s">
        <v>309</v>
      </c>
    </row>
    <row r="11" spans="1:14">
      <c r="A11" s="730"/>
      <c r="B11" s="730"/>
    </row>
    <row r="12" spans="1:14">
      <c r="A12" s="729" t="s">
        <v>312</v>
      </c>
      <c r="B12" s="729"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INCOME STATEMENT</vt:lpstr>
      <vt:lpstr>BALANCE SHEET</vt:lpstr>
      <vt:lpstr>PRIOR YEAR ENDED BALANCE SHEETS</vt:lpstr>
      <vt:lpstr>CAPEX</vt:lpstr>
      <vt:lpstr>KEY FINANCIAL RATIOS</vt:lpstr>
      <vt:lpstr>WACC</vt:lpstr>
      <vt:lpstr>COMPARABLE ANALYSIS</vt:lpstr>
      <vt:lpstr>PRECEDENT TRANSACTION</vt:lpstr>
      <vt:lpstr>DCF BASELINE</vt:lpstr>
      <vt:lpstr>DCF OPTIMISM </vt:lpstr>
      <vt:lpstr>DCF PESSIMISM</vt:lpstr>
      <vt:lpstr>FOOTBALL FIELD</vt:lpstr>
      <vt:lpstr>CONCLUSION </vt:lpstr>
      <vt:lpstr>Reference link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Vairavan Arunachalam</cp:lastModifiedBy>
  <cp:revision/>
  <dcterms:created xsi:type="dcterms:W3CDTF">2023-10-07T20:48:44Z</dcterms:created>
  <dcterms:modified xsi:type="dcterms:W3CDTF">2023-10-24T22:44:46Z</dcterms:modified>
  <cp:category/>
  <cp:contentStatus/>
</cp:coreProperties>
</file>