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omments5.xml" ContentType="application/vnd.openxmlformats-officedocument.spreadsheetml.comments+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omments6.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vairavan/Desktop/fm/Part-2/"/>
    </mc:Choice>
  </mc:AlternateContent>
  <xr:revisionPtr revIDLastSave="0" documentId="13_ncr:1_{B475ECEF-5157-FA46-952D-0C927EA001C1}" xr6:coauthVersionLast="47" xr6:coauthVersionMax="47" xr10:uidLastSave="{00000000-0000-0000-0000-000000000000}"/>
  <bookViews>
    <workbookView xWindow="0" yWindow="500" windowWidth="28800" windowHeight="16600" firstSheet="7" activeTab="8" xr2:uid="{40DFAB64-B6B0-4F95-B66B-5EBEBCE823A9}"/>
  </bookViews>
  <sheets>
    <sheet name="Cross Health IS" sheetId="1" r:id="rId1"/>
    <sheet name="Cross Health BS" sheetId="2" r:id="rId2"/>
    <sheet name="Cross Play IS" sheetId="3" r:id="rId3"/>
    <sheet name="Cross Play BS" sheetId="4" r:id="rId4"/>
    <sheet name="First Figher IS" sheetId="5" r:id="rId5"/>
    <sheet name="First Fighter BS" sheetId="6" r:id="rId6"/>
    <sheet name="Public Comps" sheetId="7" r:id="rId7"/>
    <sheet name="M&amp;A Comps" sheetId="8" r:id="rId8"/>
    <sheet name="CROSS HEALTH- COMPS" sheetId="9" r:id="rId9"/>
    <sheet name="CROSS HEALTH - Precedent Trans" sheetId="10" r:id="rId10"/>
    <sheet name="CROSS HEALTH - DCF " sheetId="11" r:id="rId11"/>
    <sheet name="CROSS HEALTH - FOOTBALL FIELD " sheetId="12" r:id="rId12"/>
    <sheet name="CROSS PLAY- COMPS" sheetId="15" r:id="rId13"/>
    <sheet name="CROSS PLAY - PRESCENT TRANSACTI" sheetId="16" r:id="rId14"/>
    <sheet name="CROSS PLAY- DCF" sheetId="17" r:id="rId15"/>
    <sheet name=" CROSS PLAY - FOOT BALL FIELD " sheetId="18" r:id="rId16"/>
    <sheet name="CROSS FIRE  - LBO- DEBT " sheetId="13" r:id="rId17"/>
    <sheet name="OVERVIEW OF IMPACT TO EQ.HOLDER" sheetId="19" r:id="rId18"/>
    <sheet name="QUALITATIVE OUTLINE - ALT" sheetId="20" r:id="rId19"/>
    <sheet name="Decision Strategy" sheetId="21" r:id="rId20"/>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45248.8145138889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0" i="13" l="1"/>
  <c r="G102" i="13" s="1"/>
  <c r="H100" i="13"/>
  <c r="H102" i="13" s="1"/>
  <c r="I100" i="13"/>
  <c r="F100" i="13"/>
  <c r="F102" i="13" s="1"/>
  <c r="C69" i="13"/>
  <c r="C68" i="13"/>
  <c r="C67" i="13"/>
  <c r="C66" i="13"/>
  <c r="C65" i="13"/>
  <c r="H115" i="13"/>
  <c r="G115" i="13"/>
  <c r="F115" i="13"/>
  <c r="I90" i="13"/>
  <c r="H91" i="13"/>
  <c r="G91" i="13"/>
  <c r="F91" i="13"/>
  <c r="C75" i="13"/>
  <c r="G28" i="1"/>
  <c r="F13" i="18"/>
  <c r="E13" i="18"/>
  <c r="D13" i="18"/>
  <c r="C13" i="18"/>
  <c r="B13" i="18"/>
  <c r="F11" i="18"/>
  <c r="E11" i="18"/>
  <c r="D11" i="18"/>
  <c r="C11" i="18"/>
  <c r="B11" i="18"/>
  <c r="F10" i="18"/>
  <c r="E10" i="18"/>
  <c r="D10" i="18"/>
  <c r="C10" i="18"/>
  <c r="B10" i="18"/>
  <c r="F8" i="18"/>
  <c r="E8" i="18"/>
  <c r="D8" i="18"/>
  <c r="C8" i="18"/>
  <c r="B8" i="18"/>
  <c r="F7" i="18"/>
  <c r="E7" i="18"/>
  <c r="D7" i="18"/>
  <c r="C7" i="18"/>
  <c r="B7" i="18"/>
  <c r="F6" i="18"/>
  <c r="E6" i="18"/>
  <c r="D6" i="18"/>
  <c r="C6" i="18"/>
  <c r="B6" i="18"/>
  <c r="F5" i="18"/>
  <c r="E5" i="18"/>
  <c r="D5" i="18"/>
  <c r="C5" i="18"/>
  <c r="B5" i="18"/>
  <c r="F11" i="12"/>
  <c r="E11" i="12"/>
  <c r="D11" i="12"/>
  <c r="C11" i="12"/>
  <c r="B11" i="12"/>
  <c r="F9" i="12"/>
  <c r="E9" i="12"/>
  <c r="D9" i="12"/>
  <c r="C9" i="12"/>
  <c r="B9" i="12"/>
  <c r="F8" i="12"/>
  <c r="E8" i="12"/>
  <c r="D8" i="12"/>
  <c r="C8" i="12"/>
  <c r="B8" i="12"/>
  <c r="F6" i="12"/>
  <c r="E6" i="12"/>
  <c r="D6" i="12"/>
  <c r="C6" i="12"/>
  <c r="B6" i="12"/>
  <c r="F5" i="12"/>
  <c r="C5" i="12"/>
  <c r="E5" i="12"/>
  <c r="D5" i="12"/>
  <c r="B5" i="12"/>
  <c r="F4" i="12"/>
  <c r="E4" i="12"/>
  <c r="D4" i="12"/>
  <c r="C4" i="12"/>
  <c r="B4" i="12"/>
  <c r="F3" i="12"/>
  <c r="E3" i="12"/>
  <c r="D3" i="12"/>
  <c r="C3" i="12"/>
  <c r="B3" i="12"/>
  <c r="C41" i="13"/>
  <c r="C40" i="13"/>
  <c r="F28" i="13"/>
  <c r="E28" i="13"/>
  <c r="E25" i="13"/>
  <c r="F25" i="13"/>
  <c r="G25" i="13" s="1"/>
  <c r="H25" i="13" s="1"/>
  <c r="I25" i="13" s="1"/>
  <c r="J25" i="13" s="1"/>
  <c r="F23" i="13"/>
  <c r="G23" i="13" s="1"/>
  <c r="H23" i="13" s="1"/>
  <c r="I23" i="13" s="1"/>
  <c r="J23" i="13" s="1"/>
  <c r="I37" i="13" s="1"/>
  <c r="E23" i="13"/>
  <c r="D37" i="13" s="1"/>
  <c r="C23" i="13"/>
  <c r="F21" i="13"/>
  <c r="G21" i="13" s="1"/>
  <c r="H21" i="13" s="1"/>
  <c r="I21" i="13" s="1"/>
  <c r="J21" i="13" s="1"/>
  <c r="E21" i="13"/>
  <c r="C21" i="13"/>
  <c r="C20" i="13" s="1"/>
  <c r="F22" i="13"/>
  <c r="E22" i="13"/>
  <c r="C22" i="13"/>
  <c r="F19" i="13"/>
  <c r="G19" i="13" s="1"/>
  <c r="H19" i="13" s="1"/>
  <c r="I19" i="13" s="1"/>
  <c r="J19" i="13" s="1"/>
  <c r="J28" i="13" s="1"/>
  <c r="E19" i="13"/>
  <c r="C19" i="13"/>
  <c r="K63" i="17"/>
  <c r="K62" i="17"/>
  <c r="K61" i="17"/>
  <c r="K60" i="17"/>
  <c r="K59" i="17"/>
  <c r="K58" i="17"/>
  <c r="M42" i="17"/>
  <c r="N42" i="17" s="1"/>
  <c r="O42" i="17" s="1"/>
  <c r="P42" i="17" s="1"/>
  <c r="L42" i="17"/>
  <c r="K33" i="17"/>
  <c r="K34" i="17"/>
  <c r="L20" i="17"/>
  <c r="M20" i="17"/>
  <c r="N20" i="17"/>
  <c r="O20" i="17"/>
  <c r="P20" i="17" s="1"/>
  <c r="Q20" i="17" s="1"/>
  <c r="R20" i="17" s="1"/>
  <c r="S20" i="17" s="1"/>
  <c r="K20" i="17"/>
  <c r="B4" i="11"/>
  <c r="A11" i="17"/>
  <c r="G37" i="13" l="1"/>
  <c r="H37" i="13"/>
  <c r="F37" i="13"/>
  <c r="F20" i="13"/>
  <c r="C94" i="13" s="1"/>
  <c r="E37" i="13"/>
  <c r="G22" i="13"/>
  <c r="H22" i="13" s="1"/>
  <c r="I22" i="13" s="1"/>
  <c r="J22" i="13" s="1"/>
  <c r="J20" i="13" s="1"/>
  <c r="J31" i="13" s="1"/>
  <c r="I78" i="13" s="1"/>
  <c r="I89" i="13" s="1"/>
  <c r="G28" i="13"/>
  <c r="H28" i="13"/>
  <c r="E20" i="13"/>
  <c r="I28" i="13"/>
  <c r="I91" i="13" l="1"/>
  <c r="I101" i="13"/>
  <c r="I102" i="13" s="1"/>
  <c r="C38" i="13"/>
  <c r="G20" i="13"/>
  <c r="H20" i="13"/>
  <c r="I20" i="13"/>
  <c r="C93" i="13" l="1"/>
  <c r="I114" i="13"/>
  <c r="I115" i="13" s="1"/>
  <c r="D112" i="13" l="1"/>
  <c r="D115" i="13" s="1"/>
  <c r="C116" i="13" s="1"/>
  <c r="C95" i="13"/>
  <c r="D99" i="13" s="1"/>
  <c r="D102" i="13" s="1"/>
  <c r="C104" i="13" s="1"/>
  <c r="L14" i="17" l="1"/>
  <c r="M14" i="17"/>
  <c r="N14" i="17"/>
  <c r="O14" i="17"/>
  <c r="K14" i="17"/>
  <c r="B4" i="17"/>
  <c r="L11" i="17"/>
  <c r="M11" i="17"/>
  <c r="N11" i="17"/>
  <c r="O11" i="17"/>
  <c r="K11" i="17"/>
  <c r="F19" i="16"/>
  <c r="G19" i="16"/>
  <c r="G23" i="16"/>
  <c r="G35" i="16" s="1"/>
  <c r="G47" i="16" s="1"/>
  <c r="G63" i="16" s="1"/>
  <c r="G78" i="16" s="1"/>
  <c r="F23" i="16"/>
  <c r="F35" i="16" s="1"/>
  <c r="F47" i="16" s="1"/>
  <c r="F63" i="16" s="1"/>
  <c r="F78" i="16" s="1"/>
  <c r="G22" i="16"/>
  <c r="G34" i="16" s="1"/>
  <c r="G46" i="16" s="1"/>
  <c r="G62" i="16" s="1"/>
  <c r="G77" i="16" s="1"/>
  <c r="F22" i="16"/>
  <c r="F34" i="16" s="1"/>
  <c r="F46" i="16" s="1"/>
  <c r="F62" i="16" s="1"/>
  <c r="F77" i="16" s="1"/>
  <c r="U76" i="15"/>
  <c r="V76" i="15"/>
  <c r="W76" i="15"/>
  <c r="T76" i="15"/>
  <c r="R75" i="15"/>
  <c r="U74" i="15"/>
  <c r="V74" i="15"/>
  <c r="W74" i="15"/>
  <c r="T74" i="15"/>
  <c r="K31" i="15"/>
  <c r="S30" i="15" s="1"/>
  <c r="T44" i="15" s="1"/>
  <c r="T57" i="15" s="1"/>
  <c r="T73" i="15" s="1"/>
  <c r="K30" i="15"/>
  <c r="S29" i="15" s="1"/>
  <c r="T43" i="15" s="1"/>
  <c r="T56" i="15" s="1"/>
  <c r="T72" i="15" s="1"/>
  <c r="K16" i="17" l="1"/>
  <c r="K18" i="17"/>
  <c r="P14" i="17"/>
  <c r="O16" i="17"/>
  <c r="M16" i="17"/>
  <c r="L16" i="17"/>
  <c r="N16" i="17"/>
  <c r="P11" i="17"/>
  <c r="Q11" i="17" s="1"/>
  <c r="R11" i="17" s="1"/>
  <c r="S11" i="17" s="1"/>
  <c r="Q14" i="17" l="1"/>
  <c r="P16" i="17"/>
  <c r="R14" i="17" l="1"/>
  <c r="Q16" i="17"/>
  <c r="E29" i="10"/>
  <c r="E41" i="10"/>
  <c r="D22" i="10"/>
  <c r="E22" i="10"/>
  <c r="C22" i="10"/>
  <c r="D21" i="10"/>
  <c r="E21" i="10"/>
  <c r="C21" i="10"/>
  <c r="D20" i="10"/>
  <c r="E20" i="10"/>
  <c r="C20" i="10"/>
  <c r="D19" i="10"/>
  <c r="E19" i="10"/>
  <c r="C19" i="10"/>
  <c r="D18" i="10"/>
  <c r="C18" i="10"/>
  <c r="E18" i="10"/>
  <c r="D17" i="10"/>
  <c r="E17" i="10"/>
  <c r="C17" i="10"/>
  <c r="H39" i="11"/>
  <c r="S14" i="17" l="1"/>
  <c r="S16" i="17" s="1"/>
  <c r="R16" i="17"/>
  <c r="H38" i="11" l="1"/>
  <c r="H37" i="11"/>
  <c r="H36" i="11"/>
  <c r="H35" i="11"/>
  <c r="H34" i="11"/>
  <c r="E35" i="11"/>
  <c r="E34" i="11"/>
  <c r="F32" i="1"/>
  <c r="G26" i="11"/>
  <c r="H26" i="11" s="1"/>
  <c r="I26" i="11" s="1"/>
  <c r="J26" i="11" s="1"/>
  <c r="K26" i="11" s="1"/>
  <c r="L26" i="11" s="1"/>
  <c r="M26" i="11" s="1"/>
  <c r="F15" i="11"/>
  <c r="G15" i="11"/>
  <c r="H15" i="11"/>
  <c r="I15" i="11"/>
  <c r="E15" i="11"/>
  <c r="H11" i="11"/>
  <c r="I11" i="11"/>
  <c r="J11" i="11" s="1"/>
  <c r="K11" i="11" s="1"/>
  <c r="L11" i="11" s="1"/>
  <c r="M11" i="11" s="1"/>
  <c r="I10" i="11"/>
  <c r="J10" i="11" s="1"/>
  <c r="K10" i="11" s="1"/>
  <c r="L10" i="11" s="1"/>
  <c r="M10" i="11" s="1"/>
  <c r="M21" i="11" s="1"/>
  <c r="F10" i="11"/>
  <c r="F21" i="11" s="1"/>
  <c r="G10" i="11"/>
  <c r="G21" i="11" s="1"/>
  <c r="H10" i="11"/>
  <c r="E10" i="11"/>
  <c r="M18" i="11"/>
  <c r="F11" i="11"/>
  <c r="G11" i="11"/>
  <c r="E11" i="11"/>
  <c r="H8" i="11"/>
  <c r="I8" i="11"/>
  <c r="J8" i="11" s="1"/>
  <c r="D73" i="10"/>
  <c r="F72" i="10"/>
  <c r="F74" i="10" s="1"/>
  <c r="E72" i="10"/>
  <c r="E74" i="10" s="1"/>
  <c r="F71" i="10"/>
  <c r="E71" i="10"/>
  <c r="F70" i="10"/>
  <c r="E70" i="10"/>
  <c r="F66" i="10"/>
  <c r="E66" i="10"/>
  <c r="D65" i="10"/>
  <c r="F64" i="10"/>
  <c r="E64" i="10"/>
  <c r="F63" i="10"/>
  <c r="E63" i="10"/>
  <c r="F61" i="10"/>
  <c r="F62" i="10" s="1"/>
  <c r="E61" i="10"/>
  <c r="E62" i="10" s="1"/>
  <c r="F60" i="10"/>
  <c r="E60" i="10"/>
  <c r="D56" i="10"/>
  <c r="F53" i="10"/>
  <c r="F54" i="10"/>
  <c r="E54" i="10"/>
  <c r="E53" i="10"/>
  <c r="F51" i="10"/>
  <c r="F52" i="10" s="1"/>
  <c r="F55" i="10" s="1"/>
  <c r="F57" i="10" s="1"/>
  <c r="E51" i="10"/>
  <c r="E52" i="10" s="1"/>
  <c r="E55" i="10" s="1"/>
  <c r="E57" i="10" s="1"/>
  <c r="F50" i="10"/>
  <c r="E50" i="10"/>
  <c r="D46" i="10"/>
  <c r="F43" i="10"/>
  <c r="F44" i="10"/>
  <c r="E44" i="10"/>
  <c r="B9" i="10"/>
  <c r="C9" i="10"/>
  <c r="D9" i="10"/>
  <c r="E9" i="10"/>
  <c r="A9" i="10"/>
  <c r="A8" i="10"/>
  <c r="B8" i="10"/>
  <c r="C8" i="10"/>
  <c r="D8" i="10"/>
  <c r="E8" i="10"/>
  <c r="F28" i="10"/>
  <c r="F40" i="10" s="1"/>
  <c r="E28" i="10"/>
  <c r="E40" i="10" s="1"/>
  <c r="B7" i="9"/>
  <c r="E7" i="9"/>
  <c r="F7" i="9"/>
  <c r="K7" i="9" s="1"/>
  <c r="S7" i="9" s="1"/>
  <c r="H7" i="9"/>
  <c r="I7" i="9"/>
  <c r="L7" i="9"/>
  <c r="M7" i="9"/>
  <c r="N7" i="9"/>
  <c r="O7" i="9"/>
  <c r="I30" i="9"/>
  <c r="I45" i="9" s="1"/>
  <c r="I57" i="9" s="1"/>
  <c r="I29" i="9"/>
  <c r="I44" i="9" s="1"/>
  <c r="I56" i="9" s="1"/>
  <c r="F29" i="9"/>
  <c r="F44" i="9" s="1"/>
  <c r="F56" i="9" s="1"/>
  <c r="H29" i="9"/>
  <c r="H44" i="9" s="1"/>
  <c r="H56" i="9" s="1"/>
  <c r="G29" i="9"/>
  <c r="G44" i="9" s="1"/>
  <c r="G56" i="9" s="1"/>
  <c r="I26" i="9"/>
  <c r="I41" i="9" s="1"/>
  <c r="H21" i="11" l="1"/>
  <c r="L21" i="11"/>
  <c r="K21" i="11"/>
  <c r="J21" i="11"/>
  <c r="I21" i="11"/>
  <c r="H12" i="11"/>
  <c r="G18" i="11"/>
  <c r="G17" i="11" s="1"/>
  <c r="G19" i="11" s="1"/>
  <c r="L18" i="11"/>
  <c r="K18" i="11"/>
  <c r="J18" i="11"/>
  <c r="I18" i="11"/>
  <c r="I17" i="11" s="1"/>
  <c r="I19" i="11" s="1"/>
  <c r="H18" i="11"/>
  <c r="H17" i="11" s="1"/>
  <c r="H19" i="11" s="1"/>
  <c r="E18" i="11"/>
  <c r="E17" i="11" s="1"/>
  <c r="E19" i="11" s="1"/>
  <c r="F18" i="11"/>
  <c r="F17" i="11" s="1"/>
  <c r="F19" i="11" s="1"/>
  <c r="J12" i="11"/>
  <c r="I12" i="11"/>
  <c r="G7" i="9"/>
  <c r="J7" i="9" s="1"/>
  <c r="Q35" i="9"/>
  <c r="Q44" i="9" s="1"/>
  <c r="Q39" i="9"/>
  <c r="Q48" i="9" s="1"/>
  <c r="Q38" i="9"/>
  <c r="Q47" i="9" s="1"/>
  <c r="P38" i="9"/>
  <c r="P47" i="9" s="1"/>
  <c r="O38" i="9"/>
  <c r="O47" i="9" s="1"/>
  <c r="N38" i="9"/>
  <c r="N47" i="9" s="1"/>
  <c r="I53" i="9"/>
  <c r="P7" i="9" l="1"/>
  <c r="Q7" i="9"/>
  <c r="R7" i="9"/>
  <c r="B31" i="15" l="1"/>
  <c r="B7" i="15"/>
  <c r="B7" i="10"/>
  <c r="C7" i="10"/>
  <c r="D7" i="10"/>
  <c r="E7" i="10"/>
  <c r="A7" i="10"/>
  <c r="B30" i="9"/>
  <c r="E59" i="9" s="1"/>
  <c r="H28" i="1"/>
  <c r="M11" i="9"/>
  <c r="N11" i="9"/>
  <c r="O11" i="9"/>
  <c r="L11" i="9"/>
  <c r="I11" i="9"/>
  <c r="H11" i="9"/>
  <c r="F11" i="9"/>
  <c r="E11" i="9"/>
  <c r="B11" i="9"/>
  <c r="K20" i="1"/>
  <c r="L15" i="1"/>
  <c r="K15" i="1"/>
  <c r="K14" i="1"/>
  <c r="L10" i="1"/>
  <c r="K10" i="1"/>
  <c r="E47" i="9" l="1"/>
  <c r="I48" i="9" s="1"/>
  <c r="K11" i="9"/>
  <c r="S11" i="9" s="1"/>
  <c r="G11" i="9"/>
  <c r="J11" i="9" s="1"/>
  <c r="P11" i="9" l="1"/>
  <c r="R11" i="9"/>
  <c r="Q11" i="9"/>
  <c r="N27" i="15" l="1"/>
  <c r="M27" i="15"/>
  <c r="L27" i="15"/>
  <c r="K27" i="15"/>
  <c r="H30" i="9"/>
  <c r="G30" i="9"/>
  <c r="F30" i="9"/>
  <c r="H26" i="9"/>
  <c r="G26" i="9"/>
  <c r="F26" i="9"/>
  <c r="N35" i="9" s="1"/>
  <c r="N44" i="9" s="1"/>
  <c r="L17" i="9"/>
  <c r="I17" i="9"/>
  <c r="H17" i="9"/>
  <c r="M17" i="9"/>
  <c r="N17" i="9" s="1"/>
  <c r="T40" i="15" l="1"/>
  <c r="S26" i="15"/>
  <c r="U40" i="15"/>
  <c r="T26" i="15"/>
  <c r="V40" i="15"/>
  <c r="U26" i="15"/>
  <c r="W40" i="15"/>
  <c r="V26" i="15"/>
  <c r="G45" i="9"/>
  <c r="O39" i="9"/>
  <c r="O48" i="9" s="1"/>
  <c r="H45" i="9"/>
  <c r="P39" i="9"/>
  <c r="P48" i="9" s="1"/>
  <c r="G41" i="9"/>
  <c r="G53" i="9" s="1"/>
  <c r="O35" i="9"/>
  <c r="O44" i="9" s="1"/>
  <c r="H41" i="9"/>
  <c r="H53" i="9" s="1"/>
  <c r="P35" i="9"/>
  <c r="P44" i="9" s="1"/>
  <c r="F45" i="9"/>
  <c r="N39" i="9"/>
  <c r="N48" i="9" s="1"/>
  <c r="F41" i="9"/>
  <c r="W53" i="15" l="1"/>
  <c r="U53" i="15"/>
  <c r="V53" i="15"/>
  <c r="T53" i="15"/>
  <c r="H48" i="9"/>
  <c r="H57" i="9"/>
  <c r="F48" i="9"/>
  <c r="F57" i="9"/>
  <c r="G48" i="9"/>
  <c r="G57" i="9"/>
  <c r="F53" i="9"/>
  <c r="V69" i="15" l="1"/>
  <c r="U69" i="15"/>
  <c r="W69" i="15"/>
  <c r="T69" i="15"/>
  <c r="E29" i="13" l="1"/>
  <c r="F27" i="13" l="1"/>
  <c r="G27" i="13"/>
  <c r="E27" i="13"/>
  <c r="E18" i="13"/>
  <c r="F18" i="13" l="1"/>
  <c r="G18" i="13" s="1"/>
  <c r="H27" i="13"/>
  <c r="H18" i="13" l="1"/>
  <c r="I18" i="13" l="1"/>
  <c r="H14" i="13" l="1"/>
  <c r="H15" i="13"/>
  <c r="J18" i="13"/>
  <c r="J27" i="13" l="1"/>
  <c r="I27" i="13"/>
  <c r="B23" i="17"/>
  <c r="Q17" i="17"/>
  <c r="R17" i="17"/>
  <c r="S17" i="17"/>
  <c r="P17" i="17"/>
  <c r="C14" i="3"/>
  <c r="L13" i="17"/>
  <c r="L19" i="17" s="1"/>
  <c r="M13" i="17"/>
  <c r="M19" i="17" s="1"/>
  <c r="N13" i="17"/>
  <c r="N19" i="17" s="1"/>
  <c r="O13" i="17"/>
  <c r="K13" i="17"/>
  <c r="K19" i="17" s="1"/>
  <c r="K22" i="17" s="1"/>
  <c r="N9" i="17"/>
  <c r="O9" i="17"/>
  <c r="L9" i="17"/>
  <c r="M9" i="17"/>
  <c r="M21" i="17" s="1"/>
  <c r="K9" i="17"/>
  <c r="N7" i="17"/>
  <c r="N12" i="17" s="1"/>
  <c r="O7" i="17"/>
  <c r="O12" i="17" s="1"/>
  <c r="L7" i="17"/>
  <c r="L12" i="17" s="1"/>
  <c r="M7" i="17"/>
  <c r="M12" i="17" s="1"/>
  <c r="K7" i="17"/>
  <c r="K12" i="17" s="1"/>
  <c r="B24" i="17"/>
  <c r="L6" i="17"/>
  <c r="M6" i="17"/>
  <c r="N6" i="17" s="1"/>
  <c r="O6" i="17" s="1"/>
  <c r="P6" i="17" s="1"/>
  <c r="Q6" i="17" s="1"/>
  <c r="R6" i="17" s="1"/>
  <c r="S6" i="17" s="1"/>
  <c r="K6" i="17"/>
  <c r="E25" i="16"/>
  <c r="E37" i="16" s="1"/>
  <c r="E49" i="16" s="1"/>
  <c r="E65" i="16" s="1"/>
  <c r="E80" i="16" s="1"/>
  <c r="G31" i="16"/>
  <c r="F31" i="16"/>
  <c r="F6" i="16"/>
  <c r="G6" i="16"/>
  <c r="H6" i="16"/>
  <c r="F7" i="16"/>
  <c r="G7" i="16"/>
  <c r="H7" i="16"/>
  <c r="E7" i="16"/>
  <c r="E6" i="16"/>
  <c r="F5" i="16"/>
  <c r="G5" i="16"/>
  <c r="H5" i="16"/>
  <c r="E5" i="16"/>
  <c r="D7" i="16"/>
  <c r="D6" i="16"/>
  <c r="D5" i="16"/>
  <c r="J33" i="15"/>
  <c r="R32" i="15" s="1"/>
  <c r="R46" i="15" s="1"/>
  <c r="R59" i="15" s="1"/>
  <c r="L31" i="15"/>
  <c r="L30" i="15"/>
  <c r="M6" i="15"/>
  <c r="M7" i="15"/>
  <c r="L6" i="15"/>
  <c r="L7" i="15"/>
  <c r="K7" i="15"/>
  <c r="K6" i="15"/>
  <c r="J6" i="15"/>
  <c r="J7" i="15"/>
  <c r="G6" i="15"/>
  <c r="G7" i="15"/>
  <c r="F6" i="15"/>
  <c r="F7" i="15"/>
  <c r="D6" i="15"/>
  <c r="D7" i="15"/>
  <c r="C6" i="15"/>
  <c r="C7" i="15"/>
  <c r="B6" i="15"/>
  <c r="K5" i="15"/>
  <c r="L5" i="15"/>
  <c r="M5" i="15"/>
  <c r="J5" i="15"/>
  <c r="G5" i="15"/>
  <c r="F5" i="15"/>
  <c r="D5" i="15"/>
  <c r="C5" i="15"/>
  <c r="B5" i="15"/>
  <c r="C19" i="1"/>
  <c r="B18" i="11"/>
  <c r="B17" i="11"/>
  <c r="P9" i="17" l="1"/>
  <c r="O21" i="17"/>
  <c r="P13" i="17"/>
  <c r="Q13" i="17" s="1"/>
  <c r="R13" i="17" s="1"/>
  <c r="S13" i="17" s="1"/>
  <c r="O19" i="17"/>
  <c r="L21" i="17"/>
  <c r="N21" i="17"/>
  <c r="G43" i="16"/>
  <c r="F43" i="16"/>
  <c r="M30" i="15"/>
  <c r="T29" i="15"/>
  <c r="U43" i="15" s="1"/>
  <c r="U56" i="15" s="1"/>
  <c r="U72" i="15" s="1"/>
  <c r="M31" i="15"/>
  <c r="T30" i="15"/>
  <c r="U44" i="15" s="1"/>
  <c r="U57" i="15" s="1"/>
  <c r="U73" i="15" s="1"/>
  <c r="Q5" i="15"/>
  <c r="Q7" i="15"/>
  <c r="Q6" i="15"/>
  <c r="L17" i="15" s="1"/>
  <c r="I5" i="15"/>
  <c r="K17" i="17"/>
  <c r="O17" i="17"/>
  <c r="N17" i="17"/>
  <c r="M17" i="17"/>
  <c r="K10" i="17"/>
  <c r="L17" i="17"/>
  <c r="M10" i="17"/>
  <c r="L10" i="17"/>
  <c r="N10" i="17"/>
  <c r="O10" i="17"/>
  <c r="O8" i="17"/>
  <c r="L8" i="17"/>
  <c r="P7" i="17"/>
  <c r="P12" i="17" s="1"/>
  <c r="M8" i="17"/>
  <c r="N8" i="17"/>
  <c r="E14" i="16"/>
  <c r="K14" i="16" s="1"/>
  <c r="F13" i="16"/>
  <c r="L13" i="16" s="1"/>
  <c r="E13" i="16"/>
  <c r="K13" i="16" s="1"/>
  <c r="F14" i="16"/>
  <c r="L14" i="16" s="1"/>
  <c r="E15" i="16"/>
  <c r="F16" i="16"/>
  <c r="E11" i="16"/>
  <c r="F15" i="16"/>
  <c r="E16" i="16"/>
  <c r="F11" i="16"/>
  <c r="E12" i="16"/>
  <c r="F12" i="16"/>
  <c r="I7" i="15"/>
  <c r="E7" i="15"/>
  <c r="H7" i="15" s="1"/>
  <c r="E6" i="15"/>
  <c r="H6" i="15" s="1"/>
  <c r="P6" i="15" s="1"/>
  <c r="I6" i="15"/>
  <c r="E5" i="15"/>
  <c r="H5" i="15" s="1"/>
  <c r="O5" i="15" s="1"/>
  <c r="F22" i="11"/>
  <c r="G22" i="11"/>
  <c r="H22" i="11"/>
  <c r="I22" i="11"/>
  <c r="J22" i="11" s="1"/>
  <c r="K22" i="11" s="1"/>
  <c r="L22" i="11" s="1"/>
  <c r="M22" i="11" s="1"/>
  <c r="E22" i="11"/>
  <c r="Q9" i="17" l="1"/>
  <c r="P21" i="17"/>
  <c r="P19" i="17"/>
  <c r="Q7" i="17"/>
  <c r="Q12" i="17" s="1"/>
  <c r="K11" i="16"/>
  <c r="F32" i="16"/>
  <c r="F33" i="16" s="1"/>
  <c r="F36" i="16" s="1"/>
  <c r="F38" i="16" s="1"/>
  <c r="L12" i="16"/>
  <c r="G75" i="16"/>
  <c r="L16" i="16"/>
  <c r="G44" i="16"/>
  <c r="G45" i="16" s="1"/>
  <c r="G48" i="16" s="1"/>
  <c r="G50" i="16" s="1"/>
  <c r="K15" i="16"/>
  <c r="F60" i="16"/>
  <c r="F59" i="16"/>
  <c r="K12" i="16"/>
  <c r="F75" i="16"/>
  <c r="L11" i="16"/>
  <c r="G32" i="16"/>
  <c r="G33" i="16" s="1"/>
  <c r="G36" i="16" s="1"/>
  <c r="G38" i="16" s="1"/>
  <c r="K16" i="16"/>
  <c r="F44" i="16"/>
  <c r="F45" i="16" s="1"/>
  <c r="F48" i="16" s="1"/>
  <c r="F50" i="16" s="1"/>
  <c r="G59" i="16"/>
  <c r="L15" i="16"/>
  <c r="G60" i="16"/>
  <c r="S16" i="15"/>
  <c r="W70" i="15"/>
  <c r="W71" i="15" s="1"/>
  <c r="N31" i="15"/>
  <c r="V30" i="15" s="1"/>
  <c r="W44" i="15" s="1"/>
  <c r="W57" i="15" s="1"/>
  <c r="W73" i="15" s="1"/>
  <c r="U30" i="15"/>
  <c r="V44" i="15" s="1"/>
  <c r="V57" i="15" s="1"/>
  <c r="V73" i="15" s="1"/>
  <c r="N30" i="15"/>
  <c r="V29" i="15" s="1"/>
  <c r="W43" i="15" s="1"/>
  <c r="W56" i="15" s="1"/>
  <c r="W72" i="15" s="1"/>
  <c r="U29" i="15"/>
  <c r="V43" i="15" s="1"/>
  <c r="V56" i="15" s="1"/>
  <c r="V72" i="15" s="1"/>
  <c r="L20" i="15"/>
  <c r="L16" i="15"/>
  <c r="L21" i="15"/>
  <c r="P5" i="15"/>
  <c r="N5" i="15"/>
  <c r="P7" i="15"/>
  <c r="O7" i="15"/>
  <c r="N7" i="15"/>
  <c r="N6" i="15"/>
  <c r="K24" i="17"/>
  <c r="K15" i="17"/>
  <c r="O18" i="17"/>
  <c r="O22" i="17" s="1"/>
  <c r="O15" i="17"/>
  <c r="L18" i="17"/>
  <c r="L15" i="17"/>
  <c r="M18" i="17"/>
  <c r="M22" i="17" s="1"/>
  <c r="M15" i="17"/>
  <c r="N18" i="17"/>
  <c r="N22" i="17" s="1"/>
  <c r="N15" i="17"/>
  <c r="P8" i="17"/>
  <c r="F20" i="16"/>
  <c r="F21" i="16" s="1"/>
  <c r="F24" i="16" s="1"/>
  <c r="F26" i="16" s="1"/>
  <c r="G20" i="16"/>
  <c r="G21" i="16" s="1"/>
  <c r="G24" i="16" s="1"/>
  <c r="G26" i="16" s="1"/>
  <c r="L19" i="15"/>
  <c r="S18" i="15" s="1"/>
  <c r="L18" i="15"/>
  <c r="O6" i="15"/>
  <c r="F13" i="11"/>
  <c r="G13" i="11"/>
  <c r="H13" i="11"/>
  <c r="I13" i="11"/>
  <c r="I14" i="11" s="1"/>
  <c r="E13" i="11"/>
  <c r="L22" i="17" l="1"/>
  <c r="L24" i="17" s="1"/>
  <c r="L28" i="17" s="1"/>
  <c r="R9" i="17"/>
  <c r="Q21" i="17"/>
  <c r="R7" i="17"/>
  <c r="R12" i="17" s="1"/>
  <c r="Q19" i="17"/>
  <c r="Q10" i="17"/>
  <c r="Q8" i="17"/>
  <c r="G74" i="16"/>
  <c r="G76" i="16" s="1"/>
  <c r="G79" i="16" s="1"/>
  <c r="G81" i="16" s="1"/>
  <c r="G61" i="16"/>
  <c r="G64" i="16" s="1"/>
  <c r="G66" i="16" s="1"/>
  <c r="F61" i="16"/>
  <c r="F64" i="16" s="1"/>
  <c r="F66" i="16" s="1"/>
  <c r="F74" i="16"/>
  <c r="F76" i="16" s="1"/>
  <c r="F79" i="16" s="1"/>
  <c r="F81" i="16" s="1"/>
  <c r="S15" i="15"/>
  <c r="W41" i="15"/>
  <c r="W42" i="15" s="1"/>
  <c r="W45" i="15" s="1"/>
  <c r="W47" i="15" s="1"/>
  <c r="S20" i="15"/>
  <c r="V27" i="15"/>
  <c r="V28" i="15" s="1"/>
  <c r="V31" i="15" s="1"/>
  <c r="V33" i="15" s="1"/>
  <c r="S19" i="15"/>
  <c r="W54" i="15"/>
  <c r="W55" i="15" s="1"/>
  <c r="W58" i="15" s="1"/>
  <c r="W60" i="15" s="1"/>
  <c r="K21" i="15"/>
  <c r="I16" i="15"/>
  <c r="T41" i="15" s="1"/>
  <c r="T42" i="15" s="1"/>
  <c r="T45" i="15" s="1"/>
  <c r="T47" i="15" s="1"/>
  <c r="I21" i="15"/>
  <c r="G20" i="11"/>
  <c r="G23" i="11" s="1"/>
  <c r="F20" i="11"/>
  <c r="F23" i="11" s="1"/>
  <c r="E20" i="11"/>
  <c r="E23" i="11" s="1"/>
  <c r="E25" i="11" s="1"/>
  <c r="H20" i="11"/>
  <c r="H23" i="11" s="1"/>
  <c r="H14" i="11"/>
  <c r="I20" i="11"/>
  <c r="I23" i="11" s="1"/>
  <c r="J13" i="11"/>
  <c r="J17" i="15"/>
  <c r="I18" i="15"/>
  <c r="K28" i="15" s="1"/>
  <c r="K29" i="15" s="1"/>
  <c r="K32" i="15" s="1"/>
  <c r="K34" i="15" s="1"/>
  <c r="J20" i="15"/>
  <c r="J21" i="15"/>
  <c r="J19" i="15"/>
  <c r="Q18" i="15" s="1"/>
  <c r="I19" i="15"/>
  <c r="P18" i="15" s="1"/>
  <c r="K17" i="15"/>
  <c r="K20" i="15"/>
  <c r="K16" i="15"/>
  <c r="K19" i="15"/>
  <c r="R18" i="15" s="1"/>
  <c r="K18" i="15"/>
  <c r="M28" i="15" s="1"/>
  <c r="M29" i="15" s="1"/>
  <c r="M32" i="15" s="1"/>
  <c r="M34" i="15" s="1"/>
  <c r="J16" i="15"/>
  <c r="J18" i="15"/>
  <c r="Q17" i="15" s="1"/>
  <c r="I20" i="15"/>
  <c r="I17" i="15"/>
  <c r="S17" i="15"/>
  <c r="N28" i="15"/>
  <c r="N29" i="15" s="1"/>
  <c r="N32" i="15" s="1"/>
  <c r="N34" i="15" s="1"/>
  <c r="P10" i="17"/>
  <c r="S7" i="17"/>
  <c r="F8" i="11"/>
  <c r="F12" i="11" s="1"/>
  <c r="G8" i="11"/>
  <c r="G12" i="11" s="1"/>
  <c r="E8" i="11"/>
  <c r="E12" i="11" s="1"/>
  <c r="F7" i="11"/>
  <c r="G7" i="11"/>
  <c r="H7" i="11" s="1"/>
  <c r="I7" i="11" s="1"/>
  <c r="J7" i="11" s="1"/>
  <c r="K7" i="11" s="1"/>
  <c r="L7" i="11" s="1"/>
  <c r="M7" i="11" s="1"/>
  <c r="E7" i="11"/>
  <c r="R8" i="17" l="1"/>
  <c r="S9" i="17"/>
  <c r="S21" i="17" s="1"/>
  <c r="R21" i="17"/>
  <c r="S12" i="17"/>
  <c r="S8" i="17"/>
  <c r="S19" i="17"/>
  <c r="R19" i="17"/>
  <c r="Q15" i="17"/>
  <c r="P16" i="15"/>
  <c r="T70" i="15"/>
  <c r="T71" i="15" s="1"/>
  <c r="R16" i="15"/>
  <c r="V70" i="15"/>
  <c r="V71" i="15" s="1"/>
  <c r="Q16" i="15"/>
  <c r="U70" i="15"/>
  <c r="U71" i="15" s="1"/>
  <c r="P19" i="15"/>
  <c r="T54" i="15"/>
  <c r="T55" i="15" s="1"/>
  <c r="T58" i="15" s="1"/>
  <c r="T60" i="15" s="1"/>
  <c r="Q20" i="15"/>
  <c r="T27" i="15"/>
  <c r="T28" i="15" s="1"/>
  <c r="T31" i="15" s="1"/>
  <c r="T33" i="15" s="1"/>
  <c r="Q19" i="15"/>
  <c r="U54" i="15"/>
  <c r="U55" i="15" s="1"/>
  <c r="U58" i="15" s="1"/>
  <c r="U60" i="15" s="1"/>
  <c r="R20" i="15"/>
  <c r="U27" i="15"/>
  <c r="U28" i="15" s="1"/>
  <c r="U31" i="15" s="1"/>
  <c r="U33" i="15" s="1"/>
  <c r="Q15" i="15"/>
  <c r="U41" i="15"/>
  <c r="U42" i="15" s="1"/>
  <c r="U45" i="15" s="1"/>
  <c r="U47" i="15" s="1"/>
  <c r="P15" i="15"/>
  <c r="R15" i="15"/>
  <c r="V41" i="15"/>
  <c r="V42" i="15" s="1"/>
  <c r="V45" i="15" s="1"/>
  <c r="V47" i="15" s="1"/>
  <c r="R19" i="15"/>
  <c r="V54" i="15"/>
  <c r="V55" i="15" s="1"/>
  <c r="V58" i="15" s="1"/>
  <c r="V60" i="15" s="1"/>
  <c r="P20" i="15"/>
  <c r="S27" i="15"/>
  <c r="S28" i="15" s="1"/>
  <c r="S31" i="15" s="1"/>
  <c r="S33" i="15" s="1"/>
  <c r="P17" i="15"/>
  <c r="G14" i="11"/>
  <c r="J15" i="11"/>
  <c r="J17" i="11" s="1"/>
  <c r="J19" i="11" s="1"/>
  <c r="J14" i="11"/>
  <c r="E14" i="11"/>
  <c r="F14" i="11"/>
  <c r="K13" i="11"/>
  <c r="J20" i="11"/>
  <c r="F25" i="11"/>
  <c r="F29" i="11" s="1"/>
  <c r="E16" i="11"/>
  <c r="G16" i="11"/>
  <c r="H9" i="11"/>
  <c r="F16" i="11"/>
  <c r="R17" i="15"/>
  <c r="L28" i="15"/>
  <c r="L29" i="15" s="1"/>
  <c r="L32" i="15" s="1"/>
  <c r="L34" i="15" s="1"/>
  <c r="P18" i="17"/>
  <c r="P22" i="17" s="1"/>
  <c r="P15" i="17"/>
  <c r="R10" i="17"/>
  <c r="G9" i="11"/>
  <c r="F9" i="11"/>
  <c r="M24" i="17" l="1"/>
  <c r="M28" i="17" s="1"/>
  <c r="Q18" i="17"/>
  <c r="Q22" i="17" s="1"/>
  <c r="J23" i="11"/>
  <c r="J25" i="11" s="1"/>
  <c r="J29" i="11" s="1"/>
  <c r="K15" i="11"/>
  <c r="K17" i="11" s="1"/>
  <c r="K19" i="11" s="1"/>
  <c r="I25" i="11"/>
  <c r="I29" i="11" s="1"/>
  <c r="L13" i="11"/>
  <c r="K20" i="11"/>
  <c r="H16" i="11"/>
  <c r="R15" i="17"/>
  <c r="R18" i="17"/>
  <c r="R22" i="17" s="1"/>
  <c r="S10" i="17"/>
  <c r="G25" i="11"/>
  <c r="G29" i="11" s="1"/>
  <c r="H25" i="11"/>
  <c r="H29" i="11" s="1"/>
  <c r="R24" i="17" l="1"/>
  <c r="R28" i="17" s="1"/>
  <c r="O24" i="17"/>
  <c r="O28" i="17" s="1"/>
  <c r="Q24" i="17"/>
  <c r="Q28" i="17" s="1"/>
  <c r="N24" i="17"/>
  <c r="N28" i="17" s="1"/>
  <c r="K23" i="11"/>
  <c r="K25" i="11" s="1"/>
  <c r="K29" i="11" s="1"/>
  <c r="L15" i="11"/>
  <c r="L17" i="11" s="1"/>
  <c r="M13" i="11"/>
  <c r="L20" i="11"/>
  <c r="I16" i="11"/>
  <c r="I9" i="11"/>
  <c r="S15" i="17"/>
  <c r="S18" i="17"/>
  <c r="S22" i="17" s="1"/>
  <c r="S28" i="17" s="1"/>
  <c r="B22" i="17" l="1"/>
  <c r="B25" i="17" s="1"/>
  <c r="S23" i="17" s="1"/>
  <c r="K31" i="17" s="1"/>
  <c r="P24" i="17"/>
  <c r="P28" i="17" s="1"/>
  <c r="K30" i="17" s="1"/>
  <c r="L19" i="11"/>
  <c r="L23" i="11" s="1"/>
  <c r="L25" i="11" s="1"/>
  <c r="L29" i="11" s="1"/>
  <c r="M20" i="11"/>
  <c r="M15" i="11"/>
  <c r="K8" i="11"/>
  <c r="J9" i="11"/>
  <c r="K12" i="11" l="1"/>
  <c r="K14" i="11"/>
  <c r="M17" i="11"/>
  <c r="M19" i="11" s="1"/>
  <c r="M23" i="11" s="1"/>
  <c r="J16" i="11"/>
  <c r="L8" i="11"/>
  <c r="K9" i="11"/>
  <c r="S24" i="17"/>
  <c r="H30" i="4"/>
  <c r="K32" i="17" l="1"/>
  <c r="K35" i="17" s="1"/>
  <c r="J42" i="17" s="1"/>
  <c r="M29" i="11"/>
  <c r="B16" i="11"/>
  <c r="L12" i="11"/>
  <c r="L14" i="11"/>
  <c r="K16" i="11"/>
  <c r="M8" i="11"/>
  <c r="L9" i="11"/>
  <c r="K15" i="10"/>
  <c r="K19" i="10"/>
  <c r="K18" i="10"/>
  <c r="K16" i="10"/>
  <c r="L19" i="10"/>
  <c r="L18" i="10"/>
  <c r="L16" i="10"/>
  <c r="L15" i="10"/>
  <c r="F17" i="9"/>
  <c r="J17" i="9" s="1"/>
  <c r="D34" i="10"/>
  <c r="F32" i="10"/>
  <c r="E32" i="10"/>
  <c r="F31" i="10"/>
  <c r="E31" i="10"/>
  <c r="E43" i="10" s="1"/>
  <c r="M12" i="11" l="1"/>
  <c r="M14" i="11"/>
  <c r="L16" i="11"/>
  <c r="M9" i="11"/>
  <c r="L20" i="10"/>
  <c r="F41" i="10"/>
  <c r="F42" i="10" s="1"/>
  <c r="F45" i="10" s="1"/>
  <c r="F47" i="10" s="1"/>
  <c r="K20" i="10"/>
  <c r="E42" i="10"/>
  <c r="E45" i="10" s="1"/>
  <c r="E47" i="10" s="1"/>
  <c r="K17" i="10"/>
  <c r="L17" i="10"/>
  <c r="K6" i="1"/>
  <c r="J6" i="1"/>
  <c r="K17" i="9"/>
  <c r="O10" i="9"/>
  <c r="N10" i="9"/>
  <c r="M10" i="9"/>
  <c r="L10" i="9"/>
  <c r="I10" i="9"/>
  <c r="I9" i="9"/>
  <c r="H10" i="9"/>
  <c r="F10" i="9"/>
  <c r="E10" i="9"/>
  <c r="B10" i="9"/>
  <c r="O9" i="9"/>
  <c r="N9" i="9"/>
  <c r="M9" i="9"/>
  <c r="L9" i="9"/>
  <c r="H9" i="9"/>
  <c r="F9" i="9"/>
  <c r="E9" i="9"/>
  <c r="B9" i="9"/>
  <c r="M8" i="9"/>
  <c r="N8" i="9"/>
  <c r="O8" i="9"/>
  <c r="L8" i="9"/>
  <c r="I8" i="9"/>
  <c r="H8" i="9"/>
  <c r="F8" i="9"/>
  <c r="E8" i="9"/>
  <c r="B8" i="9"/>
  <c r="I6" i="1"/>
  <c r="K8" i="9" l="1"/>
  <c r="S8" i="9" s="1"/>
  <c r="K9" i="9"/>
  <c r="G8" i="9"/>
  <c r="G10" i="9"/>
  <c r="J10" i="9" s="1"/>
  <c r="K10" i="9"/>
  <c r="E30" i="10"/>
  <c r="F29" i="10"/>
  <c r="F30" i="10" s="1"/>
  <c r="J8" i="9" l="1"/>
  <c r="P8" i="9" s="1"/>
  <c r="F33" i="10"/>
  <c r="F35" i="10" s="1"/>
  <c r="E33" i="10"/>
  <c r="E35" i="10" s="1"/>
  <c r="E32" i="9"/>
  <c r="S10" i="9" l="1"/>
  <c r="G9" i="9"/>
  <c r="S9" i="9"/>
  <c r="O26" i="9" l="1"/>
  <c r="Q36" i="9" s="1"/>
  <c r="Q37" i="9" s="1"/>
  <c r="Q40" i="9" s="1"/>
  <c r="O25" i="9"/>
  <c r="I54" i="9" s="1"/>
  <c r="I55" i="9" s="1"/>
  <c r="O30" i="9"/>
  <c r="I42" i="9" s="1"/>
  <c r="O28" i="9"/>
  <c r="O27" i="9"/>
  <c r="I27" i="9" s="1"/>
  <c r="I28" i="9" s="1"/>
  <c r="I31" i="9" s="1"/>
  <c r="I33" i="9" s="1"/>
  <c r="O29" i="9"/>
  <c r="Q45" i="9" s="1"/>
  <c r="Q46" i="9" s="1"/>
  <c r="Q49" i="9" s="1"/>
  <c r="J9" i="9"/>
  <c r="Q9" i="9" s="1"/>
  <c r="Q8" i="9"/>
  <c r="R8" i="9"/>
  <c r="R10" i="9"/>
  <c r="Q10" i="9"/>
  <c r="P10" i="9"/>
  <c r="I43" i="9" l="1"/>
  <c r="I46" i="9" s="1"/>
  <c r="P9" i="9"/>
  <c r="L26" i="9" s="1"/>
  <c r="N36" i="9" s="1"/>
  <c r="N37" i="9" s="1"/>
  <c r="N40" i="9" s="1"/>
  <c r="R9" i="9"/>
  <c r="N25" i="9" s="1"/>
  <c r="H54" i="9" s="1"/>
  <c r="H55" i="9" s="1"/>
  <c r="M26" i="9"/>
  <c r="O36" i="9" s="1"/>
  <c r="O37" i="9" s="1"/>
  <c r="O40" i="9" s="1"/>
  <c r="M30" i="9"/>
  <c r="M28" i="9"/>
  <c r="M25" i="9"/>
  <c r="G54" i="9" s="1"/>
  <c r="G55" i="9" s="1"/>
  <c r="M29" i="9"/>
  <c r="O45" i="9" s="1"/>
  <c r="O46" i="9" s="1"/>
  <c r="O49" i="9" s="1"/>
  <c r="M27" i="9"/>
  <c r="D32" i="6"/>
  <c r="E32" i="6"/>
  <c r="F32" i="6"/>
  <c r="C32" i="6"/>
  <c r="D26" i="6"/>
  <c r="D33" i="6" s="1"/>
  <c r="D35" i="6" s="1"/>
  <c r="E26" i="6"/>
  <c r="E33" i="6" s="1"/>
  <c r="E35" i="6" s="1"/>
  <c r="F26" i="6"/>
  <c r="F33" i="6" s="1"/>
  <c r="F35" i="6" s="1"/>
  <c r="C26" i="6"/>
  <c r="C33" i="6" s="1"/>
  <c r="C35" i="6" s="1"/>
  <c r="D19" i="6"/>
  <c r="E19" i="6"/>
  <c r="D18" i="6"/>
  <c r="E18" i="6"/>
  <c r="F18" i="6"/>
  <c r="C18" i="6"/>
  <c r="D11" i="6"/>
  <c r="E11" i="6"/>
  <c r="F11" i="6"/>
  <c r="F19" i="6" s="1"/>
  <c r="F36" i="6" s="1"/>
  <c r="C11" i="6"/>
  <c r="C19" i="6" s="1"/>
  <c r="D33" i="4"/>
  <c r="E33" i="4"/>
  <c r="F33" i="4"/>
  <c r="C33" i="4"/>
  <c r="D27" i="4"/>
  <c r="D34" i="4" s="1"/>
  <c r="D36" i="4" s="1"/>
  <c r="E27" i="4"/>
  <c r="E34" i="4" s="1"/>
  <c r="E36" i="4" s="1"/>
  <c r="F27" i="4"/>
  <c r="F34" i="4" s="1"/>
  <c r="F36" i="4" s="1"/>
  <c r="C27" i="4"/>
  <c r="C34" i="4" s="1"/>
  <c r="C36" i="4" s="1"/>
  <c r="D18" i="4"/>
  <c r="E18" i="4"/>
  <c r="F18" i="4"/>
  <c r="C18" i="4"/>
  <c r="D11" i="4"/>
  <c r="D19" i="4" s="1"/>
  <c r="E11" i="4"/>
  <c r="E19" i="4" s="1"/>
  <c r="F11" i="4"/>
  <c r="C11" i="4"/>
  <c r="D22" i="3"/>
  <c r="E22" i="3"/>
  <c r="F22" i="3"/>
  <c r="G22" i="3"/>
  <c r="C22" i="3"/>
  <c r="G17" i="3"/>
  <c r="G19" i="3" s="1"/>
  <c r="G14" i="3"/>
  <c r="G15" i="3" s="1"/>
  <c r="D9" i="3"/>
  <c r="D10" i="3" s="1"/>
  <c r="E9" i="3"/>
  <c r="E10" i="3" s="1"/>
  <c r="F9" i="3"/>
  <c r="F10" i="3" s="1"/>
  <c r="G9" i="3"/>
  <c r="G10" i="3" s="1"/>
  <c r="C9" i="3"/>
  <c r="E7" i="3"/>
  <c r="F7" i="3"/>
  <c r="G7" i="3"/>
  <c r="D7" i="3"/>
  <c r="D32" i="2"/>
  <c r="E32" i="2"/>
  <c r="F32" i="2"/>
  <c r="C32" i="2"/>
  <c r="D26" i="2"/>
  <c r="D33" i="2" s="1"/>
  <c r="D35" i="2" s="1"/>
  <c r="E26" i="2"/>
  <c r="E33" i="2" s="1"/>
  <c r="E35" i="2" s="1"/>
  <c r="F26" i="2"/>
  <c r="F33" i="2" s="1"/>
  <c r="F35" i="2" s="1"/>
  <c r="C26" i="2"/>
  <c r="C33" i="2" s="1"/>
  <c r="C35" i="2" s="1"/>
  <c r="D18" i="2"/>
  <c r="E18" i="2"/>
  <c r="F18" i="2"/>
  <c r="C18" i="2"/>
  <c r="D11" i="2"/>
  <c r="E11" i="2"/>
  <c r="F11" i="2"/>
  <c r="C11" i="2"/>
  <c r="D22" i="1"/>
  <c r="E22" i="1"/>
  <c r="F22" i="1"/>
  <c r="G22" i="1"/>
  <c r="C22" i="1"/>
  <c r="E14" i="1"/>
  <c r="E17" i="1" s="1"/>
  <c r="E19" i="1" s="1"/>
  <c r="G10" i="1"/>
  <c r="D9" i="1"/>
  <c r="D10" i="1" s="1"/>
  <c r="E9" i="1"/>
  <c r="E10" i="1" s="1"/>
  <c r="F9" i="1"/>
  <c r="F14" i="1" s="1"/>
  <c r="F17" i="1" s="1"/>
  <c r="F19" i="1" s="1"/>
  <c r="G9" i="1"/>
  <c r="G14" i="1" s="1"/>
  <c r="G17" i="1" s="1"/>
  <c r="G19" i="1" s="1"/>
  <c r="C9" i="1"/>
  <c r="C14" i="1" s="1"/>
  <c r="C17" i="1" s="1"/>
  <c r="E7" i="1"/>
  <c r="F7" i="1"/>
  <c r="G7" i="1"/>
  <c r="D7" i="1"/>
  <c r="I60" i="9" l="1"/>
  <c r="I58" i="9"/>
  <c r="G42" i="9"/>
  <c r="L27" i="9"/>
  <c r="F27" i="9" s="1"/>
  <c r="F28" i="9" s="1"/>
  <c r="F31" i="9" s="1"/>
  <c r="F33" i="9" s="1"/>
  <c r="L29" i="9"/>
  <c r="N45" i="9" s="1"/>
  <c r="N46" i="9" s="1"/>
  <c r="N49" i="9" s="1"/>
  <c r="L25" i="9"/>
  <c r="L30" i="9"/>
  <c r="L28" i="9"/>
  <c r="N29" i="9"/>
  <c r="P45" i="9" s="1"/>
  <c r="P46" i="9" s="1"/>
  <c r="P49" i="9" s="1"/>
  <c r="N30" i="9"/>
  <c r="N26" i="9"/>
  <c r="P36" i="9" s="1"/>
  <c r="P37" i="9" s="1"/>
  <c r="P40" i="9" s="1"/>
  <c r="N28" i="9"/>
  <c r="N27" i="9"/>
  <c r="G27" i="9"/>
  <c r="C10" i="3"/>
  <c r="E14" i="3"/>
  <c r="E15" i="3" s="1"/>
  <c r="D14" i="3"/>
  <c r="C36" i="6"/>
  <c r="E36" i="6"/>
  <c r="D36" i="6"/>
  <c r="C19" i="4"/>
  <c r="C37" i="4" s="1"/>
  <c r="F19" i="4"/>
  <c r="E37" i="4"/>
  <c r="F37" i="4"/>
  <c r="D37" i="4"/>
  <c r="C15" i="3"/>
  <c r="C17" i="3"/>
  <c r="C19" i="3" s="1"/>
  <c r="F14" i="3"/>
  <c r="E17" i="3"/>
  <c r="E19" i="3" s="1"/>
  <c r="D14" i="1"/>
  <c r="D17" i="1" s="1"/>
  <c r="D19" i="1" s="1"/>
  <c r="C19" i="2"/>
  <c r="C36" i="2" s="1"/>
  <c r="F19" i="2"/>
  <c r="F36" i="2" s="1"/>
  <c r="E19" i="2"/>
  <c r="E36" i="2" s="1"/>
  <c r="D19" i="2"/>
  <c r="D36" i="2" s="1"/>
  <c r="C10" i="1"/>
  <c r="F10" i="1"/>
  <c r="F54" i="9" l="1"/>
  <c r="F55" i="9" s="1"/>
  <c r="G43" i="9"/>
  <c r="G46" i="9" s="1"/>
  <c r="F42" i="9"/>
  <c r="H42" i="9"/>
  <c r="H27" i="9"/>
  <c r="H28" i="9" s="1"/>
  <c r="H31" i="9" s="1"/>
  <c r="H33" i="9" s="1"/>
  <c r="G28" i="9"/>
  <c r="G31" i="9" s="1"/>
  <c r="G33" i="9" s="1"/>
  <c r="D17" i="3"/>
  <c r="D19" i="3" s="1"/>
  <c r="D15" i="3"/>
  <c r="F15" i="3"/>
  <c r="F17" i="3"/>
  <c r="F19" i="3" s="1"/>
  <c r="H43" i="9" l="1"/>
  <c r="H46" i="9" s="1"/>
  <c r="F43" i="9"/>
  <c r="F46" i="9" s="1"/>
  <c r="G60" i="9"/>
  <c r="G58" i="9"/>
  <c r="F60" i="9" l="1"/>
  <c r="F58" i="9"/>
  <c r="H60" i="9"/>
  <c r="H58" i="9"/>
  <c r="M16" i="11" l="1"/>
  <c r="B19" i="11" l="1"/>
  <c r="M24" i="11" s="1"/>
  <c r="M25" i="11" l="1"/>
  <c r="E31" i="11" s="1"/>
  <c r="E32" i="11"/>
  <c r="E33" i="11" l="1"/>
  <c r="E36" i="11" s="1"/>
  <c r="D43" i="11" s="1"/>
  <c r="E24" i="13" l="1"/>
  <c r="E26" i="13" s="1"/>
  <c r="F24" i="13"/>
  <c r="F26" i="13" s="1"/>
  <c r="G24" i="13"/>
  <c r="G26" i="13" s="1"/>
  <c r="H24" i="13"/>
  <c r="H26" i="13" s="1"/>
  <c r="I24" i="13"/>
  <c r="I26" i="13" s="1"/>
  <c r="J24" i="13"/>
  <c r="J26" i="13" s="1"/>
  <c r="G30" i="13" l="1"/>
  <c r="F77" i="13" s="1"/>
  <c r="F80" i="13" s="1"/>
  <c r="F30" i="13"/>
  <c r="E30" i="13"/>
  <c r="J30" i="13"/>
  <c r="I30" i="13"/>
  <c r="H77" i="13" s="1"/>
  <c r="H80" i="13" s="1"/>
  <c r="H30" i="13"/>
  <c r="G77" i="13" s="1"/>
  <c r="G80" i="13" s="1"/>
  <c r="J32" i="13" l="1"/>
  <c r="I77" i="13"/>
  <c r="I80" i="13" s="1"/>
  <c r="C82" i="13" s="1"/>
  <c r="E32" i="13"/>
  <c r="F32" i="13"/>
  <c r="G32" i="13"/>
  <c r="H32" i="13"/>
  <c r="I32" i="13"/>
  <c r="C36" i="13" l="1"/>
  <c r="C39" i="13" s="1"/>
  <c r="C42" i="13" s="1"/>
  <c r="C50"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8" authorId="0" shapeId="0" xr:uid="{7ACD7A7D-ED04-C14C-8E1B-F88B49AEBBBC}">
      <text>
        <r>
          <rPr>
            <b/>
            <sz val="10"/>
            <color rgb="FF000000"/>
            <rFont val="Tahoma"/>
            <family val="2"/>
          </rPr>
          <t>Microsoft Office User:</t>
        </r>
        <r>
          <rPr>
            <sz val="10"/>
            <color rgb="FF000000"/>
            <rFont val="Tahoma"/>
            <family val="2"/>
          </rPr>
          <t xml:space="preserve">
</t>
        </r>
        <r>
          <rPr>
            <sz val="10"/>
            <color rgb="FF000000"/>
            <rFont val="Tahoma"/>
            <family val="2"/>
          </rPr>
          <t xml:space="preserve">based on weights the no of o/s shares is calculated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Vairavan Arunachalam</author>
    <author>Microsoft Office User</author>
  </authors>
  <commentList>
    <comment ref="B8" authorId="0" shapeId="0" xr:uid="{CE9C38A6-A2DE-40FF-8114-ACCBFEC8D3FB}">
      <text>
        <r>
          <rPr>
            <b/>
            <sz val="9"/>
            <color rgb="FF000000"/>
            <rFont val="Tahoma"/>
            <family val="2"/>
          </rPr>
          <t>Vairavan Arunachalam:</t>
        </r>
        <r>
          <rPr>
            <sz val="9"/>
            <color rgb="FF000000"/>
            <rFont val="Tahoma"/>
            <family val="2"/>
          </rPr>
          <t xml:space="preserve">
</t>
        </r>
        <r>
          <rPr>
            <sz val="9"/>
            <color rgb="FF000000"/>
            <rFont val="Tahoma"/>
            <family val="2"/>
          </rPr>
          <t xml:space="preserve"> All these companies are selected based on comparable ratios .
</t>
        </r>
      </text>
    </comment>
    <comment ref="S17" authorId="1" shapeId="0" xr:uid="{D8053B85-759B-244E-9583-4A382325DFD4}">
      <text>
        <r>
          <rPr>
            <b/>
            <sz val="10"/>
            <color rgb="FF000000"/>
            <rFont val="Tahoma"/>
            <family val="2"/>
          </rPr>
          <t xml:space="preserve">Microsoft Office User:NET INCOME IS TAKEN
</t>
        </r>
      </text>
    </comment>
    <comment ref="D26" authorId="0" shapeId="0" xr:uid="{6D06922B-43AD-4B43-9223-3EF4CAB7B176}">
      <text>
        <r>
          <rPr>
            <b/>
            <sz val="9"/>
            <color rgb="FF000000"/>
            <rFont val="Tahoma"/>
            <family val="2"/>
          </rPr>
          <t>Vairavan Arunachalam:</t>
        </r>
        <r>
          <rPr>
            <sz val="9"/>
            <color rgb="FF000000"/>
            <rFont val="Tahoma"/>
            <family val="2"/>
          </rPr>
          <t xml:space="preserve">
</t>
        </r>
        <r>
          <rPr>
            <sz val="9"/>
            <color rgb="FF000000"/>
            <rFont val="Tahoma"/>
            <family val="2"/>
          </rPr>
          <t>THE BASE YEAR IS TAKEN AS 2023. BECAUSE IT IS THE LATEST ACTUAL DATA . AND I PREFER TAKING THAT .</t>
        </r>
      </text>
    </comment>
    <comment ref="B30" authorId="1" shapeId="0" xr:uid="{CFF97A89-2830-5C48-A1DE-48677EED73A9}">
      <text>
        <r>
          <rPr>
            <b/>
            <sz val="10"/>
            <color rgb="FF000000"/>
            <rFont val="Tahoma"/>
            <family val="2"/>
          </rPr>
          <t>Microsoft Office User:</t>
        </r>
        <r>
          <rPr>
            <sz val="10"/>
            <color rgb="FF000000"/>
            <rFont val="Tahoma"/>
            <family val="2"/>
          </rPr>
          <t xml:space="preserve">
</t>
        </r>
        <r>
          <rPr>
            <sz val="10"/>
            <color rgb="FF000000"/>
            <rFont val="Tahoma"/>
            <family val="2"/>
          </rPr>
          <t xml:space="preserve">BASED ON WEIGHTS-REVENUE BASIS
</t>
        </r>
      </text>
    </comment>
    <comment ref="L35" authorId="0" shapeId="0" xr:uid="{9DDEC657-3250-B341-B8D9-B333116F0624}">
      <text>
        <r>
          <rPr>
            <b/>
            <sz val="9"/>
            <color rgb="FF000000"/>
            <rFont val="Tahoma"/>
            <family val="2"/>
          </rPr>
          <t>Vairavan Arunachalam:</t>
        </r>
        <r>
          <rPr>
            <sz val="9"/>
            <color rgb="FF000000"/>
            <rFont val="Tahoma"/>
            <family val="2"/>
          </rPr>
          <t xml:space="preserve">
</t>
        </r>
        <r>
          <rPr>
            <sz val="9"/>
            <color rgb="FF000000"/>
            <rFont val="Tahoma"/>
            <family val="2"/>
          </rPr>
          <t>THE BASE YEAR IS TAKEN AS 2023. BECAUSE IT IS THE LATEST ACTUAL DATA . AND I PREFER TAKING THAT .</t>
        </r>
      </text>
    </comment>
    <comment ref="D41" authorId="0" shapeId="0" xr:uid="{477F1638-78C7-8E47-8A29-A9175DB099F9}">
      <text>
        <r>
          <rPr>
            <b/>
            <sz val="9"/>
            <color rgb="FF000000"/>
            <rFont val="Tahoma"/>
            <family val="2"/>
          </rPr>
          <t>Vairavan Arunachalam:</t>
        </r>
        <r>
          <rPr>
            <sz val="9"/>
            <color rgb="FF000000"/>
            <rFont val="Tahoma"/>
            <family val="2"/>
          </rPr>
          <t xml:space="preserve">
</t>
        </r>
        <r>
          <rPr>
            <sz val="9"/>
            <color rgb="FF000000"/>
            <rFont val="Tahoma"/>
            <family val="2"/>
          </rPr>
          <t>THE BASE YEAR IS TAKEN AS 2023. BECAUSE IT IS THE LATEST ACTUAL DATA . AND I PREFER TAKING THAT .</t>
        </r>
      </text>
    </comment>
    <comment ref="L44" authorId="0" shapeId="0" xr:uid="{A25E39A8-EEB2-0046-851E-3313FD2D5128}">
      <text>
        <r>
          <rPr>
            <b/>
            <sz val="9"/>
            <color rgb="FF000000"/>
            <rFont val="Tahoma"/>
            <family val="2"/>
          </rPr>
          <t>Vairavan Arunachalam:</t>
        </r>
        <r>
          <rPr>
            <sz val="9"/>
            <color rgb="FF000000"/>
            <rFont val="Tahoma"/>
            <family val="2"/>
          </rPr>
          <t xml:space="preserve">
</t>
        </r>
        <r>
          <rPr>
            <sz val="9"/>
            <color rgb="FF000000"/>
            <rFont val="Tahoma"/>
            <family val="2"/>
          </rPr>
          <t>THE BASE YEAR IS TAKEN AS 2023. BECAUSE IT IS THE LATEST ACTUAL DATA . AND I PREFER TAKING THAT .</t>
        </r>
      </text>
    </comment>
    <comment ref="D53" authorId="0" shapeId="0" xr:uid="{9874A70D-92AC-0747-8881-85E52C3CCA32}">
      <text>
        <r>
          <rPr>
            <b/>
            <sz val="9"/>
            <color rgb="FF000000"/>
            <rFont val="Tahoma"/>
            <family val="2"/>
          </rPr>
          <t>Vairavan Arunachalam:</t>
        </r>
        <r>
          <rPr>
            <sz val="9"/>
            <color rgb="FF000000"/>
            <rFont val="Tahoma"/>
            <family val="2"/>
          </rPr>
          <t xml:space="preserve">
</t>
        </r>
        <r>
          <rPr>
            <sz val="9"/>
            <color rgb="FF000000"/>
            <rFont val="Tahoma"/>
            <family val="2"/>
          </rPr>
          <t>THE BASE YEAR IS TAKEN AS 2023. BECAUSE IT IS THE LATEST ACTUAL DATA . AND I PREFER TAKING THAT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Vairavan Arunachalam</author>
  </authors>
  <commentList>
    <comment ref="A6" authorId="0" shapeId="0" xr:uid="{041F7381-6BB3-44A5-85B4-3423D2484B0E}">
      <text>
        <r>
          <rPr>
            <b/>
            <sz val="9"/>
            <color rgb="FF000000"/>
            <rFont val="Tahoma"/>
            <family val="2"/>
          </rPr>
          <t>Vairavan Arunachalam:</t>
        </r>
        <r>
          <rPr>
            <sz val="9"/>
            <color rgb="FF000000"/>
            <rFont val="Tahoma"/>
            <family val="2"/>
          </rPr>
          <t xml:space="preserve">
</t>
        </r>
        <r>
          <rPr>
            <sz val="9"/>
            <color rgb="FF000000"/>
            <rFont val="Tahoma"/>
            <family val="2"/>
          </rPr>
          <t xml:space="preserve">The assumtion behind these transaction is that all the below transactions are recent and it matches the enterprise value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Vairavan Arunachalam</author>
  </authors>
  <commentList>
    <comment ref="B4" authorId="0" shapeId="0" xr:uid="{D0923D39-4E11-EB48-877A-E034A9685E40}">
      <text>
        <r>
          <rPr>
            <b/>
            <sz val="10"/>
            <color rgb="FF000000"/>
            <rFont val="Tahoma"/>
            <family val="2"/>
          </rPr>
          <t>Microsoft Office User:</t>
        </r>
        <r>
          <rPr>
            <sz val="10"/>
            <color rgb="FF000000"/>
            <rFont val="Tahoma"/>
            <family val="2"/>
          </rPr>
          <t xml:space="preserve">
</t>
        </r>
        <r>
          <rPr>
            <sz val="10"/>
            <color rgb="FF000000"/>
            <rFont val="Tahoma"/>
            <family val="2"/>
          </rPr>
          <t xml:space="preserve">tax rate of the current year is taken into considerationn </t>
        </r>
      </text>
    </comment>
    <comment ref="H9" authorId="1" shapeId="0" xr:uid="{145262C2-75E8-4F93-BD43-5B851AE459DD}">
      <text>
        <r>
          <rPr>
            <b/>
            <sz val="9"/>
            <color rgb="FF000000"/>
            <rFont val="Tahoma"/>
            <family val="2"/>
          </rPr>
          <t>Vairavan Arunachalam:</t>
        </r>
        <r>
          <rPr>
            <sz val="9"/>
            <color rgb="FF000000"/>
            <rFont val="Tahoma"/>
            <family val="2"/>
          </rPr>
          <t xml:space="preserve">
</t>
        </r>
        <r>
          <rPr>
            <sz val="9"/>
            <color rgb="FF000000"/>
            <rFont val="Tahoma"/>
            <family val="2"/>
          </rPr>
          <t xml:space="preserve">forecastted based on growth
</t>
        </r>
        <r>
          <rPr>
            <sz val="9"/>
            <color rgb="FF000000"/>
            <rFont val="Tahoma"/>
            <family val="2"/>
          </rPr>
          <t>rate made under assumption table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Vairavan Arunachalam</author>
  </authors>
  <commentList>
    <comment ref="P26" authorId="0" shapeId="0" xr:uid="{30026804-92C8-9C42-B48A-5B45F0FA4412}">
      <text>
        <r>
          <rPr>
            <b/>
            <sz val="9"/>
            <color rgb="FF000000"/>
            <rFont val="Tahoma"/>
            <family val="2"/>
          </rPr>
          <t>Vairavan Arunachalam:</t>
        </r>
        <r>
          <rPr>
            <sz val="9"/>
            <color rgb="FF000000"/>
            <rFont val="Tahoma"/>
            <family val="2"/>
          </rPr>
          <t xml:space="preserve">
</t>
        </r>
        <r>
          <rPr>
            <sz val="9"/>
            <color rgb="FF000000"/>
            <rFont val="Tahoma"/>
            <family val="2"/>
          </rPr>
          <t>THE BASE YEAR IS TAKEN AS 2022. BECAUSE IT IS THE LATEST ACTUAL DATA . AND I PREFER TAKING THAT .</t>
        </r>
      </text>
    </comment>
    <comment ref="H27" authorId="0" shapeId="0" xr:uid="{8C08B141-F7D3-49B3-BD8A-C5177F516376}">
      <text>
        <r>
          <rPr>
            <b/>
            <sz val="9"/>
            <color rgb="FF000000"/>
            <rFont val="Tahoma"/>
            <family val="2"/>
          </rPr>
          <t>Vairavan Arunachalam:</t>
        </r>
        <r>
          <rPr>
            <sz val="9"/>
            <color rgb="FF000000"/>
            <rFont val="Tahoma"/>
            <family val="2"/>
          </rPr>
          <t xml:space="preserve">
</t>
        </r>
        <r>
          <rPr>
            <sz val="9"/>
            <color rgb="FF000000"/>
            <rFont val="Tahoma"/>
            <family val="2"/>
          </rPr>
          <t>THE BASE YEAR IS TAKEN AS 2022. BECAUSE IT IS THE LATEST ACTUAL DATA . AND I PREFER TAKING THAT .</t>
        </r>
      </text>
    </comment>
    <comment ref="P40" authorId="0" shapeId="0" xr:uid="{FE1A5970-30DA-EC41-881B-80DE393B0AF8}">
      <text>
        <r>
          <rPr>
            <b/>
            <sz val="9"/>
            <color rgb="FF000000"/>
            <rFont val="Tahoma"/>
            <family val="2"/>
          </rPr>
          <t>Vairavan Arunachalam:</t>
        </r>
        <r>
          <rPr>
            <sz val="9"/>
            <color rgb="FF000000"/>
            <rFont val="Tahoma"/>
            <family val="2"/>
          </rPr>
          <t xml:space="preserve">
</t>
        </r>
        <r>
          <rPr>
            <sz val="9"/>
            <color rgb="FF000000"/>
            <rFont val="Tahoma"/>
            <family val="2"/>
          </rPr>
          <t>THE BASE YEAR IS TAKEN AS 2022. BECAUSE IT IS THE LATEST ACTUAL DATA . AND I PREFER TAKING THAT .</t>
        </r>
      </text>
    </comment>
    <comment ref="P53" authorId="0" shapeId="0" xr:uid="{3EBC6B65-8DF2-834B-A3F3-3D93F94FC1CA}">
      <text>
        <r>
          <rPr>
            <b/>
            <sz val="9"/>
            <color rgb="FF000000"/>
            <rFont val="Tahoma"/>
            <family val="2"/>
          </rPr>
          <t>Vairavan Arunachalam:</t>
        </r>
        <r>
          <rPr>
            <sz val="9"/>
            <color rgb="FF000000"/>
            <rFont val="Tahoma"/>
            <family val="2"/>
          </rPr>
          <t xml:space="preserve">
</t>
        </r>
        <r>
          <rPr>
            <sz val="9"/>
            <color rgb="FF000000"/>
            <rFont val="Tahoma"/>
            <family val="2"/>
          </rPr>
          <t>THE BASE YEAR IS TAKEN AS 2022. BECAUSE IT IS THE LATEST ACTUAL DATA . AND I PREFER TAKING THAT .</t>
        </r>
      </text>
    </comment>
    <comment ref="P69" authorId="0" shapeId="0" xr:uid="{92834CC1-4D85-3746-8FD9-989CE5178495}">
      <text>
        <r>
          <rPr>
            <b/>
            <sz val="9"/>
            <color rgb="FF000000"/>
            <rFont val="Tahoma"/>
            <family val="2"/>
          </rPr>
          <t>Vairavan Arunachalam:</t>
        </r>
        <r>
          <rPr>
            <sz val="9"/>
            <color rgb="FF000000"/>
            <rFont val="Tahoma"/>
            <family val="2"/>
          </rPr>
          <t xml:space="preserve">
</t>
        </r>
        <r>
          <rPr>
            <sz val="9"/>
            <color rgb="FF000000"/>
            <rFont val="Tahoma"/>
            <family val="2"/>
          </rPr>
          <t>THE BASE YEAR IS TAKEN AS 2022. BECAUSE IT IS THE LATEST ACTUAL DATA . AND I PREFER TAKING THAT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74" authorId="0" shapeId="0" xr:uid="{C5A19B79-2CFC-9942-9A05-E6CB88708940}">
      <text>
        <r>
          <rPr>
            <b/>
            <sz val="10"/>
            <color rgb="FF000000"/>
            <rFont val="Tahoma"/>
            <family val="2"/>
          </rPr>
          <t>Microsoft Office User:</t>
        </r>
        <r>
          <rPr>
            <sz val="10"/>
            <color rgb="FF000000"/>
            <rFont val="Tahoma"/>
            <family val="2"/>
          </rPr>
          <t xml:space="preserve">
</t>
        </r>
        <r>
          <rPr>
            <sz val="10"/>
            <color rgb="FF000000"/>
            <rFont val="Tahoma"/>
            <family val="2"/>
          </rPr>
          <t xml:space="preserve">USED THE LBO AS USED IN DU PONT
</t>
        </r>
      </text>
    </comment>
  </commentList>
</comments>
</file>

<file path=xl/sharedStrings.xml><?xml version="1.0" encoding="utf-8"?>
<sst xmlns="http://schemas.openxmlformats.org/spreadsheetml/2006/main" count="899" uniqueCount="339">
  <si>
    <r>
      <rPr>
        <sz val="9"/>
        <rFont val="Times New Roman"/>
        <family val="1"/>
      </rPr>
      <t>-</t>
    </r>
  </si>
  <si>
    <t>CrossHealth - Income Statement</t>
  </si>
  <si>
    <t>Actual</t>
  </si>
  <si>
    <t>Estimated</t>
  </si>
  <si>
    <t>Budget</t>
  </si>
  <si>
    <t>Revenue</t>
  </si>
  <si>
    <t>% Growth</t>
  </si>
  <si>
    <t>Cost of Goods Sold</t>
  </si>
  <si>
    <t>Gross Profit</t>
  </si>
  <si>
    <t>Gross Margin</t>
  </si>
  <si>
    <t>Selling, General &amp; Administrative</t>
  </si>
  <si>
    <t>Depreciation &amp; Amortization</t>
  </si>
  <si>
    <t>Other Expenses / (Income)</t>
  </si>
  <si>
    <t>Operating Income (EBIT)</t>
  </si>
  <si>
    <t>Operating Margin</t>
  </si>
  <si>
    <t>Interest Expense, Net</t>
  </si>
  <si>
    <t>EBT</t>
  </si>
  <si>
    <t>Taxes</t>
  </si>
  <si>
    <t>Net Income Available to Common</t>
  </si>
  <si>
    <t>Capital Expenditures</t>
  </si>
  <si>
    <t>CapEx as % of Revenue</t>
  </si>
  <si>
    <r>
      <rPr>
        <i/>
        <sz val="11"/>
        <rFont val="Times New Roman"/>
        <family val="1"/>
      </rPr>
      <t xml:space="preserve">($ in millions)                                                                          </t>
    </r>
    <r>
      <rPr>
        <b/>
        <i/>
        <u/>
        <sz val="11"/>
        <rFont val="Times New Roman"/>
        <family val="1"/>
      </rPr>
      <t>                                Fiscal Year Ended December,                                 </t>
    </r>
  </si>
  <si>
    <t>CURRENT ASSETS</t>
  </si>
  <si>
    <t>Accounts receivable</t>
  </si>
  <si>
    <t>Inventory</t>
  </si>
  <si>
    <t>Prepaid expenses</t>
  </si>
  <si>
    <t>Total Current Assets</t>
  </si>
  <si>
    <t>Intangible assets</t>
  </si>
  <si>
    <t>Deferred compensation</t>
  </si>
  <si>
    <t>Other assets</t>
  </si>
  <si>
    <t>Total Long-Term Assets</t>
  </si>
  <si>
    <t>Total Assets</t>
  </si>
  <si>
    <t>Accrued expenses</t>
  </si>
  <si>
    <t>Unearned revenue</t>
  </si>
  <si>
    <t>Other current liabilities</t>
  </si>
  <si>
    <t>Total Current Liabilities</t>
  </si>
  <si>
    <t>Deferred taxes</t>
  </si>
  <si>
    <t>Other liabilities</t>
  </si>
  <si>
    <t>Total Long-Term Liabilities</t>
  </si>
  <si>
    <t>Total Liabilities</t>
  </si>
  <si>
    <t>Net stockholders' equity</t>
  </si>
  <si>
    <t>Total Liabilities &amp; Stockholders' Equity</t>
  </si>
  <si>
    <t>Check</t>
  </si>
  <si>
    <t>CrossHealth - Balance Sheet</t>
  </si>
  <si>
    <t>($ in millions)</t>
  </si>
  <si>
    <t>Cash and cash equivalents</t>
  </si>
  <si>
    <t>LONG TERM ASSETS</t>
  </si>
  <si>
    <t>Property and equipment</t>
  </si>
  <si>
    <t>CURRENT LIABILITIES</t>
  </si>
  <si>
    <t>Accounts Payable</t>
  </si>
  <si>
    <t>LONG TERM LIABILITIES</t>
  </si>
  <si>
    <t>Long Term Debt</t>
  </si>
  <si>
    <r>
      <rPr>
        <b/>
        <sz val="10"/>
        <rFont val="Times New Roman"/>
        <family val="1"/>
      </rPr>
      <t xml:space="preserve">Gaming Comps                                                                               Shares                                                                           LTM                    LTM                    LTM                    LTM
</t>
    </r>
    <r>
      <rPr>
        <b/>
        <u/>
        <sz val="10"/>
        <rFont val="Times New Roman"/>
        <family val="1"/>
      </rPr>
      <t> Company                                                        Stock Price    </t>
    </r>
    <r>
      <rPr>
        <b/>
        <sz val="10"/>
        <rFont val="Times New Roman"/>
        <family val="1"/>
      </rPr>
      <t xml:space="preserve">  </t>
    </r>
    <r>
      <rPr>
        <b/>
        <u/>
        <sz val="10"/>
        <rFont val="Times New Roman"/>
        <family val="1"/>
      </rPr>
      <t>   Outstanding   </t>
    </r>
    <r>
      <rPr>
        <b/>
        <sz val="10"/>
        <rFont val="Times New Roman"/>
        <family val="1"/>
      </rPr>
      <t xml:space="preserve">  </t>
    </r>
    <r>
      <rPr>
        <b/>
        <u/>
        <sz val="10"/>
        <rFont val="Times New Roman"/>
        <family val="1"/>
      </rPr>
      <t>         Debt         </t>
    </r>
    <r>
      <rPr>
        <b/>
        <sz val="10"/>
        <rFont val="Times New Roman"/>
        <family val="1"/>
      </rPr>
      <t xml:space="preserve">  </t>
    </r>
    <r>
      <rPr>
        <b/>
        <u/>
        <sz val="10"/>
        <rFont val="Times New Roman"/>
        <family val="1"/>
      </rPr>
      <t>         Cash         </t>
    </r>
    <r>
      <rPr>
        <b/>
        <sz val="10"/>
        <rFont val="Times New Roman"/>
        <family val="1"/>
      </rPr>
      <t xml:space="preserve">  </t>
    </r>
    <r>
      <rPr>
        <b/>
        <u/>
        <sz val="10"/>
        <rFont val="Times New Roman"/>
        <family val="1"/>
      </rPr>
      <t>         Sales         </t>
    </r>
    <r>
      <rPr>
        <b/>
        <sz val="10"/>
        <rFont val="Times New Roman"/>
        <family val="1"/>
      </rPr>
      <t xml:space="preserve">  </t>
    </r>
    <r>
      <rPr>
        <b/>
        <u/>
        <sz val="10"/>
        <rFont val="Times New Roman"/>
        <family val="1"/>
      </rPr>
      <t>      EBITDA      </t>
    </r>
    <r>
      <rPr>
        <b/>
        <sz val="10"/>
        <rFont val="Times New Roman"/>
        <family val="1"/>
      </rPr>
      <t xml:space="preserve">  </t>
    </r>
    <r>
      <rPr>
        <b/>
        <u/>
        <sz val="10"/>
        <rFont val="Times New Roman"/>
        <family val="1"/>
      </rPr>
      <t>         EBIT        </t>
    </r>
    <r>
      <rPr>
        <b/>
        <sz val="10"/>
        <rFont val="Times New Roman"/>
        <family val="1"/>
      </rPr>
      <t xml:space="preserve">  </t>
    </r>
    <r>
      <rPr>
        <b/>
        <u/>
        <sz val="10"/>
        <rFont val="Times New Roman"/>
        <family val="1"/>
      </rPr>
      <t>      Earnings     </t>
    </r>
  </si>
  <si>
    <r>
      <rPr>
        <sz val="10"/>
        <rFont val="Times New Roman"/>
        <family val="1"/>
      </rPr>
      <t>Company 6</t>
    </r>
  </si>
  <si>
    <r>
      <rPr>
        <sz val="10"/>
        <rFont val="Times New Roman"/>
        <family val="1"/>
      </rPr>
      <t>Company 7</t>
    </r>
  </si>
  <si>
    <r>
      <rPr>
        <sz val="10"/>
        <rFont val="Times New Roman"/>
        <family val="1"/>
      </rPr>
      <t>Company 8</t>
    </r>
  </si>
  <si>
    <r>
      <rPr>
        <sz val="10"/>
        <rFont val="Times New Roman"/>
        <family val="1"/>
      </rPr>
      <t>Company 9</t>
    </r>
  </si>
  <si>
    <r>
      <rPr>
        <sz val="10"/>
        <rFont val="Times New Roman"/>
        <family val="1"/>
      </rPr>
      <t>Company 10</t>
    </r>
  </si>
  <si>
    <t>CrossPlay - Income Statement</t>
  </si>
  <si>
    <t>Current maturity debt</t>
  </si>
  <si>
    <r>
      <rPr>
        <b/>
        <sz val="9"/>
        <rFont val="Times New Roman"/>
        <family val="1"/>
      </rPr>
      <t>CURRENT ASSETS
Cash and cash equivalents</t>
    </r>
  </si>
  <si>
    <r>
      <rPr>
        <sz val="11"/>
        <rFont val="Calibri"/>
        <family val="2"/>
        <scheme val="minor"/>
      </rPr>
      <t>Accounts receivable</t>
    </r>
  </si>
  <si>
    <t>Accounts payable</t>
  </si>
  <si>
    <r>
      <rPr>
        <sz val="11"/>
        <rFont val="Calibri"/>
        <family val="2"/>
        <scheme val="minor"/>
      </rPr>
      <t>Other current liabilities</t>
    </r>
  </si>
  <si>
    <r>
      <rPr>
        <sz val="11"/>
        <rFont val="Calibri"/>
        <family val="2"/>
        <scheme val="minor"/>
      </rPr>
      <t>Net stockholders' equity</t>
    </r>
  </si>
  <si>
    <r>
      <rPr>
        <b/>
        <sz val="11"/>
        <rFont val="Calibri"/>
        <family val="2"/>
        <scheme val="minor"/>
      </rPr>
      <t>Total Liabilities &amp; Stockholders' Equity</t>
    </r>
  </si>
  <si>
    <r>
      <rPr>
        <sz val="11"/>
        <rFont val="Calibri"/>
        <family val="2"/>
        <scheme val="minor"/>
      </rPr>
      <t>Check</t>
    </r>
  </si>
  <si>
    <r>
      <rPr>
        <i/>
        <sz val="11"/>
        <rFont val="Times New Roman"/>
        <family val="1"/>
      </rPr>
      <t>Actual</t>
    </r>
  </si>
  <si>
    <r>
      <rPr>
        <i/>
        <sz val="11"/>
        <rFont val="Times New Roman"/>
        <family val="1"/>
      </rPr>
      <t>Estimated</t>
    </r>
  </si>
  <si>
    <r>
      <rPr>
        <b/>
        <sz val="11"/>
        <rFont val="Times New Roman"/>
        <family val="1"/>
      </rPr>
      <t>CrossPlay - Balance Sheet</t>
    </r>
  </si>
  <si>
    <r>
      <rPr>
        <i/>
        <sz val="11"/>
        <rFont val="Times New Roman"/>
        <family val="1"/>
      </rPr>
      <t>Budget</t>
    </r>
  </si>
  <si>
    <r>
      <rPr>
        <b/>
        <sz val="11"/>
        <rFont val="Times New Roman"/>
        <family val="1"/>
      </rPr>
      <t>Revenue</t>
    </r>
  </si>
  <si>
    <r>
      <rPr>
        <sz val="11"/>
        <rFont val="Times New Roman"/>
        <family val="1"/>
      </rPr>
      <t>Cost of Goods Sold</t>
    </r>
  </si>
  <si>
    <r>
      <rPr>
        <b/>
        <sz val="11"/>
        <rFont val="Times New Roman"/>
        <family val="1"/>
      </rPr>
      <t>Gross Profit</t>
    </r>
  </si>
  <si>
    <r>
      <rPr>
        <sz val="11"/>
        <rFont val="Times New Roman"/>
        <family val="1"/>
      </rPr>
      <t>Selling, General &amp; Administrative</t>
    </r>
  </si>
  <si>
    <r>
      <rPr>
        <sz val="11"/>
        <rFont val="Times New Roman"/>
        <family val="1"/>
      </rPr>
      <t>Depreciation &amp; Amortization</t>
    </r>
  </si>
  <si>
    <r>
      <rPr>
        <sz val="11"/>
        <rFont val="Times New Roman"/>
        <family val="1"/>
      </rPr>
      <t>Other Expenses / (Income)</t>
    </r>
  </si>
  <si>
    <r>
      <rPr>
        <b/>
        <sz val="11"/>
        <rFont val="Times New Roman"/>
        <family val="1"/>
      </rPr>
      <t>Operating Income (EBIT)</t>
    </r>
  </si>
  <si>
    <r>
      <rPr>
        <sz val="11"/>
        <rFont val="Times New Roman"/>
        <family val="1"/>
      </rPr>
      <t>Interest Expense, Net</t>
    </r>
  </si>
  <si>
    <r>
      <rPr>
        <sz val="11"/>
        <rFont val="Times New Roman"/>
        <family val="1"/>
      </rPr>
      <t>EBT</t>
    </r>
  </si>
  <si>
    <r>
      <rPr>
        <sz val="11"/>
        <rFont val="Times New Roman"/>
        <family val="1"/>
      </rPr>
      <t>Taxes</t>
    </r>
  </si>
  <si>
    <r>
      <rPr>
        <b/>
        <sz val="11"/>
        <rFont val="Times New Roman"/>
        <family val="1"/>
      </rPr>
      <t>Net Income Available to Common</t>
    </r>
  </si>
  <si>
    <r>
      <rPr>
        <sz val="11"/>
        <rFont val="Times New Roman"/>
        <family val="1"/>
      </rPr>
      <t>Capital Expenditures</t>
    </r>
  </si>
  <si>
    <r>
      <rPr>
        <i/>
        <sz val="11"/>
        <color theme="2" tint="-0.499984740745262"/>
        <rFont val="Times New Roman"/>
        <family val="1"/>
      </rPr>
      <t>CapEx as % of Revenue</t>
    </r>
  </si>
  <si>
    <r>
      <rPr>
        <i/>
        <sz val="11"/>
        <color theme="2" tint="-0.499984740745262"/>
        <rFont val="Times New Roman"/>
        <family val="1"/>
      </rPr>
      <t>% Growth</t>
    </r>
  </si>
  <si>
    <r>
      <rPr>
        <i/>
        <sz val="11"/>
        <color theme="2" tint="-0.499984740745262"/>
        <rFont val="Times New Roman"/>
        <family val="1"/>
      </rPr>
      <t>Gross Margin</t>
    </r>
  </si>
  <si>
    <r>
      <rPr>
        <i/>
        <sz val="11"/>
        <color theme="2" tint="-0.499984740745262"/>
        <rFont val="Times New Roman"/>
        <family val="1"/>
      </rPr>
      <t>Operating Margin</t>
    </r>
  </si>
  <si>
    <r>
      <rPr>
        <b/>
        <sz val="11"/>
        <rFont val="Times New Roman"/>
        <family val="1"/>
      </rPr>
      <t>FirstFighter - Income Statement</t>
    </r>
  </si>
  <si>
    <t>Cash and equivalents</t>
  </si>
  <si>
    <t>CURRENT ASSETS</t>
  </si>
  <si>
    <r>
      <rPr>
        <sz val="11"/>
        <rFont val="Times New Roman"/>
        <family val="1"/>
      </rPr>
      <t>Accounts receivable</t>
    </r>
  </si>
  <si>
    <r>
      <rPr>
        <sz val="11"/>
        <rFont val="Times New Roman"/>
        <family val="1"/>
      </rPr>
      <t>Inventory</t>
    </r>
  </si>
  <si>
    <r>
      <rPr>
        <sz val="11"/>
        <rFont val="Times New Roman"/>
        <family val="1"/>
      </rPr>
      <t>Prepaid expenses</t>
    </r>
  </si>
  <si>
    <r>
      <rPr>
        <b/>
        <sz val="11"/>
        <rFont val="Times New Roman"/>
        <family val="1"/>
      </rPr>
      <t>Total Current Assets</t>
    </r>
  </si>
  <si>
    <r>
      <rPr>
        <sz val="11"/>
        <rFont val="Times New Roman"/>
        <family val="1"/>
      </rPr>
      <t>Intangible assets</t>
    </r>
  </si>
  <si>
    <r>
      <rPr>
        <sz val="11"/>
        <rFont val="Times New Roman"/>
        <family val="1"/>
      </rPr>
      <t>Deferred compensation</t>
    </r>
  </si>
  <si>
    <r>
      <rPr>
        <sz val="11"/>
        <rFont val="Times New Roman"/>
        <family val="1"/>
      </rPr>
      <t>Other assets</t>
    </r>
  </si>
  <si>
    <r>
      <rPr>
        <b/>
        <sz val="11"/>
        <rFont val="Times New Roman"/>
        <family val="1"/>
      </rPr>
      <t>Total Long-Term Assets</t>
    </r>
  </si>
  <si>
    <r>
      <rPr>
        <b/>
        <sz val="11"/>
        <rFont val="Times New Roman"/>
        <family val="1"/>
      </rPr>
      <t>Total Assets</t>
    </r>
  </si>
  <si>
    <r>
      <rPr>
        <sz val="11"/>
        <rFont val="Times New Roman"/>
        <family val="1"/>
      </rPr>
      <t>Accrued expenses</t>
    </r>
  </si>
  <si>
    <r>
      <rPr>
        <sz val="11"/>
        <rFont val="Times New Roman"/>
        <family val="1"/>
      </rPr>
      <t>Unearned revenue</t>
    </r>
  </si>
  <si>
    <r>
      <rPr>
        <sz val="11"/>
        <rFont val="Times New Roman"/>
        <family val="1"/>
      </rPr>
      <t>Other current liabilities</t>
    </r>
  </si>
  <si>
    <r>
      <rPr>
        <b/>
        <sz val="11"/>
        <rFont val="Times New Roman"/>
        <family val="1"/>
      </rPr>
      <t>Total Current Liabilities</t>
    </r>
  </si>
  <si>
    <r>
      <rPr>
        <sz val="11"/>
        <rFont val="Times New Roman"/>
        <family val="1"/>
      </rPr>
      <t>Deferred taxes</t>
    </r>
  </si>
  <si>
    <r>
      <rPr>
        <sz val="11"/>
        <rFont val="Times New Roman"/>
        <family val="1"/>
      </rPr>
      <t>Other liabilities</t>
    </r>
  </si>
  <si>
    <r>
      <rPr>
        <b/>
        <sz val="11"/>
        <rFont val="Times New Roman"/>
        <family val="1"/>
      </rPr>
      <t>Total Long-Term Liabilities</t>
    </r>
  </si>
  <si>
    <r>
      <rPr>
        <b/>
        <sz val="11"/>
        <rFont val="Times New Roman"/>
        <family val="1"/>
      </rPr>
      <t>Total Liabilities</t>
    </r>
  </si>
  <si>
    <r>
      <rPr>
        <sz val="11"/>
        <rFont val="Times New Roman"/>
        <family val="1"/>
      </rPr>
      <t>Net stockholders' equity</t>
    </r>
  </si>
  <si>
    <r>
      <rPr>
        <b/>
        <sz val="11"/>
        <rFont val="Times New Roman"/>
        <family val="1"/>
      </rPr>
      <t>Total Liabilities &amp; Stockholders' Equity</t>
    </r>
  </si>
  <si>
    <r>
      <rPr>
        <sz val="11"/>
        <rFont val="Times New Roman"/>
        <family val="1"/>
      </rPr>
      <t>Check</t>
    </r>
  </si>
  <si>
    <r>
      <rPr>
        <b/>
        <sz val="11"/>
        <rFont val="Times New Roman"/>
        <family val="1"/>
      </rPr>
      <t>FirstFighter - Balance Sheet</t>
    </r>
  </si>
  <si>
    <t>Company</t>
  </si>
  <si>
    <t>Stock</t>
  </si>
  <si>
    <t>Price</t>
  </si>
  <si>
    <t>Shares</t>
  </si>
  <si>
    <t>Outstanding</t>
  </si>
  <si>
    <t>Debt</t>
  </si>
  <si>
    <t>Cash</t>
  </si>
  <si>
    <t>LTM</t>
  </si>
  <si>
    <t>Sales</t>
  </si>
  <si>
    <t>EBITDA</t>
  </si>
  <si>
    <t>EBIT</t>
  </si>
  <si>
    <t>Earnings</t>
  </si>
  <si>
    <t>Company 1</t>
  </si>
  <si>
    <t>Company 2</t>
  </si>
  <si>
    <t>Company 3</t>
  </si>
  <si>
    <t>Company 4</t>
  </si>
  <si>
    <t>Company 5</t>
  </si>
  <si>
    <t>(figures in millions except per share amount)</t>
  </si>
  <si>
    <t>Comparable Company Analysis - Health Comps</t>
  </si>
  <si>
    <t>Comparable Company Analysis - Gaming Comps</t>
  </si>
  <si>
    <t xml:space="preserve">Announced </t>
  </si>
  <si>
    <t>Date</t>
  </si>
  <si>
    <t>Enterprise Value</t>
  </si>
  <si>
    <t>Target</t>
  </si>
  <si>
    <t>EV /</t>
  </si>
  <si>
    <t>Transaction 1</t>
  </si>
  <si>
    <t>NA</t>
  </si>
  <si>
    <t>Transaction 2</t>
  </si>
  <si>
    <t>Transaction 3</t>
  </si>
  <si>
    <t>Transaction 4</t>
  </si>
  <si>
    <t>Transaction 5</t>
  </si>
  <si>
    <t>Transaction 6</t>
  </si>
  <si>
    <t>Transaction 7</t>
  </si>
  <si>
    <t>Transaction 8</t>
  </si>
  <si>
    <t>Transaction 9</t>
  </si>
  <si>
    <t>Transaction 10</t>
  </si>
  <si>
    <t>Transaction 11</t>
  </si>
  <si>
    <t>Transaction 12</t>
  </si>
  <si>
    <t>Transaction 13</t>
  </si>
  <si>
    <t>Transaction 14</t>
  </si>
  <si>
    <t>Transaction 15</t>
  </si>
  <si>
    <t>Transaction 16</t>
  </si>
  <si>
    <t>Transaction 17</t>
  </si>
  <si>
    <t>Transaction 18</t>
  </si>
  <si>
    <t>Transaction 19</t>
  </si>
  <si>
    <t>Comparable Transactions - Healthcare Technology</t>
  </si>
  <si>
    <t>Comparable Transactions - Gaming Technology</t>
  </si>
  <si>
    <t>Transaction 20</t>
  </si>
  <si>
    <t>Transaction 21</t>
  </si>
  <si>
    <t>Transaction 22</t>
  </si>
  <si>
    <t>Transaction 23</t>
  </si>
  <si>
    <t>Market</t>
  </si>
  <si>
    <t xml:space="preserve"> capital</t>
  </si>
  <si>
    <t xml:space="preserve">value </t>
  </si>
  <si>
    <t>Enterprice</t>
  </si>
  <si>
    <t>EV/SALES</t>
  </si>
  <si>
    <t>EV/EBITDA</t>
  </si>
  <si>
    <t>EPS</t>
  </si>
  <si>
    <t>EV/EBIT</t>
  </si>
  <si>
    <t>P/E</t>
  </si>
  <si>
    <t>MIN</t>
  </si>
  <si>
    <t>EV/</t>
  </si>
  <si>
    <t>75TH PERCENTILE</t>
  </si>
  <si>
    <t xml:space="preserve">MAX </t>
  </si>
  <si>
    <t>MEDIAN</t>
  </si>
  <si>
    <t>MEAN</t>
  </si>
  <si>
    <t>25TH PEERCENTILE</t>
  </si>
  <si>
    <t>REVENUE</t>
  </si>
  <si>
    <t xml:space="preserve">EBIT </t>
  </si>
  <si>
    <t>SALES</t>
  </si>
  <si>
    <t>BASE</t>
  </si>
  <si>
    <t>MULTIPLE</t>
  </si>
  <si>
    <t>EV</t>
  </si>
  <si>
    <t>LESS: DEBT</t>
  </si>
  <si>
    <t>PLUS : CASH</t>
  </si>
  <si>
    <t>EQUITY VALUE ESTIMATE</t>
  </si>
  <si>
    <t>SHARES OUTSTANDING</t>
  </si>
  <si>
    <t>OUTSTANDING SHARES :EXPRESSED IN MILLION</t>
  </si>
  <si>
    <t>PRICE PER SHARE</t>
  </si>
  <si>
    <t xml:space="preserve"> </t>
  </si>
  <si>
    <t>Cross health</t>
  </si>
  <si>
    <t>75 percentile</t>
  </si>
  <si>
    <t>median</t>
  </si>
  <si>
    <t xml:space="preserve">mean </t>
  </si>
  <si>
    <t>25th percentile</t>
  </si>
  <si>
    <t>maximum</t>
  </si>
  <si>
    <t>minimum</t>
  </si>
  <si>
    <t>BASE:</t>
  </si>
  <si>
    <t>ADD: CASH</t>
  </si>
  <si>
    <t xml:space="preserve">LESS : DEBT </t>
  </si>
  <si>
    <t xml:space="preserve">EQUITY VALUE ESTIMATE </t>
  </si>
  <si>
    <t>PER SHARE VALUE</t>
  </si>
  <si>
    <t>AVERAGE ( MULTIPLE)- PRICE PER SHARE</t>
  </si>
  <si>
    <t>`</t>
  </si>
  <si>
    <t xml:space="preserve">INPUT </t>
  </si>
  <si>
    <t>GROWTH RATE</t>
  </si>
  <si>
    <t>DISCOUNT RATE</t>
  </si>
  <si>
    <t>TAX IMPLICATION</t>
  </si>
  <si>
    <t xml:space="preserve">REVENUE </t>
  </si>
  <si>
    <t>Nopat</t>
  </si>
  <si>
    <t>Add: Depreciation &amp; Amortization</t>
  </si>
  <si>
    <t>Less : Capex</t>
  </si>
  <si>
    <t>Less: Changes in NOWC</t>
  </si>
  <si>
    <t>FCF</t>
  </si>
  <si>
    <t>Terminal Value</t>
  </si>
  <si>
    <t>Normal discount period</t>
  </si>
  <si>
    <t>P.V of terminal value</t>
  </si>
  <si>
    <t>Less: Debt</t>
  </si>
  <si>
    <t>%OF GROWTH</t>
  </si>
  <si>
    <t>HISTORIC</t>
  </si>
  <si>
    <t xml:space="preserve">FORECASTED </t>
  </si>
  <si>
    <t xml:space="preserve">EBIT AS % OF SALES </t>
  </si>
  <si>
    <t>NOWC % of revenue</t>
  </si>
  <si>
    <t>ASSUMPTIONS</t>
  </si>
  <si>
    <t>TERMINAL VALUE CALCULATION</t>
  </si>
  <si>
    <t>Terminal year cash flow</t>
  </si>
  <si>
    <t>Long term growth rate</t>
  </si>
  <si>
    <t>Wacc</t>
  </si>
  <si>
    <t>Terminal value :</t>
  </si>
  <si>
    <t>mid year discount period</t>
  </si>
  <si>
    <t>Total  value of cash flow</t>
  </si>
  <si>
    <t>TOTAL EQUITY VALUE</t>
  </si>
  <si>
    <t xml:space="preserve">LESS: Tax </t>
  </si>
  <si>
    <t>TAX RATE</t>
  </si>
  <si>
    <t xml:space="preserve">SUM OF PV OF TERMINAL VALUE </t>
  </si>
  <si>
    <t xml:space="preserve">PV OF FUTURE CASH FLOWS </t>
  </si>
  <si>
    <t>Add : Cash</t>
  </si>
  <si>
    <t>Max</t>
  </si>
  <si>
    <t>Median</t>
  </si>
  <si>
    <t>Minimum</t>
  </si>
  <si>
    <t>Comparable Company Analysis - Play Comps</t>
  </si>
  <si>
    <t>25TH PERCENTILE</t>
  </si>
  <si>
    <t>PARTICULARS</t>
  </si>
  <si>
    <t>Sales growth</t>
  </si>
  <si>
    <t>EBITDA Exit Multiple:</t>
  </si>
  <si>
    <t>Assumed Debt / 2012 EBITDA:</t>
  </si>
  <si>
    <t>Rd:</t>
  </si>
  <si>
    <t>Unlevered Re:</t>
  </si>
  <si>
    <t>Tax Rate:</t>
  </si>
  <si>
    <t>IRR</t>
  </si>
  <si>
    <t>Closing</t>
  </si>
  <si>
    <t>Less: Interest Expense</t>
  </si>
  <si>
    <t>Earning before taxes</t>
  </si>
  <si>
    <t>Less: Taxes</t>
  </si>
  <si>
    <t>Net Income</t>
  </si>
  <si>
    <t>Plus: Depreciation</t>
  </si>
  <si>
    <t>Less:CAPEX</t>
  </si>
  <si>
    <t>Less: Inc In NWC</t>
  </si>
  <si>
    <t>Unlevered FCF</t>
  </si>
  <si>
    <t>Unlevered fcf including terminal value</t>
  </si>
  <si>
    <t>Depreciation and Amortization</t>
  </si>
  <si>
    <t>Pretax Operating Income (EBIT)</t>
  </si>
  <si>
    <t>TOTAL OUTSTANDING SHARES</t>
  </si>
  <si>
    <t xml:space="preserve">MILLION </t>
  </si>
  <si>
    <t>CROSS HEALTH</t>
  </si>
  <si>
    <t xml:space="preserve">CROSS PLAY </t>
  </si>
  <si>
    <t>MINIMUM( MULTIPLE)- PRICE PER SHARE</t>
  </si>
  <si>
    <t>MAXIMUM( MULTIPLE)- PRICE PER SHARE</t>
  </si>
  <si>
    <t>MAX</t>
  </si>
  <si>
    <t>75 TH PERCENTILE</t>
  </si>
  <si>
    <t>ADD : CASH</t>
  </si>
  <si>
    <t>EQUITY VALUE</t>
  </si>
  <si>
    <t>25 TH PERCENTILE</t>
  </si>
  <si>
    <t>MINIMUM</t>
  </si>
  <si>
    <t>SG&amp;A</t>
  </si>
  <si>
    <t>SELLING ,GENERAL &amp; ADMINISTRATION</t>
  </si>
  <si>
    <t>SELLING ,GENERAL &amp; ADMINISTRATION(% OF SALES)</t>
  </si>
  <si>
    <t>% OF REVENUE</t>
  </si>
  <si>
    <t>LESS: CHANGE IN WORKING CAPITAL</t>
  </si>
  <si>
    <t>GROSS PROFIT(NOWC)</t>
  </si>
  <si>
    <t xml:space="preserve">SUM OF PV OF FCF </t>
  </si>
  <si>
    <t>PV OF TV</t>
  </si>
  <si>
    <t>ENTERPPRISE VALUE</t>
  </si>
  <si>
    <t>SENSITIVITY ANALYSIS</t>
  </si>
  <si>
    <t xml:space="preserve">Cross play comps  are selected based on enterprise value </t>
  </si>
  <si>
    <t>MINIMUM- ( MULTIPLE)- PRICE PER SHARE</t>
  </si>
  <si>
    <t>MAXIMUM- ( MULTIPLE)- PRICE PER SHARE</t>
  </si>
  <si>
    <t>25 TH PERCENTILE- ( MULTIPLE)- PRICE PER SHARE</t>
  </si>
  <si>
    <t>75TH PERCENTILE- ( MULTIPLE)- PRICE PER SHARE</t>
  </si>
  <si>
    <t>AVERAGE</t>
  </si>
  <si>
    <t>(GROSS PROFIT) NOWC</t>
  </si>
  <si>
    <t xml:space="preserve">SALES AND ADMINISTRATION </t>
  </si>
  <si>
    <t>Maximum</t>
  </si>
  <si>
    <t xml:space="preserve">Mean </t>
  </si>
  <si>
    <t>Operating Margin(COST OF EQUITY)</t>
  </si>
  <si>
    <t xml:space="preserve">CAPEX </t>
  </si>
  <si>
    <t>EBIT GROWTH</t>
  </si>
  <si>
    <t>LTM DEBT</t>
  </si>
  <si>
    <t>DEBT-STRUT</t>
  </si>
  <si>
    <t>TAX SHIELD</t>
  </si>
  <si>
    <t>BLEND-INTEREST</t>
  </si>
  <si>
    <t>INTEREST</t>
  </si>
  <si>
    <t>TAX -PV</t>
  </si>
  <si>
    <t>DEDUCT: DEBT</t>
  </si>
  <si>
    <t>NET EQUITY VALUE- TOTAL</t>
  </si>
  <si>
    <t>EV (TAX INCORPORATED)</t>
  </si>
  <si>
    <t>Cross Health</t>
  </si>
  <si>
    <t>Comparable Company Analysis:</t>
  </si>
  <si>
    <t>EV/Revenue</t>
  </si>
  <si>
    <t>Precedent M&amp;A Analysis:</t>
  </si>
  <si>
    <t>DCF:</t>
  </si>
  <si>
    <t xml:space="preserve">Equity Value </t>
  </si>
  <si>
    <t>Min</t>
  </si>
  <si>
    <t>25TH</t>
  </si>
  <si>
    <t>Average</t>
  </si>
  <si>
    <t>75TH</t>
  </si>
  <si>
    <t>Cross Play</t>
  </si>
  <si>
    <t>NO DEBT</t>
  </si>
  <si>
    <t>Target IRR</t>
  </si>
  <si>
    <t>2025E</t>
  </si>
  <si>
    <t>2026E</t>
  </si>
  <si>
    <t>2027E</t>
  </si>
  <si>
    <t>2028E</t>
  </si>
  <si>
    <t>Levered CF</t>
  </si>
  <si>
    <t>TV</t>
  </si>
  <si>
    <t>Total Equity CF</t>
  </si>
  <si>
    <t>PV of Equity  CF</t>
  </si>
  <si>
    <t>Max EV LBO</t>
  </si>
  <si>
    <t>PV at Target IRR</t>
  </si>
  <si>
    <t>Initial Equity Investment</t>
  </si>
  <si>
    <t>Annual Equity CF</t>
  </si>
  <si>
    <t>EV at Exit</t>
  </si>
  <si>
    <t xml:space="preserve">IRR </t>
  </si>
  <si>
    <t>75th percentile</t>
  </si>
  <si>
    <t>Maximium</t>
  </si>
  <si>
    <t>ESTIMATE</t>
  </si>
  <si>
    <t>ACTUAL</t>
  </si>
  <si>
    <t>EV (EXIT)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</si>
</sst>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0.00_);_(* \(#,##0.00\);_(* &quot;-&quot;??_);_(@_)"/>
    <numFmt numFmtId="164" formatCode="&quot;$&quot;#,##0_);\(&quot;$&quot;#,##0\)"/>
    <numFmt numFmtId="165" formatCode="&quot;$&quot;#,##0.00_);\(&quot;$&quot;#,##0.00\)"/>
    <numFmt numFmtId="166" formatCode="_(&quot;$&quot;* #,##0.00_);_(&quot;$&quot;* \(#,##0.00\);_(&quot;$&quot;* &quot;-&quot;??_);_(@_)"/>
    <numFmt numFmtId="167" formatCode="0.0%"/>
    <numFmt numFmtId="168" formatCode="0.0"/>
    <numFmt numFmtId="169" formatCode="#,##0.0_);\(#,##0.0\)"/>
    <numFmt numFmtId="170" formatCode="&quot;$&quot;#,##0.0_);\(&quot;$&quot;#,##0.0\)"/>
    <numFmt numFmtId="171" formatCode="#,##0.0%_);\(#,##0.0%\)"/>
    <numFmt numFmtId="172" formatCode="_(* #,##0.0_);_(* \(#,##0.0\);_(* &quot;-&quot;?_);_(@_)"/>
    <numFmt numFmtId="173" formatCode="#,##0.0"/>
    <numFmt numFmtId="174" formatCode="#,##0.0\x"/>
    <numFmt numFmtId="175" formatCode="#,##0.0\x#"/>
    <numFmt numFmtId="176" formatCode="#,##0.000"/>
    <numFmt numFmtId="177" formatCode="_([$$-409]* #,##0.00_);_([$$-409]* \(#,##0.00\);_([$$-409]* &quot;-&quot;??_);_(@_)"/>
    <numFmt numFmtId="178" formatCode=";;"/>
    <numFmt numFmtId="179" formatCode="&quot;$&quot;#,##0.00_);[Red]\(&quot;$&quot;#,##0.00\)"/>
    <numFmt numFmtId="180" formatCode="_(&quot;$&quot;* #,##0_);_(&quot;$&quot;* \(#,##0\);_(&quot;$&quot;* &quot;-&quot;??_);_(@_)"/>
  </numFmts>
  <fonts count="46" x14ac:knownFonts="1">
    <font>
      <sz val="11"/>
      <color theme="1"/>
      <name val="Calibri"/>
      <family val="2"/>
      <scheme val="minor"/>
    </font>
    <font>
      <b/>
      <sz val="11"/>
      <color theme="1"/>
      <name val="Calibri"/>
      <family val="2"/>
      <scheme val="minor"/>
    </font>
    <font>
      <b/>
      <sz val="9"/>
      <name val="Times New Roman"/>
      <family val="1"/>
    </font>
    <font>
      <sz val="9"/>
      <name val="Times New Roman"/>
      <family val="1"/>
    </font>
    <font>
      <sz val="10"/>
      <name val="Times New Roman"/>
      <family val="1"/>
    </font>
    <font>
      <sz val="11"/>
      <name val="Times New Roman"/>
      <family val="1"/>
    </font>
    <font>
      <i/>
      <sz val="11"/>
      <name val="Times New Roman"/>
      <family val="1"/>
    </font>
    <font>
      <b/>
      <i/>
      <u/>
      <sz val="11"/>
      <name val="Times New Roman"/>
      <family val="1"/>
    </font>
    <font>
      <b/>
      <sz val="11"/>
      <name val="Times New Roman"/>
      <family val="1"/>
    </font>
    <font>
      <b/>
      <sz val="11"/>
      <color rgb="FF000000"/>
      <name val="Calibri"/>
      <family val="2"/>
      <scheme val="minor"/>
    </font>
    <font>
      <i/>
      <sz val="11"/>
      <name val="Calibri"/>
      <family val="2"/>
      <scheme val="minor"/>
    </font>
    <font>
      <sz val="11"/>
      <color rgb="FF000000"/>
      <name val="Calibri"/>
      <family val="2"/>
      <scheme val="minor"/>
    </font>
    <font>
      <sz val="11"/>
      <name val="Calibri"/>
      <family val="2"/>
      <scheme val="minor"/>
    </font>
    <font>
      <b/>
      <sz val="11"/>
      <name val="Calibri"/>
      <family val="2"/>
      <scheme val="minor"/>
    </font>
    <font>
      <i/>
      <sz val="11"/>
      <color theme="1"/>
      <name val="Calibri"/>
      <family val="2"/>
      <scheme val="minor"/>
    </font>
    <font>
      <i/>
      <sz val="11"/>
      <color theme="2" tint="-0.499984740745262"/>
      <name val="Calibri"/>
      <family val="2"/>
      <scheme val="minor"/>
    </font>
    <font>
      <i/>
      <sz val="8"/>
      <name val="Times New Roman"/>
      <family val="1"/>
    </font>
    <font>
      <b/>
      <sz val="10"/>
      <name val="Times New Roman"/>
      <family val="1"/>
    </font>
    <font>
      <b/>
      <u/>
      <sz val="10"/>
      <name val="Times New Roman"/>
      <family val="1"/>
    </font>
    <font>
      <sz val="10"/>
      <color rgb="FF000000"/>
      <name val="Times New Roman"/>
      <family val="2"/>
    </font>
    <font>
      <i/>
      <sz val="10"/>
      <name val="Times New Roman"/>
      <family val="1"/>
    </font>
    <font>
      <sz val="8"/>
      <name val="Times New Roman"/>
      <family val="1"/>
    </font>
    <font>
      <i/>
      <sz val="11"/>
      <color theme="2" tint="-0.499984740745262"/>
      <name val="Times New Roman"/>
      <family val="1"/>
    </font>
    <font>
      <sz val="11"/>
      <color theme="1"/>
      <name val="Calibri"/>
      <family val="2"/>
      <scheme val="minor"/>
    </font>
    <font>
      <sz val="11"/>
      <color theme="1"/>
      <name val="Times New Roman"/>
      <family val="2"/>
    </font>
    <font>
      <sz val="10"/>
      <color theme="1"/>
      <name val="arial"/>
      <family val="2"/>
    </font>
    <font>
      <sz val="10"/>
      <name val="Arial"/>
      <family val="2"/>
    </font>
    <font>
      <b/>
      <sz val="14"/>
      <color theme="1"/>
      <name val="Times New Roman"/>
      <family val="1"/>
    </font>
    <font>
      <sz val="14"/>
      <color theme="1"/>
      <name val="Times New Roman"/>
      <family val="1"/>
    </font>
    <font>
      <sz val="10"/>
      <color rgb="FF000000"/>
      <name val="Tahoma"/>
      <family val="2"/>
    </font>
    <font>
      <b/>
      <sz val="10"/>
      <color rgb="FF000000"/>
      <name val="Tahoma"/>
      <family val="2"/>
    </font>
    <font>
      <b/>
      <sz val="9"/>
      <color rgb="FF000000"/>
      <name val="Tahoma"/>
      <family val="2"/>
    </font>
    <font>
      <sz val="9"/>
      <color rgb="FF000000"/>
      <name val="Tahoma"/>
      <family val="2"/>
    </font>
    <font>
      <sz val="11"/>
      <color rgb="FFFF0000"/>
      <name val="Calibri"/>
      <family val="2"/>
      <scheme val="minor"/>
    </font>
    <font>
      <sz val="14"/>
      <color theme="1"/>
      <name val="Calibri"/>
      <family val="2"/>
      <scheme val="minor"/>
    </font>
    <font>
      <b/>
      <sz val="14"/>
      <color theme="1"/>
      <name val="Calibri"/>
      <family val="2"/>
      <scheme val="minor"/>
    </font>
    <font>
      <sz val="12"/>
      <color theme="1"/>
      <name val="Times New Roman"/>
      <family val="1"/>
    </font>
    <font>
      <b/>
      <sz val="12"/>
      <color theme="1"/>
      <name val="Times New Roman"/>
      <family val="1"/>
    </font>
    <font>
      <sz val="14"/>
      <color rgb="FF000000"/>
      <name val="Times New Roman"/>
      <family val="1"/>
    </font>
    <font>
      <sz val="14"/>
      <color rgb="FFFF0000"/>
      <name val="Times New Roman"/>
      <family val="1"/>
    </font>
    <font>
      <b/>
      <sz val="14"/>
      <color rgb="FF000000"/>
      <name val="Calibri"/>
      <family val="2"/>
      <scheme val="minor"/>
    </font>
    <font>
      <b/>
      <sz val="14"/>
      <name val="Times New Roman"/>
      <family val="1"/>
    </font>
    <font>
      <sz val="14"/>
      <name val="Times New Roman"/>
      <family val="1"/>
    </font>
    <font>
      <i/>
      <sz val="14"/>
      <name val="Times New Roman"/>
      <family val="1"/>
    </font>
    <font>
      <b/>
      <sz val="14"/>
      <name val="Calibri"/>
      <family val="2"/>
      <scheme val="minor"/>
    </font>
    <font>
      <i/>
      <sz val="14"/>
      <name val="Calibri"/>
      <family val="2"/>
      <scheme val="minor"/>
    </font>
  </fonts>
  <fills count="17">
    <fill>
      <patternFill patternType="none"/>
    </fill>
    <fill>
      <patternFill patternType="gray125"/>
    </fill>
    <fill>
      <patternFill patternType="solid">
        <fgColor theme="7" tint="0.39997558519241921"/>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F8B4AE"/>
        <bgColor indexed="64"/>
      </patternFill>
    </fill>
    <fill>
      <patternFill patternType="solid">
        <fgColor rgb="FFF9B4AE"/>
        <bgColor indexed="64"/>
      </patternFill>
    </fill>
    <fill>
      <patternFill patternType="solid">
        <fgColor rgb="FFF9B4AE"/>
        <bgColor rgb="FF000000"/>
      </patternFill>
    </fill>
    <fill>
      <patternFill patternType="solid">
        <fgColor rgb="FFBFBFBF"/>
        <bgColor indexed="64"/>
      </patternFill>
    </fill>
    <fill>
      <patternFill patternType="solid">
        <fgColor theme="0"/>
        <bgColor indexed="64"/>
      </patternFill>
    </fill>
  </fills>
  <borders count="55">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right/>
      <top style="thin">
        <color indexed="64"/>
      </top>
      <bottom style="double">
        <color indexed="64"/>
      </bottom>
      <diagonal/>
    </border>
    <border>
      <left/>
      <right/>
      <top/>
      <bottom style="double">
        <color indexed="64"/>
      </bottom>
      <diagonal/>
    </border>
    <border>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top/>
      <bottom style="medium">
        <color indexed="64"/>
      </bottom>
      <diagonal/>
    </border>
  </borders>
  <cellStyleXfs count="14">
    <xf numFmtId="0" fontId="0" fillId="0" borderId="0"/>
    <xf numFmtId="166" fontId="23" fillId="0" borderId="0" applyFont="0" applyFill="0" applyBorder="0" applyAlignment="0" applyProtection="0"/>
    <xf numFmtId="9" fontId="23" fillId="0" borderId="0" applyFont="0" applyFill="0" applyBorder="0" applyAlignment="0" applyProtection="0"/>
    <xf numFmtId="0" fontId="24" fillId="0" borderId="0"/>
    <xf numFmtId="43" fontId="24" fillId="0" borderId="0" applyFont="0" applyFill="0" applyBorder="0" applyAlignment="0" applyProtection="0"/>
    <xf numFmtId="9" fontId="24" fillId="0" borderId="0" applyFont="0" applyFill="0" applyBorder="0" applyAlignment="0" applyProtection="0"/>
    <xf numFmtId="0" fontId="23" fillId="0" borderId="0"/>
    <xf numFmtId="9" fontId="23" fillId="0" borderId="0" applyFont="0" applyFill="0" applyBorder="0" applyAlignment="0" applyProtection="0"/>
    <xf numFmtId="166" fontId="23" fillId="0" borderId="0" applyFont="0" applyFill="0" applyBorder="0" applyAlignment="0" applyProtection="0"/>
    <xf numFmtId="43" fontId="23" fillId="0" borderId="0" applyFont="0" applyFill="0" applyBorder="0" applyAlignment="0" applyProtection="0"/>
    <xf numFmtId="4" fontId="23" fillId="0" borderId="0"/>
    <xf numFmtId="0" fontId="23" fillId="0" borderId="0"/>
    <xf numFmtId="0" fontId="25" fillId="0" borderId="0"/>
    <xf numFmtId="0" fontId="26" fillId="0" borderId="0"/>
  </cellStyleXfs>
  <cellXfs count="732">
    <xf numFmtId="0" fontId="0" fillId="0" borderId="0" xfId="0"/>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xf numFmtId="0" fontId="5" fillId="2" borderId="4" xfId="0" applyFont="1" applyFill="1" applyBorder="1" applyAlignment="1">
      <alignment horizontal="left" vertical="top" wrapText="1"/>
    </xf>
    <xf numFmtId="0" fontId="5"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xf>
    <xf numFmtId="0" fontId="13" fillId="2" borderId="4" xfId="0" applyFont="1" applyFill="1" applyBorder="1" applyAlignment="1">
      <alignment horizontal="left" vertical="top" wrapText="1"/>
    </xf>
    <xf numFmtId="0" fontId="13" fillId="0" borderId="0" xfId="0" applyFont="1" applyAlignment="1">
      <alignment horizontal="left" vertical="top" wrapText="1"/>
    </xf>
    <xf numFmtId="0" fontId="10"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center" wrapText="1"/>
    </xf>
    <xf numFmtId="0" fontId="13" fillId="0" borderId="1" xfId="0" applyFont="1" applyBorder="1" applyAlignment="1">
      <alignment horizontal="left" vertical="top" wrapText="1"/>
    </xf>
    <xf numFmtId="170" fontId="11" fillId="0" borderId="0" xfId="0" applyNumberFormat="1" applyFont="1" applyAlignment="1">
      <alignment vertical="top" shrinkToFit="1"/>
    </xf>
    <xf numFmtId="168" fontId="9" fillId="0" borderId="2" xfId="0" applyNumberFormat="1" applyFont="1" applyBorder="1" applyAlignment="1">
      <alignment vertical="top" shrinkToFit="1"/>
    </xf>
    <xf numFmtId="43" fontId="12" fillId="0" borderId="1" xfId="0" applyNumberFormat="1" applyFont="1" applyBorder="1" applyAlignment="1">
      <alignment vertical="top" wrapText="1"/>
    </xf>
    <xf numFmtId="0" fontId="12" fillId="0" borderId="5" xfId="0" applyFont="1" applyBorder="1" applyAlignment="1">
      <alignment horizontal="left" vertical="top" wrapText="1"/>
    </xf>
    <xf numFmtId="0" fontId="15" fillId="0" borderId="0" xfId="0" applyFont="1" applyAlignment="1">
      <alignment horizontal="left" vertical="top" wrapText="1"/>
    </xf>
    <xf numFmtId="0" fontId="15" fillId="0" borderId="0" xfId="0" applyFont="1" applyAlignment="1">
      <alignment wrapText="1"/>
    </xf>
    <xf numFmtId="167" fontId="15" fillId="0" borderId="0" xfId="0" applyNumberFormat="1" applyFont="1" applyAlignment="1">
      <alignment vertical="top" shrinkToFit="1"/>
    </xf>
    <xf numFmtId="171" fontId="15" fillId="0" borderId="0" xfId="0" applyNumberFormat="1" applyFont="1" applyAlignment="1">
      <alignment wrapText="1"/>
    </xf>
    <xf numFmtId="171" fontId="15" fillId="0" borderId="0" xfId="0" applyNumberFormat="1" applyFont="1" applyAlignment="1">
      <alignment vertical="top" shrinkToFit="1"/>
    </xf>
    <xf numFmtId="169" fontId="11" fillId="0" borderId="1" xfId="0" applyNumberFormat="1" applyFont="1" applyBorder="1" applyAlignment="1">
      <alignment vertical="top" shrinkToFit="1"/>
    </xf>
    <xf numFmtId="169" fontId="9" fillId="0" borderId="2" xfId="0" applyNumberFormat="1" applyFont="1" applyBorder="1" applyAlignment="1">
      <alignment vertical="center" shrinkToFit="1"/>
    </xf>
    <xf numFmtId="169" fontId="11" fillId="0" borderId="0" xfId="0" applyNumberFormat="1" applyFont="1" applyAlignment="1">
      <alignment vertical="top" shrinkToFit="1"/>
    </xf>
    <xf numFmtId="169" fontId="9" fillId="0" borderId="2" xfId="0" applyNumberFormat="1" applyFont="1" applyBorder="1" applyAlignment="1">
      <alignment vertical="top" shrinkToFit="1"/>
    </xf>
    <xf numFmtId="169" fontId="11" fillId="0" borderId="2" xfId="0" applyNumberFormat="1" applyFont="1" applyBorder="1" applyAlignment="1">
      <alignment vertical="top" shrinkToFit="1"/>
    </xf>
    <xf numFmtId="170" fontId="9" fillId="0" borderId="3" xfId="0" applyNumberFormat="1" applyFont="1" applyBorder="1" applyAlignment="1">
      <alignment vertical="top" shrinkToFit="1"/>
    </xf>
    <xf numFmtId="0" fontId="0" fillId="0" borderId="0" xfId="0" applyAlignment="1">
      <alignment horizontal="left" vertical="top" wrapText="1" indent="1"/>
    </xf>
    <xf numFmtId="0" fontId="0" fillId="0" borderId="0" xfId="0" applyAlignment="1">
      <alignment horizontal="left" vertical="top"/>
    </xf>
    <xf numFmtId="0" fontId="5" fillId="0" borderId="0" xfId="0" applyFont="1" applyAlignment="1">
      <alignment horizontal="left" vertical="top"/>
    </xf>
    <xf numFmtId="0" fontId="8" fillId="0" borderId="0" xfId="0" applyFont="1" applyAlignment="1">
      <alignment horizontal="left" vertical="top"/>
    </xf>
    <xf numFmtId="0" fontId="0" fillId="0" borderId="0" xfId="0" applyAlignment="1">
      <alignment horizontal="center" vertical="center"/>
    </xf>
    <xf numFmtId="0" fontId="14" fillId="0" borderId="0" xfId="0" applyFont="1" applyAlignment="1">
      <alignment horizontal="left" vertical="top"/>
    </xf>
    <xf numFmtId="1" fontId="9" fillId="0" borderId="2" xfId="0" applyNumberFormat="1" applyFont="1" applyBorder="1" applyAlignment="1">
      <alignment horizontal="right" vertical="top" shrinkToFit="1"/>
    </xf>
    <xf numFmtId="0" fontId="1" fillId="0" borderId="0" xfId="0" applyFont="1" applyAlignment="1">
      <alignment horizontal="left" vertical="top"/>
    </xf>
    <xf numFmtId="0" fontId="13" fillId="0" borderId="0" xfId="0" applyFont="1" applyAlignment="1">
      <alignment horizontal="left" vertical="top"/>
    </xf>
    <xf numFmtId="0" fontId="5" fillId="0" borderId="5" xfId="0" applyFont="1" applyBorder="1" applyAlignment="1">
      <alignment horizontal="left" vertical="top"/>
    </xf>
    <xf numFmtId="0" fontId="10" fillId="0" borderId="2" xfId="0" applyFont="1" applyBorder="1" applyAlignment="1">
      <alignment horizontal="right" vertical="top"/>
    </xf>
    <xf numFmtId="1" fontId="9" fillId="0" borderId="1" xfId="0" applyNumberFormat="1" applyFont="1" applyBorder="1" applyAlignment="1">
      <alignment horizontal="right" vertical="center" shrinkToFit="1"/>
    </xf>
    <xf numFmtId="169" fontId="11" fillId="0" borderId="0" xfId="0" applyNumberFormat="1" applyFont="1" applyAlignment="1">
      <alignment horizontal="right" vertical="center" shrinkToFit="1"/>
    </xf>
    <xf numFmtId="169" fontId="11" fillId="0" borderId="5" xfId="0" applyNumberFormat="1" applyFont="1" applyBorder="1" applyAlignment="1">
      <alignment horizontal="right" vertical="center" shrinkToFit="1"/>
    </xf>
    <xf numFmtId="169" fontId="9" fillId="0" borderId="0" xfId="0" applyNumberFormat="1" applyFont="1" applyAlignment="1">
      <alignment horizontal="right" vertical="top" shrinkToFit="1"/>
    </xf>
    <xf numFmtId="169" fontId="9" fillId="0" borderId="2" xfId="0" applyNumberFormat="1" applyFont="1" applyBorder="1" applyAlignment="1">
      <alignment horizontal="right" vertical="top" shrinkToFit="1"/>
    </xf>
    <xf numFmtId="0" fontId="8" fillId="0" borderId="6" xfId="0" applyFont="1" applyBorder="1" applyAlignment="1">
      <alignment horizontal="left" vertical="top"/>
    </xf>
    <xf numFmtId="0" fontId="13" fillId="0" borderId="0" xfId="0" applyFont="1" applyAlignment="1">
      <alignment horizontal="left" vertical="center"/>
    </xf>
    <xf numFmtId="0" fontId="12" fillId="0" borderId="0" xfId="0" applyFont="1" applyAlignment="1">
      <alignment horizontal="left" vertical="top"/>
    </xf>
    <xf numFmtId="0" fontId="8" fillId="0" borderId="7" xfId="0" applyFont="1" applyBorder="1" applyAlignment="1">
      <alignment horizontal="left" vertical="top"/>
    </xf>
    <xf numFmtId="0" fontId="8" fillId="0" borderId="8" xfId="0" applyFont="1" applyBorder="1" applyAlignment="1">
      <alignment horizontal="left" vertical="top"/>
    </xf>
    <xf numFmtId="169" fontId="11" fillId="0" borderId="5" xfId="0" applyNumberFormat="1" applyFont="1" applyBorder="1" applyAlignment="1">
      <alignment horizontal="right" vertical="top" shrinkToFit="1"/>
    </xf>
    <xf numFmtId="172" fontId="5" fillId="0" borderId="0" xfId="0" applyNumberFormat="1" applyFont="1" applyAlignment="1">
      <alignment horizontal="right" vertical="top"/>
    </xf>
    <xf numFmtId="0" fontId="13" fillId="2" borderId="4" xfId="0" applyFont="1" applyFill="1" applyBorder="1" applyAlignment="1">
      <alignment horizontal="left" vertical="top"/>
    </xf>
    <xf numFmtId="0" fontId="5" fillId="2" borderId="4" xfId="0" applyFont="1" applyFill="1" applyBorder="1" applyAlignment="1">
      <alignment horizontal="left" vertical="top"/>
    </xf>
    <xf numFmtId="170" fontId="11" fillId="0" borderId="0" xfId="0" applyNumberFormat="1" applyFont="1" applyAlignment="1">
      <alignment horizontal="right" vertical="center" shrinkToFit="1"/>
    </xf>
    <xf numFmtId="170" fontId="9" fillId="0" borderId="0" xfId="0" applyNumberFormat="1" applyFont="1" applyAlignment="1">
      <alignment horizontal="right" vertical="top" shrinkToFit="1"/>
    </xf>
    <xf numFmtId="170" fontId="9" fillId="0" borderId="6" xfId="0" applyNumberFormat="1" applyFont="1" applyBorder="1" applyAlignment="1">
      <alignment horizontal="right" vertical="top" shrinkToFit="1"/>
    </xf>
    <xf numFmtId="170" fontId="9" fillId="0" borderId="2" xfId="0" applyNumberFormat="1" applyFont="1" applyBorder="1" applyAlignment="1">
      <alignment horizontal="right" vertical="top" shrinkToFit="1"/>
    </xf>
    <xf numFmtId="170" fontId="9" fillId="0" borderId="7" xfId="0" applyNumberFormat="1" applyFont="1" applyBorder="1" applyAlignment="1">
      <alignment horizontal="right" vertical="top" shrinkToFi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top" wrapText="1"/>
    </xf>
    <xf numFmtId="0" fontId="12" fillId="0" borderId="5" xfId="0" applyFont="1" applyBorder="1" applyAlignment="1">
      <alignment horizontal="left" vertical="top"/>
    </xf>
    <xf numFmtId="0" fontId="0" fillId="0" borderId="5" xfId="0" applyBorder="1"/>
    <xf numFmtId="0" fontId="12" fillId="0" borderId="7" xfId="0" applyFont="1" applyBorder="1" applyAlignment="1">
      <alignment horizontal="left" vertical="top"/>
    </xf>
    <xf numFmtId="0" fontId="13" fillId="0" borderId="0" xfId="0" applyFont="1" applyAlignment="1">
      <alignment vertical="top" wrapText="1"/>
    </xf>
    <xf numFmtId="0" fontId="13" fillId="0" borderId="0" xfId="0" applyFont="1" applyAlignment="1">
      <alignment vertical="top"/>
    </xf>
    <xf numFmtId="0" fontId="13" fillId="0" borderId="7" xfId="0" applyFont="1" applyBorder="1" applyAlignment="1">
      <alignment vertical="top" wrapText="1"/>
    </xf>
    <xf numFmtId="0" fontId="13" fillId="0" borderId="4" xfId="0" applyFont="1" applyBorder="1" applyAlignment="1">
      <alignment vertical="top" wrapText="1"/>
    </xf>
    <xf numFmtId="170" fontId="9" fillId="0" borderId="0" xfId="0" applyNumberFormat="1" applyFont="1" applyAlignment="1">
      <alignment horizontal="right" vertical="center" shrinkToFit="1"/>
    </xf>
    <xf numFmtId="170" fontId="9" fillId="0" borderId="7" xfId="0" applyNumberFormat="1" applyFont="1" applyBorder="1" applyAlignment="1">
      <alignment horizontal="right" vertical="center" shrinkToFit="1"/>
    </xf>
    <xf numFmtId="170" fontId="9" fillId="0" borderId="4" xfId="0" applyNumberFormat="1" applyFont="1" applyBorder="1" applyAlignment="1">
      <alignment horizontal="right" vertical="center" shrinkToFit="1"/>
    </xf>
    <xf numFmtId="0" fontId="14" fillId="0" borderId="0" xfId="0" applyFont="1" applyAlignment="1">
      <alignment vertical="top"/>
    </xf>
    <xf numFmtId="0" fontId="14" fillId="0" borderId="0" xfId="0" applyFont="1" applyAlignment="1">
      <alignment vertical="top" wrapText="1"/>
    </xf>
    <xf numFmtId="0" fontId="16"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wrapText="1"/>
    </xf>
    <xf numFmtId="168" fontId="19" fillId="0" borderId="0" xfId="0" applyNumberFormat="1" applyFont="1" applyAlignment="1">
      <alignment horizontal="left" vertical="top" wrapText="1" shrinkToFit="1"/>
    </xf>
    <xf numFmtId="168" fontId="19" fillId="0" borderId="0" xfId="0" applyNumberFormat="1" applyFont="1" applyAlignment="1">
      <alignment horizontal="right" vertical="top" wrapText="1" shrinkToFit="1"/>
    </xf>
    <xf numFmtId="173" fontId="19" fillId="0" borderId="0" xfId="0" applyNumberFormat="1" applyFont="1" applyAlignment="1">
      <alignment horizontal="right" vertical="top" wrapText="1" shrinkToFit="1"/>
    </xf>
    <xf numFmtId="0" fontId="0" fillId="0" borderId="0" xfId="0" applyAlignment="1">
      <alignment horizontal="center" vertical="top" wrapText="1"/>
    </xf>
    <xf numFmtId="39" fontId="0" fillId="0" borderId="0" xfId="0" applyNumberFormat="1" applyAlignment="1">
      <alignment wrapText="1"/>
    </xf>
    <xf numFmtId="168" fontId="11" fillId="0" borderId="0" xfId="0" applyNumberFormat="1" applyFont="1" applyAlignment="1">
      <alignment horizontal="right" vertical="top" wrapText="1" shrinkToFit="1"/>
    </xf>
    <xf numFmtId="0" fontId="0" fillId="0" borderId="5" xfId="0" applyBorder="1" applyAlignment="1">
      <alignment horizontal="left" vertical="top" wrapText="1"/>
    </xf>
    <xf numFmtId="165" fontId="12" fillId="0" borderId="0" xfId="0" applyNumberFormat="1" applyFont="1" applyAlignment="1">
      <alignment horizontal="right" vertical="top" wrapText="1"/>
    </xf>
    <xf numFmtId="39" fontId="12" fillId="0" borderId="0" xfId="0" applyNumberFormat="1" applyFont="1" applyAlignment="1">
      <alignment horizontal="right" vertical="top" wrapText="1"/>
    </xf>
    <xf numFmtId="0" fontId="13" fillId="0" borderId="0" xfId="0" applyFont="1" applyAlignment="1">
      <alignment horizontal="center" vertical="top" wrapText="1"/>
    </xf>
    <xf numFmtId="0" fontId="1" fillId="0" borderId="5" xfId="0" applyFont="1" applyBorder="1" applyAlignment="1">
      <alignment horizontal="center" vertical="top" wrapText="1"/>
    </xf>
    <xf numFmtId="169" fontId="11" fillId="0" borderId="0" xfId="0" applyNumberFormat="1" applyFont="1" applyAlignment="1">
      <alignment horizontal="right" vertical="top" wrapText="1" shrinkToFit="1"/>
    </xf>
    <xf numFmtId="170" fontId="11" fillId="0" borderId="0" xfId="0" applyNumberFormat="1" applyFont="1" applyAlignment="1">
      <alignment horizontal="right" vertical="top" wrapText="1" shrinkToFit="1"/>
    </xf>
    <xf numFmtId="0" fontId="20" fillId="0" borderId="0" xfId="0" applyFont="1" applyAlignment="1">
      <alignment horizontal="left" vertical="top"/>
    </xf>
    <xf numFmtId="0" fontId="21" fillId="0" borderId="0" xfId="0" applyFont="1" applyAlignment="1">
      <alignment horizontal="left" vertical="top"/>
    </xf>
    <xf numFmtId="1" fontId="11" fillId="0" borderId="0" xfId="0" applyNumberFormat="1" applyFont="1" applyAlignment="1">
      <alignment horizontal="right" vertical="top" shrinkToFit="1"/>
    </xf>
    <xf numFmtId="0" fontId="12" fillId="0" borderId="0" xfId="0" applyFont="1" applyAlignment="1">
      <alignment horizontal="right" vertical="top"/>
    </xf>
    <xf numFmtId="37" fontId="11" fillId="0" borderId="0" xfId="0" applyNumberFormat="1" applyFont="1" applyAlignment="1">
      <alignment horizontal="right" vertical="top" shrinkToFit="1"/>
    </xf>
    <xf numFmtId="164" fontId="11" fillId="0" borderId="0" xfId="0" applyNumberFormat="1" applyFont="1" applyAlignment="1">
      <alignment horizontal="right" vertical="top" shrinkToFit="1"/>
    </xf>
    <xf numFmtId="0" fontId="10" fillId="0" borderId="0" xfId="0" applyFont="1" applyAlignment="1">
      <alignment horizontal="left" vertical="top"/>
    </xf>
    <xf numFmtId="0" fontId="0" fillId="0" borderId="5" xfId="0" applyBorder="1" applyAlignment="1">
      <alignment horizontal="left" vertical="top"/>
    </xf>
    <xf numFmtId="0" fontId="13" fillId="0" borderId="0" xfId="0" applyFont="1" applyAlignment="1">
      <alignment horizontal="center" vertical="top"/>
    </xf>
    <xf numFmtId="0" fontId="1" fillId="0" borderId="5" xfId="0" applyFont="1" applyBorder="1" applyAlignment="1">
      <alignment horizontal="center" vertical="top"/>
    </xf>
    <xf numFmtId="0" fontId="21" fillId="0" borderId="0" xfId="0" applyFont="1" applyAlignment="1">
      <alignment vertical="top" wrapText="1"/>
    </xf>
    <xf numFmtId="1" fontId="12" fillId="0" borderId="0" xfId="0" applyNumberFormat="1" applyFont="1" applyAlignment="1">
      <alignment horizontal="right" vertical="top" shrinkToFit="1"/>
    </xf>
    <xf numFmtId="0" fontId="12" fillId="0" borderId="0" xfId="0" applyFont="1" applyAlignment="1">
      <alignment horizontal="right" vertical="top" wrapText="1"/>
    </xf>
    <xf numFmtId="37" fontId="12" fillId="0" borderId="0" xfId="0" applyNumberFormat="1" applyFont="1" applyAlignment="1">
      <alignment horizontal="right" vertical="top" shrinkToFit="1"/>
    </xf>
    <xf numFmtId="164" fontId="12" fillId="0" borderId="0" xfId="0" applyNumberFormat="1" applyFont="1" applyAlignment="1">
      <alignment horizontal="right" vertical="top" shrinkToFit="1"/>
    </xf>
    <xf numFmtId="0" fontId="0" fillId="0" borderId="0" xfId="0" applyAlignment="1">
      <alignment horizontal="center" wrapText="1"/>
    </xf>
    <xf numFmtId="1" fontId="11" fillId="0" borderId="5" xfId="0" applyNumberFormat="1" applyFont="1" applyBorder="1" applyAlignment="1">
      <alignment horizontal="right" vertical="top" shrinkToFit="1"/>
    </xf>
    <xf numFmtId="37" fontId="11" fillId="0" borderId="5" xfId="0" applyNumberFormat="1" applyFont="1" applyBorder="1" applyAlignment="1">
      <alignment horizontal="right" vertical="top" shrinkToFit="1"/>
    </xf>
    <xf numFmtId="1" fontId="12" fillId="0" borderId="5" xfId="0" applyNumberFormat="1" applyFont="1" applyBorder="1" applyAlignment="1">
      <alignment horizontal="right" vertical="top" shrinkToFit="1"/>
    </xf>
    <xf numFmtId="37" fontId="12" fillId="0" borderId="5" xfId="0" applyNumberFormat="1" applyFont="1" applyBorder="1" applyAlignment="1">
      <alignment horizontal="right" vertical="top" shrinkToFit="1"/>
    </xf>
    <xf numFmtId="0" fontId="4" fillId="0" borderId="5" xfId="0" applyFont="1" applyBorder="1" applyAlignment="1">
      <alignment horizontal="left" vertical="top" wrapText="1"/>
    </xf>
    <xf numFmtId="39" fontId="12" fillId="0" borderId="5" xfId="0" applyNumberFormat="1" applyFont="1" applyBorder="1" applyAlignment="1">
      <alignment horizontal="right" vertical="top" wrapText="1"/>
    </xf>
    <xf numFmtId="168" fontId="11" fillId="0" borderId="5" xfId="0" applyNumberFormat="1" applyFont="1" applyBorder="1" applyAlignment="1">
      <alignment horizontal="right" vertical="top" wrapText="1" shrinkToFit="1"/>
    </xf>
    <xf numFmtId="169" fontId="11" fillId="0" borderId="5" xfId="0" applyNumberFormat="1" applyFont="1" applyBorder="1" applyAlignment="1">
      <alignment horizontal="right" vertical="top" wrapText="1" shrinkToFit="1"/>
    </xf>
    <xf numFmtId="0" fontId="5" fillId="0" borderId="5" xfId="0" applyFont="1" applyBorder="1" applyAlignment="1">
      <alignment horizontal="left" vertical="top" wrapText="1"/>
    </xf>
    <xf numFmtId="170" fontId="0" fillId="0" borderId="0" xfId="0" applyNumberFormat="1" applyAlignment="1">
      <alignment horizontal="left" wrapText="1"/>
    </xf>
    <xf numFmtId="165" fontId="0" fillId="0" borderId="0" xfId="0" applyNumberFormat="1" applyAlignment="1">
      <alignment horizontal="left" wrapText="1"/>
    </xf>
    <xf numFmtId="170" fontId="0" fillId="0" borderId="0" xfId="0" applyNumberFormat="1"/>
    <xf numFmtId="175" fontId="12" fillId="0" borderId="0" xfId="0" applyNumberFormat="1" applyFont="1" applyAlignment="1">
      <alignment horizontal="right" vertical="top"/>
    </xf>
    <xf numFmtId="175" fontId="12" fillId="0" borderId="5" xfId="0" applyNumberFormat="1" applyFont="1" applyBorder="1" applyAlignment="1">
      <alignment horizontal="right" vertical="top"/>
    </xf>
    <xf numFmtId="175" fontId="0" fillId="0" borderId="0" xfId="0" applyNumberFormat="1" applyAlignment="1">
      <alignment horizontal="center" wrapText="1"/>
    </xf>
    <xf numFmtId="174" fontId="12" fillId="0" borderId="0" xfId="0" applyNumberFormat="1" applyFont="1" applyAlignment="1">
      <alignment horizontal="right" vertical="top" wrapText="1"/>
    </xf>
    <xf numFmtId="174" fontId="12" fillId="0" borderId="0" xfId="0" applyNumberFormat="1" applyFont="1" applyAlignment="1">
      <alignment horizontal="right" vertical="top"/>
    </xf>
    <xf numFmtId="174" fontId="12" fillId="0" borderId="5" xfId="0" applyNumberFormat="1" applyFont="1" applyBorder="1" applyAlignment="1">
      <alignment horizontal="right" vertical="top" wrapText="1"/>
    </xf>
    <xf numFmtId="174" fontId="12" fillId="0" borderId="5" xfId="0" applyNumberFormat="1" applyFont="1" applyBorder="1" applyAlignment="1">
      <alignment horizontal="right" vertical="top"/>
    </xf>
    <xf numFmtId="174" fontId="20" fillId="0" borderId="0" xfId="0" applyNumberFormat="1" applyFont="1" applyAlignment="1">
      <alignment horizontal="left" vertical="top"/>
    </xf>
    <xf numFmtId="9" fontId="0" fillId="0" borderId="0" xfId="2" applyFont="1"/>
    <xf numFmtId="0" fontId="4" fillId="5" borderId="14" xfId="0" applyFont="1" applyFill="1" applyBorder="1" applyAlignment="1">
      <alignment horizontal="left" vertical="top" wrapText="1"/>
    </xf>
    <xf numFmtId="0" fontId="4" fillId="5" borderId="15" xfId="0" applyFont="1" applyFill="1" applyBorder="1" applyAlignment="1">
      <alignment horizontal="left" vertical="top" wrapText="1"/>
    </xf>
    <xf numFmtId="39" fontId="12" fillId="5" borderId="15" xfId="0" applyNumberFormat="1" applyFont="1" applyFill="1" applyBorder="1" applyAlignment="1">
      <alignment horizontal="right" vertical="top" wrapText="1"/>
    </xf>
    <xf numFmtId="168" fontId="11" fillId="5" borderId="15" xfId="0" applyNumberFormat="1" applyFont="1" applyFill="1" applyBorder="1" applyAlignment="1">
      <alignment horizontal="right" vertical="top" wrapText="1" shrinkToFit="1"/>
    </xf>
    <xf numFmtId="169" fontId="11" fillId="5" borderId="15" xfId="0" applyNumberFormat="1" applyFont="1" applyFill="1" applyBorder="1" applyAlignment="1">
      <alignment horizontal="right" vertical="top" wrapText="1" shrinkToFit="1"/>
    </xf>
    <xf numFmtId="169" fontId="11" fillId="5" borderId="16" xfId="0" applyNumberFormat="1" applyFont="1" applyFill="1" applyBorder="1" applyAlignment="1">
      <alignment horizontal="right" vertical="top" wrapText="1" shrinkToFit="1"/>
    </xf>
    <xf numFmtId="0" fontId="4" fillId="5" borderId="9" xfId="0" applyFont="1" applyFill="1" applyBorder="1" applyAlignment="1">
      <alignment horizontal="left" vertical="top" wrapText="1"/>
    </xf>
    <xf numFmtId="0" fontId="4" fillId="5" borderId="0" xfId="0" applyFont="1" applyFill="1" applyAlignment="1">
      <alignment horizontal="left" vertical="top" wrapText="1"/>
    </xf>
    <xf numFmtId="39" fontId="12" fillId="5" borderId="0" xfId="0" applyNumberFormat="1" applyFont="1" applyFill="1" applyAlignment="1">
      <alignment horizontal="right" vertical="top" wrapText="1"/>
    </xf>
    <xf numFmtId="168" fontId="11" fillId="5" borderId="0" xfId="0" applyNumberFormat="1" applyFont="1" applyFill="1" applyAlignment="1">
      <alignment horizontal="right" vertical="top" wrapText="1" shrinkToFit="1"/>
    </xf>
    <xf numFmtId="169" fontId="11" fillId="5" borderId="0" xfId="0" applyNumberFormat="1" applyFont="1" applyFill="1" applyAlignment="1">
      <alignment horizontal="right" vertical="top" wrapText="1" shrinkToFit="1"/>
    </xf>
    <xf numFmtId="169" fontId="11" fillId="5" borderId="10" xfId="0" applyNumberFormat="1" applyFont="1" applyFill="1" applyBorder="1" applyAlignment="1">
      <alignment horizontal="right" vertical="top" wrapText="1" shrinkToFit="1"/>
    </xf>
    <xf numFmtId="0" fontId="4" fillId="5" borderId="11" xfId="0" applyFont="1" applyFill="1" applyBorder="1" applyAlignment="1">
      <alignment horizontal="left" vertical="top" wrapText="1"/>
    </xf>
    <xf numFmtId="0" fontId="4" fillId="5" borderId="12" xfId="0" applyFont="1" applyFill="1" applyBorder="1" applyAlignment="1">
      <alignment horizontal="left" vertical="top" wrapText="1"/>
    </xf>
    <xf numFmtId="39" fontId="12" fillId="5" borderId="12" xfId="0" applyNumberFormat="1" applyFont="1" applyFill="1" applyBorder="1" applyAlignment="1">
      <alignment horizontal="right" vertical="top" wrapText="1"/>
    </xf>
    <xf numFmtId="168" fontId="11" fillId="5" borderId="12" xfId="0" applyNumberFormat="1" applyFont="1" applyFill="1" applyBorder="1" applyAlignment="1">
      <alignment horizontal="right" vertical="top" wrapText="1" shrinkToFit="1"/>
    </xf>
    <xf numFmtId="169" fontId="11" fillId="5" borderId="12" xfId="0" applyNumberFormat="1" applyFont="1" applyFill="1" applyBorder="1" applyAlignment="1">
      <alignment horizontal="right" vertical="top" wrapText="1" shrinkToFit="1"/>
    </xf>
    <xf numFmtId="169" fontId="11" fillId="5" borderId="13" xfId="0" applyNumberFormat="1" applyFont="1" applyFill="1" applyBorder="1" applyAlignment="1">
      <alignment horizontal="right" vertical="top" wrapText="1" shrinkToFit="1"/>
    </xf>
    <xf numFmtId="169" fontId="11" fillId="4" borderId="15" xfId="0" applyNumberFormat="1" applyFont="1" applyFill="1" applyBorder="1" applyAlignment="1">
      <alignment horizontal="right" vertical="top" wrapText="1" shrinkToFit="1"/>
    </xf>
    <xf numFmtId="169" fontId="11" fillId="4" borderId="0" xfId="0" applyNumberFormat="1" applyFont="1" applyFill="1" applyAlignment="1">
      <alignment horizontal="right" vertical="top" wrapText="1" shrinkToFit="1"/>
    </xf>
    <xf numFmtId="169" fontId="11" fillId="4" borderId="12" xfId="0" applyNumberFormat="1" applyFont="1" applyFill="1" applyBorder="1" applyAlignment="1">
      <alignment horizontal="right" vertical="top" wrapText="1" shrinkToFit="1"/>
    </xf>
    <xf numFmtId="0" fontId="0" fillId="13" borderId="14" xfId="0" applyFill="1" applyBorder="1"/>
    <xf numFmtId="0" fontId="28" fillId="13" borderId="15" xfId="0" applyFont="1" applyFill="1" applyBorder="1"/>
    <xf numFmtId="0" fontId="28" fillId="13" borderId="15" xfId="0" applyFont="1" applyFill="1" applyBorder="1" applyAlignment="1">
      <alignment horizontal="center"/>
    </xf>
    <xf numFmtId="1" fontId="28" fillId="13" borderId="15" xfId="0" applyNumberFormat="1" applyFont="1" applyFill="1" applyBorder="1" applyAlignment="1">
      <alignment horizontal="center"/>
    </xf>
    <xf numFmtId="0" fontId="28" fillId="13" borderId="0" xfId="0" applyFont="1" applyFill="1"/>
    <xf numFmtId="0" fontId="28" fillId="13" borderId="0" xfId="0" applyFont="1" applyFill="1" applyAlignment="1">
      <alignment horizontal="center"/>
    </xf>
    <xf numFmtId="1" fontId="28" fillId="13" borderId="0" xfId="0" applyNumberFormat="1" applyFont="1" applyFill="1" applyAlignment="1">
      <alignment horizontal="center"/>
    </xf>
    <xf numFmtId="1" fontId="28" fillId="13" borderId="0" xfId="0" applyNumberFormat="1" applyFont="1" applyFill="1"/>
    <xf numFmtId="0" fontId="28" fillId="13" borderId="12" xfId="0" applyFont="1" applyFill="1" applyBorder="1"/>
    <xf numFmtId="0" fontId="28" fillId="13" borderId="12" xfId="0" applyFont="1" applyFill="1" applyBorder="1" applyAlignment="1">
      <alignment horizontal="center"/>
    </xf>
    <xf numFmtId="1" fontId="0" fillId="13" borderId="11" xfId="0" applyNumberFormat="1" applyFill="1" applyBorder="1" applyAlignment="1">
      <alignment horizontal="center"/>
    </xf>
    <xf numFmtId="1" fontId="0" fillId="13" borderId="13" xfId="0" applyNumberFormat="1" applyFill="1" applyBorder="1" applyAlignment="1">
      <alignment horizontal="center"/>
    </xf>
    <xf numFmtId="169" fontId="0" fillId="0" borderId="0" xfId="0" applyNumberFormat="1" applyAlignment="1">
      <alignment horizontal="left" wrapText="1"/>
    </xf>
    <xf numFmtId="9" fontId="0" fillId="0" borderId="0" xfId="2" applyFont="1" applyAlignment="1">
      <alignment horizontal="left" wrapText="1"/>
    </xf>
    <xf numFmtId="9" fontId="0" fillId="0" borderId="0" xfId="0" applyNumberFormat="1" applyAlignment="1">
      <alignment horizontal="left" vertical="center" wrapText="1"/>
    </xf>
    <xf numFmtId="0" fontId="33" fillId="15" borderId="17" xfId="0" applyFont="1" applyFill="1" applyBorder="1" applyAlignment="1">
      <alignment horizontal="center"/>
    </xf>
    <xf numFmtId="0" fontId="33" fillId="15" borderId="19" xfId="0" applyFont="1" applyFill="1" applyBorder="1" applyAlignment="1">
      <alignment horizontal="center"/>
    </xf>
    <xf numFmtId="0" fontId="33" fillId="15" borderId="18" xfId="0" applyFont="1" applyFill="1" applyBorder="1" applyAlignment="1">
      <alignment horizontal="center"/>
    </xf>
    <xf numFmtId="0" fontId="0" fillId="13" borderId="16" xfId="0" applyFill="1" applyBorder="1"/>
    <xf numFmtId="0" fontId="37" fillId="3" borderId="19" xfId="0" applyFont="1" applyFill="1" applyBorder="1" applyAlignment="1">
      <alignment horizontal="center"/>
    </xf>
    <xf numFmtId="0" fontId="37" fillId="3" borderId="18" xfId="0" applyFont="1" applyFill="1" applyBorder="1" applyAlignment="1">
      <alignment horizontal="center"/>
    </xf>
    <xf numFmtId="0" fontId="28" fillId="3" borderId="50" xfId="0" applyFont="1" applyFill="1" applyBorder="1"/>
    <xf numFmtId="167" fontId="28" fillId="13" borderId="31" xfId="5" applyNumberFormat="1" applyFont="1" applyFill="1" applyBorder="1" applyAlignment="1">
      <alignment horizontal="center"/>
    </xf>
    <xf numFmtId="0" fontId="28" fillId="3" borderId="51" xfId="0" applyFont="1" applyFill="1" applyBorder="1" applyAlignment="1">
      <alignment wrapText="1"/>
    </xf>
    <xf numFmtId="167" fontId="28" fillId="13" borderId="48" xfId="5" applyNumberFormat="1" applyFont="1" applyFill="1" applyBorder="1" applyAlignment="1">
      <alignment horizontal="center"/>
    </xf>
    <xf numFmtId="0" fontId="28" fillId="3" borderId="51" xfId="0" applyFont="1" applyFill="1" applyBorder="1"/>
    <xf numFmtId="167" fontId="38" fillId="0" borderId="0" xfId="0" applyNumberFormat="1" applyFont="1" applyAlignment="1">
      <alignment horizontal="center"/>
    </xf>
    <xf numFmtId="167" fontId="38" fillId="14" borderId="33" xfId="0" applyNumberFormat="1" applyFont="1" applyFill="1" applyBorder="1" applyAlignment="1">
      <alignment horizontal="center"/>
    </xf>
    <xf numFmtId="167" fontId="28" fillId="13" borderId="48" xfId="0" applyNumberFormat="1" applyFont="1" applyFill="1" applyBorder="1" applyAlignment="1">
      <alignment horizontal="center"/>
    </xf>
    <xf numFmtId="167" fontId="28" fillId="0" borderId="0" xfId="0" applyNumberFormat="1" applyFont="1" applyAlignment="1">
      <alignment horizontal="center"/>
    </xf>
    <xf numFmtId="0" fontId="28" fillId="3" borderId="34" xfId="0" applyFont="1" applyFill="1" applyBorder="1"/>
    <xf numFmtId="167" fontId="28" fillId="13" borderId="24" xfId="0" applyNumberFormat="1" applyFont="1" applyFill="1" applyBorder="1" applyAlignment="1">
      <alignment horizontal="center"/>
    </xf>
    <xf numFmtId="0" fontId="28" fillId="3" borderId="52" xfId="0" applyFont="1" applyFill="1" applyBorder="1"/>
    <xf numFmtId="167" fontId="28" fillId="13" borderId="49" xfId="5" applyNumberFormat="1" applyFont="1" applyFill="1" applyBorder="1" applyAlignment="1">
      <alignment horizontal="center"/>
    </xf>
    <xf numFmtId="0" fontId="27" fillId="3" borderId="37" xfId="0" applyFont="1" applyFill="1" applyBorder="1" applyAlignment="1">
      <alignment horizontal="center"/>
    </xf>
    <xf numFmtId="0" fontId="27" fillId="3" borderId="43" xfId="0" applyFont="1" applyFill="1" applyBorder="1" applyAlignment="1">
      <alignment horizontal="center"/>
    </xf>
    <xf numFmtId="0" fontId="27" fillId="3" borderId="21" xfId="0" applyFont="1" applyFill="1" applyBorder="1" applyAlignment="1">
      <alignment horizontal="center"/>
    </xf>
    <xf numFmtId="0" fontId="37" fillId="3" borderId="37" xfId="0" applyFont="1" applyFill="1" applyBorder="1" applyAlignment="1">
      <alignment horizontal="center"/>
    </xf>
    <xf numFmtId="0" fontId="28" fillId="0" borderId="0" xfId="0" applyFont="1"/>
    <xf numFmtId="9" fontId="28" fillId="0" borderId="0" xfId="2" applyFont="1"/>
    <xf numFmtId="0" fontId="28" fillId="3" borderId="16" xfId="0" applyFont="1" applyFill="1" applyBorder="1"/>
    <xf numFmtId="0" fontId="28" fillId="3" borderId="0" xfId="0" applyFont="1" applyFill="1" applyAlignment="1">
      <alignment horizontal="center"/>
    </xf>
    <xf numFmtId="0" fontId="28" fillId="13" borderId="16" xfId="0" applyFont="1" applyFill="1" applyBorder="1"/>
    <xf numFmtId="0" fontId="28" fillId="13" borderId="10" xfId="0" applyFont="1" applyFill="1" applyBorder="1"/>
    <xf numFmtId="0" fontId="28" fillId="13" borderId="13" xfId="0" applyFont="1" applyFill="1" applyBorder="1"/>
    <xf numFmtId="0" fontId="28" fillId="13" borderId="9" xfId="0" applyFont="1" applyFill="1" applyBorder="1" applyAlignment="1">
      <alignment horizontal="center"/>
    </xf>
    <xf numFmtId="168" fontId="28" fillId="13" borderId="0" xfId="0" applyNumberFormat="1" applyFont="1" applyFill="1" applyAlignment="1">
      <alignment horizontal="center"/>
    </xf>
    <xf numFmtId="168" fontId="28" fillId="13" borderId="10" xfId="0" applyNumberFormat="1" applyFont="1" applyFill="1" applyBorder="1" applyAlignment="1">
      <alignment horizontal="center"/>
    </xf>
    <xf numFmtId="0" fontId="28" fillId="13" borderId="45" xfId="0" applyFont="1" applyFill="1" applyBorder="1" applyAlignment="1">
      <alignment horizontal="center"/>
    </xf>
    <xf numFmtId="174" fontId="38" fillId="14" borderId="48" xfId="0" applyNumberFormat="1" applyFont="1" applyFill="1" applyBorder="1" applyAlignment="1">
      <alignment horizontal="center"/>
    </xf>
    <xf numFmtId="176" fontId="28" fillId="3" borderId="9" xfId="10" applyNumberFormat="1" applyFont="1" applyFill="1" applyBorder="1" applyAlignment="1">
      <alignment horizontal="center"/>
    </xf>
    <xf numFmtId="0" fontId="28" fillId="13" borderId="29" xfId="0" applyFont="1" applyFill="1" applyBorder="1" applyAlignment="1">
      <alignment horizontal="center"/>
    </xf>
    <xf numFmtId="177" fontId="28" fillId="13" borderId="22" xfId="0" applyNumberFormat="1" applyFont="1" applyFill="1" applyBorder="1"/>
    <xf numFmtId="0" fontId="28" fillId="0" borderId="14" xfId="0" applyFont="1" applyBorder="1"/>
    <xf numFmtId="0" fontId="28" fillId="0" borderId="15" xfId="0" applyFont="1" applyBorder="1"/>
    <xf numFmtId="0" fontId="28" fillId="13" borderId="14" xfId="0" applyFont="1" applyFill="1" applyBorder="1"/>
    <xf numFmtId="177" fontId="28" fillId="13" borderId="15" xfId="0" applyNumberFormat="1" applyFont="1" applyFill="1" applyBorder="1"/>
    <xf numFmtId="0" fontId="28" fillId="13" borderId="9" xfId="0" applyFont="1" applyFill="1" applyBorder="1"/>
    <xf numFmtId="177" fontId="28" fillId="13" borderId="0" xfId="0" applyNumberFormat="1" applyFont="1" applyFill="1"/>
    <xf numFmtId="177" fontId="28" fillId="13" borderId="10" xfId="0" applyNumberFormat="1" applyFont="1" applyFill="1" applyBorder="1"/>
    <xf numFmtId="0" fontId="28" fillId="13" borderId="11" xfId="0" applyFont="1" applyFill="1" applyBorder="1"/>
    <xf numFmtId="0" fontId="28" fillId="3" borderId="14" xfId="0" applyFont="1" applyFill="1" applyBorder="1"/>
    <xf numFmtId="0" fontId="28" fillId="3" borderId="9" xfId="0" applyFont="1" applyFill="1" applyBorder="1"/>
    <xf numFmtId="0" fontId="28" fillId="3" borderId="20" xfId="0" applyFont="1" applyFill="1" applyBorder="1"/>
    <xf numFmtId="0" fontId="28" fillId="3" borderId="11" xfId="0" applyFont="1" applyFill="1" applyBorder="1"/>
    <xf numFmtId="0" fontId="28" fillId="3" borderId="17" xfId="0" applyFont="1" applyFill="1" applyBorder="1"/>
    <xf numFmtId="0" fontId="28" fillId="3" borderId="19" xfId="0" applyFont="1" applyFill="1" applyBorder="1"/>
    <xf numFmtId="0" fontId="28" fillId="3" borderId="37" xfId="0" applyFont="1" applyFill="1" applyBorder="1"/>
    <xf numFmtId="0" fontId="28" fillId="3" borderId="18" xfId="0" applyFont="1" applyFill="1" applyBorder="1"/>
    <xf numFmtId="166" fontId="0" fillId="0" borderId="0" xfId="0" applyNumberFormat="1"/>
    <xf numFmtId="178" fontId="28" fillId="0" borderId="0" xfId="0" applyNumberFormat="1" applyFont="1"/>
    <xf numFmtId="178" fontId="28" fillId="0" borderId="0" xfId="2" applyNumberFormat="1" applyFont="1"/>
    <xf numFmtId="166" fontId="36" fillId="13" borderId="9" xfId="0" applyNumberFormat="1" applyFont="1" applyFill="1" applyBorder="1" applyAlignment="1">
      <alignment horizontal="center"/>
    </xf>
    <xf numFmtId="166" fontId="36" fillId="13" borderId="0" xfId="0" applyNumberFormat="1" applyFont="1" applyFill="1" applyAlignment="1">
      <alignment horizontal="center"/>
    </xf>
    <xf numFmtId="166" fontId="36" fillId="13" borderId="10" xfId="0" applyNumberFormat="1" applyFont="1" applyFill="1" applyBorder="1" applyAlignment="1">
      <alignment horizontal="center"/>
    </xf>
    <xf numFmtId="166" fontId="36" fillId="13" borderId="11" xfId="0" applyNumberFormat="1" applyFont="1" applyFill="1" applyBorder="1" applyAlignment="1">
      <alignment horizontal="center"/>
    </xf>
    <xf numFmtId="166" fontId="36" fillId="13" borderId="12" xfId="0" applyNumberFormat="1" applyFont="1" applyFill="1" applyBorder="1" applyAlignment="1">
      <alignment horizontal="center"/>
    </xf>
    <xf numFmtId="166" fontId="36" fillId="13" borderId="13" xfId="0" applyNumberFormat="1" applyFont="1" applyFill="1" applyBorder="1" applyAlignment="1">
      <alignment horizontal="center"/>
    </xf>
    <xf numFmtId="166" fontId="37" fillId="13" borderId="20" xfId="0" applyNumberFormat="1" applyFont="1" applyFill="1" applyBorder="1" applyAlignment="1">
      <alignment horizontal="center"/>
    </xf>
    <xf numFmtId="166" fontId="37" fillId="13" borderId="21" xfId="0" applyNumberFormat="1" applyFont="1" applyFill="1" applyBorder="1" applyAlignment="1">
      <alignment horizontal="center"/>
    </xf>
    <xf numFmtId="166" fontId="37" fillId="13" borderId="22" xfId="0" applyNumberFormat="1" applyFont="1" applyFill="1" applyBorder="1" applyAlignment="1">
      <alignment horizontal="center"/>
    </xf>
    <xf numFmtId="177" fontId="28" fillId="13" borderId="14" xfId="0" applyNumberFormat="1" applyFont="1" applyFill="1" applyBorder="1" applyAlignment="1">
      <alignment horizontal="center"/>
    </xf>
    <xf numFmtId="0" fontId="27" fillId="13" borderId="0" xfId="0" applyFont="1" applyFill="1" applyAlignment="1">
      <alignment horizontal="center"/>
    </xf>
    <xf numFmtId="178" fontId="27" fillId="3" borderId="14" xfId="0" applyNumberFormat="1" applyFont="1" applyFill="1" applyBorder="1" applyAlignment="1">
      <alignment horizontal="center"/>
    </xf>
    <xf numFmtId="9" fontId="27" fillId="3" borderId="15" xfId="2" applyFont="1" applyFill="1" applyBorder="1" applyAlignment="1">
      <alignment horizontal="center"/>
    </xf>
    <xf numFmtId="9" fontId="27" fillId="3" borderId="9" xfId="2" applyFont="1" applyFill="1" applyBorder="1" applyAlignment="1">
      <alignment horizontal="center"/>
    </xf>
    <xf numFmtId="9" fontId="27" fillId="3" borderId="11" xfId="2" applyFont="1" applyFill="1" applyBorder="1" applyAlignment="1">
      <alignment horizontal="center"/>
    </xf>
    <xf numFmtId="0" fontId="27" fillId="13" borderId="12" xfId="0" applyFont="1" applyFill="1" applyBorder="1" applyAlignment="1">
      <alignment horizontal="center"/>
    </xf>
    <xf numFmtId="0" fontId="27" fillId="13" borderId="8" xfId="0" applyFont="1" applyFill="1" applyBorder="1" applyAlignment="1">
      <alignment horizontal="center"/>
    </xf>
    <xf numFmtId="0" fontId="27" fillId="13" borderId="14" xfId="0" applyFont="1" applyFill="1" applyBorder="1" applyAlignment="1">
      <alignment horizontal="center"/>
    </xf>
    <xf numFmtId="0" fontId="27" fillId="13" borderId="15" xfId="0" applyFont="1" applyFill="1" applyBorder="1" applyAlignment="1">
      <alignment horizontal="center"/>
    </xf>
    <xf numFmtId="0" fontId="27" fillId="13" borderId="16" xfId="0" applyFont="1" applyFill="1" applyBorder="1" applyAlignment="1">
      <alignment horizontal="center"/>
    </xf>
    <xf numFmtId="0" fontId="27" fillId="13" borderId="9" xfId="0" applyFont="1" applyFill="1" applyBorder="1" applyAlignment="1">
      <alignment horizontal="center"/>
    </xf>
    <xf numFmtId="0" fontId="27" fillId="13" borderId="10" xfId="0" applyFont="1" applyFill="1" applyBorder="1" applyAlignment="1">
      <alignment horizontal="center"/>
    </xf>
    <xf numFmtId="0" fontId="27" fillId="13" borderId="11" xfId="0" applyFont="1" applyFill="1" applyBorder="1" applyAlignment="1">
      <alignment horizontal="center"/>
    </xf>
    <xf numFmtId="0" fontId="27" fillId="13" borderId="13" xfId="0" applyFont="1" applyFill="1" applyBorder="1" applyAlignment="1">
      <alignment horizontal="center"/>
    </xf>
    <xf numFmtId="0" fontId="27" fillId="3" borderId="14" xfId="0" applyFont="1" applyFill="1" applyBorder="1" applyAlignment="1">
      <alignment horizontal="center"/>
    </xf>
    <xf numFmtId="0" fontId="27" fillId="3" borderId="15" xfId="0" applyFont="1" applyFill="1" applyBorder="1" applyAlignment="1">
      <alignment horizontal="center"/>
    </xf>
    <xf numFmtId="0" fontId="27" fillId="3" borderId="16" xfId="0" applyFont="1" applyFill="1" applyBorder="1" applyAlignment="1">
      <alignment horizontal="center"/>
    </xf>
    <xf numFmtId="0" fontId="27" fillId="3" borderId="9" xfId="0" applyFont="1" applyFill="1" applyBorder="1" applyAlignment="1">
      <alignment horizontal="center"/>
    </xf>
    <xf numFmtId="0" fontId="27" fillId="3" borderId="0" xfId="0" applyFont="1" applyFill="1" applyAlignment="1">
      <alignment horizontal="center"/>
    </xf>
    <xf numFmtId="0" fontId="27" fillId="3" borderId="10" xfId="0" applyFont="1" applyFill="1" applyBorder="1" applyAlignment="1">
      <alignment horizontal="center"/>
    </xf>
    <xf numFmtId="0" fontId="27" fillId="3" borderId="11" xfId="0" applyFont="1" applyFill="1" applyBorder="1" applyAlignment="1">
      <alignment horizontal="center"/>
    </xf>
    <xf numFmtId="0" fontId="27" fillId="3" borderId="12" xfId="0" applyFont="1" applyFill="1" applyBorder="1" applyAlignment="1">
      <alignment horizontal="center"/>
    </xf>
    <xf numFmtId="0" fontId="27" fillId="3" borderId="13" xfId="0" applyFont="1" applyFill="1" applyBorder="1" applyAlignment="1">
      <alignment horizontal="center"/>
    </xf>
    <xf numFmtId="0" fontId="35" fillId="13" borderId="10" xfId="0" applyFont="1" applyFill="1" applyBorder="1" applyAlignment="1">
      <alignment horizontal="center"/>
    </xf>
    <xf numFmtId="2" fontId="27" fillId="13" borderId="23" xfId="0" applyNumberFormat="1" applyFont="1" applyFill="1" applyBorder="1" applyAlignment="1">
      <alignment horizontal="center"/>
    </xf>
    <xf numFmtId="2" fontId="27" fillId="13" borderId="8" xfId="0" applyNumberFormat="1" applyFont="1" applyFill="1" applyBorder="1" applyAlignment="1">
      <alignment horizontal="center"/>
    </xf>
    <xf numFmtId="2" fontId="35" fillId="13" borderId="24" xfId="0" applyNumberFormat="1" applyFont="1" applyFill="1" applyBorder="1" applyAlignment="1">
      <alignment horizontal="center"/>
    </xf>
    <xf numFmtId="2" fontId="27" fillId="13" borderId="47" xfId="0" applyNumberFormat="1" applyFont="1" applyFill="1" applyBorder="1" applyAlignment="1">
      <alignment horizontal="center"/>
    </xf>
    <xf numFmtId="2" fontId="27" fillId="13" borderId="0" xfId="0" applyNumberFormat="1" applyFont="1" applyFill="1" applyAlignment="1">
      <alignment horizontal="center"/>
    </xf>
    <xf numFmtId="2" fontId="35" fillId="13" borderId="10" xfId="0" applyNumberFormat="1" applyFont="1" applyFill="1" applyBorder="1" applyAlignment="1">
      <alignment horizontal="center"/>
    </xf>
    <xf numFmtId="2" fontId="27" fillId="3" borderId="14" xfId="0" applyNumberFormat="1" applyFont="1" applyFill="1" applyBorder="1" applyAlignment="1">
      <alignment horizontal="center"/>
    </xf>
    <xf numFmtId="2" fontId="27" fillId="3" borderId="15" xfId="0" applyNumberFormat="1" applyFont="1" applyFill="1" applyBorder="1" applyAlignment="1">
      <alignment horizontal="center"/>
    </xf>
    <xf numFmtId="2" fontId="27" fillId="3" borderId="16" xfId="0" applyNumberFormat="1" applyFont="1" applyFill="1" applyBorder="1" applyAlignment="1">
      <alignment horizontal="center"/>
    </xf>
    <xf numFmtId="2" fontId="27" fillId="3" borderId="9" xfId="0" applyNumberFormat="1" applyFont="1" applyFill="1" applyBorder="1" applyAlignment="1">
      <alignment horizontal="center"/>
    </xf>
    <xf numFmtId="2" fontId="27" fillId="5" borderId="0" xfId="0" applyNumberFormat="1" applyFont="1" applyFill="1" applyAlignment="1">
      <alignment horizontal="center"/>
    </xf>
    <xf numFmtId="2" fontId="27" fillId="3" borderId="10" xfId="0" applyNumberFormat="1" applyFont="1" applyFill="1" applyBorder="1" applyAlignment="1">
      <alignment horizontal="center"/>
    </xf>
    <xf numFmtId="2" fontId="27" fillId="3" borderId="11" xfId="0" applyNumberFormat="1" applyFont="1" applyFill="1" applyBorder="1" applyAlignment="1">
      <alignment horizontal="center"/>
    </xf>
    <xf numFmtId="2" fontId="27" fillId="3" borderId="12" xfId="0" applyNumberFormat="1" applyFont="1" applyFill="1" applyBorder="1" applyAlignment="1">
      <alignment horizontal="center"/>
    </xf>
    <xf numFmtId="2" fontId="27" fillId="3" borderId="13" xfId="0" applyNumberFormat="1" applyFont="1" applyFill="1" applyBorder="1" applyAlignment="1">
      <alignment horizontal="center"/>
    </xf>
    <xf numFmtId="2" fontId="27" fillId="13" borderId="54" xfId="0" applyNumberFormat="1" applyFont="1" applyFill="1" applyBorder="1" applyAlignment="1">
      <alignment horizontal="center"/>
    </xf>
    <xf numFmtId="2" fontId="27" fillId="13" borderId="12" xfId="0" applyNumberFormat="1" applyFont="1" applyFill="1" applyBorder="1" applyAlignment="1">
      <alignment horizontal="center"/>
    </xf>
    <xf numFmtId="2" fontId="35" fillId="13" borderId="13" xfId="0" applyNumberFormat="1" applyFont="1" applyFill="1" applyBorder="1" applyAlignment="1">
      <alignment horizontal="center"/>
    </xf>
    <xf numFmtId="2" fontId="28" fillId="0" borderId="0" xfId="0" applyNumberFormat="1" applyFont="1"/>
    <xf numFmtId="0" fontId="28" fillId="0" borderId="19" xfId="0" applyFont="1" applyBorder="1"/>
    <xf numFmtId="0" fontId="27" fillId="3" borderId="17" xfId="0" applyFont="1" applyFill="1" applyBorder="1" applyAlignment="1">
      <alignment horizontal="center"/>
    </xf>
    <xf numFmtId="0" fontId="27" fillId="3" borderId="19" xfId="0" applyFont="1" applyFill="1" applyBorder="1" applyAlignment="1">
      <alignment horizontal="center"/>
    </xf>
    <xf numFmtId="0" fontId="27" fillId="3" borderId="18" xfId="0" applyFont="1" applyFill="1" applyBorder="1" applyAlignment="1">
      <alignment horizontal="center"/>
    </xf>
    <xf numFmtId="0" fontId="28" fillId="0" borderId="0" xfId="0" applyFont="1" applyAlignment="1">
      <alignment horizontal="center"/>
    </xf>
    <xf numFmtId="2" fontId="28" fillId="13" borderId="17" xfId="0" applyNumberFormat="1" applyFont="1" applyFill="1" applyBorder="1" applyAlignment="1">
      <alignment horizontal="center"/>
    </xf>
    <xf numFmtId="0" fontId="28" fillId="13" borderId="19" xfId="0" applyFont="1" applyFill="1" applyBorder="1" applyAlignment="1">
      <alignment horizontal="center"/>
    </xf>
    <xf numFmtId="2" fontId="28" fillId="13" borderId="19" xfId="0" applyNumberFormat="1" applyFont="1" applyFill="1" applyBorder="1" applyAlignment="1">
      <alignment horizontal="center"/>
    </xf>
    <xf numFmtId="2" fontId="28" fillId="13" borderId="18" xfId="0" applyNumberFormat="1" applyFont="1" applyFill="1" applyBorder="1" applyAlignment="1">
      <alignment horizontal="center"/>
    </xf>
    <xf numFmtId="0" fontId="28" fillId="3" borderId="21" xfId="0" applyFont="1" applyFill="1" applyBorder="1"/>
    <xf numFmtId="0" fontId="28" fillId="3" borderId="21" xfId="0" applyFont="1" applyFill="1" applyBorder="1" applyAlignment="1">
      <alignment horizontal="center"/>
    </xf>
    <xf numFmtId="0" fontId="28" fillId="0" borderId="16" xfId="0" applyFont="1" applyBorder="1"/>
    <xf numFmtId="0" fontId="28" fillId="3" borderId="0" xfId="0" applyFont="1" applyFill="1"/>
    <xf numFmtId="4" fontId="28" fillId="8" borderId="0" xfId="10" applyFont="1" applyFill="1" applyAlignment="1">
      <alignment horizontal="center"/>
    </xf>
    <xf numFmtId="1" fontId="28" fillId="8" borderId="0" xfId="0" applyNumberFormat="1" applyFont="1" applyFill="1" applyAlignment="1">
      <alignment horizontal="center"/>
    </xf>
    <xf numFmtId="0" fontId="28" fillId="8" borderId="0" xfId="0" applyFont="1" applyFill="1" applyAlignment="1">
      <alignment horizontal="center"/>
    </xf>
    <xf numFmtId="4" fontId="28" fillId="3" borderId="0" xfId="10" applyFont="1" applyFill="1" applyAlignment="1">
      <alignment horizontal="center"/>
    </xf>
    <xf numFmtId="4" fontId="28" fillId="3" borderId="0" xfId="0" applyNumberFormat="1" applyFont="1" applyFill="1" applyAlignment="1">
      <alignment horizontal="center"/>
    </xf>
    <xf numFmtId="2" fontId="28" fillId="13" borderId="0" xfId="0" applyNumberFormat="1" applyFont="1" applyFill="1" applyAlignment="1">
      <alignment horizontal="center"/>
    </xf>
    <xf numFmtId="4" fontId="27" fillId="3" borderId="0" xfId="10" applyFont="1" applyFill="1" applyAlignment="1">
      <alignment horizontal="center"/>
    </xf>
    <xf numFmtId="176" fontId="28" fillId="3" borderId="0" xfId="10" applyNumberFormat="1" applyFont="1" applyFill="1" applyAlignment="1">
      <alignment horizontal="center"/>
    </xf>
    <xf numFmtId="0" fontId="28" fillId="3" borderId="15" xfId="0" applyFont="1" applyFill="1" applyBorder="1"/>
    <xf numFmtId="0" fontId="28" fillId="3" borderId="15" xfId="0" applyFont="1" applyFill="1" applyBorder="1" applyAlignment="1">
      <alignment horizontal="center"/>
    </xf>
    <xf numFmtId="4" fontId="28" fillId="8" borderId="9" xfId="10" applyFont="1" applyFill="1" applyBorder="1" applyAlignment="1">
      <alignment horizontal="center"/>
    </xf>
    <xf numFmtId="0" fontId="28" fillId="8" borderId="10" xfId="0" applyFont="1" applyFill="1" applyBorder="1" applyAlignment="1">
      <alignment horizontal="center"/>
    </xf>
    <xf numFmtId="4" fontId="28" fillId="3" borderId="9" xfId="10" applyFont="1" applyFill="1" applyBorder="1" applyAlignment="1">
      <alignment horizontal="center"/>
    </xf>
    <xf numFmtId="1" fontId="28" fillId="13" borderId="10" xfId="0" applyNumberFormat="1" applyFont="1" applyFill="1" applyBorder="1" applyAlignment="1">
      <alignment horizontal="center"/>
    </xf>
    <xf numFmtId="2" fontId="28" fillId="13" borderId="10" xfId="0" applyNumberFormat="1" applyFont="1" applyFill="1" applyBorder="1" applyAlignment="1">
      <alignment horizontal="center"/>
    </xf>
    <xf numFmtId="0" fontId="28" fillId="13" borderId="10" xfId="0" applyFont="1" applyFill="1" applyBorder="1" applyAlignment="1">
      <alignment horizontal="center"/>
    </xf>
    <xf numFmtId="0" fontId="28" fillId="3" borderId="9" xfId="0" applyFont="1" applyFill="1" applyBorder="1" applyAlignment="1">
      <alignment horizontal="center"/>
    </xf>
    <xf numFmtId="4" fontId="27" fillId="3" borderId="9" xfId="10" applyFont="1" applyFill="1" applyBorder="1" applyAlignment="1">
      <alignment horizontal="center"/>
    </xf>
    <xf numFmtId="4" fontId="28" fillId="3" borderId="11" xfId="10" applyFont="1" applyFill="1" applyBorder="1" applyAlignment="1">
      <alignment horizontal="center"/>
    </xf>
    <xf numFmtId="1" fontId="28" fillId="13" borderId="12" xfId="0" applyNumberFormat="1" applyFont="1" applyFill="1" applyBorder="1" applyAlignment="1">
      <alignment horizontal="center"/>
    </xf>
    <xf numFmtId="1" fontId="28" fillId="13" borderId="13" xfId="0" applyNumberFormat="1" applyFont="1" applyFill="1" applyBorder="1" applyAlignment="1">
      <alignment horizontal="center"/>
    </xf>
    <xf numFmtId="0" fontId="28" fillId="8" borderId="0" xfId="10" applyNumberFormat="1" applyFont="1" applyFill="1" applyAlignment="1">
      <alignment horizontal="center"/>
    </xf>
    <xf numFmtId="4" fontId="39" fillId="3" borderId="9" xfId="10" applyFont="1" applyFill="1" applyBorder="1" applyAlignment="1">
      <alignment horizontal="center"/>
    </xf>
    <xf numFmtId="4" fontId="28" fillId="3" borderId="12" xfId="10" applyFont="1" applyFill="1" applyBorder="1" applyAlignment="1">
      <alignment horizontal="center"/>
    </xf>
    <xf numFmtId="1" fontId="28" fillId="13" borderId="13" xfId="0" applyNumberFormat="1" applyFont="1" applyFill="1" applyBorder="1"/>
    <xf numFmtId="2" fontId="28" fillId="5" borderId="0" xfId="0" applyNumberFormat="1" applyFont="1" applyFill="1" applyAlignment="1">
      <alignment horizontal="center"/>
    </xf>
    <xf numFmtId="2" fontId="28" fillId="5" borderId="10" xfId="0" applyNumberFormat="1" applyFont="1" applyFill="1" applyBorder="1" applyAlignment="1">
      <alignment horizontal="center"/>
    </xf>
    <xf numFmtId="2" fontId="28" fillId="3" borderId="10" xfId="0" applyNumberFormat="1" applyFont="1" applyFill="1" applyBorder="1" applyAlignment="1">
      <alignment horizontal="center"/>
    </xf>
    <xf numFmtId="0" fontId="28" fillId="3" borderId="10" xfId="0" applyFont="1" applyFill="1" applyBorder="1" applyAlignment="1">
      <alignment horizontal="center"/>
    </xf>
    <xf numFmtId="0" fontId="27" fillId="3" borderId="16" xfId="0" applyFont="1" applyFill="1" applyBorder="1"/>
    <xf numFmtId="0" fontId="27" fillId="3" borderId="15" xfId="0" applyFont="1" applyFill="1" applyBorder="1"/>
    <xf numFmtId="0" fontId="34" fillId="0" borderId="0" xfId="0" applyFont="1"/>
    <xf numFmtId="0" fontId="34" fillId="13" borderId="16" xfId="0" applyFont="1" applyFill="1" applyBorder="1"/>
    <xf numFmtId="0" fontId="34" fillId="13" borderId="10" xfId="0" applyFont="1" applyFill="1" applyBorder="1"/>
    <xf numFmtId="0" fontId="34" fillId="13" borderId="13" xfId="0" applyFont="1" applyFill="1" applyBorder="1"/>
    <xf numFmtId="9" fontId="35" fillId="3" borderId="16" xfId="2" applyFont="1" applyFill="1" applyBorder="1" applyAlignment="1">
      <alignment horizontal="center"/>
    </xf>
    <xf numFmtId="0" fontId="34" fillId="13" borderId="14" xfId="0" applyFont="1" applyFill="1" applyBorder="1" applyAlignment="1">
      <alignment horizontal="center"/>
    </xf>
    <xf numFmtId="0" fontId="34" fillId="13" borderId="15" xfId="0" applyFont="1" applyFill="1" applyBorder="1" applyAlignment="1">
      <alignment horizontal="center"/>
    </xf>
    <xf numFmtId="0" fontId="34" fillId="13" borderId="16" xfId="0" applyFont="1" applyFill="1" applyBorder="1" applyAlignment="1">
      <alignment horizontal="center"/>
    </xf>
    <xf numFmtId="9" fontId="34" fillId="13" borderId="9" xfId="0" applyNumberFormat="1" applyFont="1" applyFill="1" applyBorder="1" applyAlignment="1">
      <alignment horizontal="center"/>
    </xf>
    <xf numFmtId="0" fontId="34" fillId="13" borderId="0" xfId="0" applyFont="1" applyFill="1" applyAlignment="1">
      <alignment horizontal="center"/>
    </xf>
    <xf numFmtId="0" fontId="34" fillId="13" borderId="10" xfId="0" applyFont="1" applyFill="1" applyBorder="1" applyAlignment="1">
      <alignment horizontal="center"/>
    </xf>
    <xf numFmtId="0" fontId="34" fillId="13" borderId="20" xfId="0" applyFont="1" applyFill="1" applyBorder="1" applyAlignment="1">
      <alignment horizontal="center"/>
    </xf>
    <xf numFmtId="0" fontId="34" fillId="13" borderId="21" xfId="0" applyFont="1" applyFill="1" applyBorder="1" applyAlignment="1">
      <alignment horizontal="center"/>
    </xf>
    <xf numFmtId="1" fontId="40" fillId="13" borderId="22" xfId="0" applyNumberFormat="1" applyFont="1" applyFill="1" applyBorder="1" applyAlignment="1">
      <alignment horizontal="center" vertical="center" shrinkToFit="1"/>
    </xf>
    <xf numFmtId="1" fontId="40" fillId="13" borderId="21" xfId="0" applyNumberFormat="1" applyFont="1" applyFill="1" applyBorder="1" applyAlignment="1">
      <alignment horizontal="center" vertical="center" shrinkToFit="1"/>
    </xf>
    <xf numFmtId="0" fontId="34" fillId="13" borderId="22" xfId="0" applyFont="1" applyFill="1" applyBorder="1" applyAlignment="1">
      <alignment horizontal="center"/>
    </xf>
    <xf numFmtId="0" fontId="34" fillId="13" borderId="9" xfId="0" applyFont="1" applyFill="1" applyBorder="1" applyAlignment="1">
      <alignment horizontal="center"/>
    </xf>
    <xf numFmtId="164" fontId="28" fillId="13" borderId="10" xfId="9" applyNumberFormat="1" applyFont="1" applyFill="1" applyBorder="1" applyAlignment="1">
      <alignment horizontal="center"/>
    </xf>
    <xf numFmtId="164" fontId="28" fillId="13" borderId="0" xfId="9" applyNumberFormat="1" applyFont="1" applyFill="1" applyBorder="1" applyAlignment="1">
      <alignment horizontal="center"/>
    </xf>
    <xf numFmtId="164" fontId="34" fillId="13" borderId="16" xfId="0" applyNumberFormat="1" applyFont="1" applyFill="1" applyBorder="1" applyAlignment="1">
      <alignment horizontal="center"/>
    </xf>
    <xf numFmtId="164" fontId="34" fillId="13" borderId="15" xfId="0" applyNumberFormat="1" applyFont="1" applyFill="1" applyBorder="1" applyAlignment="1">
      <alignment horizontal="center"/>
    </xf>
    <xf numFmtId="179" fontId="34" fillId="13" borderId="11" xfId="0" applyNumberFormat="1" applyFont="1" applyFill="1" applyBorder="1" applyAlignment="1">
      <alignment horizontal="center"/>
    </xf>
    <xf numFmtId="0" fontId="34" fillId="13" borderId="12" xfId="0" applyFont="1" applyFill="1" applyBorder="1" applyAlignment="1">
      <alignment horizontal="center"/>
    </xf>
    <xf numFmtId="0" fontId="34" fillId="13" borderId="13" xfId="0" applyFont="1" applyFill="1" applyBorder="1" applyAlignment="1">
      <alignment horizontal="center"/>
    </xf>
    <xf numFmtId="180" fontId="34" fillId="13" borderId="10" xfId="1" applyNumberFormat="1" applyFont="1" applyFill="1" applyBorder="1" applyAlignment="1">
      <alignment horizontal="center"/>
    </xf>
    <xf numFmtId="180" fontId="34" fillId="13" borderId="0" xfId="1" applyNumberFormat="1" applyFont="1" applyFill="1" applyBorder="1" applyAlignment="1">
      <alignment horizontal="center"/>
    </xf>
    <xf numFmtId="180" fontId="34" fillId="13" borderId="16" xfId="1" applyNumberFormat="1" applyFont="1" applyFill="1" applyBorder="1" applyAlignment="1">
      <alignment horizontal="center"/>
    </xf>
    <xf numFmtId="180" fontId="34" fillId="13" borderId="15" xfId="1" applyNumberFormat="1" applyFont="1" applyFill="1" applyBorder="1" applyAlignment="1">
      <alignment horizontal="center"/>
    </xf>
    <xf numFmtId="179" fontId="34" fillId="13" borderId="9" xfId="1" applyNumberFormat="1" applyFont="1" applyFill="1" applyBorder="1" applyAlignment="1">
      <alignment horizontal="center"/>
    </xf>
    <xf numFmtId="166" fontId="34" fillId="13" borderId="9" xfId="1" applyFont="1" applyFill="1" applyBorder="1" applyAlignment="1">
      <alignment horizontal="center"/>
    </xf>
    <xf numFmtId="179" fontId="34" fillId="13" borderId="11" xfId="1" applyNumberFormat="1" applyFont="1" applyFill="1" applyBorder="1" applyAlignment="1">
      <alignment horizontal="center"/>
    </xf>
    <xf numFmtId="0" fontId="28" fillId="3" borderId="14" xfId="0" applyFont="1" applyFill="1" applyBorder="1" applyAlignment="1">
      <alignment horizontal="center"/>
    </xf>
    <xf numFmtId="0" fontId="34" fillId="13" borderId="15" xfId="0" applyFont="1" applyFill="1" applyBorder="1"/>
    <xf numFmtId="0" fontId="34" fillId="13" borderId="20" xfId="0" applyFont="1" applyFill="1" applyBorder="1" applyAlignment="1">
      <alignment horizontal="left"/>
    </xf>
    <xf numFmtId="0" fontId="34" fillId="13" borderId="21" xfId="0" applyFont="1" applyFill="1" applyBorder="1"/>
    <xf numFmtId="1" fontId="40" fillId="13" borderId="22" xfId="0" applyNumberFormat="1" applyFont="1" applyFill="1" applyBorder="1" applyAlignment="1">
      <alignment horizontal="right" vertical="center" shrinkToFit="1"/>
    </xf>
    <xf numFmtId="1" fontId="40" fillId="13" borderId="21" xfId="0" applyNumberFormat="1" applyFont="1" applyFill="1" applyBorder="1" applyAlignment="1">
      <alignment horizontal="right" vertical="center" shrinkToFit="1"/>
    </xf>
    <xf numFmtId="0" fontId="34" fillId="13" borderId="22" xfId="0" applyFont="1" applyFill="1" applyBorder="1"/>
    <xf numFmtId="0" fontId="34" fillId="13" borderId="9" xfId="0" applyFont="1" applyFill="1" applyBorder="1" applyAlignment="1">
      <alignment horizontal="left"/>
    </xf>
    <xf numFmtId="179" fontId="34" fillId="13" borderId="0" xfId="0" applyNumberFormat="1" applyFont="1" applyFill="1"/>
    <xf numFmtId="0" fontId="34" fillId="13" borderId="0" xfId="0" applyFont="1" applyFill="1"/>
    <xf numFmtId="164" fontId="28" fillId="13" borderId="10" xfId="9" applyNumberFormat="1" applyFont="1" applyFill="1" applyBorder="1"/>
    <xf numFmtId="166" fontId="28" fillId="13" borderId="0" xfId="9" applyNumberFormat="1" applyFont="1" applyFill="1" applyBorder="1"/>
    <xf numFmtId="0" fontId="34" fillId="13" borderId="9" xfId="0" applyFont="1" applyFill="1" applyBorder="1"/>
    <xf numFmtId="180" fontId="28" fillId="13" borderId="0" xfId="9" applyNumberFormat="1" applyFont="1" applyFill="1" applyBorder="1"/>
    <xf numFmtId="0" fontId="34" fillId="13" borderId="14" xfId="0" applyFont="1" applyFill="1" applyBorder="1"/>
    <xf numFmtId="179" fontId="34" fillId="13" borderId="15" xfId="0" applyNumberFormat="1" applyFont="1" applyFill="1" applyBorder="1"/>
    <xf numFmtId="166" fontId="34" fillId="13" borderId="16" xfId="0" applyNumberFormat="1" applyFont="1" applyFill="1" applyBorder="1"/>
    <xf numFmtId="166" fontId="34" fillId="13" borderId="15" xfId="0" applyNumberFormat="1" applyFont="1" applyFill="1" applyBorder="1"/>
    <xf numFmtId="0" fontId="34" fillId="13" borderId="11" xfId="0" applyFont="1" applyFill="1" applyBorder="1"/>
    <xf numFmtId="0" fontId="34" fillId="13" borderId="12" xfId="0" applyFont="1" applyFill="1" applyBorder="1"/>
    <xf numFmtId="9" fontId="34" fillId="13" borderId="14" xfId="0" applyNumberFormat="1" applyFont="1" applyFill="1" applyBorder="1"/>
    <xf numFmtId="0" fontId="28" fillId="3" borderId="11" xfId="0" applyFont="1" applyFill="1" applyBorder="1" applyAlignment="1">
      <alignment horizontal="center"/>
    </xf>
    <xf numFmtId="0" fontId="28" fillId="3" borderId="17" xfId="0" applyFont="1" applyFill="1" applyBorder="1" applyAlignment="1">
      <alignment horizontal="center"/>
    </xf>
    <xf numFmtId="0" fontId="34" fillId="13" borderId="20" xfId="0" applyFont="1" applyFill="1" applyBorder="1"/>
    <xf numFmtId="4" fontId="27" fillId="3" borderId="19" xfId="10" applyFont="1" applyFill="1" applyBorder="1" applyAlignment="1">
      <alignment horizontal="center"/>
    </xf>
    <xf numFmtId="166" fontId="34" fillId="13" borderId="0" xfId="0" applyNumberFormat="1" applyFont="1" applyFill="1"/>
    <xf numFmtId="180" fontId="34" fillId="13" borderId="0" xfId="1" applyNumberFormat="1" applyFont="1" applyFill="1" applyBorder="1"/>
    <xf numFmtId="180" fontId="34" fillId="13" borderId="0" xfId="0" applyNumberFormat="1" applyFont="1" applyFill="1"/>
    <xf numFmtId="9" fontId="34" fillId="13" borderId="0" xfId="0" applyNumberFormat="1" applyFont="1" applyFill="1"/>
    <xf numFmtId="0" fontId="28" fillId="3" borderId="18" xfId="0" applyFont="1" applyFill="1" applyBorder="1" applyAlignment="1">
      <alignment horizontal="center"/>
    </xf>
    <xf numFmtId="0" fontId="41" fillId="2" borderId="20" xfId="0" applyFont="1" applyFill="1" applyBorder="1" applyAlignment="1">
      <alignment horizontal="left" vertical="top"/>
    </xf>
    <xf numFmtId="0" fontId="42" fillId="2" borderId="21" xfId="0" applyFont="1" applyFill="1" applyBorder="1" applyAlignment="1">
      <alignment horizontal="left" vertical="top" wrapText="1"/>
    </xf>
    <xf numFmtId="0" fontId="41" fillId="2" borderId="21" xfId="0" applyFont="1" applyFill="1" applyBorder="1" applyAlignment="1">
      <alignment horizontal="left" vertical="top" wrapText="1"/>
    </xf>
    <xf numFmtId="0" fontId="41" fillId="2" borderId="22" xfId="0" applyFont="1" applyFill="1" applyBorder="1" applyAlignment="1">
      <alignment horizontal="left" vertical="top" wrapText="1"/>
    </xf>
    <xf numFmtId="0" fontId="43" fillId="8" borderId="14" xfId="0" applyFont="1" applyFill="1" applyBorder="1" applyAlignment="1">
      <alignment horizontal="left" vertical="top" wrapText="1"/>
    </xf>
    <xf numFmtId="0" fontId="43" fillId="8" borderId="15" xfId="0" applyFont="1" applyFill="1" applyBorder="1" applyAlignment="1">
      <alignment horizontal="left" vertical="top" wrapText="1"/>
    </xf>
    <xf numFmtId="0" fontId="43" fillId="8" borderId="16" xfId="0" applyFont="1" applyFill="1" applyBorder="1" applyAlignment="1">
      <alignment horizontal="left" vertical="top" wrapText="1"/>
    </xf>
    <xf numFmtId="0" fontId="43" fillId="9" borderId="14" xfId="0" applyFont="1" applyFill="1" applyBorder="1" applyAlignment="1">
      <alignment horizontal="left" vertical="top" wrapText="1"/>
    </xf>
    <xf numFmtId="0" fontId="43" fillId="9" borderId="15" xfId="0" applyFont="1" applyFill="1" applyBorder="1" applyAlignment="1">
      <alignment horizontal="left" vertical="top" wrapText="1"/>
    </xf>
    <xf numFmtId="0" fontId="42" fillId="9" borderId="16" xfId="0" applyFont="1" applyFill="1" applyBorder="1" applyAlignment="1">
      <alignment horizontal="left" vertical="top" wrapText="1"/>
    </xf>
    <xf numFmtId="0" fontId="41" fillId="9" borderId="17" xfId="0" applyFont="1" applyFill="1" applyBorder="1" applyAlignment="1">
      <alignment horizontal="center" vertical="top" wrapText="1"/>
    </xf>
    <xf numFmtId="0" fontId="41" fillId="9" borderId="16" xfId="0" applyFont="1" applyFill="1" applyBorder="1" applyAlignment="1">
      <alignment horizontal="center" vertical="top" wrapText="1"/>
    </xf>
    <xf numFmtId="0" fontId="28" fillId="9" borderId="9" xfId="0" applyFont="1" applyFill="1" applyBorder="1"/>
    <xf numFmtId="0" fontId="28" fillId="9" borderId="0" xfId="0" applyFont="1" applyFill="1" applyAlignment="1">
      <alignment horizontal="left" vertical="top" wrapText="1"/>
    </xf>
    <xf numFmtId="0" fontId="28" fillId="9" borderId="10" xfId="0" applyFont="1" applyFill="1" applyBorder="1" applyAlignment="1">
      <alignment horizontal="left" vertical="top" wrapText="1"/>
    </xf>
    <xf numFmtId="0" fontId="27" fillId="9" borderId="19" xfId="0" applyFont="1" applyFill="1" applyBorder="1" applyAlignment="1">
      <alignment horizontal="center" vertical="top" wrapText="1"/>
    </xf>
    <xf numFmtId="0" fontId="27" fillId="9" borderId="10" xfId="0" applyFont="1" applyFill="1" applyBorder="1" applyAlignment="1">
      <alignment horizontal="center" vertical="top" wrapText="1"/>
    </xf>
    <xf numFmtId="0" fontId="27" fillId="8" borderId="14" xfId="0" applyFont="1" applyFill="1" applyBorder="1" applyAlignment="1">
      <alignment horizontal="center" vertical="top" wrapText="1"/>
    </xf>
    <xf numFmtId="0" fontId="28" fillId="8" borderId="15" xfId="0" applyFont="1" applyFill="1" applyBorder="1" applyAlignment="1">
      <alignment horizontal="center" vertical="top" wrapText="1"/>
    </xf>
    <xf numFmtId="0" fontId="28" fillId="8" borderId="16" xfId="0" applyFont="1" applyFill="1" applyBorder="1" applyAlignment="1">
      <alignment horizontal="center" vertical="top" wrapText="1"/>
    </xf>
    <xf numFmtId="0" fontId="28" fillId="8" borderId="9" xfId="0" applyFont="1" applyFill="1" applyBorder="1" applyAlignment="1">
      <alignment horizontal="center" vertical="top" wrapText="1"/>
    </xf>
    <xf numFmtId="0" fontId="28" fillId="8" borderId="0" xfId="0" applyFont="1" applyFill="1" applyAlignment="1">
      <alignment horizontal="center" vertical="top" wrapText="1"/>
    </xf>
    <xf numFmtId="0" fontId="28" fillId="8" borderId="10" xfId="0" applyFont="1" applyFill="1" applyBorder="1" applyAlignment="1">
      <alignment horizontal="center" vertical="top" wrapText="1"/>
    </xf>
    <xf numFmtId="0" fontId="42" fillId="8" borderId="9" xfId="0" applyFont="1" applyFill="1" applyBorder="1" applyAlignment="1">
      <alignment horizontal="center" vertical="top" wrapText="1"/>
    </xf>
    <xf numFmtId="0" fontId="42" fillId="8" borderId="0" xfId="0" applyFont="1" applyFill="1" applyAlignment="1">
      <alignment horizontal="center" vertical="top" wrapText="1"/>
    </xf>
    <xf numFmtId="165" fontId="42" fillId="8" borderId="0" xfId="0" applyNumberFormat="1" applyFont="1" applyFill="1" applyAlignment="1">
      <alignment horizontal="center" vertical="top" wrapText="1"/>
    </xf>
    <xf numFmtId="168" fontId="38" fillId="8" borderId="0" xfId="0" applyNumberFormat="1" applyFont="1" applyFill="1" applyAlignment="1">
      <alignment horizontal="center" vertical="top" wrapText="1" shrinkToFit="1"/>
    </xf>
    <xf numFmtId="170" fontId="38" fillId="8" borderId="0" xfId="0" applyNumberFormat="1" applyFont="1" applyFill="1" applyAlignment="1">
      <alignment horizontal="center" vertical="top" wrapText="1" shrinkToFit="1"/>
    </xf>
    <xf numFmtId="2" fontId="38" fillId="8" borderId="0" xfId="0" applyNumberFormat="1" applyFont="1" applyFill="1" applyAlignment="1">
      <alignment horizontal="center" vertical="top" wrapText="1" shrinkToFit="1"/>
    </xf>
    <xf numFmtId="2" fontId="38" fillId="8" borderId="10" xfId="0" applyNumberFormat="1" applyFont="1" applyFill="1" applyBorder="1" applyAlignment="1">
      <alignment horizontal="center" vertical="top" wrapText="1" shrinkToFit="1"/>
    </xf>
    <xf numFmtId="39" fontId="42" fillId="8" borderId="0" xfId="0" applyNumberFormat="1" applyFont="1" applyFill="1" applyAlignment="1">
      <alignment horizontal="center" vertical="top" wrapText="1"/>
    </xf>
    <xf numFmtId="169" fontId="38" fillId="8" borderId="0" xfId="0" applyNumberFormat="1" applyFont="1" applyFill="1" applyAlignment="1">
      <alignment horizontal="center" vertical="top" wrapText="1" shrinkToFit="1"/>
    </xf>
    <xf numFmtId="39" fontId="28" fillId="15" borderId="11" xfId="0" applyNumberFormat="1" applyFont="1" applyFill="1" applyBorder="1" applyAlignment="1">
      <alignment horizontal="center"/>
    </xf>
    <xf numFmtId="0" fontId="28" fillId="15" borderId="12" xfId="0" applyFont="1" applyFill="1" applyBorder="1" applyAlignment="1">
      <alignment horizontal="center"/>
    </xf>
    <xf numFmtId="39" fontId="28" fillId="15" borderId="12" xfId="0" applyNumberFormat="1" applyFont="1" applyFill="1" applyBorder="1" applyAlignment="1">
      <alignment horizontal="center"/>
    </xf>
    <xf numFmtId="168" fontId="38" fillId="15" borderId="12" xfId="0" applyNumberFormat="1" applyFont="1" applyFill="1" applyBorder="1" applyAlignment="1">
      <alignment horizontal="center" vertical="top" wrapText="1" shrinkToFit="1"/>
    </xf>
    <xf numFmtId="170" fontId="38" fillId="8" borderId="12" xfId="0" applyNumberFormat="1" applyFont="1" applyFill="1" applyBorder="1" applyAlignment="1">
      <alignment horizontal="center" vertical="top" wrapText="1" shrinkToFit="1"/>
    </xf>
    <xf numFmtId="2" fontId="38" fillId="8" borderId="12" xfId="0" applyNumberFormat="1" applyFont="1" applyFill="1" applyBorder="1" applyAlignment="1">
      <alignment horizontal="center" vertical="top" wrapText="1" shrinkToFit="1"/>
    </xf>
    <xf numFmtId="2" fontId="38" fillId="8" borderId="13" xfId="0" applyNumberFormat="1" applyFont="1" applyFill="1" applyBorder="1" applyAlignment="1">
      <alignment horizontal="center" vertical="top" wrapText="1" shrinkToFit="1"/>
    </xf>
    <xf numFmtId="0" fontId="27" fillId="4" borderId="20" xfId="0" applyFont="1" applyFill="1" applyBorder="1" applyAlignment="1">
      <alignment horizontal="center"/>
    </xf>
    <xf numFmtId="0" fontId="27" fillId="4" borderId="21" xfId="0" applyFont="1" applyFill="1" applyBorder="1" applyAlignment="1">
      <alignment horizontal="center"/>
    </xf>
    <xf numFmtId="0" fontId="28" fillId="4" borderId="21" xfId="0" applyFont="1" applyFill="1" applyBorder="1"/>
    <xf numFmtId="0" fontId="28" fillId="4" borderId="22" xfId="0" applyFont="1" applyFill="1" applyBorder="1"/>
    <xf numFmtId="0" fontId="28" fillId="3" borderId="16" xfId="0" applyFont="1" applyFill="1" applyBorder="1" applyAlignment="1">
      <alignment horizontal="center"/>
    </xf>
    <xf numFmtId="0" fontId="28" fillId="3" borderId="20" xfId="0" applyFont="1" applyFill="1" applyBorder="1" applyAlignment="1">
      <alignment horizontal="center"/>
    </xf>
    <xf numFmtId="0" fontId="28" fillId="3" borderId="37" xfId="0" applyFont="1" applyFill="1" applyBorder="1" applyAlignment="1">
      <alignment horizontal="center"/>
    </xf>
    <xf numFmtId="0" fontId="28" fillId="3" borderId="22" xfId="0" applyFont="1" applyFill="1" applyBorder="1" applyAlignment="1">
      <alignment horizontal="center"/>
    </xf>
    <xf numFmtId="0" fontId="27" fillId="4" borderId="25" xfId="0" applyFont="1" applyFill="1" applyBorder="1" applyAlignment="1">
      <alignment horizontal="center"/>
    </xf>
    <xf numFmtId="0" fontId="27" fillId="4" borderId="24" xfId="0" applyFont="1" applyFill="1" applyBorder="1" applyAlignment="1">
      <alignment horizontal="center"/>
    </xf>
    <xf numFmtId="0" fontId="27" fillId="3" borderId="30" xfId="0" applyFont="1" applyFill="1" applyBorder="1" applyAlignment="1">
      <alignment horizontal="center"/>
    </xf>
    <xf numFmtId="0" fontId="27" fillId="3" borderId="5" xfId="0" applyFont="1" applyFill="1" applyBorder="1" applyAlignment="1">
      <alignment horizontal="center"/>
    </xf>
    <xf numFmtId="2" fontId="28" fillId="13" borderId="26" xfId="0" applyNumberFormat="1" applyFont="1" applyFill="1" applyBorder="1" applyAlignment="1">
      <alignment horizontal="center"/>
    </xf>
    <xf numFmtId="0" fontId="27" fillId="3" borderId="29" xfId="0" applyFont="1" applyFill="1" applyBorder="1" applyAlignment="1">
      <alignment horizontal="center"/>
    </xf>
    <xf numFmtId="0" fontId="28" fillId="13" borderId="23" xfId="0" applyFont="1" applyFill="1" applyBorder="1" applyAlignment="1">
      <alignment horizontal="center"/>
    </xf>
    <xf numFmtId="168" fontId="28" fillId="13" borderId="26" xfId="0" applyNumberFormat="1" applyFont="1" applyFill="1" applyBorder="1" applyAlignment="1">
      <alignment horizontal="center"/>
    </xf>
    <xf numFmtId="0" fontId="28" fillId="13" borderId="32" xfId="0" applyFont="1" applyFill="1" applyBorder="1" applyAlignment="1">
      <alignment horizontal="center"/>
    </xf>
    <xf numFmtId="2" fontId="27" fillId="13" borderId="5" xfId="0" applyNumberFormat="1" applyFont="1" applyFill="1" applyBorder="1" applyAlignment="1">
      <alignment horizontal="center"/>
    </xf>
    <xf numFmtId="2" fontId="28" fillId="5" borderId="26" xfId="0" applyNumberFormat="1" applyFont="1" applyFill="1" applyBorder="1" applyAlignment="1">
      <alignment horizontal="center"/>
    </xf>
    <xf numFmtId="0" fontId="27" fillId="3" borderId="37" xfId="0" applyFont="1" applyFill="1" applyBorder="1"/>
    <xf numFmtId="1" fontId="27" fillId="13" borderId="19" xfId="0" applyNumberFormat="1" applyFont="1" applyFill="1" applyBorder="1" applyAlignment="1">
      <alignment horizontal="center"/>
    </xf>
    <xf numFmtId="2" fontId="28" fillId="13" borderId="27" xfId="0" applyNumberFormat="1" applyFont="1" applyFill="1" applyBorder="1" applyAlignment="1">
      <alignment horizontal="center"/>
    </xf>
    <xf numFmtId="0" fontId="27" fillId="13" borderId="19" xfId="0" applyFont="1" applyFill="1" applyBorder="1" applyAlignment="1">
      <alignment horizontal="center"/>
    </xf>
    <xf numFmtId="0" fontId="27" fillId="13" borderId="18" xfId="0" applyFont="1" applyFill="1" applyBorder="1" applyAlignment="1">
      <alignment horizontal="center"/>
    </xf>
    <xf numFmtId="0" fontId="27" fillId="3" borderId="34" xfId="0" applyFont="1" applyFill="1" applyBorder="1" applyAlignment="1">
      <alignment horizontal="center"/>
    </xf>
    <xf numFmtId="166" fontId="28" fillId="13" borderId="8" xfId="1" applyFont="1" applyFill="1" applyBorder="1" applyAlignment="1">
      <alignment horizontal="center"/>
    </xf>
    <xf numFmtId="166" fontId="27" fillId="13" borderId="8" xfId="1" applyFont="1" applyFill="1" applyBorder="1" applyAlignment="1">
      <alignment horizontal="center"/>
    </xf>
    <xf numFmtId="177" fontId="27" fillId="13" borderId="8" xfId="1" applyNumberFormat="1" applyFont="1" applyFill="1" applyBorder="1" applyAlignment="1">
      <alignment horizontal="center"/>
    </xf>
    <xf numFmtId="0" fontId="27" fillId="3" borderId="28" xfId="0" applyFont="1" applyFill="1" applyBorder="1" applyAlignment="1">
      <alignment horizontal="center"/>
    </xf>
    <xf numFmtId="166" fontId="28" fillId="13" borderId="12" xfId="1" applyFont="1" applyFill="1" applyBorder="1" applyAlignment="1">
      <alignment horizontal="center"/>
    </xf>
    <xf numFmtId="166" fontId="27" fillId="13" borderId="12" xfId="1" applyFont="1" applyFill="1" applyBorder="1" applyAlignment="1">
      <alignment horizontal="center"/>
    </xf>
    <xf numFmtId="166" fontId="27" fillId="13" borderId="5" xfId="1" applyFont="1" applyFill="1" applyBorder="1" applyAlignment="1">
      <alignment horizontal="center"/>
    </xf>
    <xf numFmtId="0" fontId="28" fillId="13" borderId="5" xfId="0" applyFont="1" applyFill="1" applyBorder="1" applyAlignment="1">
      <alignment horizontal="center"/>
    </xf>
    <xf numFmtId="0" fontId="27" fillId="3" borderId="22" xfId="0" applyFont="1" applyFill="1" applyBorder="1" applyAlignment="1">
      <alignment horizontal="center"/>
    </xf>
    <xf numFmtId="2" fontId="27" fillId="13" borderId="10" xfId="0" applyNumberFormat="1" applyFont="1" applyFill="1" applyBorder="1" applyAlignment="1">
      <alignment horizontal="center"/>
    </xf>
    <xf numFmtId="1" fontId="28" fillId="0" borderId="0" xfId="0" applyNumberFormat="1" applyFont="1"/>
    <xf numFmtId="0" fontId="27" fillId="3" borderId="41" xfId="0" applyFont="1" applyFill="1" applyBorder="1" applyAlignment="1">
      <alignment horizontal="center"/>
    </xf>
    <xf numFmtId="0" fontId="27" fillId="13" borderId="21" xfId="0" applyFont="1" applyFill="1" applyBorder="1" applyAlignment="1">
      <alignment horizontal="center"/>
    </xf>
    <xf numFmtId="0" fontId="27" fillId="13" borderId="22" xfId="0" applyFont="1" applyFill="1" applyBorder="1" applyAlignment="1">
      <alignment horizontal="center"/>
    </xf>
    <xf numFmtId="1" fontId="27" fillId="13" borderId="12" xfId="0" applyNumberFormat="1" applyFont="1" applyFill="1" applyBorder="1" applyAlignment="1">
      <alignment horizontal="center"/>
    </xf>
    <xf numFmtId="0" fontId="27" fillId="0" borderId="0" xfId="0" applyFont="1" applyAlignment="1">
      <alignment horizontal="center"/>
    </xf>
    <xf numFmtId="0" fontId="42" fillId="2" borderId="22" xfId="0" applyFont="1" applyFill="1" applyBorder="1" applyAlignment="1">
      <alignment horizontal="left" vertical="top" wrapText="1"/>
    </xf>
    <xf numFmtId="0" fontId="43" fillId="3" borderId="17" xfId="0" applyFont="1" applyFill="1" applyBorder="1" applyAlignment="1">
      <alignment horizontal="center" vertical="top"/>
    </xf>
    <xf numFmtId="0" fontId="43" fillId="3" borderId="16" xfId="0" applyFont="1" applyFill="1" applyBorder="1" applyAlignment="1">
      <alignment horizontal="center" vertical="top"/>
    </xf>
    <xf numFmtId="0" fontId="43" fillId="3" borderId="19" xfId="0" applyFont="1" applyFill="1" applyBorder="1" applyAlignment="1">
      <alignment horizontal="center" vertical="top"/>
    </xf>
    <xf numFmtId="0" fontId="41" fillId="3" borderId="19" xfId="0" applyFont="1" applyFill="1" applyBorder="1" applyAlignment="1">
      <alignment horizontal="center" vertical="top"/>
    </xf>
    <xf numFmtId="0" fontId="41" fillId="3" borderId="10" xfId="0" applyFont="1" applyFill="1" applyBorder="1" applyAlignment="1">
      <alignment horizontal="center" vertical="top"/>
    </xf>
    <xf numFmtId="0" fontId="28" fillId="3" borderId="36" xfId="0" applyFont="1" applyFill="1" applyBorder="1" applyAlignment="1">
      <alignment horizontal="center" vertical="top"/>
    </xf>
    <xf numFmtId="0" fontId="27" fillId="3" borderId="36" xfId="0" applyFont="1" applyFill="1" applyBorder="1" applyAlignment="1">
      <alignment horizontal="center" vertical="top"/>
    </xf>
    <xf numFmtId="0" fontId="27" fillId="3" borderId="19" xfId="0" applyFont="1" applyFill="1" applyBorder="1" applyAlignment="1">
      <alignment horizontal="center" vertical="top"/>
    </xf>
    <xf numFmtId="0" fontId="27" fillId="3" borderId="10" xfId="0" applyFont="1" applyFill="1" applyBorder="1" applyAlignment="1">
      <alignment horizontal="center" vertical="top"/>
    </xf>
    <xf numFmtId="174" fontId="28" fillId="13" borderId="19" xfId="0" applyNumberFormat="1" applyFont="1" applyFill="1" applyBorder="1" applyAlignment="1">
      <alignment horizontal="center"/>
    </xf>
    <xf numFmtId="0" fontId="28" fillId="13" borderId="18" xfId="0" applyFont="1" applyFill="1" applyBorder="1" applyAlignment="1">
      <alignment horizontal="center"/>
    </xf>
    <xf numFmtId="174" fontId="28" fillId="13" borderId="18" xfId="0" applyNumberFormat="1" applyFont="1" applyFill="1" applyBorder="1" applyAlignment="1">
      <alignment horizontal="center"/>
    </xf>
    <xf numFmtId="174" fontId="28" fillId="0" borderId="0" xfId="0" applyNumberFormat="1" applyFont="1"/>
    <xf numFmtId="174" fontId="41" fillId="3" borderId="17" xfId="0" applyNumberFormat="1" applyFont="1" applyFill="1" applyBorder="1" applyAlignment="1">
      <alignment horizontal="center" vertical="top"/>
    </xf>
    <xf numFmtId="174" fontId="41" fillId="3" borderId="16" xfId="0" applyNumberFormat="1" applyFont="1" applyFill="1" applyBorder="1" applyAlignment="1">
      <alignment horizontal="center" vertical="top"/>
    </xf>
    <xf numFmtId="174" fontId="27" fillId="3" borderId="18" xfId="0" applyNumberFormat="1" applyFont="1" applyFill="1" applyBorder="1" applyAlignment="1">
      <alignment horizontal="center" vertical="top"/>
    </xf>
    <xf numFmtId="174" fontId="27" fillId="3" borderId="13" xfId="0" applyNumberFormat="1" applyFont="1" applyFill="1" applyBorder="1" applyAlignment="1">
      <alignment horizontal="center" vertical="top"/>
    </xf>
    <xf numFmtId="0" fontId="41" fillId="3" borderId="17" xfId="0" applyFont="1" applyFill="1" applyBorder="1" applyAlignment="1">
      <alignment horizontal="center" vertical="top"/>
    </xf>
    <xf numFmtId="2" fontId="28" fillId="13" borderId="16" xfId="0" applyNumberFormat="1" applyFont="1" applyFill="1" applyBorder="1" applyAlignment="1">
      <alignment horizontal="center"/>
    </xf>
    <xf numFmtId="0" fontId="27" fillId="3" borderId="18" xfId="0" applyFont="1" applyFill="1" applyBorder="1" applyAlignment="1">
      <alignment horizontal="center" vertical="top"/>
    </xf>
    <xf numFmtId="39" fontId="28" fillId="13" borderId="17" xfId="0" applyNumberFormat="1" applyFont="1" applyFill="1" applyBorder="1" applyAlignment="1">
      <alignment horizontal="center"/>
    </xf>
    <xf numFmtId="174" fontId="28" fillId="13" borderId="17" xfId="0" applyNumberFormat="1" applyFont="1" applyFill="1" applyBorder="1" applyAlignment="1">
      <alignment horizontal="center"/>
    </xf>
    <xf numFmtId="0" fontId="27" fillId="2" borderId="19" xfId="0" applyFont="1" applyFill="1" applyBorder="1" applyAlignment="1">
      <alignment horizontal="center"/>
    </xf>
    <xf numFmtId="2" fontId="28" fillId="2" borderId="19" xfId="0" applyNumberFormat="1" applyFont="1" applyFill="1" applyBorder="1" applyAlignment="1">
      <alignment horizontal="center"/>
    </xf>
    <xf numFmtId="2" fontId="28" fillId="2" borderId="10" xfId="0" applyNumberFormat="1" applyFont="1" applyFill="1" applyBorder="1" applyAlignment="1">
      <alignment horizontal="center"/>
    </xf>
    <xf numFmtId="39" fontId="28" fillId="13" borderId="19" xfId="0" applyNumberFormat="1" applyFont="1" applyFill="1" applyBorder="1" applyAlignment="1">
      <alignment horizontal="center"/>
    </xf>
    <xf numFmtId="0" fontId="27" fillId="5" borderId="19" xfId="0" applyFont="1" applyFill="1" applyBorder="1" applyAlignment="1">
      <alignment horizontal="center"/>
    </xf>
    <xf numFmtId="39" fontId="28" fillId="5" borderId="19" xfId="0" applyNumberFormat="1" applyFont="1" applyFill="1" applyBorder="1" applyAlignment="1">
      <alignment horizontal="center"/>
    </xf>
    <xf numFmtId="174" fontId="28" fillId="5" borderId="19" xfId="0" applyNumberFormat="1" applyFont="1" applyFill="1" applyBorder="1" applyAlignment="1">
      <alignment horizontal="center"/>
    </xf>
    <xf numFmtId="2" fontId="28" fillId="13" borderId="13" xfId="0" applyNumberFormat="1" applyFont="1" applyFill="1" applyBorder="1" applyAlignment="1">
      <alignment horizontal="center"/>
    </xf>
    <xf numFmtId="169" fontId="28" fillId="0" borderId="0" xfId="0" applyNumberFormat="1" applyFont="1"/>
    <xf numFmtId="39" fontId="28" fillId="13" borderId="18" xfId="0" applyNumberFormat="1" applyFont="1" applyFill="1" applyBorder="1" applyAlignment="1">
      <alignment horizontal="center"/>
    </xf>
    <xf numFmtId="0" fontId="28" fillId="3" borderId="12" xfId="0" applyFont="1" applyFill="1" applyBorder="1"/>
    <xf numFmtId="0" fontId="28" fillId="3" borderId="13" xfId="0" applyFont="1" applyFill="1" applyBorder="1"/>
    <xf numFmtId="0" fontId="28" fillId="13" borderId="17" xfId="0" applyFont="1" applyFill="1" applyBorder="1"/>
    <xf numFmtId="165" fontId="28" fillId="13" borderId="16" xfId="0" applyNumberFormat="1" applyFont="1" applyFill="1" applyBorder="1"/>
    <xf numFmtId="39" fontId="28" fillId="13" borderId="19" xfId="0" applyNumberFormat="1" applyFont="1" applyFill="1" applyBorder="1"/>
    <xf numFmtId="39" fontId="28" fillId="13" borderId="10" xfId="0" applyNumberFormat="1" applyFont="1" applyFill="1" applyBorder="1"/>
    <xf numFmtId="0" fontId="28" fillId="13" borderId="19" xfId="0" applyFont="1" applyFill="1" applyBorder="1"/>
    <xf numFmtId="0" fontId="28" fillId="13" borderId="18" xfId="0" applyFont="1" applyFill="1" applyBorder="1"/>
    <xf numFmtId="174" fontId="27" fillId="3" borderId="37" xfId="0" applyNumberFormat="1" applyFont="1" applyFill="1" applyBorder="1" applyAlignment="1">
      <alignment horizontal="center" vertical="top"/>
    </xf>
    <xf numFmtId="174" fontId="27" fillId="3" borderId="22" xfId="0" applyNumberFormat="1" applyFont="1" applyFill="1" applyBorder="1" applyAlignment="1">
      <alignment horizontal="center" vertical="top"/>
    </xf>
    <xf numFmtId="174" fontId="28" fillId="13" borderId="19" xfId="0" applyNumberFormat="1" applyFont="1" applyFill="1" applyBorder="1"/>
    <xf numFmtId="174" fontId="28" fillId="13" borderId="10" xfId="0" applyNumberFormat="1" applyFont="1" applyFill="1" applyBorder="1"/>
    <xf numFmtId="174" fontId="27" fillId="3" borderId="17" xfId="0" applyNumberFormat="1" applyFont="1" applyFill="1" applyBorder="1" applyAlignment="1">
      <alignment horizontal="center" vertical="top"/>
    </xf>
    <xf numFmtId="174" fontId="27" fillId="3" borderId="10" xfId="0" applyNumberFormat="1" applyFont="1" applyFill="1" applyBorder="1" applyAlignment="1">
      <alignment horizontal="center" vertical="top"/>
    </xf>
    <xf numFmtId="0" fontId="28" fillId="13" borderId="17" xfId="0" applyFont="1" applyFill="1" applyBorder="1" applyAlignment="1">
      <alignment horizontal="center"/>
    </xf>
    <xf numFmtId="0" fontId="28" fillId="13" borderId="16" xfId="0" applyFont="1" applyFill="1" applyBorder="1" applyAlignment="1">
      <alignment horizontal="center"/>
    </xf>
    <xf numFmtId="174" fontId="28" fillId="13" borderId="10" xfId="0" applyNumberFormat="1" applyFont="1" applyFill="1" applyBorder="1" applyAlignment="1">
      <alignment horizontal="center"/>
    </xf>
    <xf numFmtId="0" fontId="28" fillId="13" borderId="13" xfId="0" applyFont="1" applyFill="1" applyBorder="1" applyAlignment="1">
      <alignment horizontal="center"/>
    </xf>
    <xf numFmtId="0" fontId="27" fillId="3" borderId="20" xfId="0" applyFont="1" applyFill="1" applyBorder="1" applyAlignment="1">
      <alignment horizontal="center"/>
    </xf>
    <xf numFmtId="9" fontId="28" fillId="13" borderId="10" xfId="2" applyFont="1" applyFill="1" applyBorder="1" applyAlignment="1">
      <alignment horizontal="center"/>
    </xf>
    <xf numFmtId="10" fontId="28" fillId="13" borderId="10" xfId="0" applyNumberFormat="1" applyFont="1" applyFill="1" applyBorder="1" applyAlignment="1">
      <alignment horizontal="center"/>
    </xf>
    <xf numFmtId="9" fontId="28" fillId="13" borderId="13" xfId="2" applyFont="1" applyFill="1" applyBorder="1" applyAlignment="1">
      <alignment horizontal="center"/>
    </xf>
    <xf numFmtId="0" fontId="28" fillId="10" borderId="37" xfId="0" applyFont="1" applyFill="1" applyBorder="1"/>
    <xf numFmtId="0" fontId="28" fillId="9" borderId="17" xfId="0" applyFont="1" applyFill="1" applyBorder="1"/>
    <xf numFmtId="1" fontId="28" fillId="7" borderId="17" xfId="0" applyNumberFormat="1" applyFont="1" applyFill="1" applyBorder="1" applyAlignment="1">
      <alignment horizontal="center"/>
    </xf>
    <xf numFmtId="1" fontId="28" fillId="3" borderId="19" xfId="0" applyNumberFormat="1" applyFont="1" applyFill="1" applyBorder="1" applyAlignment="1">
      <alignment horizontal="center"/>
    </xf>
    <xf numFmtId="0" fontId="27" fillId="11" borderId="20" xfId="0" applyFont="1" applyFill="1" applyBorder="1" applyAlignment="1">
      <alignment horizontal="center"/>
    </xf>
    <xf numFmtId="0" fontId="28" fillId="11" borderId="22" xfId="0" applyFont="1" applyFill="1" applyBorder="1" applyAlignment="1">
      <alignment horizontal="center"/>
    </xf>
    <xf numFmtId="0" fontId="28" fillId="3" borderId="19" xfId="0" applyFont="1" applyFill="1" applyBorder="1" applyAlignment="1">
      <alignment horizontal="center"/>
    </xf>
    <xf numFmtId="10" fontId="28" fillId="3" borderId="19" xfId="2" applyNumberFormat="1" applyFont="1" applyFill="1" applyBorder="1" applyAlignment="1">
      <alignment horizontal="center"/>
    </xf>
    <xf numFmtId="10" fontId="28" fillId="13" borderId="19" xfId="2" applyNumberFormat="1" applyFont="1" applyFill="1" applyBorder="1" applyAlignment="1">
      <alignment horizontal="center"/>
    </xf>
    <xf numFmtId="9" fontId="28" fillId="13" borderId="19" xfId="2" applyFont="1" applyFill="1" applyBorder="1" applyAlignment="1">
      <alignment horizontal="center"/>
    </xf>
    <xf numFmtId="2" fontId="28" fillId="13" borderId="19" xfId="2" applyNumberFormat="1" applyFont="1" applyFill="1" applyBorder="1" applyAlignment="1">
      <alignment horizontal="center"/>
    </xf>
    <xf numFmtId="9" fontId="28" fillId="0" borderId="0" xfId="2" applyFont="1" applyAlignment="1">
      <alignment horizontal="center"/>
    </xf>
    <xf numFmtId="9" fontId="28" fillId="3" borderId="19" xfId="2" applyFont="1" applyFill="1" applyBorder="1" applyAlignment="1">
      <alignment horizontal="center"/>
    </xf>
    <xf numFmtId="9" fontId="28" fillId="3" borderId="20" xfId="2" applyFont="1" applyFill="1" applyBorder="1" applyAlignment="1">
      <alignment horizontal="center"/>
    </xf>
    <xf numFmtId="0" fontId="28" fillId="13" borderId="14" xfId="0" applyFont="1" applyFill="1" applyBorder="1" applyAlignment="1">
      <alignment horizontal="center"/>
    </xf>
    <xf numFmtId="1" fontId="28" fillId="13" borderId="16" xfId="0" applyNumberFormat="1" applyFont="1" applyFill="1" applyBorder="1" applyAlignment="1">
      <alignment horizontal="center"/>
    </xf>
    <xf numFmtId="10" fontId="28" fillId="13" borderId="10" xfId="2" applyNumberFormat="1" applyFont="1" applyFill="1" applyBorder="1" applyAlignment="1">
      <alignment horizontal="center"/>
    </xf>
    <xf numFmtId="9" fontId="28" fillId="13" borderId="10" xfId="0" applyNumberFormat="1" applyFont="1" applyFill="1" applyBorder="1" applyAlignment="1">
      <alignment horizontal="center"/>
    </xf>
    <xf numFmtId="2" fontId="28" fillId="3" borderId="19" xfId="0" applyNumberFormat="1" applyFont="1" applyFill="1" applyBorder="1" applyAlignment="1">
      <alignment horizontal="center"/>
    </xf>
    <xf numFmtId="0" fontId="28" fillId="13" borderId="11" xfId="0" applyFont="1" applyFill="1" applyBorder="1" applyAlignment="1">
      <alignment horizontal="center"/>
    </xf>
    <xf numFmtId="9" fontId="28" fillId="13" borderId="13" xfId="0" applyNumberFormat="1" applyFont="1" applyFill="1" applyBorder="1" applyAlignment="1">
      <alignment horizontal="center"/>
    </xf>
    <xf numFmtId="1" fontId="28" fillId="3" borderId="22" xfId="0" applyNumberFormat="1" applyFont="1" applyFill="1" applyBorder="1" applyAlignment="1">
      <alignment horizontal="center"/>
    </xf>
    <xf numFmtId="2" fontId="28" fillId="3" borderId="37" xfId="0" applyNumberFormat="1" applyFont="1" applyFill="1" applyBorder="1" applyAlignment="1">
      <alignment horizontal="center"/>
    </xf>
    <xf numFmtId="2" fontId="28" fillId="13" borderId="37" xfId="0" applyNumberFormat="1" applyFont="1" applyFill="1" applyBorder="1" applyAlignment="1">
      <alignment horizontal="center"/>
    </xf>
    <xf numFmtId="1" fontId="28" fillId="3" borderId="17" xfId="0" applyNumberFormat="1" applyFont="1" applyFill="1" applyBorder="1" applyAlignment="1">
      <alignment horizontal="center"/>
    </xf>
    <xf numFmtId="168" fontId="28" fillId="13" borderId="17" xfId="0" applyNumberFormat="1" applyFont="1" applyFill="1" applyBorder="1" applyAlignment="1">
      <alignment horizontal="center"/>
    </xf>
    <xf numFmtId="1" fontId="28" fillId="13" borderId="17" xfId="0" applyNumberFormat="1" applyFont="1" applyFill="1" applyBorder="1" applyAlignment="1">
      <alignment horizontal="center"/>
    </xf>
    <xf numFmtId="1" fontId="28" fillId="3" borderId="37" xfId="0" applyNumberFormat="1" applyFont="1" applyFill="1" applyBorder="1" applyAlignment="1">
      <alignment horizontal="center"/>
    </xf>
    <xf numFmtId="1" fontId="28" fillId="13" borderId="37" xfId="0" applyNumberFormat="1" applyFont="1" applyFill="1" applyBorder="1" applyAlignment="1">
      <alignment horizontal="center"/>
    </xf>
    <xf numFmtId="0" fontId="27" fillId="13" borderId="50" xfId="0" applyFont="1" applyFill="1" applyBorder="1" applyAlignment="1">
      <alignment horizontal="center"/>
    </xf>
    <xf numFmtId="2" fontId="27" fillId="13" borderId="44" xfId="0" applyNumberFormat="1" applyFont="1" applyFill="1" applyBorder="1" applyAlignment="1">
      <alignment horizontal="center"/>
    </xf>
    <xf numFmtId="0" fontId="27" fillId="13" borderId="51" xfId="0" applyFont="1" applyFill="1" applyBorder="1" applyAlignment="1">
      <alignment horizontal="center"/>
    </xf>
    <xf numFmtId="2" fontId="27" fillId="13" borderId="45" xfId="0" applyNumberFormat="1" applyFont="1" applyFill="1" applyBorder="1" applyAlignment="1">
      <alignment horizontal="center"/>
    </xf>
    <xf numFmtId="0" fontId="27" fillId="13" borderId="17" xfId="0" applyFont="1" applyFill="1" applyBorder="1" applyAlignment="1">
      <alignment horizontal="center"/>
    </xf>
    <xf numFmtId="0" fontId="27" fillId="13" borderId="45" xfId="0" applyFont="1" applyFill="1" applyBorder="1" applyAlignment="1">
      <alignment horizontal="center"/>
    </xf>
    <xf numFmtId="177" fontId="27" fillId="13" borderId="19" xfId="0" applyNumberFormat="1" applyFont="1" applyFill="1" applyBorder="1" applyAlignment="1">
      <alignment horizontal="center"/>
    </xf>
    <xf numFmtId="0" fontId="27" fillId="15" borderId="52" xfId="0" applyFont="1" applyFill="1" applyBorder="1" applyAlignment="1">
      <alignment horizontal="center"/>
    </xf>
    <xf numFmtId="2" fontId="27" fillId="15" borderId="46" xfId="0" applyNumberFormat="1" applyFont="1" applyFill="1" applyBorder="1" applyAlignment="1">
      <alignment horizontal="center"/>
    </xf>
    <xf numFmtId="177" fontId="27" fillId="5" borderId="19" xfId="0" applyNumberFormat="1" applyFont="1" applyFill="1" applyBorder="1" applyAlignment="1">
      <alignment horizontal="center"/>
    </xf>
    <xf numFmtId="177" fontId="27" fillId="13" borderId="18" xfId="0" applyNumberFormat="1" applyFont="1" applyFill="1" applyBorder="1" applyAlignment="1">
      <alignment horizontal="center"/>
    </xf>
    <xf numFmtId="0" fontId="28" fillId="10" borderId="14" xfId="0" applyFont="1" applyFill="1" applyBorder="1"/>
    <xf numFmtId="0" fontId="28" fillId="10" borderId="15" xfId="0" applyFont="1" applyFill="1" applyBorder="1"/>
    <xf numFmtId="0" fontId="28" fillId="10" borderId="16" xfId="0" applyFont="1" applyFill="1" applyBorder="1"/>
    <xf numFmtId="0" fontId="28" fillId="10" borderId="11" xfId="0" applyFont="1" applyFill="1" applyBorder="1"/>
    <xf numFmtId="0" fontId="27" fillId="10" borderId="12" xfId="0" applyFont="1" applyFill="1" applyBorder="1" applyAlignment="1">
      <alignment horizontal="center"/>
    </xf>
    <xf numFmtId="0" fontId="28" fillId="10" borderId="12" xfId="0" applyFont="1" applyFill="1" applyBorder="1"/>
    <xf numFmtId="0" fontId="28" fillId="10" borderId="13" xfId="0" applyFont="1" applyFill="1" applyBorder="1"/>
    <xf numFmtId="178" fontId="28" fillId="3" borderId="37" xfId="0" applyNumberFormat="1" applyFont="1" applyFill="1" applyBorder="1" applyAlignment="1">
      <alignment horizontal="center"/>
    </xf>
    <xf numFmtId="9" fontId="28" fillId="3" borderId="21" xfId="2" applyFont="1" applyFill="1" applyBorder="1" applyAlignment="1">
      <alignment horizontal="center"/>
    </xf>
    <xf numFmtId="9" fontId="28" fillId="3" borderId="22" xfId="2" applyFont="1" applyFill="1" applyBorder="1" applyAlignment="1">
      <alignment horizontal="center"/>
    </xf>
    <xf numFmtId="9" fontId="28" fillId="5" borderId="19" xfId="0" applyNumberFormat="1" applyFont="1" applyFill="1" applyBorder="1" applyAlignment="1">
      <alignment horizontal="center"/>
    </xf>
    <xf numFmtId="177" fontId="28" fillId="13" borderId="15" xfId="0" applyNumberFormat="1" applyFont="1" applyFill="1" applyBorder="1" applyAlignment="1">
      <alignment horizontal="center"/>
    </xf>
    <xf numFmtId="177" fontId="28" fillId="13" borderId="16" xfId="0" applyNumberFormat="1" applyFont="1" applyFill="1" applyBorder="1" applyAlignment="1">
      <alignment horizontal="center"/>
    </xf>
    <xf numFmtId="177" fontId="28" fillId="13" borderId="9" xfId="0" applyNumberFormat="1" applyFont="1" applyFill="1" applyBorder="1" applyAlignment="1">
      <alignment horizontal="center"/>
    </xf>
    <xf numFmtId="177" fontId="28" fillId="13" borderId="0" xfId="0" applyNumberFormat="1" applyFont="1" applyFill="1" applyAlignment="1">
      <alignment horizontal="center"/>
    </xf>
    <xf numFmtId="177" fontId="28" fillId="13" borderId="10" xfId="0" applyNumberFormat="1" applyFont="1" applyFill="1" applyBorder="1" applyAlignment="1">
      <alignment horizontal="center"/>
    </xf>
    <xf numFmtId="177" fontId="28" fillId="15" borderId="14" xfId="0" applyNumberFormat="1" applyFont="1" applyFill="1" applyBorder="1" applyAlignment="1">
      <alignment horizontal="center"/>
    </xf>
    <xf numFmtId="177" fontId="28" fillId="15" borderId="15" xfId="0" applyNumberFormat="1" applyFont="1" applyFill="1" applyBorder="1" applyAlignment="1">
      <alignment horizontal="center"/>
    </xf>
    <xf numFmtId="177" fontId="28" fillId="15" borderId="16" xfId="0" applyNumberFormat="1" applyFont="1" applyFill="1" applyBorder="1" applyAlignment="1">
      <alignment horizontal="center"/>
    </xf>
    <xf numFmtId="177" fontId="28" fillId="15" borderId="9" xfId="0" applyNumberFormat="1" applyFont="1" applyFill="1" applyBorder="1" applyAlignment="1">
      <alignment horizontal="center"/>
    </xf>
    <xf numFmtId="177" fontId="28" fillId="16" borderId="0" xfId="0" applyNumberFormat="1" applyFont="1" applyFill="1" applyAlignment="1">
      <alignment horizontal="center"/>
    </xf>
    <xf numFmtId="177" fontId="28" fillId="15" borderId="10" xfId="0" applyNumberFormat="1" applyFont="1" applyFill="1" applyBorder="1" applyAlignment="1">
      <alignment horizontal="center"/>
    </xf>
    <xf numFmtId="177" fontId="28" fillId="15" borderId="11" xfId="0" applyNumberFormat="1" applyFont="1" applyFill="1" applyBorder="1" applyAlignment="1">
      <alignment horizontal="center"/>
    </xf>
    <xf numFmtId="177" fontId="28" fillId="15" borderId="12" xfId="0" applyNumberFormat="1" applyFont="1" applyFill="1" applyBorder="1" applyAlignment="1">
      <alignment horizontal="center"/>
    </xf>
    <xf numFmtId="177" fontId="28" fillId="15" borderId="13" xfId="0" applyNumberFormat="1" applyFont="1" applyFill="1" applyBorder="1" applyAlignment="1">
      <alignment horizontal="center"/>
    </xf>
    <xf numFmtId="9" fontId="28" fillId="5" borderId="18" xfId="0" applyNumberFormat="1" applyFont="1" applyFill="1" applyBorder="1" applyAlignment="1">
      <alignment horizontal="center"/>
    </xf>
    <xf numFmtId="177" fontId="28" fillId="13" borderId="11" xfId="0" applyNumberFormat="1" applyFont="1" applyFill="1" applyBorder="1" applyAlignment="1">
      <alignment horizontal="center"/>
    </xf>
    <xf numFmtId="177" fontId="28" fillId="13" borderId="12" xfId="0" applyNumberFormat="1" applyFont="1" applyFill="1" applyBorder="1" applyAlignment="1">
      <alignment horizontal="center"/>
    </xf>
    <xf numFmtId="177" fontId="28" fillId="13" borderId="13" xfId="0" applyNumberFormat="1" applyFont="1" applyFill="1" applyBorder="1" applyAlignment="1">
      <alignment horizontal="center"/>
    </xf>
    <xf numFmtId="0" fontId="28" fillId="0" borderId="0" xfId="0" applyFont="1" applyAlignment="1">
      <alignment horizontal="right"/>
    </xf>
    <xf numFmtId="10" fontId="28" fillId="0" borderId="0" xfId="0" applyNumberFormat="1" applyFont="1"/>
    <xf numFmtId="0" fontId="43" fillId="3" borderId="14" xfId="0" applyFont="1" applyFill="1" applyBorder="1" applyAlignment="1">
      <alignment horizontal="left" vertical="top" wrapText="1"/>
    </xf>
    <xf numFmtId="0" fontId="41" fillId="3" borderId="17" xfId="0" applyFont="1" applyFill="1" applyBorder="1" applyAlignment="1">
      <alignment horizontal="center" vertical="top" wrapText="1"/>
    </xf>
    <xf numFmtId="0" fontId="41" fillId="3" borderId="16" xfId="0" applyFont="1" applyFill="1" applyBorder="1" applyAlignment="1">
      <alignment horizontal="center" vertical="top" wrapText="1"/>
    </xf>
    <xf numFmtId="0" fontId="27" fillId="3" borderId="18" xfId="0" applyFont="1" applyFill="1" applyBorder="1" applyAlignment="1">
      <alignment horizontal="center" vertical="top" wrapText="1"/>
    </xf>
    <xf numFmtId="0" fontId="27" fillId="3" borderId="13" xfId="0" applyFont="1" applyFill="1" applyBorder="1" applyAlignment="1">
      <alignment horizontal="center" vertical="top" wrapText="1"/>
    </xf>
    <xf numFmtId="39" fontId="27" fillId="13" borderId="17" xfId="0" applyNumberFormat="1" applyFont="1" applyFill="1" applyBorder="1" applyAlignment="1">
      <alignment horizontal="center"/>
    </xf>
    <xf numFmtId="39" fontId="27" fillId="13" borderId="19" xfId="0" applyNumberFormat="1" applyFont="1" applyFill="1" applyBorder="1" applyAlignment="1">
      <alignment horizontal="center"/>
    </xf>
    <xf numFmtId="39" fontId="27" fillId="13" borderId="18" xfId="0" applyNumberFormat="1" applyFont="1" applyFill="1" applyBorder="1" applyAlignment="1">
      <alignment horizontal="center"/>
    </xf>
    <xf numFmtId="0" fontId="27" fillId="4" borderId="40" xfId="0" applyFont="1" applyFill="1" applyBorder="1" applyAlignment="1">
      <alignment horizontal="center"/>
    </xf>
    <xf numFmtId="1" fontId="28" fillId="13" borderId="14" xfId="0" applyNumberFormat="1" applyFont="1" applyFill="1" applyBorder="1" applyAlignment="1">
      <alignment horizontal="center"/>
    </xf>
    <xf numFmtId="0" fontId="28" fillId="13" borderId="41" xfId="0" applyFont="1" applyFill="1" applyBorder="1" applyAlignment="1">
      <alignment horizontal="center"/>
    </xf>
    <xf numFmtId="1" fontId="28" fillId="13" borderId="9" xfId="0" applyNumberFormat="1" applyFont="1" applyFill="1" applyBorder="1" applyAlignment="1">
      <alignment horizontal="center"/>
    </xf>
    <xf numFmtId="0" fontId="27" fillId="9" borderId="20" xfId="0" applyFont="1" applyFill="1" applyBorder="1" applyAlignment="1">
      <alignment horizontal="center"/>
    </xf>
    <xf numFmtId="0" fontId="28" fillId="9" borderId="43" xfId="0" applyFont="1" applyFill="1" applyBorder="1" applyAlignment="1">
      <alignment horizontal="center"/>
    </xf>
    <xf numFmtId="0" fontId="28" fillId="9" borderId="37" xfId="0" applyFont="1" applyFill="1" applyBorder="1" applyAlignment="1">
      <alignment horizontal="center"/>
    </xf>
    <xf numFmtId="1" fontId="28" fillId="13" borderId="11" xfId="0" applyNumberFormat="1" applyFont="1" applyFill="1" applyBorder="1" applyAlignment="1">
      <alignment horizontal="center"/>
    </xf>
    <xf numFmtId="0" fontId="28" fillId="13" borderId="28" xfId="0" applyFont="1" applyFill="1" applyBorder="1" applyAlignment="1">
      <alignment horizontal="center"/>
    </xf>
    <xf numFmtId="0" fontId="28" fillId="13" borderId="8" xfId="0" applyFont="1" applyFill="1" applyBorder="1" applyAlignment="1">
      <alignment horizontal="center"/>
    </xf>
    <xf numFmtId="0" fontId="28" fillId="13" borderId="24" xfId="0" applyFont="1" applyFill="1" applyBorder="1" applyAlignment="1">
      <alignment horizontal="center"/>
    </xf>
    <xf numFmtId="0" fontId="27" fillId="6" borderId="17" xfId="0" applyFont="1" applyFill="1" applyBorder="1"/>
    <xf numFmtId="0" fontId="27" fillId="6" borderId="18" xfId="0" applyFont="1" applyFill="1" applyBorder="1"/>
    <xf numFmtId="1" fontId="27" fillId="7" borderId="19" xfId="0" applyNumberFormat="1" applyFont="1" applyFill="1" applyBorder="1" applyAlignment="1">
      <alignment horizontal="center"/>
    </xf>
    <xf numFmtId="0" fontId="27" fillId="7" borderId="19" xfId="0" applyFont="1" applyFill="1" applyBorder="1"/>
    <xf numFmtId="0" fontId="27" fillId="7" borderId="18" xfId="0" applyFont="1" applyFill="1" applyBorder="1"/>
    <xf numFmtId="0" fontId="27" fillId="3" borderId="53" xfId="0" applyFont="1" applyFill="1" applyBorder="1" applyAlignment="1">
      <alignment horizontal="center"/>
    </xf>
    <xf numFmtId="0" fontId="27" fillId="3" borderId="42" xfId="0" applyFont="1" applyFill="1" applyBorder="1" applyAlignment="1">
      <alignment horizontal="center"/>
    </xf>
    <xf numFmtId="0" fontId="28" fillId="13" borderId="42" xfId="0" applyFont="1" applyFill="1" applyBorder="1"/>
    <xf numFmtId="0" fontId="28" fillId="13" borderId="8" xfId="0" applyFont="1" applyFill="1" applyBorder="1"/>
    <xf numFmtId="0" fontId="28" fillId="13" borderId="47" xfId="0" applyFont="1" applyFill="1" applyBorder="1" applyAlignment="1">
      <alignment horizontal="center"/>
    </xf>
    <xf numFmtId="1" fontId="28" fillId="13" borderId="47" xfId="0" applyNumberFormat="1" applyFont="1" applyFill="1" applyBorder="1" applyAlignment="1">
      <alignment horizontal="center"/>
    </xf>
    <xf numFmtId="0" fontId="28" fillId="13" borderId="54" xfId="0" applyFont="1" applyFill="1" applyBorder="1" applyAlignment="1">
      <alignment horizontal="center"/>
    </xf>
    <xf numFmtId="0" fontId="39" fillId="0" borderId="0" xfId="0" applyFont="1"/>
    <xf numFmtId="0" fontId="39" fillId="3" borderId="14" xfId="0" applyFont="1" applyFill="1" applyBorder="1" applyAlignment="1">
      <alignment horizontal="center"/>
    </xf>
    <xf numFmtId="0" fontId="39" fillId="3" borderId="15" xfId="0" applyFont="1" applyFill="1" applyBorder="1" applyAlignment="1">
      <alignment horizontal="center"/>
    </xf>
    <xf numFmtId="0" fontId="39" fillId="3" borderId="9" xfId="0" applyFont="1" applyFill="1" applyBorder="1" applyAlignment="1">
      <alignment horizontal="center"/>
    </xf>
    <xf numFmtId="0" fontId="39" fillId="3" borderId="0" xfId="0" applyFont="1" applyFill="1" applyAlignment="1">
      <alignment horizontal="center"/>
    </xf>
    <xf numFmtId="0" fontId="28" fillId="13" borderId="42" xfId="0" applyFont="1" applyFill="1" applyBorder="1" applyAlignment="1">
      <alignment horizontal="center"/>
    </xf>
    <xf numFmtId="0" fontId="44" fillId="2" borderId="14" xfId="0" applyFont="1" applyFill="1" applyBorder="1" applyAlignment="1">
      <alignment horizontal="left" vertical="top"/>
    </xf>
    <xf numFmtId="0" fontId="42" fillId="2" borderId="30" xfId="0" applyFont="1" applyFill="1" applyBorder="1" applyAlignment="1">
      <alignment horizontal="left" vertical="top"/>
    </xf>
    <xf numFmtId="0" fontId="42" fillId="2" borderId="31" xfId="0" applyFont="1" applyFill="1" applyBorder="1" applyAlignment="1">
      <alignment horizontal="left" vertical="top"/>
    </xf>
    <xf numFmtId="0" fontId="45" fillId="3" borderId="17" xfId="0" applyFont="1" applyFill="1" applyBorder="1" applyAlignment="1">
      <alignment horizontal="left" vertical="top"/>
    </xf>
    <xf numFmtId="0" fontId="43" fillId="3" borderId="0" xfId="0" applyFont="1" applyFill="1" applyAlignment="1">
      <alignment horizontal="left" vertical="top"/>
    </xf>
    <xf numFmtId="0" fontId="43" fillId="3" borderId="10" xfId="0" applyFont="1" applyFill="1" applyBorder="1" applyAlignment="1">
      <alignment horizontal="left" vertical="top"/>
    </xf>
    <xf numFmtId="0" fontId="43" fillId="3" borderId="17" xfId="0" applyFont="1" applyFill="1" applyBorder="1" applyAlignment="1">
      <alignment horizontal="left" vertical="top"/>
    </xf>
    <xf numFmtId="0" fontId="44" fillId="3" borderId="15" xfId="0" applyFont="1" applyFill="1" applyBorder="1" applyAlignment="1">
      <alignment horizontal="center" vertical="top"/>
    </xf>
    <xf numFmtId="0" fontId="44" fillId="3" borderId="16" xfId="0" applyFont="1" applyFill="1" applyBorder="1" applyAlignment="1">
      <alignment horizontal="center" vertical="top"/>
    </xf>
    <xf numFmtId="0" fontId="34" fillId="3" borderId="36" xfId="0" applyFont="1" applyFill="1" applyBorder="1" applyAlignment="1">
      <alignment horizontal="center" vertical="top"/>
    </xf>
    <xf numFmtId="0" fontId="35" fillId="3" borderId="5" xfId="0" applyFont="1" applyFill="1" applyBorder="1" applyAlignment="1">
      <alignment horizontal="center" vertical="top"/>
    </xf>
    <xf numFmtId="0" fontId="35" fillId="3" borderId="33" xfId="0" applyFont="1" applyFill="1" applyBorder="1" applyAlignment="1">
      <alignment horizontal="center" vertical="top"/>
    </xf>
    <xf numFmtId="0" fontId="34" fillId="13" borderId="19" xfId="0" applyFont="1" applyFill="1" applyBorder="1" applyAlignment="1">
      <alignment horizontal="center"/>
    </xf>
    <xf numFmtId="1" fontId="34" fillId="13" borderId="0" xfId="0" applyNumberFormat="1" applyFont="1" applyFill="1" applyAlignment="1">
      <alignment horizontal="center"/>
    </xf>
    <xf numFmtId="174" fontId="34" fillId="13" borderId="0" xfId="0" applyNumberFormat="1" applyFont="1" applyFill="1" applyAlignment="1">
      <alignment horizontal="center"/>
    </xf>
    <xf numFmtId="174" fontId="34" fillId="13" borderId="10" xfId="0" applyNumberFormat="1" applyFont="1" applyFill="1" applyBorder="1" applyAlignment="1">
      <alignment horizontal="center"/>
    </xf>
    <xf numFmtId="0" fontId="34" fillId="13" borderId="18" xfId="0" applyFont="1" applyFill="1" applyBorder="1" applyAlignment="1">
      <alignment horizontal="center"/>
    </xf>
    <xf numFmtId="1" fontId="34" fillId="13" borderId="12" xfId="0" applyNumberFormat="1" applyFont="1" applyFill="1" applyBorder="1" applyAlignment="1">
      <alignment horizontal="center"/>
    </xf>
    <xf numFmtId="174" fontId="34" fillId="13" borderId="12" xfId="0" applyNumberFormat="1" applyFont="1" applyFill="1" applyBorder="1" applyAlignment="1">
      <alignment horizontal="center"/>
    </xf>
    <xf numFmtId="174" fontId="34" fillId="13" borderId="13" xfId="0" applyNumberFormat="1" applyFont="1" applyFill="1" applyBorder="1" applyAlignment="1">
      <alignment horizontal="center"/>
    </xf>
    <xf numFmtId="0" fontId="34" fillId="3" borderId="17" xfId="0" applyFont="1" applyFill="1" applyBorder="1"/>
    <xf numFmtId="174" fontId="44" fillId="3" borderId="17" xfId="0" applyNumberFormat="1" applyFont="1" applyFill="1" applyBorder="1" applyAlignment="1">
      <alignment horizontal="center" vertical="top"/>
    </xf>
    <xf numFmtId="174" fontId="44" fillId="3" borderId="16" xfId="0" applyNumberFormat="1" applyFont="1" applyFill="1" applyBorder="1" applyAlignment="1">
      <alignment horizontal="center" vertical="top"/>
    </xf>
    <xf numFmtId="0" fontId="34" fillId="3" borderId="19" xfId="0" applyFont="1" applyFill="1" applyBorder="1"/>
    <xf numFmtId="174" fontId="35" fillId="3" borderId="18" xfId="0" applyNumberFormat="1" applyFont="1" applyFill="1" applyBorder="1" applyAlignment="1">
      <alignment horizontal="center" vertical="top"/>
    </xf>
    <xf numFmtId="174" fontId="35" fillId="3" borderId="13" xfId="0" applyNumberFormat="1" applyFont="1" applyFill="1" applyBorder="1" applyAlignment="1">
      <alignment horizontal="center" vertical="top"/>
    </xf>
    <xf numFmtId="0" fontId="35" fillId="3" borderId="19" xfId="0" applyFont="1" applyFill="1" applyBorder="1" applyAlignment="1">
      <alignment horizontal="center"/>
    </xf>
    <xf numFmtId="174" fontId="35" fillId="13" borderId="17" xfId="0" applyNumberFormat="1" applyFont="1" applyFill="1" applyBorder="1" applyAlignment="1">
      <alignment horizontal="center"/>
    </xf>
    <xf numFmtId="174" fontId="35" fillId="13" borderId="16" xfId="0" applyNumberFormat="1" applyFont="1" applyFill="1" applyBorder="1" applyAlignment="1">
      <alignment horizontal="center"/>
    </xf>
    <xf numFmtId="0" fontId="35" fillId="3" borderId="17" xfId="0" applyFont="1" applyFill="1" applyBorder="1" applyAlignment="1">
      <alignment horizontal="center"/>
    </xf>
    <xf numFmtId="0" fontId="35" fillId="13" borderId="19" xfId="0" applyFont="1" applyFill="1" applyBorder="1" applyAlignment="1">
      <alignment horizontal="center"/>
    </xf>
    <xf numFmtId="174" fontId="35" fillId="13" borderId="19" xfId="0" applyNumberFormat="1" applyFont="1" applyFill="1" applyBorder="1" applyAlignment="1">
      <alignment horizontal="center"/>
    </xf>
    <xf numFmtId="174" fontId="35" fillId="13" borderId="10" xfId="0" applyNumberFormat="1" applyFont="1" applyFill="1" applyBorder="1" applyAlignment="1">
      <alignment horizontal="center"/>
    </xf>
    <xf numFmtId="0" fontId="35" fillId="3" borderId="18" xfId="0" applyFont="1" applyFill="1" applyBorder="1" applyAlignment="1">
      <alignment horizontal="center"/>
    </xf>
    <xf numFmtId="0" fontId="35" fillId="0" borderId="9" xfId="0" applyFont="1" applyBorder="1" applyAlignment="1">
      <alignment horizontal="center"/>
    </xf>
    <xf numFmtId="174" fontId="35" fillId="0" borderId="0" xfId="0" applyNumberFormat="1" applyFont="1" applyAlignment="1">
      <alignment horizontal="center"/>
    </xf>
    <xf numFmtId="0" fontId="35" fillId="0" borderId="0" xfId="0" applyFont="1" applyAlignment="1">
      <alignment horizontal="center"/>
    </xf>
    <xf numFmtId="0" fontId="34" fillId="0" borderId="0" xfId="0" applyFont="1" applyAlignment="1">
      <alignment horizontal="center"/>
    </xf>
    <xf numFmtId="0" fontId="34" fillId="3" borderId="14" xfId="0" applyFont="1" applyFill="1" applyBorder="1"/>
    <xf numFmtId="0" fontId="34" fillId="3" borderId="15" xfId="0" applyFont="1" applyFill="1" applyBorder="1" applyAlignment="1">
      <alignment horizontal="center"/>
    </xf>
    <xf numFmtId="174" fontId="35" fillId="3" borderId="15" xfId="0" applyNumberFormat="1" applyFont="1" applyFill="1" applyBorder="1" applyAlignment="1">
      <alignment horizontal="center" vertical="top"/>
    </xf>
    <xf numFmtId="174" fontId="35" fillId="3" borderId="16" xfId="0" applyNumberFormat="1" applyFont="1" applyFill="1" applyBorder="1" applyAlignment="1">
      <alignment horizontal="center" vertical="top"/>
    </xf>
    <xf numFmtId="0" fontId="35" fillId="3" borderId="9" xfId="0" applyFont="1" applyFill="1" applyBorder="1" applyAlignment="1">
      <alignment horizontal="center"/>
    </xf>
    <xf numFmtId="0" fontId="35" fillId="13" borderId="23" xfId="0" applyFont="1" applyFill="1" applyBorder="1" applyAlignment="1">
      <alignment horizontal="center"/>
    </xf>
    <xf numFmtId="0" fontId="34" fillId="13" borderId="8" xfId="0" applyFont="1" applyFill="1" applyBorder="1" applyAlignment="1">
      <alignment horizontal="center"/>
    </xf>
    <xf numFmtId="0" fontId="34" fillId="13" borderId="24" xfId="0" applyFont="1" applyFill="1" applyBorder="1" applyAlignment="1">
      <alignment horizontal="center"/>
    </xf>
    <xf numFmtId="0" fontId="35" fillId="13" borderId="47" xfId="0" applyFont="1" applyFill="1" applyBorder="1" applyAlignment="1">
      <alignment horizontal="center"/>
    </xf>
    <xf numFmtId="0" fontId="35" fillId="3" borderId="11" xfId="0" applyFont="1" applyFill="1" applyBorder="1" applyAlignment="1">
      <alignment horizontal="center"/>
    </xf>
    <xf numFmtId="0" fontId="35" fillId="13" borderId="54" xfId="0" applyFont="1" applyFill="1" applyBorder="1" applyAlignment="1">
      <alignment horizontal="center"/>
    </xf>
    <xf numFmtId="0" fontId="34" fillId="3" borderId="14" xfId="0" applyFont="1" applyFill="1" applyBorder="1" applyAlignment="1">
      <alignment horizontal="center"/>
    </xf>
    <xf numFmtId="0" fontId="34" fillId="13" borderId="42" xfId="0" applyFont="1" applyFill="1" applyBorder="1" applyAlignment="1">
      <alignment horizontal="center"/>
    </xf>
    <xf numFmtId="0" fontId="34" fillId="13" borderId="11" xfId="0" applyFont="1" applyFill="1" applyBorder="1" applyAlignment="1">
      <alignment horizontal="center"/>
    </xf>
    <xf numFmtId="0" fontId="34" fillId="13" borderId="23" xfId="0" applyFont="1" applyFill="1" applyBorder="1" applyAlignment="1">
      <alignment horizontal="center"/>
    </xf>
    <xf numFmtId="0" fontId="34" fillId="13" borderId="47" xfId="0" applyFont="1" applyFill="1" applyBorder="1" applyAlignment="1">
      <alignment horizontal="center"/>
    </xf>
    <xf numFmtId="0" fontId="34" fillId="13" borderId="54" xfId="0" applyFont="1" applyFill="1" applyBorder="1" applyAlignment="1">
      <alignment horizontal="center"/>
    </xf>
    <xf numFmtId="0" fontId="34" fillId="3" borderId="21" xfId="0" applyFont="1" applyFill="1" applyBorder="1"/>
    <xf numFmtId="174" fontId="35" fillId="3" borderId="21" xfId="0" applyNumberFormat="1" applyFont="1" applyFill="1" applyBorder="1" applyAlignment="1">
      <alignment horizontal="center" vertical="top"/>
    </xf>
    <xf numFmtId="174" fontId="35" fillId="3" borderId="22" xfId="0" applyNumberFormat="1" applyFont="1" applyFill="1" applyBorder="1" applyAlignment="1">
      <alignment horizontal="center" vertical="top"/>
    </xf>
    <xf numFmtId="0" fontId="28" fillId="10" borderId="20" xfId="0" applyFont="1" applyFill="1" applyBorder="1" applyAlignment="1">
      <alignment horizontal="center"/>
    </xf>
    <xf numFmtId="0" fontId="28" fillId="5" borderId="14" xfId="0" applyFont="1" applyFill="1" applyBorder="1" applyAlignment="1">
      <alignment horizontal="center"/>
    </xf>
    <xf numFmtId="0" fontId="27" fillId="5" borderId="20" xfId="0" applyFont="1" applyFill="1" applyBorder="1" applyAlignment="1">
      <alignment horizontal="center"/>
    </xf>
    <xf numFmtId="0" fontId="27" fillId="5" borderId="14" xfId="0" applyFont="1" applyFill="1" applyBorder="1" applyAlignment="1">
      <alignment horizontal="center"/>
    </xf>
    <xf numFmtId="0" fontId="27" fillId="5" borderId="9" xfId="0" applyFont="1" applyFill="1" applyBorder="1" applyAlignment="1">
      <alignment horizontal="center"/>
    </xf>
    <xf numFmtId="9" fontId="28" fillId="13" borderId="19" xfId="0" applyNumberFormat="1" applyFont="1" applyFill="1" applyBorder="1" applyAlignment="1">
      <alignment horizontal="center"/>
    </xf>
    <xf numFmtId="9" fontId="27" fillId="3" borderId="20" xfId="2" applyFont="1" applyFill="1" applyBorder="1" applyAlignment="1">
      <alignment horizontal="center"/>
    </xf>
    <xf numFmtId="0" fontId="27" fillId="5" borderId="11" xfId="0" applyFont="1" applyFill="1" applyBorder="1" applyAlignment="1">
      <alignment horizontal="center"/>
    </xf>
    <xf numFmtId="1" fontId="28" fillId="5" borderId="22" xfId="0" applyNumberFormat="1" applyFont="1" applyFill="1" applyBorder="1" applyAlignment="1">
      <alignment horizontal="center"/>
    </xf>
    <xf numFmtId="0" fontId="28" fillId="12" borderId="0" xfId="0" applyFont="1" applyFill="1" applyAlignment="1">
      <alignment horizontal="center"/>
    </xf>
    <xf numFmtId="0" fontId="28" fillId="13" borderId="37" xfId="0" applyFont="1" applyFill="1" applyBorder="1" applyAlignment="1">
      <alignment horizontal="center"/>
    </xf>
    <xf numFmtId="168" fontId="28" fillId="13" borderId="37" xfId="0" applyNumberFormat="1" applyFont="1" applyFill="1" applyBorder="1" applyAlignment="1">
      <alignment horizontal="center"/>
    </xf>
    <xf numFmtId="0" fontId="27" fillId="3" borderId="38" xfId="0" applyFont="1" applyFill="1" applyBorder="1" applyAlignment="1">
      <alignment horizontal="center"/>
    </xf>
    <xf numFmtId="168" fontId="28" fillId="13" borderId="44" xfId="0" applyNumberFormat="1" applyFont="1" applyFill="1" applyBorder="1" applyAlignment="1">
      <alignment horizontal="center"/>
    </xf>
    <xf numFmtId="0" fontId="27" fillId="3" borderId="35" xfId="0" applyFont="1" applyFill="1" applyBorder="1" applyAlignment="1">
      <alignment horizontal="center"/>
    </xf>
    <xf numFmtId="0" fontId="27" fillId="3" borderId="39" xfId="0" applyFont="1" applyFill="1" applyBorder="1" applyAlignment="1">
      <alignment horizontal="center"/>
    </xf>
    <xf numFmtId="2" fontId="28" fillId="13" borderId="46" xfId="0" applyNumberFormat="1" applyFont="1" applyFill="1" applyBorder="1" applyAlignment="1">
      <alignment horizontal="center"/>
    </xf>
    <xf numFmtId="178" fontId="28" fillId="3" borderId="14" xfId="0" applyNumberFormat="1" applyFont="1" applyFill="1" applyBorder="1" applyAlignment="1">
      <alignment horizontal="center"/>
    </xf>
    <xf numFmtId="9" fontId="28" fillId="3" borderId="15" xfId="2" applyFont="1" applyFill="1" applyBorder="1" applyAlignment="1">
      <alignment horizontal="center"/>
    </xf>
    <xf numFmtId="9" fontId="28" fillId="3" borderId="16" xfId="2" applyFont="1" applyFill="1" applyBorder="1" applyAlignment="1">
      <alignment horizontal="center"/>
    </xf>
    <xf numFmtId="9" fontId="28" fillId="3" borderId="9" xfId="2" applyFont="1" applyFill="1" applyBorder="1" applyAlignment="1">
      <alignment horizontal="center"/>
    </xf>
    <xf numFmtId="2" fontId="28" fillId="13" borderId="14" xfId="0" applyNumberFormat="1" applyFont="1" applyFill="1" applyBorder="1" applyAlignment="1">
      <alignment horizontal="center"/>
    </xf>
    <xf numFmtId="2" fontId="28" fillId="13" borderId="15" xfId="0" applyNumberFormat="1" applyFont="1" applyFill="1" applyBorder="1" applyAlignment="1">
      <alignment horizontal="center"/>
    </xf>
    <xf numFmtId="9" fontId="28" fillId="3" borderId="9" xfId="0" applyNumberFormat="1" applyFont="1" applyFill="1" applyBorder="1" applyAlignment="1">
      <alignment horizontal="center"/>
    </xf>
    <xf numFmtId="2" fontId="28" fillId="13" borderId="9" xfId="0" applyNumberFormat="1" applyFont="1" applyFill="1" applyBorder="1" applyAlignment="1">
      <alignment horizontal="center"/>
    </xf>
    <xf numFmtId="2" fontId="28" fillId="3" borderId="14" xfId="0" applyNumberFormat="1" applyFont="1" applyFill="1" applyBorder="1" applyAlignment="1">
      <alignment horizontal="center"/>
    </xf>
    <xf numFmtId="2" fontId="28" fillId="3" borderId="15" xfId="0" applyNumberFormat="1" applyFont="1" applyFill="1" applyBorder="1" applyAlignment="1">
      <alignment horizontal="center"/>
    </xf>
    <xf numFmtId="2" fontId="28" fillId="3" borderId="16" xfId="0" applyNumberFormat="1" applyFont="1" applyFill="1" applyBorder="1" applyAlignment="1">
      <alignment horizontal="center"/>
    </xf>
    <xf numFmtId="2" fontId="28" fillId="3" borderId="9" xfId="0" applyNumberFormat="1" applyFont="1" applyFill="1" applyBorder="1" applyAlignment="1">
      <alignment horizontal="center"/>
    </xf>
    <xf numFmtId="2" fontId="28" fillId="3" borderId="11" xfId="0" applyNumberFormat="1" applyFont="1" applyFill="1" applyBorder="1" applyAlignment="1">
      <alignment horizontal="center"/>
    </xf>
    <xf numFmtId="2" fontId="28" fillId="3" borderId="12" xfId="0" applyNumberFormat="1" applyFont="1" applyFill="1" applyBorder="1" applyAlignment="1">
      <alignment horizontal="center"/>
    </xf>
    <xf numFmtId="2" fontId="28" fillId="3" borderId="13" xfId="0" applyNumberFormat="1" applyFont="1" applyFill="1" applyBorder="1" applyAlignment="1">
      <alignment horizontal="center"/>
    </xf>
    <xf numFmtId="9" fontId="28" fillId="3" borderId="11" xfId="2" applyFont="1" applyFill="1" applyBorder="1" applyAlignment="1">
      <alignment horizontal="center"/>
    </xf>
    <xf numFmtId="2" fontId="28" fillId="13" borderId="11" xfId="0" applyNumberFormat="1" applyFont="1" applyFill="1" applyBorder="1" applyAlignment="1">
      <alignment horizontal="center"/>
    </xf>
    <xf numFmtId="2" fontId="28" fillId="13" borderId="12" xfId="0" applyNumberFormat="1" applyFont="1" applyFill="1" applyBorder="1" applyAlignment="1">
      <alignment horizontal="center"/>
    </xf>
    <xf numFmtId="166" fontId="27" fillId="13" borderId="20" xfId="0" applyNumberFormat="1" applyFont="1" applyFill="1" applyBorder="1" applyAlignment="1">
      <alignment horizontal="center"/>
    </xf>
    <xf numFmtId="166" fontId="27" fillId="13" borderId="21" xfId="0" applyNumberFormat="1" applyFont="1" applyFill="1" applyBorder="1" applyAlignment="1">
      <alignment horizontal="center"/>
    </xf>
    <xf numFmtId="166" fontId="27" fillId="13" borderId="22" xfId="0" applyNumberFormat="1" applyFont="1" applyFill="1" applyBorder="1" applyAlignment="1">
      <alignment horizontal="center"/>
    </xf>
    <xf numFmtId="166" fontId="28" fillId="13" borderId="9" xfId="0" applyNumberFormat="1" applyFont="1" applyFill="1" applyBorder="1" applyAlignment="1">
      <alignment horizontal="center"/>
    </xf>
    <xf numFmtId="166" fontId="28" fillId="13" borderId="0" xfId="0" applyNumberFormat="1" applyFont="1" applyFill="1" applyAlignment="1">
      <alignment horizontal="center"/>
    </xf>
    <xf numFmtId="166" fontId="28" fillId="13" borderId="10" xfId="0" applyNumberFormat="1" applyFont="1" applyFill="1" applyBorder="1" applyAlignment="1">
      <alignment horizontal="center"/>
    </xf>
    <xf numFmtId="166" fontId="28" fillId="13" borderId="11" xfId="0" applyNumberFormat="1" applyFont="1" applyFill="1" applyBorder="1" applyAlignment="1">
      <alignment horizontal="center"/>
    </xf>
    <xf numFmtId="166" fontId="28" fillId="13" borderId="12" xfId="0" applyNumberFormat="1" applyFont="1" applyFill="1" applyBorder="1" applyAlignment="1">
      <alignment horizontal="center"/>
    </xf>
    <xf numFmtId="166" fontId="28" fillId="13" borderId="13" xfId="0" applyNumberFormat="1" applyFont="1" applyFill="1" applyBorder="1" applyAlignment="1">
      <alignment horizontal="center"/>
    </xf>
    <xf numFmtId="0" fontId="35" fillId="16" borderId="19" xfId="0" applyFont="1" applyFill="1" applyBorder="1" applyAlignment="1">
      <alignment horizontal="center"/>
    </xf>
    <xf numFmtId="0" fontId="34" fillId="16" borderId="0" xfId="0" applyFont="1" applyFill="1" applyAlignment="1">
      <alignment horizontal="center"/>
    </xf>
    <xf numFmtId="0" fontId="34" fillId="16" borderId="10" xfId="0" applyFont="1" applyFill="1" applyBorder="1" applyAlignment="1">
      <alignment horizontal="center"/>
    </xf>
    <xf numFmtId="174" fontId="35" fillId="16" borderId="19" xfId="0" applyNumberFormat="1" applyFont="1" applyFill="1" applyBorder="1" applyAlignment="1">
      <alignment horizontal="center"/>
    </xf>
    <xf numFmtId="174" fontId="35" fillId="16" borderId="10" xfId="0" applyNumberFormat="1" applyFont="1" applyFill="1" applyBorder="1" applyAlignment="1">
      <alignment horizontal="center"/>
    </xf>
    <xf numFmtId="0" fontId="27" fillId="13" borderId="37" xfId="0" applyFont="1" applyFill="1" applyBorder="1" applyAlignment="1">
      <alignment horizontal="center"/>
    </xf>
    <xf numFmtId="9" fontId="28" fillId="13" borderId="22" xfId="2" applyFont="1" applyFill="1" applyBorder="1" applyAlignment="1">
      <alignment horizontal="center"/>
    </xf>
  </cellXfs>
  <cellStyles count="14">
    <cellStyle name="Comma 2" xfId="9" xr:uid="{7AA8DA35-8AA8-43DF-8F54-389FC8E1A709}"/>
    <cellStyle name="Comma 3" xfId="4" xr:uid="{73DE7F9D-0861-4CB7-8032-E7E007251DB5}"/>
    <cellStyle name="Currency" xfId="1" builtinId="4"/>
    <cellStyle name="Currency 2" xfId="8" xr:uid="{5535556C-A810-40CC-859B-DFB82BBEAD49}"/>
    <cellStyle name="Normal" xfId="0" builtinId="0"/>
    <cellStyle name="Normal 2" xfId="6" xr:uid="{C43DD29F-BAC0-43BF-8B4F-86C37B68DBDF}"/>
    <cellStyle name="Normal 2 2" xfId="11" xr:uid="{9CAF04F4-3F1F-4C83-A6D8-2140192FB647}"/>
    <cellStyle name="Normal 2 2 2" xfId="13" xr:uid="{0C4BE343-CA79-48A1-ABCB-A6BC7849FA9E}"/>
    <cellStyle name="Normal 3" xfId="10" xr:uid="{4C2ABB26-D849-401C-9236-6B426CBA3EB1}"/>
    <cellStyle name="Normal 3 2" xfId="12" xr:uid="{B24E3B1C-DF19-4CDB-9BEC-B11FB1ACE579}"/>
    <cellStyle name="Normal 4" xfId="3" xr:uid="{98B789DE-E3D6-47A1-9911-B8F4770A876D}"/>
    <cellStyle name="Per cent" xfId="2" builtinId="5"/>
    <cellStyle name="Percent 2" xfId="7" xr:uid="{D0462FE2-DA68-4179-A87C-AAB664728FA0}"/>
    <cellStyle name="Percent 3" xfId="5" xr:uid="{F85EEB21-884D-454D-8F62-88055FD0D4DD}"/>
  </cellStyles>
  <dxfs count="0"/>
  <tableStyles count="0" defaultTableStyle="TableStyleMedium2" defaultPivotStyle="PivotStyleLight16"/>
  <colors>
    <mruColors>
      <color rgb="FFF9B4AE"/>
      <color rgb="FFBFBFBF"/>
      <color rgb="FF6167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PRESCIDENT TRANSACTION - HEALTH</a:t>
            </a:r>
          </a:p>
          <a:p>
            <a:pPr>
              <a:defRPr/>
            </a:pPr>
            <a:endParaRPr lang="en-US"/>
          </a:p>
        </c:rich>
      </c:tx>
      <c:layout>
        <c:manualLayout>
          <c:xMode val="edge"/>
          <c:yMode val="edge"/>
          <c:x val="0.29306034702301437"/>
          <c:y val="1.4636605920910466E-2"/>
        </c:manualLayout>
      </c:layout>
      <c:overlay val="0"/>
      <c:spPr>
        <a:solidFill>
          <a:schemeClr val="bg1">
            <a:lumMod val="8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'CROSS HEALTH - Precedent Trans'!$K$13:$K$14</c:f>
              <c:strCache>
                <c:ptCount val="2"/>
                <c:pt idx="0">
                  <c:v>EV /</c:v>
                </c:pt>
                <c:pt idx="1">
                  <c:v>Revenue</c:v>
                </c:pt>
              </c:strCache>
            </c:strRef>
          </c:tx>
          <c:spPr>
            <a:solidFill>
              <a:schemeClr val="accent1"/>
            </a:solidFill>
            <a:ln>
              <a:noFill/>
            </a:ln>
            <a:effectLst/>
          </c:spPr>
          <c:invertIfNegative val="0"/>
          <c:cat>
            <c:strRef>
              <c:f>'CROSS HEALTH - Precedent Trans'!$J$15:$J$20</c:f>
              <c:strCache>
                <c:ptCount val="6"/>
                <c:pt idx="0">
                  <c:v>maximum</c:v>
                </c:pt>
                <c:pt idx="1">
                  <c:v>75 percentile</c:v>
                </c:pt>
                <c:pt idx="2">
                  <c:v>median</c:v>
                </c:pt>
                <c:pt idx="3">
                  <c:v>mean </c:v>
                </c:pt>
                <c:pt idx="4">
                  <c:v>25th percentile</c:v>
                </c:pt>
                <c:pt idx="5">
                  <c:v>minimum</c:v>
                </c:pt>
              </c:strCache>
            </c:strRef>
          </c:cat>
          <c:val>
            <c:numRef>
              <c:f>'CROSS HEALTH - Precedent Trans'!$K$15:$K$20</c:f>
              <c:numCache>
                <c:formatCode>0.00</c:formatCode>
                <c:ptCount val="6"/>
                <c:pt idx="0">
                  <c:v>802.65000000000009</c:v>
                </c:pt>
                <c:pt idx="1">
                  <c:v>535.1</c:v>
                </c:pt>
                <c:pt idx="2">
                  <c:v>267.55</c:v>
                </c:pt>
                <c:pt idx="3">
                  <c:v>392.40666666666669</c:v>
                </c:pt>
                <c:pt idx="4">
                  <c:v>187.285</c:v>
                </c:pt>
                <c:pt idx="5">
                  <c:v>107.02000000000001</c:v>
                </c:pt>
              </c:numCache>
            </c:numRef>
          </c:val>
          <c:extLst>
            <c:ext xmlns:c16="http://schemas.microsoft.com/office/drawing/2014/chart" uri="{C3380CC4-5D6E-409C-BE32-E72D297353CC}">
              <c16:uniqueId val="{00000000-E5FE-416B-90D5-2C084C80BCD4}"/>
            </c:ext>
          </c:extLst>
        </c:ser>
        <c:ser>
          <c:idx val="1"/>
          <c:order val="1"/>
          <c:tx>
            <c:strRef>
              <c:f>'CROSS HEALTH - Precedent Trans'!$L$13:$L$14</c:f>
              <c:strCache>
                <c:ptCount val="2"/>
                <c:pt idx="0">
                  <c:v>EV /</c:v>
                </c:pt>
                <c:pt idx="1">
                  <c:v>EBITDA</c:v>
                </c:pt>
              </c:strCache>
            </c:strRef>
          </c:tx>
          <c:spPr>
            <a:solidFill>
              <a:schemeClr val="accent3"/>
            </a:solidFill>
            <a:ln>
              <a:noFill/>
            </a:ln>
            <a:effectLst/>
          </c:spPr>
          <c:invertIfNegative val="0"/>
          <c:cat>
            <c:strRef>
              <c:f>'CROSS HEALTH - Precedent Trans'!$J$15:$J$20</c:f>
              <c:strCache>
                <c:ptCount val="6"/>
                <c:pt idx="0">
                  <c:v>maximum</c:v>
                </c:pt>
                <c:pt idx="1">
                  <c:v>75 percentile</c:v>
                </c:pt>
                <c:pt idx="2">
                  <c:v>median</c:v>
                </c:pt>
                <c:pt idx="3">
                  <c:v>mean </c:v>
                </c:pt>
                <c:pt idx="4">
                  <c:v>25th percentile</c:v>
                </c:pt>
                <c:pt idx="5">
                  <c:v>minimum</c:v>
                </c:pt>
              </c:strCache>
            </c:strRef>
          </c:cat>
          <c:val>
            <c:numRef>
              <c:f>'CROSS HEALTH - Precedent Trans'!$L$15:$L$20</c:f>
              <c:numCache>
                <c:formatCode>0.00</c:formatCode>
                <c:ptCount val="6"/>
                <c:pt idx="0">
                  <c:v>1730.8900000000003</c:v>
                </c:pt>
                <c:pt idx="1">
                  <c:v>1621.3400000000001</c:v>
                </c:pt>
                <c:pt idx="2">
                  <c:v>1511.7900000000002</c:v>
                </c:pt>
                <c:pt idx="3">
                  <c:v>1336.5100000000002</c:v>
                </c:pt>
                <c:pt idx="4">
                  <c:v>1139.3200000000002</c:v>
                </c:pt>
                <c:pt idx="5">
                  <c:v>766.85000000000014</c:v>
                </c:pt>
              </c:numCache>
            </c:numRef>
          </c:val>
          <c:extLst>
            <c:ext xmlns:c16="http://schemas.microsoft.com/office/drawing/2014/chart" uri="{C3380CC4-5D6E-409C-BE32-E72D297353CC}">
              <c16:uniqueId val="{00000001-E5FE-416B-90D5-2C084C80BCD4}"/>
            </c:ext>
          </c:extLst>
        </c:ser>
        <c:dLbls>
          <c:showLegendKey val="0"/>
          <c:showVal val="0"/>
          <c:showCatName val="0"/>
          <c:showSerName val="0"/>
          <c:showPercent val="0"/>
          <c:showBubbleSize val="0"/>
        </c:dLbls>
        <c:gapWidth val="182"/>
        <c:overlap val="100"/>
        <c:axId val="1419680303"/>
        <c:axId val="1163520511"/>
      </c:barChart>
      <c:catAx>
        <c:axId val="1419680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63520511"/>
        <c:crosses val="autoZero"/>
        <c:auto val="1"/>
        <c:lblAlgn val="ctr"/>
        <c:lblOffset val="100"/>
        <c:noMultiLvlLbl val="0"/>
      </c:catAx>
      <c:valAx>
        <c:axId val="11635205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680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CROSS HEALTH</a:t>
            </a:r>
          </a:p>
          <a:p>
            <a:pPr>
              <a:defRPr/>
            </a:pPr>
            <a:r>
              <a:rPr lang="en-GB"/>
              <a: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7.9926518925394083E-2"/>
          <c:y val="0.12243330343200769"/>
          <c:w val="0.86987422026792105"/>
          <c:h val="0.75925379580716967"/>
        </c:manualLayout>
      </c:layout>
      <c:barChart>
        <c:barDir val="bar"/>
        <c:grouping val="percentStacked"/>
        <c:varyColors val="0"/>
        <c:ser>
          <c:idx val="0"/>
          <c:order val="0"/>
          <c:tx>
            <c:strRef>
              <c:f>'CROSS HEALTH - FOOTBALL FIELD '!$B$1</c:f>
              <c:strCache>
                <c:ptCount val="1"/>
                <c:pt idx="0">
                  <c:v> Min </c:v>
                </c:pt>
              </c:strCache>
            </c:strRef>
          </c:tx>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HEALTH - FOOTBALL FIELD '!$A$2:$A$11</c:f>
              <c:strCache>
                <c:ptCount val="10"/>
                <c:pt idx="0">
                  <c:v>Comparable Company Analysis:</c:v>
                </c:pt>
                <c:pt idx="1">
                  <c:v>EV/Revenue</c:v>
                </c:pt>
                <c:pt idx="2">
                  <c:v>EV/EBITDA</c:v>
                </c:pt>
                <c:pt idx="3">
                  <c:v>EV/EBIT</c:v>
                </c:pt>
                <c:pt idx="4">
                  <c:v>P/E</c:v>
                </c:pt>
                <c:pt idx="5">
                  <c:v>Precedent M&amp;A Analysis:</c:v>
                </c:pt>
                <c:pt idx="6">
                  <c:v>EV/Revenue</c:v>
                </c:pt>
                <c:pt idx="7">
                  <c:v>EV/EBITDA</c:v>
                </c:pt>
                <c:pt idx="8">
                  <c:v>DCF:</c:v>
                </c:pt>
                <c:pt idx="9">
                  <c:v>Equity Value </c:v>
                </c:pt>
              </c:strCache>
            </c:strRef>
          </c:cat>
          <c:val>
            <c:numRef>
              <c:f>'CROSS HEALTH - FOOTBALL FIELD '!$B$2:$B$11</c:f>
              <c:numCache>
                <c:formatCode>_("$"* #,##0.00_);_("$"* \(#,##0.00\);_("$"* "-"??_);_(@_)</c:formatCode>
                <c:ptCount val="10"/>
                <c:pt idx="1">
                  <c:v>526.65088931980904</c:v>
                </c:pt>
                <c:pt idx="2">
                  <c:v>1330.0476223470669</c:v>
                </c:pt>
                <c:pt idx="3">
                  <c:v>362.50323206377345</c:v>
                </c:pt>
                <c:pt idx="4">
                  <c:v>-114.69699412455938</c:v>
                </c:pt>
                <c:pt idx="6">
                  <c:v>78.420000000000016</c:v>
                </c:pt>
                <c:pt idx="7">
                  <c:v>738.25000000000011</c:v>
                </c:pt>
                <c:pt idx="9">
                  <c:v>299.65144825275718</c:v>
                </c:pt>
              </c:numCache>
            </c:numRef>
          </c:val>
          <c:extLst>
            <c:ext xmlns:c16="http://schemas.microsoft.com/office/drawing/2014/chart" uri="{C3380CC4-5D6E-409C-BE32-E72D297353CC}">
              <c16:uniqueId val="{00000000-1B71-954B-AC82-42B2B78F1800}"/>
            </c:ext>
          </c:extLst>
        </c:ser>
        <c:ser>
          <c:idx val="1"/>
          <c:order val="1"/>
          <c:tx>
            <c:strRef>
              <c:f>'CROSS HEALTH - FOOTBALL FIELD '!$C$1</c:f>
              <c:strCache>
                <c:ptCount val="1"/>
                <c:pt idx="0">
                  <c:v> 25TH </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HEALTH - FOOTBALL FIELD '!$A$2:$A$11</c:f>
              <c:strCache>
                <c:ptCount val="10"/>
                <c:pt idx="0">
                  <c:v>Comparable Company Analysis:</c:v>
                </c:pt>
                <c:pt idx="1">
                  <c:v>EV/Revenue</c:v>
                </c:pt>
                <c:pt idx="2">
                  <c:v>EV/EBITDA</c:v>
                </c:pt>
                <c:pt idx="3">
                  <c:v>EV/EBIT</c:v>
                </c:pt>
                <c:pt idx="4">
                  <c:v>P/E</c:v>
                </c:pt>
                <c:pt idx="5">
                  <c:v>Precedent M&amp;A Analysis:</c:v>
                </c:pt>
                <c:pt idx="6">
                  <c:v>EV/Revenue</c:v>
                </c:pt>
                <c:pt idx="7">
                  <c:v>EV/EBITDA</c:v>
                </c:pt>
                <c:pt idx="8">
                  <c:v>DCF:</c:v>
                </c:pt>
                <c:pt idx="9">
                  <c:v>Equity Value </c:v>
                </c:pt>
              </c:strCache>
            </c:strRef>
          </c:cat>
          <c:val>
            <c:numRef>
              <c:f>'CROSS HEALTH - FOOTBALL FIELD '!$C$2:$C$11</c:f>
              <c:numCache>
                <c:formatCode>_("$"* #,##0.00_);_("$"* \(#,##0.00\);_("$"* "-"??_);_(@_)</c:formatCode>
                <c:ptCount val="10"/>
                <c:pt idx="1">
                  <c:v>689.65220967741936</c:v>
                </c:pt>
                <c:pt idx="2">
                  <c:v>1412.8388638007234</c:v>
                </c:pt>
                <c:pt idx="3">
                  <c:v>413.94664488636374</c:v>
                </c:pt>
                <c:pt idx="4">
                  <c:v>91.615237187127605</c:v>
                </c:pt>
                <c:pt idx="6">
                  <c:v>187.285</c:v>
                </c:pt>
                <c:pt idx="7">
                  <c:v>1139.3200000000002</c:v>
                </c:pt>
                <c:pt idx="9">
                  <c:v>333.47751996141756</c:v>
                </c:pt>
              </c:numCache>
            </c:numRef>
          </c:val>
          <c:extLst>
            <c:ext xmlns:c16="http://schemas.microsoft.com/office/drawing/2014/chart" uri="{C3380CC4-5D6E-409C-BE32-E72D297353CC}">
              <c16:uniqueId val="{00000001-1B71-954B-AC82-42B2B78F1800}"/>
            </c:ext>
          </c:extLst>
        </c:ser>
        <c:ser>
          <c:idx val="2"/>
          <c:order val="2"/>
          <c:tx>
            <c:strRef>
              <c:f>'CROSS HEALTH - FOOTBALL FIELD '!$D$1</c:f>
              <c:strCache>
                <c:ptCount val="1"/>
                <c:pt idx="0">
                  <c:v> Average </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HEALTH - FOOTBALL FIELD '!$A$2:$A$11</c:f>
              <c:strCache>
                <c:ptCount val="10"/>
                <c:pt idx="0">
                  <c:v>Comparable Company Analysis:</c:v>
                </c:pt>
                <c:pt idx="1">
                  <c:v>EV/Revenue</c:v>
                </c:pt>
                <c:pt idx="2">
                  <c:v>EV/EBITDA</c:v>
                </c:pt>
                <c:pt idx="3">
                  <c:v>EV/EBIT</c:v>
                </c:pt>
                <c:pt idx="4">
                  <c:v>P/E</c:v>
                </c:pt>
                <c:pt idx="5">
                  <c:v>Precedent M&amp;A Analysis:</c:v>
                </c:pt>
                <c:pt idx="6">
                  <c:v>EV/Revenue</c:v>
                </c:pt>
                <c:pt idx="7">
                  <c:v>EV/EBITDA</c:v>
                </c:pt>
                <c:pt idx="8">
                  <c:v>DCF:</c:v>
                </c:pt>
                <c:pt idx="9">
                  <c:v>Equity Value </c:v>
                </c:pt>
              </c:strCache>
            </c:strRef>
          </c:cat>
          <c:val>
            <c:numRef>
              <c:f>'CROSS HEALTH - FOOTBALL FIELD '!$D$2:$D$11</c:f>
              <c:numCache>
                <c:formatCode>_("$"* #,##0.00_);_("$"* \(#,##0.00\);_("$"* "-"??_);_(@_)</c:formatCode>
                <c:ptCount val="10"/>
                <c:pt idx="1">
                  <c:v>702.0897809409837</c:v>
                </c:pt>
                <c:pt idx="2">
                  <c:v>1501.9529056076633</c:v>
                </c:pt>
                <c:pt idx="3">
                  <c:v>457.77489989256787</c:v>
                </c:pt>
                <c:pt idx="4">
                  <c:v>475.42231075697225</c:v>
                </c:pt>
                <c:pt idx="6">
                  <c:v>238.95000000000002</c:v>
                </c:pt>
                <c:pt idx="7">
                  <c:v>1483.1900000000003</c:v>
                </c:pt>
                <c:pt idx="9">
                  <c:v>371.28523381474417</c:v>
                </c:pt>
              </c:numCache>
            </c:numRef>
          </c:val>
          <c:extLst>
            <c:ext xmlns:c16="http://schemas.microsoft.com/office/drawing/2014/chart" uri="{C3380CC4-5D6E-409C-BE32-E72D297353CC}">
              <c16:uniqueId val="{00000002-1B71-954B-AC82-42B2B78F1800}"/>
            </c:ext>
          </c:extLst>
        </c:ser>
        <c:ser>
          <c:idx val="3"/>
          <c:order val="3"/>
          <c:tx>
            <c:strRef>
              <c:f>'CROSS HEALTH - FOOTBALL FIELD '!$E$1</c:f>
              <c:strCache>
                <c:ptCount val="1"/>
                <c:pt idx="0">
                  <c:v> 75TH </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HEALTH - FOOTBALL FIELD '!$A$2:$A$11</c:f>
              <c:strCache>
                <c:ptCount val="10"/>
                <c:pt idx="0">
                  <c:v>Comparable Company Analysis:</c:v>
                </c:pt>
                <c:pt idx="1">
                  <c:v>EV/Revenue</c:v>
                </c:pt>
                <c:pt idx="2">
                  <c:v>EV/EBITDA</c:v>
                </c:pt>
                <c:pt idx="3">
                  <c:v>EV/EBIT</c:v>
                </c:pt>
                <c:pt idx="4">
                  <c:v>P/E</c:v>
                </c:pt>
                <c:pt idx="5">
                  <c:v>Precedent M&amp;A Analysis:</c:v>
                </c:pt>
                <c:pt idx="6">
                  <c:v>EV/Revenue</c:v>
                </c:pt>
                <c:pt idx="7">
                  <c:v>EV/EBITDA</c:v>
                </c:pt>
                <c:pt idx="8">
                  <c:v>DCF:</c:v>
                </c:pt>
                <c:pt idx="9">
                  <c:v>Equity Value </c:v>
                </c:pt>
              </c:strCache>
            </c:strRef>
          </c:cat>
          <c:val>
            <c:numRef>
              <c:f>'CROSS HEALTH - FOOTBALL FIELD '!$E$2:$E$11</c:f>
              <c:numCache>
                <c:formatCode>_("$"* #,##0.00_);_("$"* \(#,##0.00\);_("$"* "-"??_);_(@_)</c:formatCode>
                <c:ptCount val="10"/>
                <c:pt idx="1">
                  <c:v>778.10069258864712</c:v>
                </c:pt>
                <c:pt idx="2">
                  <c:v>1871.2826958598732</c:v>
                </c:pt>
                <c:pt idx="3">
                  <c:v>476.2353720608578</c:v>
                </c:pt>
                <c:pt idx="4">
                  <c:v>995.45582527301144</c:v>
                </c:pt>
                <c:pt idx="6">
                  <c:v>34.9</c:v>
                </c:pt>
                <c:pt idx="7">
                  <c:v>34.9</c:v>
                </c:pt>
                <c:pt idx="9">
                  <c:v>417.748548856301</c:v>
                </c:pt>
              </c:numCache>
            </c:numRef>
          </c:val>
          <c:extLst>
            <c:ext xmlns:c16="http://schemas.microsoft.com/office/drawing/2014/chart" uri="{C3380CC4-5D6E-409C-BE32-E72D297353CC}">
              <c16:uniqueId val="{00000003-1B71-954B-AC82-42B2B78F1800}"/>
            </c:ext>
          </c:extLst>
        </c:ser>
        <c:ser>
          <c:idx val="4"/>
          <c:order val="4"/>
          <c:tx>
            <c:strRef>
              <c:f>'CROSS HEALTH - FOOTBALL FIELD '!$F$1</c:f>
              <c:strCache>
                <c:ptCount val="1"/>
                <c:pt idx="0">
                  <c:v> Max </c:v>
                </c:pt>
              </c:strCache>
            </c:strRef>
          </c:tx>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HEALTH - FOOTBALL FIELD '!$A$2:$A$11</c:f>
              <c:strCache>
                <c:ptCount val="10"/>
                <c:pt idx="0">
                  <c:v>Comparable Company Analysis:</c:v>
                </c:pt>
                <c:pt idx="1">
                  <c:v>EV/Revenue</c:v>
                </c:pt>
                <c:pt idx="2">
                  <c:v>EV/EBITDA</c:v>
                </c:pt>
                <c:pt idx="3">
                  <c:v>EV/EBIT</c:v>
                </c:pt>
                <c:pt idx="4">
                  <c:v>P/E</c:v>
                </c:pt>
                <c:pt idx="5">
                  <c:v>Precedent M&amp;A Analysis:</c:v>
                </c:pt>
                <c:pt idx="6">
                  <c:v>EV/Revenue</c:v>
                </c:pt>
                <c:pt idx="7">
                  <c:v>EV/EBITDA</c:v>
                </c:pt>
                <c:pt idx="8">
                  <c:v>DCF:</c:v>
                </c:pt>
                <c:pt idx="9">
                  <c:v>Equity Value </c:v>
                </c:pt>
              </c:strCache>
            </c:strRef>
          </c:cat>
          <c:val>
            <c:numRef>
              <c:f>'CROSS HEALTH - FOOTBALL FIELD '!$F$2:$F$11</c:f>
              <c:numCache>
                <c:formatCode>_("$"* #,##0.00_);_("$"* \(#,##0.00\);_("$"* "-"??_);_(@_)</c:formatCode>
                <c:ptCount val="10"/>
                <c:pt idx="1">
                  <c:v>1023.610632224415</c:v>
                </c:pt>
                <c:pt idx="2">
                  <c:v>1924.900103610425</c:v>
                </c:pt>
                <c:pt idx="3">
                  <c:v>607.75598691099503</c:v>
                </c:pt>
                <c:pt idx="4">
                  <c:v>10492.175250000004</c:v>
                </c:pt>
                <c:pt idx="6">
                  <c:v>774.05000000000007</c:v>
                </c:pt>
                <c:pt idx="7">
                  <c:v>1702.2900000000004</c:v>
                </c:pt>
                <c:pt idx="9">
                  <c:v>480.62366758872849</c:v>
                </c:pt>
              </c:numCache>
            </c:numRef>
          </c:val>
          <c:extLst>
            <c:ext xmlns:c16="http://schemas.microsoft.com/office/drawing/2014/chart" uri="{C3380CC4-5D6E-409C-BE32-E72D297353CC}">
              <c16:uniqueId val="{00000004-1B71-954B-AC82-42B2B78F1800}"/>
            </c:ext>
          </c:extLst>
        </c:ser>
        <c:dLbls>
          <c:showLegendKey val="0"/>
          <c:showVal val="0"/>
          <c:showCatName val="0"/>
          <c:showSerName val="0"/>
          <c:showPercent val="0"/>
          <c:showBubbleSize val="0"/>
        </c:dLbls>
        <c:gapWidth val="150"/>
        <c:overlap val="100"/>
        <c:axId val="298707888"/>
        <c:axId val="298452736"/>
      </c:barChart>
      <c:catAx>
        <c:axId val="2987078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298452736"/>
        <c:crosses val="autoZero"/>
        <c:auto val="1"/>
        <c:lblAlgn val="ctr"/>
        <c:lblOffset val="100"/>
        <c:noMultiLvlLbl val="0"/>
      </c:catAx>
      <c:valAx>
        <c:axId val="298452736"/>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29870788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r>
              <a:rPr lang="en-GB">
                <a:latin typeface="Times New Roman" panose="02020603050405020304" pitchFamily="18" charset="0"/>
                <a:cs typeface="Times New Roman" panose="02020603050405020304" pitchFamily="18" charset="0"/>
              </a:rPr>
              <a:t>Cross Play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Times New Roman" panose="02020603050405020304" pitchFamily="18" charset="0"/>
              <a:ea typeface="+mn-ea"/>
              <a:cs typeface="Times New Roman" panose="02020603050405020304" pitchFamily="18" charset="0"/>
            </a:defRPr>
          </a:pPr>
          <a:endParaRPr lang="en-US"/>
        </a:p>
      </c:txPr>
    </c:title>
    <c:autoTitleDeleted val="0"/>
    <c:plotArea>
      <c:layout>
        <c:manualLayout>
          <c:layoutTarget val="inner"/>
          <c:xMode val="edge"/>
          <c:yMode val="edge"/>
          <c:x val="0.19525689470976931"/>
          <c:y val="9.4444538518706669E-2"/>
          <c:w val="0.76538380880781864"/>
          <c:h val="0.77301329269325203"/>
        </c:manualLayout>
      </c:layout>
      <c:barChart>
        <c:barDir val="bar"/>
        <c:grouping val="percentStacked"/>
        <c:varyColors val="0"/>
        <c:ser>
          <c:idx val="0"/>
          <c:order val="0"/>
          <c:tx>
            <c:strRef>
              <c:f>' CROSS PLAY - FOOT BALL FIELD '!$B$3</c:f>
              <c:strCache>
                <c:ptCount val="1"/>
                <c:pt idx="0">
                  <c:v> Min </c:v>
                </c:pt>
              </c:strCache>
            </c:strRef>
          </c:tx>
          <c:spPr>
            <a:gradFill rotWithShape="1">
              <a:gsLst>
                <a:gs pos="0">
                  <a:schemeClr val="accent2">
                    <a:shade val="53000"/>
                    <a:satMod val="103000"/>
                    <a:lumMod val="102000"/>
                    <a:tint val="94000"/>
                  </a:schemeClr>
                </a:gs>
                <a:gs pos="50000">
                  <a:schemeClr val="accent2">
                    <a:shade val="53000"/>
                    <a:satMod val="110000"/>
                    <a:lumMod val="100000"/>
                    <a:shade val="100000"/>
                  </a:schemeClr>
                </a:gs>
                <a:gs pos="100000">
                  <a:schemeClr val="accent2">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CROSS PLAY - FOOT BALL FIELD '!$A$4:$A$13</c:f>
              <c:strCache>
                <c:ptCount val="10"/>
                <c:pt idx="0">
                  <c:v>Comparable Company Analysis:</c:v>
                </c:pt>
                <c:pt idx="1">
                  <c:v>EV/Revenue</c:v>
                </c:pt>
                <c:pt idx="2">
                  <c:v>EV/EBITDA</c:v>
                </c:pt>
                <c:pt idx="3">
                  <c:v>EV/EBIT</c:v>
                </c:pt>
                <c:pt idx="4">
                  <c:v>P/E</c:v>
                </c:pt>
                <c:pt idx="5">
                  <c:v>Precedent M&amp;A Analysis:</c:v>
                </c:pt>
                <c:pt idx="6">
                  <c:v>EV/Revenue</c:v>
                </c:pt>
                <c:pt idx="7">
                  <c:v>EV/EBITDA</c:v>
                </c:pt>
                <c:pt idx="8">
                  <c:v>DCF:</c:v>
                </c:pt>
                <c:pt idx="9">
                  <c:v>Equity Value </c:v>
                </c:pt>
              </c:strCache>
            </c:strRef>
          </c:cat>
          <c:val>
            <c:numRef>
              <c:f>' CROSS PLAY - FOOT BALL FIELD '!$B$4:$B$13</c:f>
              <c:numCache>
                <c:formatCode>_("$"* #,##0.00_);_("$"* \(#,##0.00\);_("$"* "-"??_);_(@_)</c:formatCode>
                <c:ptCount val="10"/>
                <c:pt idx="1">
                  <c:v>123.47575806451613</c:v>
                </c:pt>
                <c:pt idx="2">
                  <c:v>397.53446745562138</c:v>
                </c:pt>
                <c:pt idx="3">
                  <c:v>263.31925556858158</c:v>
                </c:pt>
                <c:pt idx="4">
                  <c:v>4.3663355408388576</c:v>
                </c:pt>
                <c:pt idx="6">
                  <c:v>139.12</c:v>
                </c:pt>
                <c:pt idx="7">
                  <c:v>149.44999999999982</c:v>
                </c:pt>
                <c:pt idx="9">
                  <c:v>141.59455141718516</c:v>
                </c:pt>
              </c:numCache>
            </c:numRef>
          </c:val>
          <c:extLst>
            <c:ext xmlns:c16="http://schemas.microsoft.com/office/drawing/2014/chart" uri="{C3380CC4-5D6E-409C-BE32-E72D297353CC}">
              <c16:uniqueId val="{00000000-C42F-F841-96C1-F8BE6A57B7BE}"/>
            </c:ext>
          </c:extLst>
        </c:ser>
        <c:ser>
          <c:idx val="1"/>
          <c:order val="1"/>
          <c:tx>
            <c:strRef>
              <c:f>' CROSS PLAY - FOOT BALL FIELD '!$C$3</c:f>
              <c:strCache>
                <c:ptCount val="1"/>
                <c:pt idx="0">
                  <c:v> 25TH </c:v>
                </c:pt>
              </c:strCache>
            </c:strRef>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CROSS PLAY - FOOT BALL FIELD '!$A$4:$A$13</c:f>
              <c:strCache>
                <c:ptCount val="10"/>
                <c:pt idx="0">
                  <c:v>Comparable Company Analysis:</c:v>
                </c:pt>
                <c:pt idx="1">
                  <c:v>EV/Revenue</c:v>
                </c:pt>
                <c:pt idx="2">
                  <c:v>EV/EBITDA</c:v>
                </c:pt>
                <c:pt idx="3">
                  <c:v>EV/EBIT</c:v>
                </c:pt>
                <c:pt idx="4">
                  <c:v>P/E</c:v>
                </c:pt>
                <c:pt idx="5">
                  <c:v>Precedent M&amp;A Analysis:</c:v>
                </c:pt>
                <c:pt idx="6">
                  <c:v>EV/Revenue</c:v>
                </c:pt>
                <c:pt idx="7">
                  <c:v>EV/EBITDA</c:v>
                </c:pt>
                <c:pt idx="8">
                  <c:v>DCF:</c:v>
                </c:pt>
                <c:pt idx="9">
                  <c:v>Equity Value </c:v>
                </c:pt>
              </c:strCache>
            </c:strRef>
          </c:cat>
          <c:val>
            <c:numRef>
              <c:f>' CROSS PLAY - FOOT BALL FIELD '!$C$4:$C$13</c:f>
              <c:numCache>
                <c:formatCode>_("$"* #,##0.00_);_("$"* \(#,##0.00\);_("$"* "-"??_);_(@_)</c:formatCode>
                <c:ptCount val="10"/>
                <c:pt idx="1">
                  <c:v>181.7525976738691</c:v>
                </c:pt>
                <c:pt idx="2">
                  <c:v>454.8721384897155</c:v>
                </c:pt>
                <c:pt idx="3">
                  <c:v>267.41820026405543</c:v>
                </c:pt>
                <c:pt idx="4">
                  <c:v>8.0665717242100605</c:v>
                </c:pt>
                <c:pt idx="6">
                  <c:v>174.92499999999998</c:v>
                </c:pt>
                <c:pt idx="7">
                  <c:v>163.32499999999979</c:v>
                </c:pt>
                <c:pt idx="9">
                  <c:v>119.64100429810705</c:v>
                </c:pt>
              </c:numCache>
            </c:numRef>
          </c:val>
          <c:extLst>
            <c:ext xmlns:c16="http://schemas.microsoft.com/office/drawing/2014/chart" uri="{C3380CC4-5D6E-409C-BE32-E72D297353CC}">
              <c16:uniqueId val="{00000001-C42F-F841-96C1-F8BE6A57B7BE}"/>
            </c:ext>
          </c:extLst>
        </c:ser>
        <c:ser>
          <c:idx val="2"/>
          <c:order val="2"/>
          <c:tx>
            <c:strRef>
              <c:f>' CROSS PLAY - FOOT BALL FIELD '!$D$3</c:f>
              <c:strCache>
                <c:ptCount val="1"/>
                <c:pt idx="0">
                  <c:v> Average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CROSS PLAY - FOOT BALL FIELD '!$A$4:$A$13</c:f>
              <c:strCache>
                <c:ptCount val="10"/>
                <c:pt idx="0">
                  <c:v>Comparable Company Analysis:</c:v>
                </c:pt>
                <c:pt idx="1">
                  <c:v>EV/Revenue</c:v>
                </c:pt>
                <c:pt idx="2">
                  <c:v>EV/EBITDA</c:v>
                </c:pt>
                <c:pt idx="3">
                  <c:v>EV/EBIT</c:v>
                </c:pt>
                <c:pt idx="4">
                  <c:v>P/E</c:v>
                </c:pt>
                <c:pt idx="5">
                  <c:v>Precedent M&amp;A Analysis:</c:v>
                </c:pt>
                <c:pt idx="6">
                  <c:v>EV/Revenue</c:v>
                </c:pt>
                <c:pt idx="7">
                  <c:v>EV/EBITDA</c:v>
                </c:pt>
                <c:pt idx="8">
                  <c:v>DCF:</c:v>
                </c:pt>
                <c:pt idx="9">
                  <c:v>Equity Value </c:v>
                </c:pt>
              </c:strCache>
            </c:strRef>
          </c:cat>
          <c:val>
            <c:numRef>
              <c:f>' CROSS PLAY - FOOT BALL FIELD '!$D$4:$D$13</c:f>
              <c:numCache>
                <c:formatCode>_("$"* #,##0.00_);_("$"* \(#,##0.00\);_("$"* "-"??_);_(@_)</c:formatCode>
                <c:ptCount val="10"/>
                <c:pt idx="1">
                  <c:v>240.02943728322205</c:v>
                </c:pt>
                <c:pt idx="2">
                  <c:v>512.20980952380967</c:v>
                </c:pt>
                <c:pt idx="3">
                  <c:v>271.51714495952922</c:v>
                </c:pt>
                <c:pt idx="4">
                  <c:v>6.3117819460726921</c:v>
                </c:pt>
                <c:pt idx="6">
                  <c:v>210.73</c:v>
                </c:pt>
                <c:pt idx="7">
                  <c:v>177.19999999999976</c:v>
                </c:pt>
                <c:pt idx="9">
                  <c:v>118.3679349179489</c:v>
                </c:pt>
              </c:numCache>
            </c:numRef>
          </c:val>
          <c:extLst>
            <c:ext xmlns:c16="http://schemas.microsoft.com/office/drawing/2014/chart" uri="{C3380CC4-5D6E-409C-BE32-E72D297353CC}">
              <c16:uniqueId val="{00000002-C42F-F841-96C1-F8BE6A57B7BE}"/>
            </c:ext>
          </c:extLst>
        </c:ser>
        <c:ser>
          <c:idx val="3"/>
          <c:order val="3"/>
          <c:tx>
            <c:strRef>
              <c:f>' CROSS PLAY - FOOT BALL FIELD '!$E$3</c:f>
              <c:strCache>
                <c:ptCount val="1"/>
                <c:pt idx="0">
                  <c:v> 75TH </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CROSS PLAY - FOOT BALL FIELD '!$A$4:$A$13</c:f>
              <c:strCache>
                <c:ptCount val="10"/>
                <c:pt idx="0">
                  <c:v>Comparable Company Analysis:</c:v>
                </c:pt>
                <c:pt idx="1">
                  <c:v>EV/Revenue</c:v>
                </c:pt>
                <c:pt idx="2">
                  <c:v>EV/EBITDA</c:v>
                </c:pt>
                <c:pt idx="3">
                  <c:v>EV/EBIT</c:v>
                </c:pt>
                <c:pt idx="4">
                  <c:v>P/E</c:v>
                </c:pt>
                <c:pt idx="5">
                  <c:v>Precedent M&amp;A Analysis:</c:v>
                </c:pt>
                <c:pt idx="6">
                  <c:v>EV/Revenue</c:v>
                </c:pt>
                <c:pt idx="7">
                  <c:v>EV/EBITDA</c:v>
                </c:pt>
                <c:pt idx="8">
                  <c:v>DCF:</c:v>
                </c:pt>
                <c:pt idx="9">
                  <c:v>Equity Value </c:v>
                </c:pt>
              </c:strCache>
            </c:strRef>
          </c:cat>
          <c:val>
            <c:numRef>
              <c:f>' CROSS PLAY - FOOT BALL FIELD '!$E$4:$E$13</c:f>
              <c:numCache>
                <c:formatCode>_("$"* #,##0.00_);_("$"* \(#,##0.00\);_("$"* "-"??_);_(@_)</c:formatCode>
                <c:ptCount val="10"/>
                <c:pt idx="1">
                  <c:v>268.83376807426498</c:v>
                </c:pt>
                <c:pt idx="2">
                  <c:v>525.89768524970975</c:v>
                </c:pt>
                <c:pt idx="3">
                  <c:v>347.54618985065679</c:v>
                </c:pt>
                <c:pt idx="4">
                  <c:v>8.0665717242100605</c:v>
                </c:pt>
                <c:pt idx="6">
                  <c:v>222.66499999999999</c:v>
                </c:pt>
                <c:pt idx="7">
                  <c:v>207.72499999999971</c:v>
                </c:pt>
                <c:pt idx="9">
                  <c:v>126.11504954630895</c:v>
                </c:pt>
              </c:numCache>
            </c:numRef>
          </c:val>
          <c:extLst>
            <c:ext xmlns:c16="http://schemas.microsoft.com/office/drawing/2014/chart" uri="{C3380CC4-5D6E-409C-BE32-E72D297353CC}">
              <c16:uniqueId val="{00000003-C42F-F841-96C1-F8BE6A57B7BE}"/>
            </c:ext>
          </c:extLst>
        </c:ser>
        <c:ser>
          <c:idx val="4"/>
          <c:order val="4"/>
          <c:tx>
            <c:strRef>
              <c:f>' CROSS PLAY - FOOT BALL FIELD '!$F$3</c:f>
              <c:strCache>
                <c:ptCount val="1"/>
                <c:pt idx="0">
                  <c:v> Max </c:v>
                </c:pt>
              </c:strCache>
            </c:strRef>
          </c:tx>
          <c:spPr>
            <a:gradFill rotWithShape="1">
              <a:gsLst>
                <a:gs pos="0">
                  <a:schemeClr val="accent2">
                    <a:tint val="54000"/>
                    <a:satMod val="103000"/>
                    <a:lumMod val="102000"/>
                    <a:tint val="94000"/>
                  </a:schemeClr>
                </a:gs>
                <a:gs pos="50000">
                  <a:schemeClr val="accent2">
                    <a:tint val="54000"/>
                    <a:satMod val="110000"/>
                    <a:lumMod val="100000"/>
                    <a:shade val="100000"/>
                  </a:schemeClr>
                </a:gs>
                <a:gs pos="100000">
                  <a:schemeClr val="accent2">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CROSS PLAY - FOOT BALL FIELD '!$A$4:$A$13</c:f>
              <c:strCache>
                <c:ptCount val="10"/>
                <c:pt idx="0">
                  <c:v>Comparable Company Analysis:</c:v>
                </c:pt>
                <c:pt idx="1">
                  <c:v>EV/Revenue</c:v>
                </c:pt>
                <c:pt idx="2">
                  <c:v>EV/EBITDA</c:v>
                </c:pt>
                <c:pt idx="3">
                  <c:v>EV/EBIT</c:v>
                </c:pt>
                <c:pt idx="4">
                  <c:v>P/E</c:v>
                </c:pt>
                <c:pt idx="5">
                  <c:v>Precedent M&amp;A Analysis:</c:v>
                </c:pt>
                <c:pt idx="6">
                  <c:v>EV/Revenue</c:v>
                </c:pt>
                <c:pt idx="7">
                  <c:v>EV/EBITDA</c:v>
                </c:pt>
                <c:pt idx="8">
                  <c:v>DCF:</c:v>
                </c:pt>
                <c:pt idx="9">
                  <c:v>Equity Value </c:v>
                </c:pt>
              </c:strCache>
            </c:strRef>
          </c:cat>
          <c:val>
            <c:numRef>
              <c:f>' CROSS PLAY - FOOT BALL FIELD '!$F$4:$F$13</c:f>
              <c:numCache>
                <c:formatCode>_("$"* #,##0.00_);_("$"* \(#,##0.00\);_("$"* "-"??_);_(@_)</c:formatCode>
                <c:ptCount val="10"/>
                <c:pt idx="1">
                  <c:v>297.63809886530788</c:v>
                </c:pt>
                <c:pt idx="2">
                  <c:v>539.58556097560984</c:v>
                </c:pt>
                <c:pt idx="3">
                  <c:v>423.5752347417843</c:v>
                </c:pt>
                <c:pt idx="4">
                  <c:v>9.8213615023474272</c:v>
                </c:pt>
                <c:pt idx="6">
                  <c:v>234.6</c:v>
                </c:pt>
                <c:pt idx="7">
                  <c:v>238.24999999999969</c:v>
                </c:pt>
                <c:pt idx="9">
                  <c:v>141.59455141718516</c:v>
                </c:pt>
              </c:numCache>
            </c:numRef>
          </c:val>
          <c:extLst>
            <c:ext xmlns:c16="http://schemas.microsoft.com/office/drawing/2014/chart" uri="{C3380CC4-5D6E-409C-BE32-E72D297353CC}">
              <c16:uniqueId val="{00000004-C42F-F841-96C1-F8BE6A57B7BE}"/>
            </c:ext>
          </c:extLst>
        </c:ser>
        <c:dLbls>
          <c:showLegendKey val="0"/>
          <c:showVal val="0"/>
          <c:showCatName val="0"/>
          <c:showSerName val="0"/>
          <c:showPercent val="0"/>
          <c:showBubbleSize val="0"/>
        </c:dLbls>
        <c:gapWidth val="150"/>
        <c:overlap val="100"/>
        <c:axId val="554299007"/>
        <c:axId val="554331919"/>
      </c:barChart>
      <c:catAx>
        <c:axId val="55429900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554331919"/>
        <c:crosses val="autoZero"/>
        <c:auto val="1"/>
        <c:lblAlgn val="ctr"/>
        <c:lblOffset val="100"/>
        <c:noMultiLvlLbl val="0"/>
      </c:catAx>
      <c:valAx>
        <c:axId val="55433191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554299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6</xdr:col>
      <xdr:colOff>12568</xdr:colOff>
      <xdr:row>23</xdr:row>
      <xdr:rowOff>75445</xdr:rowOff>
    </xdr:from>
    <xdr:ext cx="1647231" cy="436786"/>
    <xdr:sp macro="" textlink="">
      <xdr:nvSpPr>
        <xdr:cNvPr id="2" name="TextBox 1">
          <a:extLst>
            <a:ext uri="{FF2B5EF4-FFF2-40B4-BE49-F238E27FC236}">
              <a16:creationId xmlns:a16="http://schemas.microsoft.com/office/drawing/2014/main" id="{E3394059-DED2-758F-529C-D47C622CF589}"/>
            </a:ext>
          </a:extLst>
        </xdr:cNvPr>
        <xdr:cNvSpPr txBox="1"/>
      </xdr:nvSpPr>
      <xdr:spPr>
        <a:xfrm flipH="1">
          <a:off x="5872172" y="4463861"/>
          <a:ext cx="1647231" cy="436786"/>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CROSS FIRE - O/S</a:t>
          </a:r>
          <a:r>
            <a:rPr lang="en-GB" sz="1100" baseline="0"/>
            <a:t> SHARES </a:t>
          </a:r>
        </a:p>
        <a:p>
          <a:endParaRPr lang="en-GB"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635000</xdr:colOff>
      <xdr:row>21</xdr:row>
      <xdr:rowOff>196192</xdr:rowOff>
    </xdr:from>
    <xdr:to>
      <xdr:col>13</xdr:col>
      <xdr:colOff>674414</xdr:colOff>
      <xdr:row>39</xdr:row>
      <xdr:rowOff>61310</xdr:rowOff>
    </xdr:to>
    <xdr:graphicFrame macro="">
      <xdr:nvGraphicFramePr>
        <xdr:cNvPr id="2" name="Chart 1">
          <a:extLst>
            <a:ext uri="{FF2B5EF4-FFF2-40B4-BE49-F238E27FC236}">
              <a16:creationId xmlns:a16="http://schemas.microsoft.com/office/drawing/2014/main" id="{639473DD-72D8-D28C-917E-CDF47D53AE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1739900</xdr:colOff>
      <xdr:row>17</xdr:row>
      <xdr:rowOff>19050</xdr:rowOff>
    </xdr:from>
    <xdr:to>
      <xdr:col>7</xdr:col>
      <xdr:colOff>622300</xdr:colOff>
      <xdr:row>42</xdr:row>
      <xdr:rowOff>165100</xdr:rowOff>
    </xdr:to>
    <xdr:graphicFrame macro="">
      <xdr:nvGraphicFramePr>
        <xdr:cNvPr id="4" name="Chart 3">
          <a:extLst>
            <a:ext uri="{FF2B5EF4-FFF2-40B4-BE49-F238E27FC236}">
              <a16:creationId xmlns:a16="http://schemas.microsoft.com/office/drawing/2014/main" id="{7C0E1BCE-34BF-D44C-35C3-E288FD2988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0.29128</cdr:x>
      <cdr:y>0.1083</cdr:y>
    </cdr:from>
    <cdr:to>
      <cdr:x>0.49165</cdr:x>
      <cdr:y>0.8706</cdr:y>
    </cdr:to>
    <cdr:sp macro="" textlink="">
      <cdr:nvSpPr>
        <cdr:cNvPr id="4" name="Rectangle 3">
          <a:extLst xmlns:a="http://schemas.openxmlformats.org/drawingml/2006/main">
            <a:ext uri="{FF2B5EF4-FFF2-40B4-BE49-F238E27FC236}">
              <a16:creationId xmlns:a16="http://schemas.microsoft.com/office/drawing/2014/main" id="{81831730-9BE6-2963-D21E-308946A97C0B}"/>
            </a:ext>
          </a:extLst>
        </cdr:cNvPr>
        <cdr:cNvSpPr/>
      </cdr:nvSpPr>
      <cdr:spPr>
        <a:xfrm xmlns:a="http://schemas.openxmlformats.org/drawingml/2006/main">
          <a:off x="1993919" y="488966"/>
          <a:ext cx="1371593" cy="3441670"/>
        </a:xfrm>
        <a:prstGeom xmlns:a="http://schemas.openxmlformats.org/drawingml/2006/main" prst="rect">
          <a:avLst/>
        </a:prstGeom>
        <a:noFill xmlns:a="http://schemas.openxmlformats.org/drawingml/2006/main"/>
        <a:ln xmlns:a="http://schemas.openxmlformats.org/drawingml/2006/main">
          <a:solidFill>
            <a:schemeClr val="bg1"/>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0.64193</cdr:x>
      <cdr:y>0.0225</cdr:y>
    </cdr:from>
    <cdr:to>
      <cdr:x>0.80519</cdr:x>
      <cdr:y>0.11111</cdr:y>
    </cdr:to>
    <cdr:pic>
      <cdr:nvPicPr>
        <cdr:cNvPr id="3" name="Picture 2">
          <a:extLst xmlns:a="http://schemas.openxmlformats.org/drawingml/2006/main">
            <a:ext uri="{FF2B5EF4-FFF2-40B4-BE49-F238E27FC236}">
              <a16:creationId xmlns:a16="http://schemas.microsoft.com/office/drawing/2014/main" id="{A8F1177A-1114-60AA-FA08-8D3ECC61D45B}"/>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4394200" y="101600"/>
          <a:ext cx="1117600" cy="400050"/>
        </a:xfrm>
        <a:prstGeom xmlns:a="http://schemas.openxmlformats.org/drawingml/2006/main" prst="rect">
          <a:avLst/>
        </a:prstGeom>
      </cdr:spPr>
    </cdr:pic>
  </cdr:relSizeAnchor>
</c:userShapes>
</file>

<file path=xl/drawings/drawing5.xml><?xml version="1.0" encoding="utf-8"?>
<xdr:wsDr xmlns:xdr="http://schemas.openxmlformats.org/drawingml/2006/spreadsheetDrawing" xmlns:a="http://schemas.openxmlformats.org/drawingml/2006/main">
  <xdr:twoCellAnchor>
    <xdr:from>
      <xdr:col>0</xdr:col>
      <xdr:colOff>1625600</xdr:colOff>
      <xdr:row>16</xdr:row>
      <xdr:rowOff>120650</xdr:rowOff>
    </xdr:from>
    <xdr:to>
      <xdr:col>11</xdr:col>
      <xdr:colOff>558800</xdr:colOff>
      <xdr:row>39</xdr:row>
      <xdr:rowOff>177800</xdr:rowOff>
    </xdr:to>
    <xdr:graphicFrame macro="">
      <xdr:nvGraphicFramePr>
        <xdr:cNvPr id="2" name="Chart 1">
          <a:extLst>
            <a:ext uri="{FF2B5EF4-FFF2-40B4-BE49-F238E27FC236}">
              <a16:creationId xmlns:a16="http://schemas.microsoft.com/office/drawing/2014/main" id="{3F08C333-A58B-E93E-B100-EFBEE7E22D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18</xdr:row>
      <xdr:rowOff>25400</xdr:rowOff>
    </xdr:from>
    <xdr:to>
      <xdr:col>5</xdr:col>
      <xdr:colOff>12700</xdr:colOff>
      <xdr:row>35</xdr:row>
      <xdr:rowOff>177800</xdr:rowOff>
    </xdr:to>
    <xdr:sp macro="" textlink="">
      <xdr:nvSpPr>
        <xdr:cNvPr id="3" name="Rectangle 2">
          <a:extLst>
            <a:ext uri="{FF2B5EF4-FFF2-40B4-BE49-F238E27FC236}">
              <a16:creationId xmlns:a16="http://schemas.microsoft.com/office/drawing/2014/main" id="{0E7673FA-3FF3-DF62-C26D-6CAB97DB3CAF}"/>
            </a:ext>
          </a:extLst>
        </xdr:cNvPr>
        <xdr:cNvSpPr/>
      </xdr:nvSpPr>
      <xdr:spPr>
        <a:xfrm>
          <a:off x="4318000" y="4178300"/>
          <a:ext cx="1612900" cy="4038600"/>
        </a:xfrm>
        <a:prstGeom prst="rect">
          <a:avLst/>
        </a:prstGeom>
        <a:noFill/>
        <a:ln w="1905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6.xml><?xml version="1.0" encoding="utf-8"?>
<c:userShapes xmlns:c="http://schemas.openxmlformats.org/drawingml/2006/chart">
  <cdr:relSizeAnchor xmlns:cdr="http://schemas.openxmlformats.org/drawingml/2006/chartDrawing">
    <cdr:from>
      <cdr:x>0.57789</cdr:x>
      <cdr:y>0.01792</cdr:y>
    </cdr:from>
    <cdr:to>
      <cdr:x>0.75377</cdr:x>
      <cdr:y>0.10633</cdr:y>
    </cdr:to>
    <cdr:pic>
      <cdr:nvPicPr>
        <cdr:cNvPr id="3" name="Picture 2">
          <a:extLst xmlns:a="http://schemas.openxmlformats.org/drawingml/2006/main">
            <a:ext uri="{FF2B5EF4-FFF2-40B4-BE49-F238E27FC236}">
              <a16:creationId xmlns:a16="http://schemas.microsoft.com/office/drawing/2014/main" id="{43218999-1282-473B-05E5-A02E07946ADD}"/>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842000" y="95250"/>
          <a:ext cx="1778000" cy="469900"/>
        </a:xfrm>
        <a:prstGeom xmlns:a="http://schemas.openxmlformats.org/drawingml/2006/main" prst="rect">
          <a:avLst/>
        </a:prstGeom>
      </cdr:spPr>
    </cdr:pic>
  </cdr:relSizeAnchor>
</c:userShapes>
</file>

<file path=xl/drawings/drawing7.xml><?xml version="1.0" encoding="utf-8"?>
<xdr:wsDr xmlns:xdr="http://schemas.openxmlformats.org/drawingml/2006/spreadsheetDrawing" xmlns:a="http://schemas.openxmlformats.org/drawingml/2006/main">
  <xdr:twoCellAnchor>
    <xdr:from>
      <xdr:col>5</xdr:col>
      <xdr:colOff>152400</xdr:colOff>
      <xdr:row>7</xdr:row>
      <xdr:rowOff>38100</xdr:rowOff>
    </xdr:from>
    <xdr:to>
      <xdr:col>23</xdr:col>
      <xdr:colOff>50800</xdr:colOff>
      <xdr:row>32</xdr:row>
      <xdr:rowOff>139700</xdr:rowOff>
    </xdr:to>
    <xdr:sp macro="" textlink="">
      <xdr:nvSpPr>
        <xdr:cNvPr id="2" name="TextBox 1">
          <a:extLst>
            <a:ext uri="{FF2B5EF4-FFF2-40B4-BE49-F238E27FC236}">
              <a16:creationId xmlns:a16="http://schemas.microsoft.com/office/drawing/2014/main" id="{518F1D91-825B-2403-B8BF-766C75102EE7}"/>
            </a:ext>
          </a:extLst>
        </xdr:cNvPr>
        <xdr:cNvSpPr txBox="1"/>
      </xdr:nvSpPr>
      <xdr:spPr>
        <a:xfrm>
          <a:off x="4533900" y="1371600"/>
          <a:ext cx="15671800" cy="48641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600" b="1">
              <a:solidFill>
                <a:srgbClr val="002060"/>
              </a:solidFill>
              <a:latin typeface="Times New Roman" panose="02020603050405020304" pitchFamily="18" charset="0"/>
              <a:cs typeface="Times New Roman" panose="02020603050405020304" pitchFamily="18" charset="0"/>
            </a:rPr>
            <a:t>QUESTION</a:t>
          </a:r>
          <a:r>
            <a:rPr lang="en-GB" sz="1600" b="1" baseline="0">
              <a:solidFill>
                <a:srgbClr val="002060"/>
              </a:solidFill>
              <a:latin typeface="Times New Roman" panose="02020603050405020304" pitchFamily="18" charset="0"/>
              <a:cs typeface="Times New Roman" panose="02020603050405020304" pitchFamily="18" charset="0"/>
            </a:rPr>
            <a:t> 2</a:t>
          </a:r>
          <a:endParaRPr lang="en-GB" sz="1600" b="1">
            <a:solidFill>
              <a:srgbClr val="002060"/>
            </a:solidFill>
            <a:latin typeface="Times New Roman" panose="02020603050405020304" pitchFamily="18" charset="0"/>
            <a:cs typeface="Times New Roman" panose="02020603050405020304" pitchFamily="18"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GB" sz="1600" b="1" baseline="0">
              <a:solidFill>
                <a:srgbClr val="FF0000"/>
              </a:solidFill>
              <a:latin typeface="Times New Roman" panose="02020603050405020304" pitchFamily="18" charset="0"/>
              <a:cs typeface="Times New Roman" panose="02020603050405020304" pitchFamily="18" charset="0"/>
            </a:rPr>
            <a:t>OPTION 1</a:t>
          </a:r>
          <a:r>
            <a:rPr lang="en-GB" sz="1600" baseline="0">
              <a:solidFill>
                <a:srgbClr val="FF0000"/>
              </a:solidFill>
              <a:latin typeface="Times New Roman" panose="02020603050405020304" pitchFamily="18" charset="0"/>
              <a:cs typeface="Times New Roman" panose="02020603050405020304" pitchFamily="18" charset="0"/>
            </a:rPr>
            <a:t>: </a:t>
          </a:r>
          <a:r>
            <a:rPr lang="en-CA" sz="1600" b="1" i="0" u="none" strike="noStrike">
              <a:solidFill>
                <a:schemeClr val="dk1"/>
              </a:solidFill>
              <a:effectLst/>
              <a:latin typeface="Times New Roman" panose="02020603050405020304" pitchFamily="18" charset="0"/>
              <a:ea typeface="+mn-ea"/>
              <a:cs typeface="Times New Roman" panose="02020603050405020304" pitchFamily="18" charset="0"/>
            </a:rPr>
            <a:t>We spun off Cross Play and focused on Cross Health. </a:t>
          </a:r>
          <a:r>
            <a:rPr lang="en-CA" sz="1600">
              <a:latin typeface="Times New Roman" panose="02020603050405020304" pitchFamily="18" charset="0"/>
              <a:cs typeface="Times New Roman" panose="02020603050405020304" pitchFamily="18" charset="0"/>
            </a:rPr>
            <a:t> </a:t>
          </a:r>
          <a:endParaRPr lang="en-CA" sz="1600" b="0" i="0" u="none" strike="noStrike">
            <a:solidFill>
              <a:schemeClr val="dk1"/>
            </a:solidFill>
            <a:effectLst/>
            <a:latin typeface="Times New Roman" panose="02020603050405020304" pitchFamily="18" charset="0"/>
            <a:ea typeface="+mn-ea"/>
            <a:cs typeface="Times New Roman" panose="02020603050405020304" pitchFamily="18" charset="0"/>
          </a:endParaRPr>
        </a:p>
        <a:p>
          <a:endParaRPr lang="en-GB" sz="1600">
            <a:solidFill>
              <a:srgbClr val="FF0000"/>
            </a:solidFill>
            <a:latin typeface="Times New Roman" panose="02020603050405020304" pitchFamily="18" charset="0"/>
            <a:cs typeface="Times New Roman" panose="02020603050405020304" pitchFamily="18" charset="0"/>
          </a:endParaRPr>
        </a:p>
        <a:p>
          <a:pPr algn="ctr"/>
          <a:r>
            <a:rPr lang="en-GB" sz="1600">
              <a:solidFill>
                <a:schemeClr val="accent5">
                  <a:lumMod val="50000"/>
                </a:schemeClr>
              </a:solidFill>
              <a:latin typeface="Times New Roman" panose="02020603050405020304" pitchFamily="18" charset="0"/>
              <a:cs typeface="Times New Roman" panose="02020603050405020304" pitchFamily="18" charset="0"/>
            </a:rPr>
            <a:t>The impact on shareholders</a:t>
          </a:r>
          <a:r>
            <a:rPr lang="en-GB" sz="1600" baseline="0">
              <a:solidFill>
                <a:schemeClr val="accent5">
                  <a:lumMod val="50000"/>
                </a:schemeClr>
              </a:solidFill>
              <a:latin typeface="Times New Roman" panose="02020603050405020304" pitchFamily="18" charset="0"/>
              <a:cs typeface="Times New Roman" panose="02020603050405020304" pitchFamily="18" charset="0"/>
            </a:rPr>
            <a:t> </a:t>
          </a:r>
          <a:r>
            <a:rPr lang="en-GB" sz="1600">
              <a:solidFill>
                <a:schemeClr val="accent5">
                  <a:lumMod val="50000"/>
                </a:schemeClr>
              </a:solidFill>
              <a:latin typeface="Times New Roman" panose="02020603050405020304" pitchFamily="18" charset="0"/>
              <a:cs typeface="Times New Roman" panose="02020603050405020304" pitchFamily="18" charset="0"/>
            </a:rPr>
            <a:t>by selling the cross-play and focusing</a:t>
          </a:r>
          <a:r>
            <a:rPr lang="en-GB" sz="1600" baseline="0">
              <a:solidFill>
                <a:schemeClr val="accent5">
                  <a:lumMod val="50000"/>
                </a:schemeClr>
              </a:solidFill>
              <a:latin typeface="Times New Roman" panose="02020603050405020304" pitchFamily="18" charset="0"/>
              <a:cs typeface="Times New Roman" panose="02020603050405020304" pitchFamily="18" charset="0"/>
            </a:rPr>
            <a:t> on cross-health has a  wide range of benefits . The shareholder of cross fire would  be  benefited in terms of dividends . Since health care is booming industry and technology is  being incorparated. The company would be considered a strong competitor by big eaters in the market . Moreover the risk of loss is comparatively less compared to previous </a:t>
          </a:r>
          <a:r>
            <a:rPr lang="en-GB" sz="1600" b="0">
              <a:solidFill>
                <a:schemeClr val="accent5">
                  <a:lumMod val="50000"/>
                </a:schemeClr>
              </a:solidFill>
              <a:effectLst/>
              <a:latin typeface="Times New Roman" panose="02020603050405020304" pitchFamily="18" charset="0"/>
              <a:ea typeface="+mn-ea"/>
              <a:cs typeface="Times New Roman" panose="02020603050405020304" pitchFamily="18" charset="0"/>
            </a:rPr>
            <a:t>scenarios</a:t>
          </a:r>
          <a:r>
            <a:rPr lang="en-IN" sz="1400" b="0">
              <a:solidFill>
                <a:schemeClr val="accent5">
                  <a:lumMod val="50000"/>
                </a:schemeClr>
              </a:solidFill>
              <a:effectLst/>
              <a:latin typeface="Times New Roman" panose="02020603050405020304" pitchFamily="18" charset="0"/>
              <a:cs typeface="Times New Roman" panose="02020603050405020304" pitchFamily="18" charset="0"/>
            </a:rPr>
            <a:t> </a:t>
          </a:r>
          <a:r>
            <a:rPr lang="en-GB" sz="1600" baseline="0">
              <a:solidFill>
                <a:schemeClr val="accent5">
                  <a:lumMod val="50000"/>
                </a:schemeClr>
              </a:solidFill>
              <a:latin typeface="Times New Roman" panose="02020603050405020304" pitchFamily="18" charset="0"/>
              <a:cs typeface="Times New Roman" panose="02020603050405020304" pitchFamily="18" charset="0"/>
            </a:rPr>
            <a:t> .</a:t>
          </a:r>
        </a:p>
        <a:p>
          <a:pPr algn="ctr"/>
          <a:r>
            <a:rPr lang="en-GB" sz="1600" baseline="0">
              <a:solidFill>
                <a:schemeClr val="accent5">
                  <a:lumMod val="50000"/>
                </a:schemeClr>
              </a:solidFill>
              <a:latin typeface="Times New Roman" panose="02020603050405020304" pitchFamily="18" charset="0"/>
              <a:cs typeface="Times New Roman" panose="02020603050405020304" pitchFamily="18" charset="0"/>
            </a:rPr>
            <a:t>Risk assessment play a vital role here .An important note here is  that since it has a growth </a:t>
          </a:r>
          <a:r>
            <a:rPr lang="en-GB" sz="1600" baseline="0">
              <a:solidFill>
                <a:srgbClr val="FF0000"/>
              </a:solidFill>
              <a:latin typeface="Times New Roman" panose="02020603050405020304" pitchFamily="18" charset="0"/>
              <a:cs typeface="Times New Roman" panose="02020603050405020304" pitchFamily="18" charset="0"/>
            </a:rPr>
            <a:t>of 5%, </a:t>
          </a:r>
          <a:r>
            <a:rPr lang="en-GB" sz="1600" baseline="0">
              <a:solidFill>
                <a:schemeClr val="accent5">
                  <a:lumMod val="50000"/>
                </a:schemeClr>
              </a:solidFill>
              <a:latin typeface="Times New Roman" panose="02020603050405020304" pitchFamily="18" charset="0"/>
              <a:cs typeface="Times New Roman" panose="02020603050405020304" pitchFamily="18" charset="0"/>
            </a:rPr>
            <a:t>where this percentages acts as a key deciding factor( </a:t>
          </a:r>
          <a:r>
            <a:rPr lang="en-GB" sz="1600" baseline="0">
              <a:solidFill>
                <a:srgbClr val="FF0000"/>
              </a:solidFill>
              <a:latin typeface="Times New Roman" panose="02020603050405020304" pitchFamily="18" charset="0"/>
              <a:cs typeface="Times New Roman" panose="02020603050405020304" pitchFamily="18" charset="0"/>
            </a:rPr>
            <a:t>For Stakeholders</a:t>
          </a:r>
          <a:r>
            <a:rPr lang="en-GB" sz="1600" baseline="0">
              <a:solidFill>
                <a:schemeClr val="accent5">
                  <a:lumMod val="50000"/>
                </a:schemeClr>
              </a:solidFill>
              <a:latin typeface="Times New Roman" panose="02020603050405020304" pitchFamily="18" charset="0"/>
              <a:cs typeface="Times New Roman" panose="02020603050405020304" pitchFamily="18" charset="0"/>
            </a:rPr>
            <a:t>)</a:t>
          </a:r>
          <a:r>
            <a:rPr lang="en-GB" sz="1600" baseline="0">
              <a:solidFill>
                <a:srgbClr val="FF0000"/>
              </a:solidFill>
              <a:latin typeface="Times New Roman" panose="02020603050405020304" pitchFamily="18" charset="0"/>
              <a:cs typeface="Times New Roman" panose="02020603050405020304" pitchFamily="18" charset="0"/>
            </a:rPr>
            <a:t> .</a:t>
          </a:r>
        </a:p>
        <a:p>
          <a:pPr algn="ctr"/>
          <a:endParaRPr lang="en-GB" sz="1600" baseline="0">
            <a:solidFill>
              <a:srgbClr val="FF0000"/>
            </a:solidFill>
            <a:latin typeface="Times New Roman" panose="02020603050405020304" pitchFamily="18" charset="0"/>
            <a:cs typeface="Times New Roman" panose="02020603050405020304" pitchFamily="18" charset="0"/>
          </a:endParaRPr>
        </a:p>
        <a:p>
          <a:endParaRPr lang="en-GB" sz="1600" baseline="0">
            <a:solidFill>
              <a:srgbClr val="FF0000"/>
            </a:solidFill>
            <a:latin typeface="Times New Roman" panose="02020603050405020304" pitchFamily="18" charset="0"/>
            <a:cs typeface="Times New Roman" panose="02020603050405020304" pitchFamily="18" charset="0"/>
          </a:endParaRPr>
        </a:p>
        <a:p>
          <a:endParaRPr lang="en-CA" sz="1600" b="1" i="0" u="none" strike="noStrike">
            <a:solidFill>
              <a:schemeClr val="dk1"/>
            </a:solidFill>
            <a:effectLst/>
            <a:latin typeface="+mn-lt"/>
            <a:ea typeface="+mn-ea"/>
            <a:cs typeface="+mn-cs"/>
          </a:endParaRPr>
        </a:p>
        <a:p>
          <a:pPr algn="ctr"/>
          <a:r>
            <a:rPr lang="en-CA" sz="1600" b="1" i="0" u="none" strike="noStrike">
              <a:solidFill>
                <a:srgbClr val="FF0000"/>
              </a:solidFill>
              <a:effectLst/>
              <a:latin typeface="Times New Roman" panose="02020603050405020304" pitchFamily="18" charset="0"/>
              <a:ea typeface="+mn-ea"/>
              <a:cs typeface="Times New Roman" panose="02020603050405020304" pitchFamily="18" charset="0"/>
            </a:rPr>
            <a:t>OPTION</a:t>
          </a:r>
          <a:r>
            <a:rPr lang="en-CA" sz="1600" b="1" i="0" u="none" strike="noStrike" baseline="0">
              <a:solidFill>
                <a:srgbClr val="FF0000"/>
              </a:solidFill>
              <a:effectLst/>
              <a:latin typeface="Times New Roman" panose="02020603050405020304" pitchFamily="18" charset="0"/>
              <a:ea typeface="+mn-ea"/>
              <a:cs typeface="Times New Roman" panose="02020603050405020304" pitchFamily="18" charset="0"/>
            </a:rPr>
            <a:t> </a:t>
          </a:r>
          <a:r>
            <a:rPr lang="en-CA" sz="1600" b="1" i="0" u="none" strike="noStrike">
              <a:solidFill>
                <a:srgbClr val="FF0000"/>
              </a:solidFill>
              <a:effectLst/>
              <a:latin typeface="Times New Roman" panose="02020603050405020304" pitchFamily="18" charset="0"/>
              <a:ea typeface="+mn-ea"/>
              <a:cs typeface="Times New Roman" panose="02020603050405020304" pitchFamily="18" charset="0"/>
            </a:rPr>
            <a:t>2</a:t>
          </a:r>
          <a:r>
            <a:rPr lang="en-CA" sz="1600" b="1" i="0" u="none" strike="noStrike">
              <a:solidFill>
                <a:schemeClr val="dk1"/>
              </a:solidFill>
              <a:effectLst/>
              <a:latin typeface="Times New Roman" panose="02020603050405020304" pitchFamily="18" charset="0"/>
              <a:ea typeface="+mn-ea"/>
              <a:cs typeface="Times New Roman" panose="02020603050405020304" pitchFamily="18" charset="0"/>
            </a:rPr>
            <a:t>:</a:t>
          </a:r>
          <a:r>
            <a:rPr lang="en-CA" sz="1600">
              <a:latin typeface="Times New Roman" panose="02020603050405020304" pitchFamily="18" charset="0"/>
              <a:cs typeface="Times New Roman" panose="02020603050405020304" pitchFamily="18" charset="0"/>
            </a:rPr>
            <a:t> </a:t>
          </a:r>
          <a:r>
            <a:rPr lang="en-CA" sz="1600" b="1" i="0" u="none" strike="noStrike">
              <a:solidFill>
                <a:schemeClr val="dk1"/>
              </a:solidFill>
              <a:effectLst/>
              <a:latin typeface="Times New Roman" panose="02020603050405020304" pitchFamily="18" charset="0"/>
              <a:ea typeface="+mn-ea"/>
              <a:cs typeface="Times New Roman" panose="02020603050405020304" pitchFamily="18" charset="0"/>
            </a:rPr>
            <a:t>We acquired First Fighter and integrated this platform with CrossPlay</a:t>
          </a:r>
          <a:endParaRPr lang="en-GB" sz="1600" baseline="0">
            <a:solidFill>
              <a:srgbClr val="FF0000"/>
            </a:solidFill>
            <a:latin typeface="Times New Roman" panose="02020603050405020304" pitchFamily="18" charset="0"/>
            <a:cs typeface="Times New Roman" panose="02020603050405020304" pitchFamily="18" charset="0"/>
          </a:endParaRPr>
        </a:p>
        <a:p>
          <a:r>
            <a:rPr lang="en-GB" sz="1600" baseline="0">
              <a:solidFill>
                <a:srgbClr val="FF0000"/>
              </a:solidFill>
              <a:latin typeface="Times New Roman" panose="02020603050405020304" pitchFamily="18" charset="0"/>
              <a:cs typeface="Times New Roman" panose="02020603050405020304" pitchFamily="18" charset="0"/>
            </a:rPr>
            <a:t>          </a:t>
          </a:r>
        </a:p>
        <a:p>
          <a:endParaRPr lang="en-GB" sz="1600" baseline="0">
            <a:solidFill>
              <a:srgbClr val="FF0000"/>
            </a:solidFill>
            <a:latin typeface="Times New Roman" panose="02020603050405020304" pitchFamily="18" charset="0"/>
            <a:cs typeface="Times New Roman" panose="02020603050405020304" pitchFamily="18" charset="0"/>
          </a:endParaRPr>
        </a:p>
        <a:p>
          <a:pPr algn="ctr"/>
          <a:r>
            <a:rPr lang="en-GB" sz="1600" baseline="0">
              <a:solidFill>
                <a:schemeClr val="accent5">
                  <a:lumMod val="50000"/>
                </a:schemeClr>
              </a:solidFill>
              <a:latin typeface="Times New Roman" panose="02020603050405020304" pitchFamily="18" charset="0"/>
              <a:cs typeface="Times New Roman" panose="02020603050405020304" pitchFamily="18" charset="0"/>
            </a:rPr>
            <a:t>The acquisition of firefighter  plays a major role in business expansion and becoming a strong player in the market . And the firm value increases potentially to a great extent .</a:t>
          </a:r>
        </a:p>
        <a:p>
          <a:pPr algn="ctr"/>
          <a:r>
            <a:rPr lang="en-GB" sz="1600" baseline="0">
              <a:solidFill>
                <a:schemeClr val="accent5">
                  <a:lumMod val="50000"/>
                </a:schemeClr>
              </a:solidFill>
              <a:latin typeface="Times New Roman" panose="02020603050405020304" pitchFamily="18" charset="0"/>
              <a:cs typeface="Times New Roman" panose="02020603050405020304" pitchFamily="18" charset="0"/>
            </a:rPr>
            <a:t>Moreover  this acquisition is a great way to  attract new stakeholders and this video games can be useful  during training  period  by military  workers . This a great way to enhance the impact on the overall  health of the firm </a:t>
          </a:r>
          <a:r>
            <a:rPr lang="en-GB" sz="1600" baseline="0">
              <a:solidFill>
                <a:srgbClr val="FF0000"/>
              </a:solidFill>
              <a:latin typeface="Times New Roman" panose="02020603050405020304" pitchFamily="18" charset="0"/>
              <a:cs typeface="Times New Roman" panose="02020603050405020304" pitchFamily="18" charset="0"/>
            </a:rPr>
            <a:t>( Brand visibility </a:t>
          </a:r>
          <a:r>
            <a:rPr lang="en-GB" sz="1600" baseline="0">
              <a:solidFill>
                <a:schemeClr val="accent5">
                  <a:lumMod val="50000"/>
                </a:schemeClr>
              </a:solidFill>
              <a:latin typeface="Times New Roman" panose="02020603050405020304" pitchFamily="18" charset="0"/>
              <a:cs typeface="Times New Roman" panose="02020603050405020304" pitchFamily="18" charset="0"/>
            </a:rPr>
            <a:t>). Both in terms of Financial as well as technological aspects .Moreover the cross fire increases the access to resources which is needed to boost the current operations. </a:t>
          </a:r>
        </a:p>
        <a:p>
          <a:pPr algn="ctr"/>
          <a:endParaRPr lang="en-GB" sz="1600" baseline="0">
            <a:solidFill>
              <a:schemeClr val="accent5">
                <a:lumMod val="50000"/>
              </a:schemeClr>
            </a:solidFill>
            <a:latin typeface="Times New Roman" panose="02020603050405020304" pitchFamily="18" charset="0"/>
            <a:cs typeface="Times New Roman" panose="02020603050405020304" pitchFamily="18" charset="0"/>
          </a:endParaRPr>
        </a:p>
        <a:p>
          <a:endParaRPr lang="en-GB" sz="1600" baseline="0">
            <a:solidFill>
              <a:schemeClr val="accent5">
                <a:lumMod val="50000"/>
              </a:schemeClr>
            </a:solidFill>
            <a:latin typeface="Times New Roman" panose="02020603050405020304" pitchFamily="18" charset="0"/>
            <a:cs typeface="Times New Roman" panose="02020603050405020304" pitchFamily="18" charset="0"/>
          </a:endParaRPr>
        </a:p>
        <a:p>
          <a:r>
            <a:rPr lang="en-GB" sz="1600" baseline="0">
              <a:solidFill>
                <a:schemeClr val="accent5">
                  <a:lumMod val="50000"/>
                </a:schemeClr>
              </a:solidFill>
              <a:latin typeface="Times New Roman" panose="02020603050405020304" pitchFamily="18" charset="0"/>
              <a:cs typeface="Times New Roman" panose="02020603050405020304" pitchFamily="18" charset="0"/>
            </a:rPr>
            <a:t> </a:t>
          </a:r>
          <a:endParaRPr lang="en-GB" sz="1600">
            <a:solidFill>
              <a:schemeClr val="accent5">
                <a:lumMod val="50000"/>
              </a:schemeClr>
            </a:solidFill>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158823</xdr:colOff>
      <xdr:row>2</xdr:row>
      <xdr:rowOff>185390</xdr:rowOff>
    </xdr:from>
    <xdr:to>
      <xdr:col>25</xdr:col>
      <xdr:colOff>160574</xdr:colOff>
      <xdr:row>40</xdr:row>
      <xdr:rowOff>96490</xdr:rowOff>
    </xdr:to>
    <xdr:sp macro="" textlink="">
      <xdr:nvSpPr>
        <xdr:cNvPr id="2" name="TextBox 1">
          <a:extLst>
            <a:ext uri="{FF2B5EF4-FFF2-40B4-BE49-F238E27FC236}">
              <a16:creationId xmlns:a16="http://schemas.microsoft.com/office/drawing/2014/main" id="{3891EE2C-4E35-1498-E71D-EB876BBCE25F}"/>
            </a:ext>
          </a:extLst>
        </xdr:cNvPr>
        <xdr:cNvSpPr txBox="1"/>
      </xdr:nvSpPr>
      <xdr:spPr>
        <a:xfrm>
          <a:off x="1910547" y="564930"/>
          <a:ext cx="20146579" cy="712236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400" b="1" i="0">
              <a:solidFill>
                <a:srgbClr val="002060"/>
              </a:solidFill>
              <a:effectLst/>
              <a:latin typeface="Times New Roman" panose="02020603050405020304" pitchFamily="18" charset="0"/>
              <a:ea typeface="+mn-ea"/>
              <a:cs typeface="Times New Roman" panose="02020603050405020304" pitchFamily="18" charset="0"/>
            </a:rPr>
            <a:t>QUESTION</a:t>
          </a:r>
          <a:r>
            <a:rPr lang="en-CA" sz="1400" b="1" i="0" baseline="0">
              <a:solidFill>
                <a:srgbClr val="002060"/>
              </a:solidFill>
              <a:effectLst/>
              <a:latin typeface="Times New Roman" panose="02020603050405020304" pitchFamily="18" charset="0"/>
              <a:ea typeface="+mn-ea"/>
              <a:cs typeface="Times New Roman" panose="02020603050405020304" pitchFamily="18" charset="0"/>
            </a:rPr>
            <a:t> 3</a:t>
          </a:r>
          <a:endParaRPr lang="en-CA" sz="1400" b="1" i="0">
            <a:solidFill>
              <a:srgbClr val="002060"/>
            </a:solidFill>
            <a:effectLst/>
            <a:latin typeface="Times New Roman" panose="02020603050405020304" pitchFamily="18" charset="0"/>
            <a:ea typeface="+mn-ea"/>
            <a:cs typeface="Times New Roman" panose="02020603050405020304" pitchFamily="18" charset="0"/>
          </a:endParaRPr>
        </a:p>
        <a:p>
          <a:pPr algn="ctr"/>
          <a:r>
            <a:rPr lang="en-CA" sz="1400" b="1" i="0">
              <a:solidFill>
                <a:schemeClr val="tx1"/>
              </a:solidFill>
              <a:effectLst/>
              <a:latin typeface="Times New Roman" panose="02020603050405020304" pitchFamily="18" charset="0"/>
              <a:ea typeface="+mn-ea"/>
              <a:cs typeface="Times New Roman" panose="02020603050405020304" pitchFamily="18" charset="0"/>
            </a:rPr>
            <a:t>Trade-offs between options</a:t>
          </a:r>
          <a:r>
            <a:rPr lang="en-CA" sz="1400" b="1" i="0" baseline="0">
              <a:solidFill>
                <a:schemeClr val="tx1"/>
              </a:solidFill>
              <a:effectLst/>
              <a:latin typeface="Times New Roman" panose="02020603050405020304" pitchFamily="18" charset="0"/>
              <a:ea typeface="+mn-ea"/>
              <a:cs typeface="Times New Roman" panose="02020603050405020304" pitchFamily="18" charset="0"/>
            </a:rPr>
            <a:t>  availabe </a:t>
          </a:r>
          <a:r>
            <a:rPr lang="en-CA" sz="1400" b="1" i="0">
              <a:solidFill>
                <a:schemeClr val="tx1"/>
              </a:solidFill>
              <a:effectLst/>
              <a:latin typeface="Times New Roman" panose="02020603050405020304" pitchFamily="18" charset="0"/>
              <a:ea typeface="+mn-ea"/>
              <a:cs typeface="Times New Roman" panose="02020603050405020304" pitchFamily="18" charset="0"/>
            </a:rPr>
            <a:t>for CrossFire:</a:t>
          </a:r>
          <a:endParaRPr lang="en-CA" sz="1400" b="0" i="0">
            <a:solidFill>
              <a:schemeClr val="tx1"/>
            </a:solidFill>
            <a:effectLst/>
            <a:latin typeface="Times New Roman" panose="02020603050405020304" pitchFamily="18" charset="0"/>
            <a:ea typeface="+mn-ea"/>
            <a:cs typeface="Times New Roman" panose="02020603050405020304" pitchFamily="18" charset="0"/>
          </a:endParaRPr>
        </a:p>
        <a:p>
          <a:pPr algn="ctr"/>
          <a:r>
            <a:rPr lang="en-CA" sz="1400" b="1" i="0">
              <a:solidFill>
                <a:schemeClr val="tx1"/>
              </a:solidFill>
              <a:effectLst/>
              <a:latin typeface="Times New Roman" panose="02020603050405020304" pitchFamily="18" charset="0"/>
              <a:ea typeface="+mn-ea"/>
              <a:cs typeface="Times New Roman" panose="02020603050405020304" pitchFamily="18" charset="0"/>
            </a:rPr>
            <a:t>CrossHealth (OPTION 1):</a:t>
          </a:r>
          <a:endParaRPr lang="en-CA" sz="1400" b="0" i="0">
            <a:solidFill>
              <a:schemeClr val="tx1"/>
            </a:solidFill>
            <a:effectLst/>
            <a:latin typeface="Times New Roman" panose="02020603050405020304" pitchFamily="18" charset="0"/>
            <a:ea typeface="+mn-ea"/>
            <a:cs typeface="Times New Roman" panose="02020603050405020304" pitchFamily="18" charset="0"/>
          </a:endParaRPr>
        </a:p>
        <a:p>
          <a:pPr algn="ctr"/>
          <a:r>
            <a:rPr lang="en-CA" sz="1400" b="1" i="0">
              <a:solidFill>
                <a:schemeClr val="tx1"/>
              </a:solidFill>
              <a:effectLst/>
              <a:latin typeface="Times New Roman" panose="02020603050405020304" pitchFamily="18" charset="0"/>
              <a:ea typeface="+mn-ea"/>
              <a:cs typeface="Times New Roman" panose="02020603050405020304" pitchFamily="18" charset="0"/>
            </a:rPr>
            <a:t>ADVANTAGES</a:t>
          </a:r>
          <a:r>
            <a:rPr lang="en-CA" sz="1400" b="0" i="1" baseline="0">
              <a:solidFill>
                <a:schemeClr val="tx1"/>
              </a:solidFill>
              <a:effectLst/>
              <a:latin typeface="Times New Roman" panose="02020603050405020304" pitchFamily="18" charset="0"/>
              <a:ea typeface="+mn-ea"/>
              <a:cs typeface="Times New Roman" panose="02020603050405020304" pitchFamily="18" charset="0"/>
            </a:rPr>
            <a:t> </a:t>
          </a:r>
          <a:r>
            <a:rPr lang="en-CA" sz="1400" b="0" i="1">
              <a:solidFill>
                <a:schemeClr val="tx1"/>
              </a:solidFill>
              <a:effectLst/>
              <a:latin typeface="Times New Roman" panose="02020603050405020304" pitchFamily="18" charset="0"/>
              <a:ea typeface="+mn-ea"/>
              <a:cs typeface="Times New Roman" panose="02020603050405020304" pitchFamily="18" charset="0"/>
            </a:rPr>
            <a:t>:</a:t>
          </a:r>
          <a:endParaRPr lang="en-CA" sz="1400" b="0" i="0">
            <a:solidFill>
              <a:schemeClr val="tx1"/>
            </a:solidFill>
            <a:effectLst/>
            <a:latin typeface="Times New Roman" panose="02020603050405020304" pitchFamily="18" charset="0"/>
            <a:ea typeface="+mn-ea"/>
            <a:cs typeface="Times New Roman" panose="02020603050405020304" pitchFamily="18" charset="0"/>
          </a:endParaRPr>
        </a:p>
        <a:p>
          <a:pPr algn="l"/>
          <a:r>
            <a:rPr lang="en-CA" sz="1400" b="0" i="0">
              <a:solidFill>
                <a:srgbClr val="002060"/>
              </a:solidFill>
              <a:effectLst/>
              <a:latin typeface="Times New Roman" panose="02020603050405020304" pitchFamily="18" charset="0"/>
              <a:ea typeface="+mn-ea"/>
              <a:cs typeface="Times New Roman" panose="02020603050405020304" pitchFamily="18" charset="0"/>
            </a:rPr>
            <a:t>-</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 </a:t>
          </a:r>
          <a:r>
            <a:rPr lang="en-CA" sz="1400" b="1" i="0" baseline="0">
              <a:solidFill>
                <a:schemeClr val="accent6">
                  <a:lumMod val="50000"/>
                </a:schemeClr>
              </a:solidFill>
              <a:effectLst/>
              <a:latin typeface="Times New Roman" panose="02020603050405020304" pitchFamily="18" charset="0"/>
              <a:ea typeface="+mn-ea"/>
              <a:cs typeface="Times New Roman" panose="02020603050405020304" pitchFamily="18" charset="0"/>
            </a:rPr>
            <a:t>Growth</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 : There would a steady growth in the field of healthcare business and the stakeholders can generate a strong  dividend than before  </a:t>
          </a:r>
          <a:r>
            <a:rPr lang="en-CA" sz="1400" b="0" i="0">
              <a:solidFill>
                <a:srgbClr val="002060"/>
              </a:solidFill>
              <a:effectLst/>
              <a:latin typeface="Times New Roman" panose="02020603050405020304" pitchFamily="18" charset="0"/>
              <a:ea typeface="+mn-ea"/>
              <a:cs typeface="Times New Roman" panose="02020603050405020304" pitchFamily="18" charset="0"/>
            </a:rPr>
            <a:t>.</a:t>
          </a:r>
        </a:p>
        <a:p>
          <a:pPr algn="l"/>
          <a:r>
            <a:rPr lang="en-CA" sz="1400" b="0" i="0">
              <a:solidFill>
                <a:srgbClr val="002060"/>
              </a:solidFill>
              <a:effectLst/>
              <a:latin typeface="Times New Roman" panose="02020603050405020304" pitchFamily="18" charset="0"/>
              <a:ea typeface="+mn-ea"/>
              <a:cs typeface="Times New Roman" panose="02020603050405020304" pitchFamily="18" charset="0"/>
            </a:rPr>
            <a:t>-</a:t>
          </a:r>
          <a:r>
            <a:rPr lang="en-CA" sz="1400" b="1" i="0">
              <a:solidFill>
                <a:schemeClr val="accent6">
                  <a:lumMod val="50000"/>
                </a:schemeClr>
              </a:solidFill>
              <a:effectLst/>
              <a:latin typeface="Times New Roman" panose="02020603050405020304" pitchFamily="18" charset="0"/>
              <a:ea typeface="+mn-ea"/>
              <a:cs typeface="Times New Roman" panose="02020603050405020304" pitchFamily="18" charset="0"/>
            </a:rPr>
            <a:t>Financial</a:t>
          </a:r>
          <a:r>
            <a:rPr lang="en-CA" sz="1400" b="1" i="0" baseline="0">
              <a:solidFill>
                <a:schemeClr val="accent6">
                  <a:lumMod val="50000"/>
                </a:schemeClr>
              </a:solidFill>
              <a:effectLst/>
              <a:latin typeface="Times New Roman" panose="02020603050405020304" pitchFamily="18" charset="0"/>
              <a:ea typeface="+mn-ea"/>
              <a:cs typeface="Times New Roman" panose="02020603050405020304" pitchFamily="18" charset="0"/>
            </a:rPr>
            <a:t> health</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 : The financial health would improve rapidly . This would create a positive impact and develop a trust among the shareholders </a:t>
          </a:r>
        </a:p>
        <a:p>
          <a:pPr algn="l"/>
          <a:r>
            <a:rPr lang="en-CA" sz="1400" b="0" i="0" baseline="0">
              <a:solidFill>
                <a:srgbClr val="002060"/>
              </a:solidFill>
              <a:effectLst/>
              <a:latin typeface="Times New Roman" panose="02020603050405020304" pitchFamily="18" charset="0"/>
              <a:ea typeface="+mn-ea"/>
              <a:cs typeface="Times New Roman" panose="02020603050405020304" pitchFamily="18" charset="0"/>
            </a:rPr>
            <a:t>-</a:t>
          </a:r>
          <a:r>
            <a:rPr lang="en-CA" sz="1400" b="1" i="0" baseline="0">
              <a:solidFill>
                <a:schemeClr val="accent6">
                  <a:lumMod val="50000"/>
                </a:schemeClr>
              </a:solidFill>
              <a:effectLst/>
              <a:latin typeface="Times New Roman" panose="02020603050405020304" pitchFamily="18" charset="0"/>
              <a:ea typeface="+mn-ea"/>
              <a:cs typeface="Times New Roman" panose="02020603050405020304" pitchFamily="18" charset="0"/>
            </a:rPr>
            <a:t>Customers</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 : The strong financial health would attract new customers into the market . which is a great advantage for cross fire .</a:t>
          </a:r>
        </a:p>
        <a:p>
          <a:pPr algn="l"/>
          <a:r>
            <a:rPr lang="en-CA" sz="1400" b="0" i="0" baseline="0">
              <a:solidFill>
                <a:srgbClr val="002060"/>
              </a:solidFill>
              <a:effectLst/>
              <a:latin typeface="Times New Roman" panose="02020603050405020304" pitchFamily="18" charset="0"/>
              <a:ea typeface="+mn-ea"/>
              <a:cs typeface="Times New Roman" panose="02020603050405020304" pitchFamily="18" charset="0"/>
            </a:rPr>
            <a:t>- </a:t>
          </a:r>
          <a:r>
            <a:rPr lang="en-CA" sz="1400" b="1" i="0" baseline="0">
              <a:solidFill>
                <a:schemeClr val="accent6">
                  <a:lumMod val="50000"/>
                </a:schemeClr>
              </a:solidFill>
              <a:effectLst/>
              <a:latin typeface="Times New Roman" panose="02020603050405020304" pitchFamily="18" charset="0"/>
              <a:ea typeface="+mn-ea"/>
              <a:cs typeface="Times New Roman" panose="02020603050405020304" pitchFamily="18" charset="0"/>
            </a:rPr>
            <a:t>Brand Identity</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 The  company would be considered popular as they have a sound background  and it would help them last long in the market.</a:t>
          </a:r>
          <a:endParaRPr lang="en-CA" sz="1400" b="0" i="0">
            <a:solidFill>
              <a:srgbClr val="002060"/>
            </a:solidFill>
            <a:effectLst/>
            <a:latin typeface="Times New Roman" panose="02020603050405020304" pitchFamily="18" charset="0"/>
            <a:ea typeface="+mn-ea"/>
            <a:cs typeface="Times New Roman" panose="02020603050405020304" pitchFamily="18" charset="0"/>
          </a:endParaRPr>
        </a:p>
        <a:p>
          <a:pPr algn="l"/>
          <a:endParaRPr lang="en-CA" sz="1400" b="0" i="0">
            <a:solidFill>
              <a:srgbClr val="002060"/>
            </a:solidFill>
            <a:effectLst/>
            <a:latin typeface="Times New Roman" panose="02020603050405020304" pitchFamily="18" charset="0"/>
            <a:ea typeface="+mn-ea"/>
            <a:cs typeface="Times New Roman" panose="02020603050405020304" pitchFamily="18" charset="0"/>
          </a:endParaRPr>
        </a:p>
        <a:p>
          <a:pPr algn="ctr"/>
          <a:r>
            <a:rPr lang="en-CA" sz="1400" b="1" i="0">
              <a:solidFill>
                <a:schemeClr val="tx1"/>
              </a:solidFill>
              <a:effectLst/>
              <a:latin typeface="Times New Roman" panose="02020603050405020304" pitchFamily="18" charset="0"/>
              <a:ea typeface="+mn-ea"/>
              <a:cs typeface="Times New Roman" panose="02020603050405020304" pitchFamily="18" charset="0"/>
            </a:rPr>
            <a:t>DISADVANTAGE</a:t>
          </a:r>
          <a:r>
            <a:rPr lang="en-CA" sz="1400" b="1" i="0" baseline="0">
              <a:solidFill>
                <a:schemeClr val="tx1"/>
              </a:solidFill>
              <a:effectLst/>
              <a:latin typeface="Times New Roman" panose="02020603050405020304" pitchFamily="18" charset="0"/>
              <a:ea typeface="+mn-ea"/>
              <a:cs typeface="Times New Roman" panose="02020603050405020304" pitchFamily="18" charset="0"/>
            </a:rPr>
            <a:t> :</a:t>
          </a:r>
        </a:p>
        <a:p>
          <a:pPr algn="l"/>
          <a:r>
            <a:rPr lang="en-CA" sz="1400" b="0" i="1" baseline="0">
              <a:solidFill>
                <a:schemeClr val="tx1"/>
              </a:solidFill>
              <a:effectLst/>
              <a:latin typeface="Times New Roman" panose="02020603050405020304" pitchFamily="18" charset="0"/>
              <a:ea typeface="+mn-ea"/>
              <a:cs typeface="Times New Roman" panose="02020603050405020304" pitchFamily="18" charset="0"/>
            </a:rPr>
            <a:t>- </a:t>
          </a:r>
          <a:r>
            <a:rPr lang="en-CA" sz="1400" b="1" i="0" baseline="0">
              <a:solidFill>
                <a:srgbClr val="FF0000"/>
              </a:solidFill>
              <a:effectLst/>
              <a:latin typeface="Times New Roman" panose="02020603050405020304" pitchFamily="18" charset="0"/>
              <a:ea typeface="+mn-ea"/>
              <a:cs typeface="Times New Roman" panose="02020603050405020304" pitchFamily="18" charset="0"/>
            </a:rPr>
            <a:t>Legal costs </a:t>
          </a:r>
          <a:r>
            <a:rPr lang="en-CA" sz="1400" b="0" i="0" baseline="0">
              <a:solidFill>
                <a:schemeClr val="tx1"/>
              </a:solidFill>
              <a:effectLst/>
              <a:latin typeface="Times New Roman" panose="02020603050405020304" pitchFamily="18" charset="0"/>
              <a:ea typeface="+mn-ea"/>
              <a:cs typeface="Times New Roman" panose="02020603050405020304" pitchFamily="18" charset="0"/>
            </a:rPr>
            <a:t>: </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The disadvantage would be a legal cost involved in selling cross play , which is usually high . moreover it has lots of procedures to be followed .</a:t>
          </a:r>
          <a:endParaRPr lang="en-CA" sz="1400" b="0" i="0">
            <a:solidFill>
              <a:srgbClr val="002060"/>
            </a:solidFill>
            <a:effectLst/>
            <a:latin typeface="Times New Roman" panose="02020603050405020304" pitchFamily="18" charset="0"/>
            <a:ea typeface="+mn-ea"/>
            <a:cs typeface="Times New Roman" panose="02020603050405020304" pitchFamily="18" charset="0"/>
          </a:endParaRPr>
        </a:p>
        <a:p>
          <a:pPr algn="l"/>
          <a:r>
            <a:rPr lang="en-CA" sz="1400" b="0" i="0">
              <a:solidFill>
                <a:srgbClr val="002060"/>
              </a:solidFill>
              <a:effectLst/>
              <a:latin typeface="Times New Roman" panose="02020603050405020304" pitchFamily="18" charset="0"/>
              <a:ea typeface="+mn-ea"/>
              <a:cs typeface="Times New Roman" panose="02020603050405020304" pitchFamily="18" charset="0"/>
            </a:rPr>
            <a:t>-</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 </a:t>
          </a:r>
          <a:r>
            <a:rPr lang="en-CA" sz="1400" b="1" i="0">
              <a:solidFill>
                <a:srgbClr val="FF0000"/>
              </a:solidFill>
              <a:effectLst/>
              <a:latin typeface="Times New Roman" panose="02020603050405020304" pitchFamily="18" charset="0"/>
              <a:ea typeface="+mn-ea"/>
              <a:cs typeface="Times New Roman" panose="02020603050405020304" pitchFamily="18" charset="0"/>
            </a:rPr>
            <a:t>Loss of Diversification</a:t>
          </a:r>
          <a:r>
            <a:rPr lang="en-CA" sz="1400" b="1" i="0">
              <a:solidFill>
                <a:srgbClr val="002060"/>
              </a:solidFill>
              <a:effectLst/>
              <a:latin typeface="Times New Roman" panose="02020603050405020304" pitchFamily="18" charset="0"/>
              <a:ea typeface="+mn-ea"/>
              <a:cs typeface="Times New Roman" panose="02020603050405020304" pitchFamily="18" charset="0"/>
            </a:rPr>
            <a:t>: </a:t>
          </a:r>
          <a:r>
            <a:rPr lang="en-CA" sz="1400" b="1" i="0" baseline="0">
              <a:solidFill>
                <a:srgbClr val="002060"/>
              </a:solidFill>
              <a:effectLst/>
              <a:latin typeface="Times New Roman" panose="02020603050405020304" pitchFamily="18" charset="0"/>
              <a:ea typeface="+mn-ea"/>
              <a:cs typeface="Times New Roman" panose="02020603050405020304" pitchFamily="18" charset="0"/>
            </a:rPr>
            <a:t> </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Selling </a:t>
          </a:r>
          <a:r>
            <a:rPr lang="en-CA" sz="1400" b="0" i="0">
              <a:solidFill>
                <a:srgbClr val="002060"/>
              </a:solidFill>
              <a:effectLst/>
              <a:latin typeface="Times New Roman" panose="02020603050405020304" pitchFamily="18" charset="0"/>
              <a:ea typeface="+mn-ea"/>
              <a:cs typeface="Times New Roman" panose="02020603050405020304" pitchFamily="18" charset="0"/>
            </a:rPr>
            <a:t> CrossPlay </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 would lead to </a:t>
          </a:r>
          <a:r>
            <a:rPr lang="en-CA" sz="1400" b="0" i="0">
              <a:solidFill>
                <a:srgbClr val="002060"/>
              </a:solidFill>
              <a:effectLst/>
              <a:latin typeface="Times New Roman" panose="02020603050405020304" pitchFamily="18" charset="0"/>
              <a:ea typeface="+mn-ea"/>
              <a:cs typeface="Times New Roman" panose="02020603050405020304" pitchFamily="18" charset="0"/>
            </a:rPr>
            <a:t> diversification</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 and they would be foced to work under high risk , in other words depend on one specific field of business . </a:t>
          </a:r>
        </a:p>
        <a:p>
          <a:pPr algn="l"/>
          <a:r>
            <a:rPr lang="en-CA" sz="1400" b="0" i="0" baseline="0">
              <a:solidFill>
                <a:srgbClr val="002060"/>
              </a:solidFill>
              <a:effectLst/>
              <a:latin typeface="Times New Roman" panose="02020603050405020304" pitchFamily="18" charset="0"/>
              <a:ea typeface="+mn-ea"/>
              <a:cs typeface="Times New Roman" panose="02020603050405020304" pitchFamily="18" charset="0"/>
            </a:rPr>
            <a:t>- </a:t>
          </a:r>
          <a:r>
            <a:rPr lang="en-CA" sz="1400" b="1" i="0" baseline="0">
              <a:solidFill>
                <a:srgbClr val="FF0000"/>
              </a:solidFill>
              <a:effectLst/>
              <a:latin typeface="Times New Roman" panose="02020603050405020304" pitchFamily="18" charset="0"/>
              <a:ea typeface="+mn-ea"/>
              <a:cs typeface="Times New Roman" panose="02020603050405020304" pitchFamily="18" charset="0"/>
            </a:rPr>
            <a:t>Clients</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 : The company would lose their customers who are interested in the field of technology and video games . This would be a great loss for their company .</a:t>
          </a:r>
        </a:p>
        <a:p>
          <a:pPr algn="l"/>
          <a:endParaRPr lang="en-CA" sz="1400" b="0" i="0">
            <a:solidFill>
              <a:schemeClr val="tx1"/>
            </a:solidFill>
            <a:effectLst/>
            <a:latin typeface="Times New Roman" panose="02020603050405020304" pitchFamily="18" charset="0"/>
            <a:ea typeface="+mn-ea"/>
            <a:cs typeface="Times New Roman" panose="02020603050405020304" pitchFamily="18" charset="0"/>
          </a:endParaRPr>
        </a:p>
        <a:p>
          <a:pPr algn="l"/>
          <a:endParaRPr lang="en-CA" sz="1400" b="0" i="0">
            <a:solidFill>
              <a:schemeClr val="tx1"/>
            </a:solidFill>
            <a:effectLst/>
            <a:latin typeface="Times New Roman" panose="02020603050405020304" pitchFamily="18" charset="0"/>
            <a:ea typeface="+mn-ea"/>
            <a:cs typeface="Times New Roman" panose="02020603050405020304" pitchFamily="18" charset="0"/>
          </a:endParaRPr>
        </a:p>
        <a:p>
          <a:pPr algn="ctr"/>
          <a:r>
            <a:rPr lang="en-CA" sz="1400" b="1" i="0">
              <a:solidFill>
                <a:schemeClr val="tx1"/>
              </a:solidFill>
              <a:effectLst/>
              <a:latin typeface="Times New Roman" panose="02020603050405020304" pitchFamily="18" charset="0"/>
              <a:ea typeface="+mn-ea"/>
              <a:cs typeface="Times New Roman" panose="02020603050405020304" pitchFamily="18" charset="0"/>
            </a:rPr>
            <a:t>Acquire FirstFighter and Integrate with CrossPlay (OPTION</a:t>
          </a:r>
          <a:r>
            <a:rPr lang="en-CA" sz="1400" b="1" i="0" baseline="0">
              <a:solidFill>
                <a:schemeClr val="tx1"/>
              </a:solidFill>
              <a:effectLst/>
              <a:latin typeface="Times New Roman" panose="02020603050405020304" pitchFamily="18" charset="0"/>
              <a:ea typeface="+mn-ea"/>
              <a:cs typeface="Times New Roman" panose="02020603050405020304" pitchFamily="18" charset="0"/>
            </a:rPr>
            <a:t> </a:t>
          </a:r>
          <a:r>
            <a:rPr lang="en-CA" sz="1400" b="1" i="0">
              <a:solidFill>
                <a:schemeClr val="tx1"/>
              </a:solidFill>
              <a:effectLst/>
              <a:latin typeface="Times New Roman" panose="02020603050405020304" pitchFamily="18" charset="0"/>
              <a:ea typeface="+mn-ea"/>
              <a:cs typeface="Times New Roman" panose="02020603050405020304" pitchFamily="18" charset="0"/>
            </a:rPr>
            <a:t>2):</a:t>
          </a:r>
          <a:endParaRPr lang="en-CA" sz="1400" b="0" i="0">
            <a:solidFill>
              <a:schemeClr val="tx1"/>
            </a:solidFill>
            <a:effectLst/>
            <a:latin typeface="Times New Roman" panose="02020603050405020304" pitchFamily="18" charset="0"/>
            <a:ea typeface="+mn-ea"/>
            <a:cs typeface="Times New Roman" panose="02020603050405020304" pitchFamily="18" charset="0"/>
          </a:endParaRPr>
        </a:p>
        <a:p>
          <a:pPr algn="ctr"/>
          <a:r>
            <a:rPr lang="en-CA" sz="1400" b="1" i="0">
              <a:solidFill>
                <a:schemeClr val="tx1"/>
              </a:solidFill>
              <a:effectLst/>
              <a:latin typeface="Times New Roman" panose="02020603050405020304" pitchFamily="18" charset="0"/>
              <a:ea typeface="+mn-ea"/>
              <a:cs typeface="Times New Roman" panose="02020603050405020304" pitchFamily="18" charset="0"/>
            </a:rPr>
            <a:t>ADVANTAGES</a:t>
          </a:r>
          <a:r>
            <a:rPr lang="en-CA" sz="1400" b="1" i="1">
              <a:solidFill>
                <a:schemeClr val="tx1"/>
              </a:solidFill>
              <a:effectLst/>
              <a:latin typeface="Times New Roman" panose="02020603050405020304" pitchFamily="18" charset="0"/>
              <a:ea typeface="+mn-ea"/>
              <a:cs typeface="Times New Roman" panose="02020603050405020304" pitchFamily="18" charset="0"/>
            </a:rPr>
            <a:t>:</a:t>
          </a:r>
          <a:endParaRPr lang="en-CA" sz="1400" b="1" i="0">
            <a:solidFill>
              <a:schemeClr val="tx1"/>
            </a:solidFill>
            <a:effectLst/>
            <a:latin typeface="Times New Roman" panose="02020603050405020304" pitchFamily="18" charset="0"/>
            <a:ea typeface="+mn-ea"/>
            <a:cs typeface="Times New Roman" panose="02020603050405020304" pitchFamily="18" charset="0"/>
          </a:endParaRPr>
        </a:p>
        <a:p>
          <a:pPr algn="l"/>
          <a:r>
            <a:rPr lang="en-CA" sz="1400" b="0" i="0">
              <a:solidFill>
                <a:srgbClr val="002060"/>
              </a:solidFill>
              <a:effectLst/>
              <a:latin typeface="Times New Roman" panose="02020603050405020304" pitchFamily="18" charset="0"/>
              <a:ea typeface="+mn-ea"/>
              <a:cs typeface="Times New Roman" panose="02020603050405020304" pitchFamily="18" charset="0"/>
            </a:rPr>
            <a:t>-</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 </a:t>
          </a:r>
          <a:r>
            <a:rPr lang="en-CA" sz="1400" b="1" i="0">
              <a:solidFill>
                <a:schemeClr val="accent6">
                  <a:lumMod val="50000"/>
                </a:schemeClr>
              </a:solidFill>
              <a:effectLst/>
              <a:latin typeface="Times New Roman" panose="02020603050405020304" pitchFamily="18" charset="0"/>
              <a:ea typeface="+mn-ea"/>
              <a:cs typeface="Times New Roman" panose="02020603050405020304" pitchFamily="18" charset="0"/>
            </a:rPr>
            <a:t>Synergies </a:t>
          </a:r>
          <a:r>
            <a:rPr lang="en-CA" sz="1400" b="0" i="0">
              <a:solidFill>
                <a:srgbClr val="002060"/>
              </a:solidFill>
              <a:effectLst/>
              <a:latin typeface="Times New Roman" panose="02020603050405020304" pitchFamily="18" charset="0"/>
              <a:ea typeface="+mn-ea"/>
              <a:cs typeface="Times New Roman" panose="02020603050405020304" pitchFamily="18" charset="0"/>
            </a:rPr>
            <a:t>: The merger would be so beneficial for </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 company in accessing the resources which is  the need of the hour . This would help in overall development in operations.</a:t>
          </a:r>
          <a:endParaRPr lang="en-CA" sz="1400" b="0" i="0">
            <a:solidFill>
              <a:srgbClr val="002060"/>
            </a:solidFill>
            <a:effectLst/>
            <a:latin typeface="Times New Roman" panose="02020603050405020304" pitchFamily="18" charset="0"/>
            <a:ea typeface="+mn-ea"/>
            <a:cs typeface="Times New Roman" panose="02020603050405020304" pitchFamily="18" charset="0"/>
          </a:endParaRPr>
        </a:p>
        <a:p>
          <a:pPr algn="l"/>
          <a:r>
            <a:rPr lang="en-CA" sz="1400" b="0" i="0">
              <a:solidFill>
                <a:srgbClr val="002060"/>
              </a:solidFill>
              <a:effectLst/>
              <a:latin typeface="Times New Roman" panose="02020603050405020304" pitchFamily="18" charset="0"/>
              <a:ea typeface="+mn-ea"/>
              <a:cs typeface="Times New Roman" panose="02020603050405020304" pitchFamily="18" charset="0"/>
            </a:rPr>
            <a:t>-</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 </a:t>
          </a:r>
          <a:r>
            <a:rPr lang="en-CA" sz="1400" b="1" i="0" baseline="0">
              <a:solidFill>
                <a:schemeClr val="accent6">
                  <a:lumMod val="50000"/>
                </a:schemeClr>
              </a:solidFill>
              <a:effectLst/>
              <a:latin typeface="Times New Roman" panose="02020603050405020304" pitchFamily="18" charset="0"/>
              <a:ea typeface="+mn-ea"/>
              <a:cs typeface="Times New Roman" panose="02020603050405020304" pitchFamily="18" charset="0"/>
            </a:rPr>
            <a:t>Rapid </a:t>
          </a:r>
          <a:r>
            <a:rPr lang="en-CA" sz="1400" b="1" i="0">
              <a:solidFill>
                <a:schemeClr val="accent6">
                  <a:lumMod val="50000"/>
                </a:schemeClr>
              </a:solidFill>
              <a:effectLst/>
              <a:latin typeface="Times New Roman" panose="02020603050405020304" pitchFamily="18" charset="0"/>
              <a:ea typeface="+mn-ea"/>
              <a:cs typeface="Times New Roman" panose="02020603050405020304" pitchFamily="18" charset="0"/>
            </a:rPr>
            <a:t> Growth:</a:t>
          </a:r>
          <a:r>
            <a:rPr lang="en-CA" sz="1400" b="0" i="0">
              <a:solidFill>
                <a:schemeClr val="accent6">
                  <a:lumMod val="50000"/>
                </a:schemeClr>
              </a:solidFill>
              <a:effectLst/>
              <a:latin typeface="Times New Roman" panose="02020603050405020304" pitchFamily="18" charset="0"/>
              <a:ea typeface="+mn-ea"/>
              <a:cs typeface="Times New Roman" panose="02020603050405020304" pitchFamily="18" charset="0"/>
            </a:rPr>
            <a:t> </a:t>
          </a:r>
          <a:r>
            <a:rPr lang="en-CA" sz="1400">
              <a:solidFill>
                <a:srgbClr val="002060"/>
              </a:solidFill>
              <a:effectLst/>
              <a:latin typeface="+mn-lt"/>
              <a:ea typeface="+mn-ea"/>
              <a:cs typeface="+mn-cs"/>
            </a:rPr>
            <a:t>Acquisition</a:t>
          </a:r>
          <a:r>
            <a:rPr lang="en-IN" sz="1400">
              <a:solidFill>
                <a:srgbClr val="002060"/>
              </a:solidFill>
              <a:effectLst/>
            </a:rPr>
            <a:t> </a:t>
          </a:r>
          <a:r>
            <a:rPr lang="en-CA" sz="1600" b="0" i="0">
              <a:solidFill>
                <a:schemeClr val="accent5">
                  <a:lumMod val="50000"/>
                </a:schemeClr>
              </a:solidFill>
              <a:effectLst/>
              <a:latin typeface="Times New Roman" panose="02020603050405020304" pitchFamily="18" charset="0"/>
              <a:ea typeface="+mn-ea"/>
              <a:cs typeface="Times New Roman" panose="02020603050405020304" pitchFamily="18" charset="0"/>
            </a:rPr>
            <a:t> </a:t>
          </a:r>
          <a:r>
            <a:rPr lang="en-CA" sz="1400" b="0" i="0">
              <a:solidFill>
                <a:srgbClr val="002060"/>
              </a:solidFill>
              <a:effectLst/>
              <a:latin typeface="Times New Roman" panose="02020603050405020304" pitchFamily="18" charset="0"/>
              <a:ea typeface="+mn-ea"/>
              <a:cs typeface="Times New Roman" panose="02020603050405020304" pitchFamily="18" charset="0"/>
            </a:rPr>
            <a:t>would lead to </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 tremendous growth and this is a great move by any company as it would  lead to  strong financial health with better market presence .</a:t>
          </a:r>
          <a:endParaRPr lang="en-CA" sz="1400" b="0" i="0">
            <a:solidFill>
              <a:srgbClr val="002060"/>
            </a:solidFill>
            <a:effectLst/>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CA" sz="1400" b="0" i="0">
              <a:solidFill>
                <a:srgbClr val="002060"/>
              </a:solidFill>
              <a:effectLst/>
              <a:latin typeface="Times New Roman" panose="02020603050405020304" pitchFamily="18" charset="0"/>
              <a:ea typeface="+mn-ea"/>
              <a:cs typeface="Times New Roman" panose="02020603050405020304" pitchFamily="18" charset="0"/>
            </a:rPr>
            <a:t>-</a:t>
          </a:r>
          <a:r>
            <a:rPr lang="en-CA" sz="1400" b="0" i="0" baseline="0">
              <a:solidFill>
                <a:srgbClr val="002060"/>
              </a:solidFill>
              <a:effectLst/>
              <a:latin typeface="Times New Roman" panose="02020603050405020304" pitchFamily="18" charset="0"/>
              <a:ea typeface="+mn-ea"/>
              <a:cs typeface="Times New Roman" panose="02020603050405020304" pitchFamily="18" charset="0"/>
            </a:rPr>
            <a:t> </a:t>
          </a:r>
          <a:r>
            <a:rPr lang="en-CA" sz="1400" b="1" i="0">
              <a:solidFill>
                <a:schemeClr val="accent6">
                  <a:lumMod val="50000"/>
                </a:schemeClr>
              </a:solidFill>
              <a:effectLst/>
              <a:latin typeface="Times New Roman" panose="02020603050405020304" pitchFamily="18" charset="0"/>
              <a:ea typeface="+mn-ea"/>
              <a:cs typeface="Times New Roman" panose="02020603050405020304" pitchFamily="18" charset="0"/>
            </a:rPr>
            <a:t>Diversification of portfolio</a:t>
          </a:r>
          <a:r>
            <a:rPr lang="en-CA" sz="1400" b="0" i="0">
              <a:solidFill>
                <a:srgbClr val="002060"/>
              </a:solidFill>
              <a:effectLst/>
              <a:latin typeface="Times New Roman" panose="02020603050405020304" pitchFamily="18" charset="0"/>
              <a:ea typeface="+mn-ea"/>
              <a:cs typeface="Times New Roman" panose="02020603050405020304" pitchFamily="18" charset="0"/>
            </a:rPr>
            <a:t> :</a:t>
          </a:r>
          <a:r>
            <a:rPr lang="en-CA" sz="1400">
              <a:solidFill>
                <a:srgbClr val="002060"/>
              </a:solidFill>
              <a:effectLst/>
              <a:latin typeface="Times New Roman" panose="02020603050405020304" pitchFamily="18" charset="0"/>
              <a:ea typeface="+mn-ea"/>
              <a:cs typeface="Times New Roman" panose="02020603050405020304" pitchFamily="18" charset="0"/>
            </a:rPr>
            <a:t>The virtual reality defence training would diversify Cross Play’s portfolio, potentially reducing risks.</a:t>
          </a:r>
          <a:endParaRPr lang="en-IN" sz="1400">
            <a:solidFill>
              <a:srgbClr val="002060"/>
            </a:solidFill>
            <a:effectLst/>
            <a:latin typeface="Times New Roman" panose="02020603050405020304" pitchFamily="18" charset="0"/>
            <a:ea typeface="+mn-ea"/>
            <a:cs typeface="Times New Roman" panose="02020603050405020304" pitchFamily="18" charset="0"/>
          </a:endParaRPr>
        </a:p>
        <a:p>
          <a:pPr algn="ctr"/>
          <a:endParaRPr lang="en-CA" sz="1400" b="0" i="0">
            <a:solidFill>
              <a:srgbClr val="002060"/>
            </a:solidFill>
            <a:effectLst/>
            <a:latin typeface="Times New Roman" panose="02020603050405020304" pitchFamily="18" charset="0"/>
            <a:ea typeface="+mn-ea"/>
            <a:cs typeface="Times New Roman" panose="02020603050405020304" pitchFamily="18" charset="0"/>
          </a:endParaRPr>
        </a:p>
        <a:p>
          <a:pPr algn="ctr"/>
          <a:r>
            <a:rPr lang="en-CA" sz="1400" b="1" i="0">
              <a:solidFill>
                <a:schemeClr val="tx1"/>
              </a:solidFill>
              <a:effectLst/>
              <a:latin typeface="Times New Roman" panose="02020603050405020304" pitchFamily="18" charset="0"/>
              <a:ea typeface="+mn-ea"/>
              <a:cs typeface="Times New Roman" panose="02020603050405020304" pitchFamily="18" charset="0"/>
            </a:rPr>
            <a:t>DISADVANTAGE</a:t>
          </a:r>
          <a:r>
            <a:rPr lang="en-CA" sz="1400" b="1" i="1">
              <a:solidFill>
                <a:srgbClr val="002060"/>
              </a:solidFill>
              <a:effectLst/>
              <a:latin typeface="Times New Roman" panose="02020603050405020304" pitchFamily="18" charset="0"/>
              <a:ea typeface="+mn-ea"/>
              <a:cs typeface="Times New Roman" panose="02020603050405020304" pitchFamily="18" charset="0"/>
            </a:rPr>
            <a:t>:</a:t>
          </a:r>
          <a:endParaRPr lang="en-CA" sz="1400" b="1" i="0">
            <a:solidFill>
              <a:srgbClr val="002060"/>
            </a:solidFill>
            <a:effectLst/>
            <a:latin typeface="Times New Roman" panose="02020603050405020304" pitchFamily="18" charset="0"/>
            <a:ea typeface="+mn-ea"/>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a:p>
        <a:p>
          <a:r>
            <a:rPr lang="en-CA" sz="1400" b="1">
              <a:solidFill>
                <a:srgbClr val="002060"/>
              </a:solidFill>
              <a:effectLst/>
              <a:latin typeface="Times New Roman" panose="02020603050405020304" pitchFamily="18" charset="0"/>
              <a:ea typeface="+mn-ea"/>
              <a:cs typeface="Times New Roman" panose="02020603050405020304" pitchFamily="18" charset="0"/>
            </a:rPr>
            <a:t>Financial  Costs: </a:t>
          </a:r>
          <a:r>
            <a:rPr lang="en-CA" sz="1400">
              <a:solidFill>
                <a:srgbClr val="002060"/>
              </a:solidFill>
              <a:effectLst/>
              <a:latin typeface="Times New Roman" panose="02020603050405020304" pitchFamily="18" charset="0"/>
              <a:ea typeface="+mn-ea"/>
              <a:cs typeface="Times New Roman" panose="02020603050405020304" pitchFamily="18" charset="0"/>
            </a:rPr>
            <a:t>The costs of acquiring the firefighter would be huge, which the company have to take into consideration. Moreover, these costs may include legal expenditure which is a vital factor.</a:t>
          </a:r>
          <a:endParaRPr lang="en-IN" sz="1400">
            <a:solidFill>
              <a:srgbClr val="002060"/>
            </a:solidFill>
            <a:effectLst/>
            <a:latin typeface="Times New Roman" panose="02020603050405020304" pitchFamily="18" charset="0"/>
            <a:ea typeface="+mn-ea"/>
            <a:cs typeface="Times New Roman" panose="02020603050405020304" pitchFamily="18" charset="0"/>
          </a:endParaRPr>
        </a:p>
        <a:p>
          <a:r>
            <a:rPr lang="en-CA" sz="1400">
              <a:solidFill>
                <a:srgbClr val="002060"/>
              </a:solidFill>
              <a:effectLst/>
              <a:latin typeface="Times New Roman" panose="02020603050405020304" pitchFamily="18" charset="0"/>
              <a:ea typeface="+mn-ea"/>
              <a:cs typeface="Times New Roman" panose="02020603050405020304" pitchFamily="18" charset="0"/>
            </a:rPr>
            <a:t>- </a:t>
          </a:r>
          <a:r>
            <a:rPr lang="en-CA" sz="1400" b="1">
              <a:solidFill>
                <a:srgbClr val="002060"/>
              </a:solidFill>
              <a:effectLst/>
              <a:latin typeface="Times New Roman" panose="02020603050405020304" pitchFamily="18" charset="0"/>
              <a:ea typeface="+mn-ea"/>
              <a:cs typeface="Times New Roman" panose="02020603050405020304" pitchFamily="18" charset="0"/>
            </a:rPr>
            <a:t>Hidden liability </a:t>
          </a:r>
          <a:r>
            <a:rPr lang="en-CA" sz="1400">
              <a:solidFill>
                <a:srgbClr val="002060"/>
              </a:solidFill>
              <a:effectLst/>
              <a:latin typeface="Times New Roman" panose="02020603050405020304" pitchFamily="18" charset="0"/>
              <a:ea typeface="+mn-ea"/>
              <a:cs typeface="Times New Roman" panose="02020603050405020304" pitchFamily="18" charset="0"/>
            </a:rPr>
            <a:t>- The company which we may acquire could have hidden liability, so the acquiring company should be aware- Caveat Emptor </a:t>
          </a:r>
          <a:endParaRPr lang="en-IN" sz="1400">
            <a:solidFill>
              <a:srgbClr val="002060"/>
            </a:solidFill>
            <a:effectLst/>
            <a:latin typeface="Times New Roman" panose="02020603050405020304" pitchFamily="18" charset="0"/>
            <a:ea typeface="+mn-ea"/>
            <a:cs typeface="Times New Roman" panose="02020603050405020304" pitchFamily="18" charset="0"/>
          </a:endParaRPr>
        </a:p>
        <a:p>
          <a:r>
            <a:rPr lang="en-CA" sz="1400">
              <a:solidFill>
                <a:srgbClr val="002060"/>
              </a:solidFill>
              <a:effectLst/>
              <a:latin typeface="Times New Roman" panose="02020603050405020304" pitchFamily="18" charset="0"/>
              <a:ea typeface="+mn-ea"/>
              <a:cs typeface="Times New Roman" panose="02020603050405020304" pitchFamily="18" charset="0"/>
            </a:rPr>
            <a:t>-</a:t>
          </a:r>
          <a:r>
            <a:rPr lang="en-CA" sz="1400" b="1">
              <a:solidFill>
                <a:srgbClr val="002060"/>
              </a:solidFill>
              <a:effectLst/>
              <a:latin typeface="Times New Roman" panose="02020603050405020304" pitchFamily="18" charset="0"/>
              <a:ea typeface="+mn-ea"/>
              <a:cs typeface="Times New Roman" panose="02020603050405020304" pitchFamily="18" charset="0"/>
            </a:rPr>
            <a:t>Integrating hurdles </a:t>
          </a:r>
          <a:r>
            <a:rPr lang="en-CA" sz="1400">
              <a:solidFill>
                <a:srgbClr val="002060"/>
              </a:solidFill>
              <a:effectLst/>
              <a:latin typeface="Times New Roman" panose="02020603050405020304" pitchFamily="18" charset="0"/>
              <a:ea typeface="+mn-ea"/>
              <a:cs typeface="Times New Roman" panose="02020603050405020304" pitchFamily="18" charset="0"/>
            </a:rPr>
            <a:t>- combining two firms may include complex procedures which is very time-consuming.</a:t>
          </a:r>
          <a:endParaRPr lang="en-IN" sz="1400">
            <a:solidFill>
              <a:srgbClr val="002060"/>
            </a:solidFill>
            <a:effectLst/>
            <a:latin typeface="Times New Roman" panose="02020603050405020304" pitchFamily="18" charset="0"/>
            <a:ea typeface="+mn-ea"/>
            <a:cs typeface="Times New Roman" panose="02020603050405020304" pitchFamily="18" charset="0"/>
          </a:endParaRPr>
        </a:p>
        <a:p>
          <a:r>
            <a:rPr lang="en-CA" sz="1400">
              <a:solidFill>
                <a:srgbClr val="002060"/>
              </a:solidFill>
              <a:effectLst/>
              <a:latin typeface="Times New Roman" panose="02020603050405020304" pitchFamily="18" charset="0"/>
              <a:ea typeface="+mn-ea"/>
              <a:cs typeface="Times New Roman" panose="02020603050405020304" pitchFamily="18" charset="0"/>
            </a:rPr>
            <a:t>- </a:t>
          </a:r>
          <a:r>
            <a:rPr lang="en-CA" sz="1400" b="1">
              <a:solidFill>
                <a:srgbClr val="002060"/>
              </a:solidFill>
              <a:effectLst/>
              <a:latin typeface="Times New Roman" panose="02020603050405020304" pitchFamily="18" charset="0"/>
              <a:ea typeface="+mn-ea"/>
              <a:cs typeface="Times New Roman" panose="02020603050405020304" pitchFamily="18" charset="0"/>
            </a:rPr>
            <a:t>Shareholder mindsets- </a:t>
          </a:r>
          <a:r>
            <a:rPr lang="en-CA" sz="1400">
              <a:solidFill>
                <a:srgbClr val="002060"/>
              </a:solidFill>
              <a:effectLst/>
              <a:latin typeface="Times New Roman" panose="02020603050405020304" pitchFamily="18" charset="0"/>
              <a:ea typeface="+mn-ea"/>
              <a:cs typeface="Times New Roman" panose="02020603050405020304" pitchFamily="18" charset="0"/>
            </a:rPr>
            <a:t>The shareholder should be optimistic about this move of the company, if it was the other way round then it is a serious issue and it would lead to complex situations (</a:t>
          </a:r>
          <a:r>
            <a:rPr lang="en-CA" sz="1400">
              <a:solidFill>
                <a:srgbClr val="FF0000"/>
              </a:solidFill>
              <a:effectLst/>
              <a:latin typeface="Times New Roman" panose="02020603050405020304" pitchFamily="18" charset="0"/>
              <a:ea typeface="+mn-ea"/>
              <a:cs typeface="Times New Roman" panose="02020603050405020304" pitchFamily="18" charset="0"/>
            </a:rPr>
            <a:t>loss of clients </a:t>
          </a:r>
          <a:r>
            <a:rPr lang="en-CA" sz="1400">
              <a:solidFill>
                <a:srgbClr val="002060"/>
              </a:solidFill>
              <a:effectLst/>
              <a:latin typeface="Times New Roman" panose="02020603050405020304" pitchFamily="18" charset="0"/>
              <a:ea typeface="+mn-ea"/>
              <a:cs typeface="Times New Roman" panose="02020603050405020304" pitchFamily="18" charset="0"/>
            </a:rPr>
            <a:t>)</a:t>
          </a:r>
          <a:endParaRPr lang="en-IN" sz="1400">
            <a:solidFill>
              <a:srgbClr val="002060"/>
            </a:solidFill>
            <a:effectLst/>
            <a:latin typeface="Times New Roman" panose="02020603050405020304" pitchFamily="18" charset="0"/>
            <a:ea typeface="+mn-ea"/>
            <a:cs typeface="Times New Roman" panose="02020603050405020304" pitchFamily="18" charset="0"/>
          </a:endParaRPr>
        </a:p>
        <a:p>
          <a:r>
            <a:rPr lang="en-IN" sz="1400">
              <a:solidFill>
                <a:srgbClr val="002060"/>
              </a:solidFill>
              <a:effectLst/>
              <a:latin typeface="Times New Roman" panose="02020603050405020304" pitchFamily="18" charset="0"/>
              <a:ea typeface="+mn-ea"/>
              <a:cs typeface="Times New Roman" panose="02020603050405020304" pitchFamily="18" charset="0"/>
            </a:rPr>
            <a:t>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567266</xdr:colOff>
      <xdr:row>13</xdr:row>
      <xdr:rowOff>70758</xdr:rowOff>
    </xdr:from>
    <xdr:to>
      <xdr:col>32</xdr:col>
      <xdr:colOff>440266</xdr:colOff>
      <xdr:row>31</xdr:row>
      <xdr:rowOff>169334</xdr:rowOff>
    </xdr:to>
    <xdr:sp macro="" textlink="">
      <xdr:nvSpPr>
        <xdr:cNvPr id="2" name="TextBox 1">
          <a:extLst>
            <a:ext uri="{FF2B5EF4-FFF2-40B4-BE49-F238E27FC236}">
              <a16:creationId xmlns:a16="http://schemas.microsoft.com/office/drawing/2014/main" id="{2E33C02C-09DE-548A-C5B0-B22F8D12BA25}"/>
            </a:ext>
          </a:extLst>
        </xdr:cNvPr>
        <xdr:cNvSpPr txBox="1"/>
      </xdr:nvSpPr>
      <xdr:spPr>
        <a:xfrm>
          <a:off x="7611533" y="2492225"/>
          <a:ext cx="21005800" cy="3451376"/>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tx1"/>
              </a:solidFill>
              <a:latin typeface="Times New Roman" panose="02020603050405020304" pitchFamily="18" charset="0"/>
              <a:cs typeface="Times New Roman" panose="02020603050405020304" pitchFamily="18" charset="0"/>
            </a:rPr>
            <a:t>QUESTION4</a:t>
          </a:r>
        </a:p>
        <a:p>
          <a:pPr algn="ctr"/>
          <a:r>
            <a:rPr lang="en-GB" sz="1600" b="1">
              <a:solidFill>
                <a:srgbClr val="FF0000"/>
              </a:solidFill>
              <a:latin typeface="Times New Roman" panose="02020603050405020304" pitchFamily="18" charset="0"/>
              <a:cs typeface="Times New Roman" panose="02020603050405020304" pitchFamily="18" charset="0"/>
            </a:rPr>
            <a:t>DECISION</a:t>
          </a:r>
          <a:r>
            <a:rPr lang="en-GB" sz="1600" b="1" baseline="0">
              <a:solidFill>
                <a:srgbClr val="FF0000"/>
              </a:solidFill>
              <a:latin typeface="Times New Roman" panose="02020603050405020304" pitchFamily="18" charset="0"/>
              <a:cs typeface="Times New Roman" panose="02020603050405020304" pitchFamily="18" charset="0"/>
            </a:rPr>
            <a:t> STRATEGY </a:t>
          </a:r>
        </a:p>
        <a:p>
          <a:r>
            <a:rPr lang="en-GB" sz="1400" b="1">
              <a:solidFill>
                <a:srgbClr val="002060"/>
              </a:solidFill>
              <a:effectLst/>
              <a:latin typeface="Times New Roman" panose="02020603050405020304" pitchFamily="18" charset="0"/>
              <a:ea typeface="+mn-ea"/>
              <a:cs typeface="Times New Roman" panose="02020603050405020304" pitchFamily="18" charset="0"/>
            </a:rPr>
            <a:t>1. Financial health: Conduct a financial analysis and see where the company exactly stands, taking factors like capital gains, shareholder equity and enterprise value into account.</a:t>
          </a:r>
          <a:endParaRPr lang="en-IN" sz="1400" b="1">
            <a:solidFill>
              <a:srgbClr val="002060"/>
            </a:solidFill>
            <a:effectLst/>
            <a:latin typeface="Times New Roman" panose="02020603050405020304" pitchFamily="18" charset="0"/>
            <a:ea typeface="+mn-ea"/>
            <a:cs typeface="Times New Roman" panose="02020603050405020304" pitchFamily="18" charset="0"/>
          </a:endParaRPr>
        </a:p>
        <a:p>
          <a:r>
            <a:rPr lang="en-GB" sz="1400" b="1">
              <a:solidFill>
                <a:srgbClr val="002060"/>
              </a:solidFill>
              <a:effectLst/>
              <a:latin typeface="Times New Roman" panose="02020603050405020304" pitchFamily="18" charset="0"/>
              <a:ea typeface="+mn-ea"/>
              <a:cs typeface="Times New Roman" panose="02020603050405020304" pitchFamily="18" charset="0"/>
            </a:rPr>
            <a:t>2. Due diligence: Conduct due diligence and see if the company is free from all kinds of legal issues with the target company, in our case it is crossfire.</a:t>
          </a:r>
          <a:endParaRPr lang="en-IN" sz="1400" b="1">
            <a:solidFill>
              <a:srgbClr val="002060"/>
            </a:solidFill>
            <a:effectLst/>
            <a:latin typeface="Times New Roman" panose="02020603050405020304" pitchFamily="18" charset="0"/>
            <a:ea typeface="+mn-ea"/>
            <a:cs typeface="Times New Roman" panose="02020603050405020304" pitchFamily="18" charset="0"/>
          </a:endParaRPr>
        </a:p>
        <a:p>
          <a:r>
            <a:rPr lang="en-GB" sz="1400" b="1">
              <a:solidFill>
                <a:srgbClr val="002060"/>
              </a:solidFill>
              <a:effectLst/>
              <a:latin typeface="Times New Roman" panose="02020603050405020304" pitchFamily="18" charset="0"/>
              <a:ea typeface="+mn-ea"/>
              <a:cs typeface="Times New Roman" panose="02020603050405020304" pitchFamily="18" charset="0"/>
            </a:rPr>
            <a:t>3. Financing: Evaluate how much would it costs for the company and the pros /cons of undergoing those process.</a:t>
          </a:r>
          <a:endParaRPr lang="en-IN" sz="1400" b="1">
            <a:solidFill>
              <a:srgbClr val="002060"/>
            </a:solidFill>
            <a:effectLst/>
            <a:latin typeface="Times New Roman" panose="02020603050405020304" pitchFamily="18" charset="0"/>
            <a:ea typeface="+mn-ea"/>
            <a:cs typeface="Times New Roman" panose="02020603050405020304" pitchFamily="18" charset="0"/>
          </a:endParaRPr>
        </a:p>
        <a:p>
          <a:r>
            <a:rPr lang="en-GB" sz="1400" b="1">
              <a:solidFill>
                <a:srgbClr val="002060"/>
              </a:solidFill>
              <a:effectLst/>
              <a:latin typeface="Times New Roman" panose="02020603050405020304" pitchFamily="18" charset="0"/>
              <a:ea typeface="+mn-ea"/>
              <a:cs typeface="Times New Roman" panose="02020603050405020304" pitchFamily="18" charset="0"/>
            </a:rPr>
            <a:t>4. Market fit: The company should see while acquiring this company how would the company be seen in the eyes of stakeholders. If it had a positive impact it is a wise move.</a:t>
          </a:r>
        </a:p>
        <a:p>
          <a:endParaRPr lang="en-GB" sz="1400" b="1">
            <a:solidFill>
              <a:srgbClr val="002060"/>
            </a:solidFill>
            <a:effectLst/>
            <a:latin typeface="Times New Roman" panose="02020603050405020304" pitchFamily="18" charset="0"/>
            <a:ea typeface="+mn-ea"/>
            <a:cs typeface="Times New Roman" panose="02020603050405020304" pitchFamily="18" charset="0"/>
          </a:endParaRPr>
        </a:p>
        <a:p>
          <a:endParaRPr lang="en-GB" sz="1400" b="1">
            <a:solidFill>
              <a:srgbClr val="002060"/>
            </a:solidFill>
            <a:effectLst/>
            <a:latin typeface="Times New Roman" panose="02020603050405020304" pitchFamily="18" charset="0"/>
            <a:ea typeface="+mn-ea"/>
            <a:cs typeface="Times New Roman" panose="02020603050405020304" pitchFamily="18" charset="0"/>
          </a:endParaRPr>
        </a:p>
        <a:p>
          <a:endParaRPr lang="en-GB" sz="1400" b="1">
            <a:solidFill>
              <a:srgbClr val="002060"/>
            </a:solidFill>
            <a:effectLst/>
            <a:latin typeface="Times New Roman" panose="02020603050405020304" pitchFamily="18" charset="0"/>
            <a:ea typeface="+mn-ea"/>
            <a:cs typeface="Times New Roman" panose="02020603050405020304" pitchFamily="18" charset="0"/>
          </a:endParaRPr>
        </a:p>
        <a:p>
          <a:endParaRPr lang="en-IN" sz="1400" b="1">
            <a:solidFill>
              <a:srgbClr val="002060"/>
            </a:solidFill>
            <a:effectLst/>
            <a:latin typeface="Times New Roman" panose="02020603050405020304" pitchFamily="18" charset="0"/>
            <a:ea typeface="+mn-ea"/>
            <a:cs typeface="Times New Roman" panose="02020603050405020304" pitchFamily="18" charset="0"/>
          </a:endParaRPr>
        </a:p>
        <a:p>
          <a:pPr algn="ctr"/>
          <a:r>
            <a:rPr lang="en-GB" sz="1600" b="1">
              <a:solidFill>
                <a:srgbClr val="FF0000"/>
              </a:solidFill>
              <a:effectLst/>
              <a:latin typeface="Times New Roman" panose="02020603050405020304" pitchFamily="18" charset="0"/>
              <a:ea typeface="+mn-ea"/>
              <a:cs typeface="Times New Roman" panose="02020603050405020304" pitchFamily="18" charset="0"/>
            </a:rPr>
            <a:t>CONCLUSION</a:t>
          </a:r>
          <a:endParaRPr lang="en-IN" sz="1600" b="1">
            <a:solidFill>
              <a:srgbClr val="FF0000"/>
            </a:solidFill>
            <a:effectLst/>
            <a:latin typeface="Times New Roman" panose="02020603050405020304" pitchFamily="18" charset="0"/>
            <a:ea typeface="+mn-ea"/>
            <a:cs typeface="Times New Roman" panose="02020603050405020304" pitchFamily="18" charset="0"/>
          </a:endParaRPr>
        </a:p>
        <a:p>
          <a:r>
            <a:rPr lang="en-GB" sz="1400" b="1">
              <a:solidFill>
                <a:srgbClr val="002060"/>
              </a:solidFill>
              <a:effectLst/>
              <a:latin typeface="Times New Roman" panose="02020603050405020304" pitchFamily="18" charset="0"/>
              <a:ea typeface="+mn-ea"/>
              <a:cs typeface="Times New Roman" panose="02020603050405020304" pitchFamily="18" charset="0"/>
            </a:rPr>
            <a:t>The board of directors must weigh the pros and cons of implementing two alternatives and see which is beneficial to equity holders and for the overall development of the company. we should also see the competitors' perspective as well. </a:t>
          </a:r>
          <a:endParaRPr lang="en-IN" sz="1400" b="1">
            <a:solidFill>
              <a:srgbClr val="002060"/>
            </a:solidFill>
            <a:effectLst/>
            <a:latin typeface="Times New Roman" panose="02020603050405020304" pitchFamily="18" charset="0"/>
            <a:ea typeface="+mn-ea"/>
            <a:cs typeface="Times New Roman" panose="02020603050405020304" pitchFamily="18" charset="0"/>
          </a:endParaRPr>
        </a:p>
        <a:p>
          <a:r>
            <a:rPr lang="en-GB" sz="1400" b="1">
              <a:solidFill>
                <a:srgbClr val="002060"/>
              </a:solidFill>
              <a:effectLst/>
              <a:latin typeface="Times New Roman" panose="02020603050405020304" pitchFamily="18" charset="0"/>
              <a:ea typeface="+mn-ea"/>
              <a:cs typeface="Times New Roman" panose="02020603050405020304" pitchFamily="18" charset="0"/>
            </a:rPr>
            <a:t>We should see how would it enhance the firm value on the whole. Henceforth</a:t>
          </a:r>
          <a:r>
            <a:rPr lang="en-GB" sz="1400" b="1" baseline="0">
              <a:solidFill>
                <a:srgbClr val="002060"/>
              </a:solidFill>
              <a:effectLst/>
              <a:latin typeface="Times New Roman" panose="02020603050405020304" pitchFamily="18" charset="0"/>
              <a:ea typeface="+mn-ea"/>
              <a:cs typeface="Times New Roman" panose="02020603050405020304" pitchFamily="18" charset="0"/>
            </a:rPr>
            <a:t> , we should compare the charts ( football field) and so that we could get an estimate of how to go about </a:t>
          </a:r>
          <a:r>
            <a:rPr lang="en-GB" sz="1400" b="1">
              <a:solidFill>
                <a:srgbClr val="002060"/>
              </a:solidFill>
              <a:effectLst/>
              <a:latin typeface="Times New Roman" panose="02020603050405020304" pitchFamily="18" charset="0"/>
              <a:ea typeface="+mn-ea"/>
              <a:cs typeface="Times New Roman" panose="02020603050405020304" pitchFamily="18" charset="0"/>
            </a:rPr>
            <a:t> </a:t>
          </a:r>
          <a:endParaRPr lang="en-IN" sz="1400" b="1">
            <a:solidFill>
              <a:srgbClr val="002060"/>
            </a:solidFill>
            <a:effectLst/>
            <a:latin typeface="Times New Roman" panose="02020603050405020304" pitchFamily="18" charset="0"/>
            <a:ea typeface="+mn-ea"/>
            <a:cs typeface="Times New Roman" panose="02020603050405020304" pitchFamily="18" charset="0"/>
          </a:endParaRPr>
        </a:p>
        <a:p>
          <a:r>
            <a:rPr lang="en-IN" sz="1400" b="1">
              <a:solidFill>
                <a:srgbClr val="002060"/>
              </a:solidFill>
              <a:effectLst/>
              <a:latin typeface="Times New Roman" panose="02020603050405020304" pitchFamily="18" charset="0"/>
              <a:ea typeface="+mn-ea"/>
              <a:cs typeface="Times New Roman" panose="02020603050405020304" pitchFamily="18" charset="0"/>
            </a:rPr>
            <a:t> </a:t>
          </a:r>
        </a:p>
        <a:p>
          <a:pPr algn="ctr"/>
          <a:endParaRPr lang="en-GB" sz="1400" b="1" baseline="0">
            <a:solidFill>
              <a:schemeClr val="accent5">
                <a:lumMod val="50000"/>
              </a:schemeClr>
            </a:solidFill>
            <a:latin typeface="Times New Roman" panose="02020603050405020304" pitchFamily="18" charset="0"/>
            <a:cs typeface="Times New Roman" panose="02020603050405020304" pitchFamily="18" charset="0"/>
          </a:endParaRPr>
        </a:p>
        <a:p>
          <a:pPr algn="ctr"/>
          <a:endParaRPr lang="en-GB" sz="1400" b="1" baseline="0">
            <a:solidFill>
              <a:schemeClr val="accent5">
                <a:lumMod val="50000"/>
              </a:schemeClr>
            </a:solidFill>
            <a:latin typeface="Times New Roman" panose="02020603050405020304" pitchFamily="18" charset="0"/>
            <a:cs typeface="Times New Roman" panose="02020603050405020304" pitchFamily="18" charset="0"/>
          </a:endParaRPr>
        </a:p>
        <a:p>
          <a:pPr algn="ctr"/>
          <a:endParaRPr lang="en-GB" sz="1400" b="1" baseline="0">
            <a:solidFill>
              <a:srgbClr val="FF0000"/>
            </a:solidFill>
            <a:latin typeface="Times New Roman" panose="02020603050405020304" pitchFamily="18" charset="0"/>
            <a:cs typeface="Times New Roman" panose="02020603050405020304" pitchFamily="18" charset="0"/>
          </a:endParaRPr>
        </a:p>
        <a:p>
          <a:pPr algn="l"/>
          <a:endParaRPr lang="en-GB" sz="1600" b="1">
            <a:solidFill>
              <a:srgbClr val="FF0000"/>
            </a:solidFill>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98343-C9E1-4929-BF19-53F5BD6C4FE5}">
  <dimension ref="B2:O32"/>
  <sheetViews>
    <sheetView showGridLines="0" zoomScale="101" workbookViewId="0">
      <selection activeCell="M19" sqref="M19"/>
    </sheetView>
  </sheetViews>
  <sheetFormatPr baseColWidth="10" defaultColWidth="8.83203125" defaultRowHeight="15" x14ac:dyDescent="0.2"/>
  <cols>
    <col min="1" max="1" width="2.6640625" customWidth="1"/>
    <col min="2" max="2" width="35.5" customWidth="1"/>
    <col min="3" max="3" width="10.33203125" customWidth="1"/>
    <col min="6" max="6" width="10.5" customWidth="1"/>
    <col min="7" max="7" width="15.33203125" customWidth="1"/>
    <col min="8" max="8" width="15.83203125" customWidth="1"/>
    <col min="9" max="9" width="9.5" bestFit="1" customWidth="1"/>
    <col min="11" max="11" width="11.6640625" bestFit="1" customWidth="1"/>
    <col min="12" max="12" width="12.6640625" bestFit="1" customWidth="1"/>
  </cols>
  <sheetData>
    <row r="2" spans="2:15" ht="15" customHeight="1" x14ac:dyDescent="0.2">
      <c r="B2" s="9" t="s">
        <v>1</v>
      </c>
      <c r="C2" s="4"/>
      <c r="D2" s="4"/>
      <c r="E2" s="4"/>
      <c r="F2" s="4"/>
      <c r="G2" s="4"/>
      <c r="H2" s="1"/>
      <c r="I2" s="1"/>
      <c r="J2" s="1"/>
      <c r="K2" s="1"/>
      <c r="L2" s="1"/>
      <c r="M2" s="1"/>
      <c r="N2" s="1"/>
      <c r="O2" s="1"/>
    </row>
    <row r="3" spans="2:15" ht="15" customHeight="1" x14ac:dyDescent="0.2">
      <c r="B3" s="2" t="s">
        <v>21</v>
      </c>
      <c r="C3" s="2"/>
      <c r="D3" s="2"/>
      <c r="E3" s="2"/>
      <c r="F3" s="2"/>
      <c r="G3" s="2"/>
      <c r="H3" s="2"/>
      <c r="I3" s="2"/>
      <c r="J3" s="2"/>
      <c r="K3" s="2"/>
      <c r="L3" s="2"/>
      <c r="M3" s="2"/>
      <c r="N3" s="2"/>
      <c r="O3" s="2"/>
    </row>
    <row r="4" spans="2:15" x14ac:dyDescent="0.2">
      <c r="B4" s="1"/>
      <c r="C4" s="41">
        <v>2020</v>
      </c>
      <c r="D4" s="41">
        <v>2021</v>
      </c>
      <c r="E4" s="41">
        <v>2022</v>
      </c>
      <c r="F4" s="41">
        <v>2023</v>
      </c>
      <c r="G4" s="41">
        <v>2024</v>
      </c>
      <c r="H4" s="1"/>
      <c r="I4" s="1"/>
      <c r="J4" s="1"/>
      <c r="K4" s="1"/>
      <c r="L4" s="1"/>
      <c r="M4" s="1"/>
      <c r="N4" s="1"/>
      <c r="O4" s="1"/>
    </row>
    <row r="5" spans="2:15" x14ac:dyDescent="0.2">
      <c r="B5" s="7"/>
      <c r="C5" s="40" t="s">
        <v>2</v>
      </c>
      <c r="D5" s="40" t="s">
        <v>2</v>
      </c>
      <c r="E5" s="40" t="s">
        <v>2</v>
      </c>
      <c r="F5" s="40" t="s">
        <v>3</v>
      </c>
      <c r="G5" s="40" t="s">
        <v>4</v>
      </c>
      <c r="H5" s="8"/>
      <c r="I5" s="8"/>
      <c r="J5" s="8"/>
      <c r="K5" s="8"/>
      <c r="L5" s="8"/>
      <c r="M5" s="8"/>
      <c r="N5" s="8"/>
      <c r="O5" s="8"/>
    </row>
    <row r="6" spans="2:15" ht="16" x14ac:dyDescent="0.2">
      <c r="B6" s="10" t="s">
        <v>5</v>
      </c>
      <c r="C6" s="15">
        <v>522.29999999999995</v>
      </c>
      <c r="D6" s="15">
        <v>540.5</v>
      </c>
      <c r="E6" s="15">
        <v>551.79999999999995</v>
      </c>
      <c r="F6" s="15">
        <v>535.1</v>
      </c>
      <c r="G6" s="15">
        <v>545.79999999999995</v>
      </c>
      <c r="H6" s="3"/>
      <c r="I6" s="117">
        <f>E6*20/100</f>
        <v>110.36</v>
      </c>
      <c r="J6" s="3">
        <f>I6/E6</f>
        <v>0.2</v>
      </c>
      <c r="K6" s="118">
        <f>I6/E9</f>
        <v>0.49422301836094951</v>
      </c>
      <c r="L6" s="3"/>
      <c r="M6" s="3"/>
      <c r="N6" s="3"/>
      <c r="O6" s="3"/>
    </row>
    <row r="7" spans="2:15" ht="16" x14ac:dyDescent="0.2">
      <c r="B7" s="19" t="s">
        <v>6</v>
      </c>
      <c r="C7" s="20"/>
      <c r="D7" s="21">
        <f>(D6/C6)-1</f>
        <v>3.4845874018763157E-2</v>
      </c>
      <c r="E7" s="21">
        <f t="shared" ref="E7:G7" si="0">(E6/D6)-1</f>
        <v>2.0906567992599268E-2</v>
      </c>
      <c r="F7" s="21">
        <f t="shared" si="0"/>
        <v>-3.0264588619064781E-2</v>
      </c>
      <c r="G7" s="21">
        <f t="shared" si="0"/>
        <v>1.9996262380863161E-2</v>
      </c>
      <c r="H7" s="3"/>
      <c r="I7" s="3"/>
      <c r="J7" s="3"/>
      <c r="K7" s="3"/>
      <c r="L7" s="3"/>
      <c r="M7" s="3"/>
      <c r="N7" s="3"/>
      <c r="O7" s="3"/>
    </row>
    <row r="8" spans="2:15" ht="15" customHeight="1" x14ac:dyDescent="0.2">
      <c r="B8" s="18" t="s">
        <v>7</v>
      </c>
      <c r="C8" s="24">
        <v>306.10000000000002</v>
      </c>
      <c r="D8" s="24">
        <v>313.10000000000002</v>
      </c>
      <c r="E8" s="24">
        <v>328.5</v>
      </c>
      <c r="F8" s="24">
        <v>316</v>
      </c>
      <c r="G8" s="24">
        <v>322</v>
      </c>
      <c r="H8" s="3"/>
      <c r="I8" s="3"/>
      <c r="J8" s="3"/>
      <c r="K8" s="3"/>
      <c r="L8" s="3"/>
      <c r="M8" s="3"/>
      <c r="N8" s="3"/>
      <c r="O8" s="3"/>
    </row>
    <row r="9" spans="2:15" ht="15" customHeight="1" x14ac:dyDescent="0.2">
      <c r="B9" s="13" t="s">
        <v>8</v>
      </c>
      <c r="C9" s="25">
        <f>C6-C8</f>
        <v>216.19999999999993</v>
      </c>
      <c r="D9" s="25">
        <f t="shared" ref="D9:G9" si="1">D6-D8</f>
        <v>227.39999999999998</v>
      </c>
      <c r="E9" s="25">
        <f t="shared" si="1"/>
        <v>223.29999999999995</v>
      </c>
      <c r="F9" s="25">
        <f t="shared" si="1"/>
        <v>219.10000000000002</v>
      </c>
      <c r="G9" s="25">
        <f t="shared" si="1"/>
        <v>223.79999999999995</v>
      </c>
      <c r="H9" s="1"/>
      <c r="I9" s="1"/>
      <c r="J9" s="1"/>
      <c r="K9" s="1"/>
      <c r="L9" s="1"/>
      <c r="M9" s="1"/>
      <c r="N9" s="1"/>
      <c r="O9" s="1"/>
    </row>
    <row r="10" spans="2:15" ht="15" customHeight="1" x14ac:dyDescent="0.2">
      <c r="B10" s="19" t="s">
        <v>9</v>
      </c>
      <c r="C10" s="22">
        <f>C9/C6</f>
        <v>0.4139383496075052</v>
      </c>
      <c r="D10" s="23">
        <f t="shared" ref="D10:G10" si="2">D9/D6</f>
        <v>0.4207215541165587</v>
      </c>
      <c r="E10" s="23">
        <f t="shared" si="2"/>
        <v>0.40467560710402317</v>
      </c>
      <c r="F10" s="23">
        <f t="shared" si="2"/>
        <v>0.40945617641562326</v>
      </c>
      <c r="G10" s="23">
        <f t="shared" si="2"/>
        <v>0.41004030780505674</v>
      </c>
      <c r="H10" s="3"/>
      <c r="I10" s="3"/>
      <c r="J10" s="3"/>
      <c r="K10" s="117">
        <f>F6</f>
        <v>535.1</v>
      </c>
      <c r="L10" s="3">
        <f>'Cross Play IS'!F6</f>
        <v>258.10000000000002</v>
      </c>
      <c r="M10" s="3"/>
      <c r="N10" s="3"/>
      <c r="O10" s="3"/>
    </row>
    <row r="11" spans="2:15" ht="15" customHeight="1" x14ac:dyDescent="0.2">
      <c r="B11" s="12" t="s">
        <v>10</v>
      </c>
      <c r="C11" s="26">
        <v>155.4</v>
      </c>
      <c r="D11" s="26">
        <v>162.5</v>
      </c>
      <c r="E11" s="26">
        <v>154.80000000000001</v>
      </c>
      <c r="F11" s="26">
        <v>155</v>
      </c>
      <c r="G11" s="26">
        <v>156.6</v>
      </c>
      <c r="H11" s="3"/>
      <c r="I11" s="3"/>
      <c r="J11" s="3"/>
      <c r="K11" s="3"/>
      <c r="L11" s="3"/>
      <c r="M11" s="3"/>
      <c r="N11" s="3"/>
      <c r="O11" s="3"/>
    </row>
    <row r="12" spans="2:15" ht="15" customHeight="1" x14ac:dyDescent="0.2">
      <c r="B12" s="12" t="s">
        <v>11</v>
      </c>
      <c r="C12" s="26">
        <v>15</v>
      </c>
      <c r="D12" s="26">
        <v>15.5</v>
      </c>
      <c r="E12" s="26">
        <v>14.9</v>
      </c>
      <c r="F12" s="26">
        <v>16</v>
      </c>
      <c r="G12" s="26">
        <v>16.399999999999999</v>
      </c>
      <c r="H12" s="3"/>
      <c r="I12" s="3"/>
      <c r="J12" s="3"/>
      <c r="K12" s="3"/>
      <c r="L12" s="3"/>
      <c r="M12" s="3"/>
      <c r="N12" s="3"/>
      <c r="O12" s="3"/>
    </row>
    <row r="13" spans="2:15" ht="15" customHeight="1" x14ac:dyDescent="0.2">
      <c r="B13" s="18" t="s">
        <v>12</v>
      </c>
      <c r="C13" s="24">
        <v>0.5</v>
      </c>
      <c r="D13" s="24">
        <v>-1.6</v>
      </c>
      <c r="E13" s="24">
        <v>1.5</v>
      </c>
      <c r="F13" s="24">
        <v>3.2</v>
      </c>
      <c r="G13" s="17">
        <v>0</v>
      </c>
      <c r="H13" s="3"/>
      <c r="I13" s="3"/>
      <c r="J13" s="3"/>
      <c r="K13" s="3"/>
      <c r="L13" s="3"/>
      <c r="M13" s="3"/>
      <c r="N13" s="3"/>
      <c r="O13" s="3"/>
    </row>
    <row r="14" spans="2:15" ht="15" customHeight="1" x14ac:dyDescent="0.2">
      <c r="B14" s="10" t="s">
        <v>13</v>
      </c>
      <c r="C14" s="27">
        <f>C9-C11-C12-C13</f>
        <v>45.299999999999926</v>
      </c>
      <c r="D14" s="27">
        <f t="shared" ref="D14:G14" si="3">D9-D11-D12-D13</f>
        <v>50.999999999999979</v>
      </c>
      <c r="E14" s="27">
        <f t="shared" si="3"/>
        <v>52.099999999999945</v>
      </c>
      <c r="F14" s="27">
        <f t="shared" si="3"/>
        <v>44.90000000000002</v>
      </c>
      <c r="G14" s="27">
        <f t="shared" si="3"/>
        <v>50.799999999999962</v>
      </c>
      <c r="H14" s="3"/>
      <c r="I14" s="3"/>
      <c r="J14" s="3"/>
      <c r="K14" s="162">
        <f>K10+L10</f>
        <v>793.2</v>
      </c>
      <c r="L14" s="3"/>
      <c r="M14" s="3"/>
      <c r="N14" s="3"/>
      <c r="O14" s="3"/>
    </row>
    <row r="15" spans="2:15" ht="15" customHeight="1" x14ac:dyDescent="0.2">
      <c r="B15" s="19" t="s">
        <v>14</v>
      </c>
      <c r="C15" s="22">
        <v>8.6999999999999994E-2</v>
      </c>
      <c r="D15" s="21">
        <v>9.4E-2</v>
      </c>
      <c r="E15" s="21">
        <v>9.4E-2</v>
      </c>
      <c r="F15" s="21">
        <v>8.4000000000000005E-2</v>
      </c>
      <c r="G15" s="21">
        <v>9.2999999999999999E-2</v>
      </c>
      <c r="H15" s="3"/>
      <c r="I15" s="3"/>
      <c r="J15" s="3"/>
      <c r="K15" s="163">
        <f>K10/K14</f>
        <v>0.67460917801311149</v>
      </c>
      <c r="L15" s="163">
        <f>L10/K14</f>
        <v>0.32539082198688857</v>
      </c>
      <c r="M15" s="3"/>
      <c r="N15" s="3"/>
      <c r="O15" s="3"/>
    </row>
    <row r="16" spans="2:15" ht="15" customHeight="1" x14ac:dyDescent="0.2">
      <c r="B16" s="18" t="s">
        <v>15</v>
      </c>
      <c r="C16" s="24">
        <v>3.1</v>
      </c>
      <c r="D16" s="24">
        <v>2.1</v>
      </c>
      <c r="E16" s="24">
        <v>1.5</v>
      </c>
      <c r="F16" s="24">
        <v>1.6</v>
      </c>
      <c r="G16" s="24">
        <v>1.8</v>
      </c>
      <c r="H16" s="3"/>
      <c r="I16" s="3"/>
      <c r="J16" s="3"/>
      <c r="K16" s="3"/>
      <c r="L16" s="3"/>
      <c r="M16" s="3"/>
      <c r="N16" s="3"/>
      <c r="O16" s="3"/>
    </row>
    <row r="17" spans="2:15" ht="16" x14ac:dyDescent="0.2">
      <c r="B17" s="12" t="s">
        <v>16</v>
      </c>
      <c r="C17" s="28">
        <f>C14-C16</f>
        <v>42.199999999999925</v>
      </c>
      <c r="D17" s="28">
        <f t="shared" ref="D17:G17" si="4">D14-D16</f>
        <v>48.899999999999977</v>
      </c>
      <c r="E17" s="28">
        <f t="shared" si="4"/>
        <v>50.599999999999945</v>
      </c>
      <c r="F17" s="28">
        <f t="shared" si="4"/>
        <v>43.300000000000018</v>
      </c>
      <c r="G17" s="28">
        <f t="shared" si="4"/>
        <v>48.999999999999964</v>
      </c>
      <c r="H17" s="3"/>
      <c r="I17" s="3"/>
      <c r="J17" s="3"/>
      <c r="K17" s="3"/>
      <c r="L17" s="3"/>
      <c r="M17" s="3"/>
      <c r="N17" s="3"/>
      <c r="O17" s="3"/>
    </row>
    <row r="18" spans="2:15" ht="16" x14ac:dyDescent="0.2">
      <c r="B18" s="18" t="s">
        <v>17</v>
      </c>
      <c r="C18" s="24">
        <v>16.899999999999999</v>
      </c>
      <c r="D18" s="24">
        <v>19.600000000000001</v>
      </c>
      <c r="E18" s="24">
        <v>20.2</v>
      </c>
      <c r="F18" s="24">
        <v>9.1</v>
      </c>
      <c r="G18" s="24">
        <v>10.3</v>
      </c>
      <c r="H18" s="3"/>
      <c r="I18" s="3"/>
      <c r="J18" s="3"/>
      <c r="K18" s="3"/>
      <c r="L18" s="3"/>
      <c r="M18" s="3"/>
      <c r="N18" s="3"/>
      <c r="O18" s="3"/>
    </row>
    <row r="19" spans="2:15" ht="15" customHeight="1" x14ac:dyDescent="0.2">
      <c r="B19" s="14" t="s">
        <v>18</v>
      </c>
      <c r="C19" s="29">
        <f>C17-C18</f>
        <v>25.299999999999926</v>
      </c>
      <c r="D19" s="29">
        <f t="shared" ref="D19:G19" si="5">D17-D18</f>
        <v>29.299999999999976</v>
      </c>
      <c r="E19" s="29">
        <f t="shared" si="5"/>
        <v>30.399999999999945</v>
      </c>
      <c r="F19" s="29">
        <f t="shared" si="5"/>
        <v>34.200000000000017</v>
      </c>
      <c r="G19" s="29">
        <f t="shared" si="5"/>
        <v>38.69999999999996</v>
      </c>
      <c r="H19" s="1"/>
      <c r="I19" s="1"/>
      <c r="J19" s="1"/>
      <c r="K19" s="1"/>
      <c r="L19" s="1"/>
      <c r="M19" s="1"/>
      <c r="N19" s="1"/>
      <c r="O19" s="1"/>
    </row>
    <row r="20" spans="2:15" ht="15" customHeight="1" x14ac:dyDescent="0.2">
      <c r="B20" s="10"/>
      <c r="C20" s="16"/>
      <c r="D20" s="16"/>
      <c r="E20" s="16"/>
      <c r="F20" s="16"/>
      <c r="G20" s="16"/>
      <c r="H20" s="1"/>
      <c r="I20" s="1"/>
      <c r="J20" s="1"/>
      <c r="K20" s="164">
        <f>K15+L15</f>
        <v>1</v>
      </c>
      <c r="L20" s="1"/>
      <c r="M20" s="1"/>
      <c r="N20" s="1"/>
      <c r="O20" s="1"/>
    </row>
    <row r="21" spans="2:15" ht="15" customHeight="1" x14ac:dyDescent="0.2">
      <c r="B21" s="12" t="s">
        <v>19</v>
      </c>
      <c r="C21" s="26">
        <v>15</v>
      </c>
      <c r="D21" s="26">
        <v>15.5</v>
      </c>
      <c r="E21" s="26">
        <v>14.9</v>
      </c>
      <c r="F21" s="26">
        <v>16</v>
      </c>
      <c r="G21" s="26">
        <v>16.399999999999999</v>
      </c>
      <c r="H21" s="3"/>
      <c r="I21" s="3"/>
      <c r="J21" s="3"/>
      <c r="K21" s="3"/>
      <c r="L21" s="3"/>
      <c r="M21" s="3"/>
      <c r="N21" s="3"/>
      <c r="O21" s="3"/>
    </row>
    <row r="22" spans="2:15" ht="15" customHeight="1" x14ac:dyDescent="0.2">
      <c r="B22" s="19" t="s">
        <v>20</v>
      </c>
      <c r="C22" s="22">
        <f>C21/C6</f>
        <v>2.8719126938541072E-2</v>
      </c>
      <c r="D22" s="21">
        <f t="shared" ref="D22:G22" si="6">D21/D6</f>
        <v>2.8677150786308975E-2</v>
      </c>
      <c r="E22" s="21">
        <f t="shared" si="6"/>
        <v>2.7002537151141721E-2</v>
      </c>
      <c r="F22" s="21">
        <f t="shared" si="6"/>
        <v>2.9900953092879833E-2</v>
      </c>
      <c r="G22" s="21">
        <f t="shared" si="6"/>
        <v>3.0047636496885306E-2</v>
      </c>
      <c r="H22" s="3"/>
      <c r="I22" s="3"/>
      <c r="J22" s="3"/>
      <c r="K22" s="3"/>
      <c r="L22" s="3"/>
      <c r="M22" s="3"/>
      <c r="N22" s="3"/>
      <c r="O22" s="3"/>
    </row>
    <row r="26" spans="2:15" ht="16" thickBot="1" x14ac:dyDescent="0.25"/>
    <row r="27" spans="2:15" ht="16" thickBot="1" x14ac:dyDescent="0.25">
      <c r="G27" s="150" t="s">
        <v>265</v>
      </c>
      <c r="H27" s="168" t="s">
        <v>266</v>
      </c>
    </row>
    <row r="28" spans="2:15" ht="16" thickBot="1" x14ac:dyDescent="0.25">
      <c r="B28" s="165" t="s">
        <v>263</v>
      </c>
      <c r="G28" s="160">
        <f>B30*K15</f>
        <v>13.49218356026223</v>
      </c>
      <c r="H28" s="161">
        <f>B30*L15</f>
        <v>6.5078164397377716</v>
      </c>
    </row>
    <row r="29" spans="2:15" x14ac:dyDescent="0.2">
      <c r="B29" s="166" t="s">
        <v>264</v>
      </c>
    </row>
    <row r="30" spans="2:15" x14ac:dyDescent="0.2">
      <c r="B30" s="166">
        <v>20</v>
      </c>
    </row>
    <row r="31" spans="2:15" ht="16" thickBot="1" x14ac:dyDescent="0.25">
      <c r="B31" s="167"/>
    </row>
    <row r="32" spans="2:15" x14ac:dyDescent="0.2">
      <c r="F32" s="128">
        <f>F18/F17</f>
        <v>0.21016166281755186</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C30C7-5341-45E8-B655-459C386FC3AD}">
  <dimension ref="B2:J36"/>
  <sheetViews>
    <sheetView showGridLines="0" topLeftCell="A2" zoomScale="88" workbookViewId="0">
      <selection activeCell="E29" sqref="E29"/>
    </sheetView>
  </sheetViews>
  <sheetFormatPr baseColWidth="10" defaultColWidth="8.83203125" defaultRowHeight="15" x14ac:dyDescent="0.2"/>
  <cols>
    <col min="1" max="1" width="2.6640625" customWidth="1"/>
    <col min="2" max="2" width="46.33203125" customWidth="1"/>
    <col min="3" max="3" width="9.1640625"/>
    <col min="4" max="4" width="11.5" customWidth="1"/>
    <col min="5" max="5" width="12.1640625" customWidth="1"/>
    <col min="6" max="6" width="12.6640625" customWidth="1"/>
    <col min="7" max="8" width="9.1640625"/>
  </cols>
  <sheetData>
    <row r="2" spans="2:10" ht="15" customHeight="1" x14ac:dyDescent="0.2">
      <c r="B2" s="53" t="s">
        <v>43</v>
      </c>
      <c r="C2" s="54"/>
      <c r="D2" s="54"/>
      <c r="E2" s="54"/>
      <c r="F2" s="54"/>
      <c r="G2" s="7"/>
      <c r="H2" s="7"/>
      <c r="I2" s="1"/>
      <c r="J2" s="1"/>
    </row>
    <row r="3" spans="2:10" ht="15" customHeight="1" x14ac:dyDescent="0.2">
      <c r="B3" s="35" t="s">
        <v>44</v>
      </c>
      <c r="C3" s="31"/>
      <c r="D3" s="31"/>
      <c r="E3" s="31"/>
      <c r="F3" s="31"/>
      <c r="G3" s="31"/>
      <c r="H3" s="31"/>
      <c r="I3" s="30"/>
      <c r="J3" s="30"/>
    </row>
    <row r="4" spans="2:10" x14ac:dyDescent="0.2">
      <c r="B4" s="7"/>
      <c r="C4" s="36">
        <v>2020</v>
      </c>
      <c r="D4" s="36">
        <v>2021</v>
      </c>
      <c r="E4" s="36">
        <v>2022</v>
      </c>
      <c r="F4" s="36">
        <v>2023</v>
      </c>
      <c r="G4" s="8"/>
      <c r="H4" s="8"/>
      <c r="I4" s="3"/>
      <c r="J4" s="3"/>
    </row>
    <row r="5" spans="2:10" ht="15" customHeight="1" x14ac:dyDescent="0.2">
      <c r="B5" s="34"/>
      <c r="C5" s="40" t="s">
        <v>2</v>
      </c>
      <c r="D5" s="40" t="s">
        <v>2</v>
      </c>
      <c r="E5" s="40" t="s">
        <v>2</v>
      </c>
      <c r="F5" s="40" t="s">
        <v>3</v>
      </c>
      <c r="G5" s="8"/>
      <c r="H5" s="8"/>
      <c r="I5" s="3"/>
      <c r="J5" s="3"/>
    </row>
    <row r="6" spans="2:10" ht="15" customHeight="1" x14ac:dyDescent="0.2">
      <c r="B6" s="38" t="s">
        <v>22</v>
      </c>
      <c r="G6" s="7"/>
      <c r="H6" s="7"/>
      <c r="I6" s="1"/>
      <c r="J6" s="1"/>
    </row>
    <row r="7" spans="2:10" ht="15" customHeight="1" x14ac:dyDescent="0.2">
      <c r="B7" t="s">
        <v>45</v>
      </c>
      <c r="C7" s="55">
        <v>33.299999999999997</v>
      </c>
      <c r="D7" s="55">
        <v>28.8</v>
      </c>
      <c r="E7" s="55">
        <v>34.9</v>
      </c>
      <c r="F7" s="55">
        <v>35.9</v>
      </c>
      <c r="G7" s="8"/>
      <c r="H7" s="8"/>
      <c r="I7" s="3"/>
      <c r="J7" s="3"/>
    </row>
    <row r="8" spans="2:10" x14ac:dyDescent="0.2">
      <c r="B8" s="32" t="s">
        <v>23</v>
      </c>
      <c r="C8" s="42">
        <v>84</v>
      </c>
      <c r="D8" s="42">
        <v>94.5</v>
      </c>
      <c r="E8" s="42">
        <v>88.2</v>
      </c>
      <c r="F8" s="42">
        <v>85.3</v>
      </c>
      <c r="G8" s="8"/>
      <c r="H8" s="8"/>
      <c r="I8" s="3"/>
      <c r="J8" s="3"/>
    </row>
    <row r="9" spans="2:10" ht="15" customHeight="1" x14ac:dyDescent="0.2">
      <c r="B9" s="32" t="s">
        <v>24</v>
      </c>
      <c r="C9" s="42">
        <v>11.2</v>
      </c>
      <c r="D9" s="42">
        <v>12.6</v>
      </c>
      <c r="E9" s="42">
        <v>8.5</v>
      </c>
      <c r="F9" s="42">
        <v>9.9</v>
      </c>
      <c r="G9" s="8"/>
      <c r="H9" s="8"/>
      <c r="I9" s="3"/>
      <c r="J9" s="3"/>
    </row>
    <row r="10" spans="2:10" ht="15" customHeight="1" x14ac:dyDescent="0.2">
      <c r="B10" s="39" t="s">
        <v>25</v>
      </c>
      <c r="C10" s="43">
        <v>7.6</v>
      </c>
      <c r="D10" s="43">
        <v>12.4</v>
      </c>
      <c r="E10" s="43">
        <v>9.5</v>
      </c>
      <c r="F10" s="43">
        <v>12.1</v>
      </c>
      <c r="G10" s="8"/>
      <c r="H10" s="8"/>
      <c r="I10" s="3"/>
      <c r="J10" s="3"/>
    </row>
    <row r="11" spans="2:10" ht="15" customHeight="1" x14ac:dyDescent="0.2">
      <c r="B11" s="33" t="s">
        <v>26</v>
      </c>
      <c r="C11" s="56">
        <f>SUM(C7:C10)</f>
        <v>136.1</v>
      </c>
      <c r="D11" s="56">
        <f t="shared" ref="D11:F11" si="0">SUM(D7:D10)</f>
        <v>148.30000000000001</v>
      </c>
      <c r="E11" s="56">
        <f t="shared" si="0"/>
        <v>141.1</v>
      </c>
      <c r="F11" s="56">
        <f t="shared" si="0"/>
        <v>143.19999999999999</v>
      </c>
      <c r="G11" s="7"/>
      <c r="H11" s="7"/>
      <c r="I11" s="7"/>
      <c r="J11" s="7"/>
    </row>
    <row r="12" spans="2:10" ht="15" customHeight="1" x14ac:dyDescent="0.2">
      <c r="G12" s="8"/>
      <c r="H12" s="8"/>
      <c r="I12" s="3"/>
      <c r="J12" s="3"/>
    </row>
    <row r="13" spans="2:10" ht="15" customHeight="1" x14ac:dyDescent="0.2">
      <c r="B13" s="37" t="s">
        <v>46</v>
      </c>
      <c r="G13" s="8"/>
      <c r="H13" s="8"/>
      <c r="I13" s="3"/>
      <c r="J13" s="3"/>
    </row>
    <row r="14" spans="2:10" ht="15" customHeight="1" x14ac:dyDescent="0.2">
      <c r="B14" s="32" t="s">
        <v>47</v>
      </c>
      <c r="C14" s="55">
        <v>208.1</v>
      </c>
      <c r="D14" s="55">
        <v>222.8</v>
      </c>
      <c r="E14" s="55">
        <v>229.1</v>
      </c>
      <c r="F14" s="55">
        <v>243.9</v>
      </c>
      <c r="G14" s="8"/>
      <c r="H14" s="8"/>
      <c r="I14" s="3"/>
      <c r="J14" s="3"/>
    </row>
    <row r="15" spans="2:10" ht="15" customHeight="1" x14ac:dyDescent="0.2">
      <c r="B15" s="32" t="s">
        <v>27</v>
      </c>
      <c r="C15" s="42">
        <v>12.2</v>
      </c>
      <c r="D15" s="42">
        <v>12.2</v>
      </c>
      <c r="E15" s="42">
        <v>12.3</v>
      </c>
      <c r="F15" s="42">
        <v>12.2</v>
      </c>
      <c r="G15" s="7"/>
      <c r="H15" s="7"/>
      <c r="I15" s="1"/>
      <c r="J15" s="1"/>
    </row>
    <row r="16" spans="2:10" ht="15" customHeight="1" x14ac:dyDescent="0.2">
      <c r="B16" s="32" t="s">
        <v>28</v>
      </c>
      <c r="C16" s="42">
        <v>14.8</v>
      </c>
      <c r="D16" s="42">
        <v>13.4</v>
      </c>
      <c r="E16" s="42">
        <v>16.8</v>
      </c>
      <c r="F16" s="42">
        <v>16.2</v>
      </c>
      <c r="G16" s="8"/>
      <c r="H16" s="8"/>
      <c r="I16" s="3"/>
      <c r="J16" s="3"/>
    </row>
    <row r="17" spans="2:10" ht="15" customHeight="1" x14ac:dyDescent="0.2">
      <c r="B17" s="39" t="s">
        <v>29</v>
      </c>
      <c r="C17" s="42">
        <v>25.8</v>
      </c>
      <c r="D17" s="42">
        <v>27.9</v>
      </c>
      <c r="E17" s="42">
        <v>30.2</v>
      </c>
      <c r="F17" s="42">
        <v>34.1</v>
      </c>
      <c r="G17" s="31"/>
      <c r="H17" s="31"/>
      <c r="I17" s="2"/>
      <c r="J17" s="2"/>
    </row>
    <row r="18" spans="2:10" ht="15" customHeight="1" x14ac:dyDescent="0.2">
      <c r="B18" s="33" t="s">
        <v>30</v>
      </c>
      <c r="C18" s="58">
        <f>SUM(C14:C17)</f>
        <v>260.89999999999998</v>
      </c>
      <c r="D18" s="45">
        <f t="shared" ref="D18:F18" si="1">SUM(D14:D17)</f>
        <v>276.3</v>
      </c>
      <c r="E18" s="45">
        <f t="shared" si="1"/>
        <v>288.39999999999998</v>
      </c>
      <c r="F18" s="45">
        <f t="shared" si="1"/>
        <v>306.40000000000003</v>
      </c>
      <c r="G18" s="8"/>
      <c r="H18" s="8"/>
      <c r="I18" s="3"/>
      <c r="J18" s="3"/>
    </row>
    <row r="19" spans="2:10" ht="15" customHeight="1" thickBot="1" x14ac:dyDescent="0.25">
      <c r="B19" s="46" t="s">
        <v>31</v>
      </c>
      <c r="C19" s="57">
        <f>C11+C18</f>
        <v>397</v>
      </c>
      <c r="D19" s="57">
        <f t="shared" ref="D19:F19" si="2">D11+D18</f>
        <v>424.6</v>
      </c>
      <c r="E19" s="57">
        <f t="shared" si="2"/>
        <v>429.5</v>
      </c>
      <c r="F19" s="57">
        <f t="shared" si="2"/>
        <v>449.6</v>
      </c>
      <c r="G19" s="8"/>
      <c r="H19" s="8"/>
      <c r="I19" s="3"/>
      <c r="J19" s="3"/>
    </row>
    <row r="20" spans="2:10" ht="15" customHeight="1" thickTop="1" x14ac:dyDescent="0.2">
      <c r="B20" s="33"/>
      <c r="C20" s="44"/>
      <c r="D20" s="44"/>
      <c r="E20" s="44"/>
      <c r="F20" s="44"/>
      <c r="G20" s="8"/>
      <c r="H20" s="8"/>
      <c r="I20" s="3"/>
      <c r="J20" s="3"/>
    </row>
    <row r="21" spans="2:10" ht="15" customHeight="1" x14ac:dyDescent="0.2">
      <c r="B21" s="47" t="s">
        <v>48</v>
      </c>
      <c r="G21" s="8"/>
      <c r="H21" s="8"/>
      <c r="I21" s="3"/>
      <c r="J21" s="3"/>
    </row>
    <row r="22" spans="2:10" ht="15" customHeight="1" x14ac:dyDescent="0.2">
      <c r="B22" t="s">
        <v>49</v>
      </c>
      <c r="C22" s="55">
        <v>17.5</v>
      </c>
      <c r="D22" s="55">
        <v>25</v>
      </c>
      <c r="E22" s="55">
        <v>22</v>
      </c>
      <c r="F22" s="55">
        <v>17.600000000000001</v>
      </c>
      <c r="G22" s="8"/>
      <c r="H22" s="8"/>
      <c r="I22" s="3"/>
      <c r="J22" s="3"/>
    </row>
    <row r="23" spans="2:10" ht="15" customHeight="1" x14ac:dyDescent="0.2">
      <c r="B23" s="32" t="s">
        <v>32</v>
      </c>
      <c r="C23" s="42">
        <v>40.1</v>
      </c>
      <c r="D23" s="42">
        <v>36.799999999999997</v>
      </c>
      <c r="E23" s="42">
        <v>35.9</v>
      </c>
      <c r="F23" s="42">
        <v>37.4</v>
      </c>
      <c r="G23" s="7"/>
      <c r="H23" s="7"/>
      <c r="I23" s="1"/>
      <c r="J23" s="1"/>
    </row>
    <row r="24" spans="2:10" ht="15" customHeight="1" x14ac:dyDescent="0.2">
      <c r="B24" s="32" t="s">
        <v>33</v>
      </c>
      <c r="C24" s="42">
        <v>15.6</v>
      </c>
      <c r="D24" s="42">
        <v>19.3</v>
      </c>
      <c r="E24" s="42">
        <v>17.2</v>
      </c>
      <c r="F24" s="42">
        <v>16.8</v>
      </c>
      <c r="G24" s="8"/>
      <c r="H24" s="8"/>
      <c r="I24" s="3"/>
      <c r="J24" s="3"/>
    </row>
    <row r="25" spans="2:10" ht="15" customHeight="1" x14ac:dyDescent="0.2">
      <c r="B25" s="39" t="s">
        <v>34</v>
      </c>
      <c r="C25" s="42">
        <v>25.5</v>
      </c>
      <c r="D25" s="42">
        <v>29.1</v>
      </c>
      <c r="E25" s="42">
        <v>27.2</v>
      </c>
      <c r="F25" s="42">
        <v>25.9</v>
      </c>
      <c r="G25" s="8"/>
      <c r="H25" s="8"/>
      <c r="I25" s="3"/>
      <c r="J25" s="3"/>
    </row>
    <row r="26" spans="2:10" ht="15" customHeight="1" x14ac:dyDescent="0.2">
      <c r="B26" s="33" t="s">
        <v>35</v>
      </c>
      <c r="C26" s="58">
        <f>SUM(C22:C25)</f>
        <v>98.7</v>
      </c>
      <c r="D26" s="58">
        <f t="shared" ref="D26:F26" si="3">SUM(D22:D25)</f>
        <v>110.19999999999999</v>
      </c>
      <c r="E26" s="58">
        <f t="shared" si="3"/>
        <v>102.3</v>
      </c>
      <c r="F26" s="58">
        <f t="shared" si="3"/>
        <v>97.699999999999989</v>
      </c>
      <c r="G26" s="8"/>
      <c r="H26" s="8"/>
      <c r="I26" s="3"/>
      <c r="J26" s="3"/>
    </row>
    <row r="27" spans="2:10" ht="15" customHeight="1" x14ac:dyDescent="0.2">
      <c r="G27" s="7"/>
      <c r="H27" s="7"/>
      <c r="I27" s="1"/>
      <c r="J27" s="1"/>
    </row>
    <row r="28" spans="2:10" ht="15" customHeight="1" x14ac:dyDescent="0.2">
      <c r="B28" s="38" t="s">
        <v>50</v>
      </c>
      <c r="G28" s="7"/>
      <c r="H28" s="7"/>
      <c r="I28" s="1"/>
      <c r="J28" s="1"/>
    </row>
    <row r="29" spans="2:10" ht="15" customHeight="1" x14ac:dyDescent="0.2">
      <c r="B29" s="32" t="s">
        <v>51</v>
      </c>
      <c r="C29" s="55">
        <v>114.6</v>
      </c>
      <c r="D29" s="55">
        <v>84.8</v>
      </c>
      <c r="E29" s="55">
        <v>63.5</v>
      </c>
      <c r="F29" s="55">
        <v>70.099999999999994</v>
      </c>
      <c r="G29" s="8"/>
      <c r="H29" s="8"/>
      <c r="I29" s="3"/>
      <c r="J29" s="3"/>
    </row>
    <row r="30" spans="2:10" x14ac:dyDescent="0.2">
      <c r="B30" s="32" t="s">
        <v>36</v>
      </c>
      <c r="C30" s="42">
        <v>97.1</v>
      </c>
      <c r="D30" s="42">
        <v>103.2</v>
      </c>
      <c r="E30" s="42">
        <v>106.3</v>
      </c>
      <c r="F30" s="42">
        <v>109.7</v>
      </c>
      <c r="G30" s="8"/>
      <c r="H30" s="8"/>
      <c r="I30" s="3"/>
      <c r="J30" s="3"/>
    </row>
    <row r="31" spans="2:10" x14ac:dyDescent="0.2">
      <c r="B31" s="39" t="s">
        <v>37</v>
      </c>
      <c r="C31" s="42">
        <v>47.6</v>
      </c>
      <c r="D31" s="42">
        <v>44.2</v>
      </c>
      <c r="E31" s="42">
        <v>43.4</v>
      </c>
      <c r="F31" s="42">
        <v>31</v>
      </c>
    </row>
    <row r="32" spans="2:10" x14ac:dyDescent="0.2">
      <c r="B32" s="33" t="s">
        <v>38</v>
      </c>
      <c r="C32" s="58">
        <f>SUM(C29:C31)</f>
        <v>259.3</v>
      </c>
      <c r="D32" s="58">
        <f t="shared" ref="D32:F32" si="4">SUM(D29:D31)</f>
        <v>232.2</v>
      </c>
      <c r="E32" s="58">
        <f t="shared" si="4"/>
        <v>213.20000000000002</v>
      </c>
      <c r="F32" s="58">
        <f t="shared" si="4"/>
        <v>210.8</v>
      </c>
    </row>
    <row r="33" spans="2:6" x14ac:dyDescent="0.2">
      <c r="B33" s="50" t="s">
        <v>39</v>
      </c>
      <c r="C33" s="58">
        <f>C26+C32</f>
        <v>358</v>
      </c>
      <c r="D33" s="58">
        <f t="shared" ref="D33:F33" si="5">D26+D32</f>
        <v>342.4</v>
      </c>
      <c r="E33" s="58">
        <f t="shared" si="5"/>
        <v>315.5</v>
      </c>
      <c r="F33" s="58">
        <f t="shared" si="5"/>
        <v>308.5</v>
      </c>
    </row>
    <row r="34" spans="2:6" x14ac:dyDescent="0.2">
      <c r="B34" s="39" t="s">
        <v>40</v>
      </c>
      <c r="C34" s="51">
        <v>39</v>
      </c>
      <c r="D34" s="51">
        <v>82.2</v>
      </c>
      <c r="E34" s="51">
        <v>114</v>
      </c>
      <c r="F34" s="51">
        <v>141.1</v>
      </c>
    </row>
    <row r="35" spans="2:6" ht="16" thickBot="1" x14ac:dyDescent="0.25">
      <c r="B35" s="49" t="s">
        <v>41</v>
      </c>
      <c r="C35" s="59">
        <f>C33+C34</f>
        <v>397</v>
      </c>
      <c r="D35" s="59">
        <f t="shared" ref="D35:F35" si="6">D33+D34</f>
        <v>424.59999999999997</v>
      </c>
      <c r="E35" s="59">
        <f t="shared" si="6"/>
        <v>429.5</v>
      </c>
      <c r="F35" s="59">
        <f t="shared" si="6"/>
        <v>449.6</v>
      </c>
    </row>
    <row r="36" spans="2:6" ht="16" thickTop="1" x14ac:dyDescent="0.2">
      <c r="B36" s="32" t="s">
        <v>42</v>
      </c>
      <c r="C36" s="52">
        <f>C19-C35</f>
        <v>0</v>
      </c>
      <c r="D36" s="52">
        <f t="shared" ref="D36:F36" si="7">D19-D35</f>
        <v>0</v>
      </c>
      <c r="E36" s="52">
        <f t="shared" si="7"/>
        <v>0</v>
      </c>
      <c r="F36" s="52">
        <f t="shared" si="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BC06A-F5F7-4E0C-B6B7-CBA0A93FBFB1}">
  <dimension ref="B2:G22"/>
  <sheetViews>
    <sheetView showGridLines="0" workbookViewId="0">
      <selection activeCell="F19" sqref="F19"/>
    </sheetView>
  </sheetViews>
  <sheetFormatPr baseColWidth="10" defaultColWidth="8.83203125" defaultRowHeight="15" x14ac:dyDescent="0.2"/>
  <cols>
    <col min="1" max="1" width="2.6640625" customWidth="1"/>
    <col min="2" max="2" width="50.33203125" customWidth="1"/>
  </cols>
  <sheetData>
    <row r="2" spans="2:7" ht="15" customHeight="1" x14ac:dyDescent="0.2">
      <c r="B2" s="9" t="s">
        <v>58</v>
      </c>
      <c r="C2" s="4"/>
      <c r="D2" s="4"/>
      <c r="E2" s="4"/>
      <c r="F2" s="4"/>
      <c r="G2" s="4"/>
    </row>
    <row r="3" spans="2:7" ht="15" customHeight="1" x14ac:dyDescent="0.2">
      <c r="B3" s="2" t="s">
        <v>21</v>
      </c>
      <c r="C3" s="2"/>
      <c r="D3" s="2"/>
      <c r="E3" s="2"/>
      <c r="F3" s="2"/>
      <c r="G3" s="2"/>
    </row>
    <row r="4" spans="2:7" x14ac:dyDescent="0.2">
      <c r="B4" s="1"/>
      <c r="C4" s="41">
        <v>2020</v>
      </c>
      <c r="D4" s="41">
        <v>2021</v>
      </c>
      <c r="E4" s="41">
        <v>2022</v>
      </c>
      <c r="F4" s="41">
        <v>2023</v>
      </c>
      <c r="G4" s="41">
        <v>2024</v>
      </c>
    </row>
    <row r="5" spans="2:7" x14ac:dyDescent="0.2">
      <c r="B5" s="1"/>
      <c r="C5" s="40" t="s">
        <v>67</v>
      </c>
      <c r="D5" s="40" t="s">
        <v>67</v>
      </c>
      <c r="E5" s="40" t="s">
        <v>67</v>
      </c>
      <c r="F5" s="40" t="s">
        <v>68</v>
      </c>
      <c r="G5" s="40" t="s">
        <v>70</v>
      </c>
    </row>
    <row r="6" spans="2:7" ht="16" x14ac:dyDescent="0.2">
      <c r="B6" s="10" t="s">
        <v>5</v>
      </c>
      <c r="C6" s="15">
        <v>177.1</v>
      </c>
      <c r="D6" s="15">
        <v>222.4</v>
      </c>
      <c r="E6" s="15">
        <v>238.7</v>
      </c>
      <c r="F6" s="15">
        <v>258.10000000000002</v>
      </c>
      <c r="G6" s="15">
        <v>278.7</v>
      </c>
    </row>
    <row r="7" spans="2:7" ht="16" x14ac:dyDescent="0.2">
      <c r="B7" s="19" t="s">
        <v>6</v>
      </c>
      <c r="C7" s="20"/>
      <c r="D7" s="21">
        <f>(D6/C6)-1</f>
        <v>0.25578769057029938</v>
      </c>
      <c r="E7" s="21">
        <f t="shared" ref="E7:G7" si="0">(E6/D6)-1</f>
        <v>7.3291366906474753E-2</v>
      </c>
      <c r="F7" s="21">
        <f t="shared" si="0"/>
        <v>8.12735651445331E-2</v>
      </c>
      <c r="G7" s="21">
        <f t="shared" si="0"/>
        <v>7.9814025571483871E-2</v>
      </c>
    </row>
    <row r="8" spans="2:7" ht="15" customHeight="1" x14ac:dyDescent="0.2">
      <c r="B8" s="18" t="s">
        <v>7</v>
      </c>
      <c r="C8" s="24">
        <v>145.5</v>
      </c>
      <c r="D8" s="24">
        <v>181.8</v>
      </c>
      <c r="E8" s="24">
        <v>194.8</v>
      </c>
      <c r="F8" s="24">
        <v>209.3</v>
      </c>
      <c r="G8" s="24">
        <v>225.8</v>
      </c>
    </row>
    <row r="9" spans="2:7" ht="15" customHeight="1" x14ac:dyDescent="0.2">
      <c r="B9" s="13" t="s">
        <v>8</v>
      </c>
      <c r="C9" s="25">
        <f>C6-C8</f>
        <v>31.599999999999994</v>
      </c>
      <c r="D9" s="25">
        <f t="shared" ref="D9:G9" si="1">D6-D8</f>
        <v>40.599999999999994</v>
      </c>
      <c r="E9" s="25">
        <f t="shared" si="1"/>
        <v>43.899999999999977</v>
      </c>
      <c r="F9" s="25">
        <f t="shared" si="1"/>
        <v>48.800000000000011</v>
      </c>
      <c r="G9" s="25">
        <f t="shared" si="1"/>
        <v>52.899999999999977</v>
      </c>
    </row>
    <row r="10" spans="2:7" ht="15" customHeight="1" x14ac:dyDescent="0.2">
      <c r="B10" s="19" t="s">
        <v>9</v>
      </c>
      <c r="C10" s="22">
        <f>C9/C6</f>
        <v>0.17843026538678711</v>
      </c>
      <c r="D10" s="22">
        <f t="shared" ref="D10:G10" si="2">D9/D6</f>
        <v>0.18255395683453235</v>
      </c>
      <c r="E10" s="22">
        <f t="shared" si="2"/>
        <v>0.18391286133221607</v>
      </c>
      <c r="F10" s="22">
        <f t="shared" si="2"/>
        <v>0.18907400232468038</v>
      </c>
      <c r="G10" s="22">
        <f t="shared" si="2"/>
        <v>0.18980983135988511</v>
      </c>
    </row>
    <row r="11" spans="2:7" ht="15" customHeight="1" x14ac:dyDescent="0.2">
      <c r="B11" s="12" t="s">
        <v>10</v>
      </c>
      <c r="C11" s="26">
        <v>17.100000000000001</v>
      </c>
      <c r="D11" s="26">
        <v>19.899999999999999</v>
      </c>
      <c r="E11" s="26">
        <v>23.1</v>
      </c>
      <c r="F11" s="26">
        <v>25.2</v>
      </c>
      <c r="G11" s="26">
        <v>26.2</v>
      </c>
    </row>
    <row r="12" spans="2:7" ht="15" customHeight="1" x14ac:dyDescent="0.2">
      <c r="B12" s="12" t="s">
        <v>11</v>
      </c>
      <c r="C12" s="26">
        <v>2.2999999999999998</v>
      </c>
      <c r="D12" s="26">
        <v>3.4</v>
      </c>
      <c r="E12" s="26">
        <v>2.2999999999999998</v>
      </c>
      <c r="F12" s="26">
        <v>3.1</v>
      </c>
      <c r="G12" s="26">
        <v>3.3</v>
      </c>
    </row>
    <row r="13" spans="2:7" ht="15" customHeight="1" x14ac:dyDescent="0.2">
      <c r="B13" s="18" t="s">
        <v>12</v>
      </c>
      <c r="C13" s="24">
        <v>0.2</v>
      </c>
      <c r="D13" s="24">
        <v>1.3</v>
      </c>
      <c r="E13" s="17">
        <v>0</v>
      </c>
      <c r="F13" s="17">
        <v>0</v>
      </c>
      <c r="G13" s="17">
        <v>0</v>
      </c>
    </row>
    <row r="14" spans="2:7" ht="15" customHeight="1" x14ac:dyDescent="0.2">
      <c r="B14" s="10" t="s">
        <v>13</v>
      </c>
      <c r="C14" s="27">
        <f>C9-C11-C12-C13</f>
        <v>11.999999999999993</v>
      </c>
      <c r="D14" s="27">
        <f t="shared" ref="D14:G14" si="3">D9-D11-D12-D13</f>
        <v>15.999999999999996</v>
      </c>
      <c r="E14" s="27">
        <f t="shared" si="3"/>
        <v>18.499999999999975</v>
      </c>
      <c r="F14" s="27">
        <f t="shared" si="3"/>
        <v>20.500000000000011</v>
      </c>
      <c r="G14" s="27">
        <f t="shared" si="3"/>
        <v>23.399999999999977</v>
      </c>
    </row>
    <row r="15" spans="2:7" ht="15" customHeight="1" x14ac:dyDescent="0.2">
      <c r="B15" s="19" t="s">
        <v>14</v>
      </c>
      <c r="C15" s="22">
        <f>C14/C6</f>
        <v>6.7758328627893813E-2</v>
      </c>
      <c r="D15" s="22">
        <f t="shared" ref="D15:G15" si="4">D14/D6</f>
        <v>7.1942446043165451E-2</v>
      </c>
      <c r="E15" s="22">
        <f t="shared" si="4"/>
        <v>7.7503142019270957E-2</v>
      </c>
      <c r="F15" s="22">
        <f t="shared" si="4"/>
        <v>7.9426578845408796E-2</v>
      </c>
      <c r="G15" s="22">
        <f t="shared" si="4"/>
        <v>8.3961248654467094E-2</v>
      </c>
    </row>
    <row r="16" spans="2:7" ht="15" customHeight="1" x14ac:dyDescent="0.2">
      <c r="B16" s="18" t="s">
        <v>15</v>
      </c>
      <c r="C16" s="24">
        <v>2.5</v>
      </c>
      <c r="D16" s="24">
        <v>2.9</v>
      </c>
      <c r="E16" s="24">
        <v>1.9</v>
      </c>
      <c r="F16" s="24">
        <v>2.1</v>
      </c>
      <c r="G16" s="24">
        <v>2.1</v>
      </c>
    </row>
    <row r="17" spans="2:7" ht="16" x14ac:dyDescent="0.2">
      <c r="B17" s="12" t="s">
        <v>16</v>
      </c>
      <c r="C17" s="28">
        <f>C14-C16</f>
        <v>9.4999999999999929</v>
      </c>
      <c r="D17" s="28">
        <f t="shared" ref="D17:G17" si="5">D14-D16</f>
        <v>13.099999999999996</v>
      </c>
      <c r="E17" s="28">
        <f t="shared" si="5"/>
        <v>16.599999999999977</v>
      </c>
      <c r="F17" s="28">
        <f t="shared" si="5"/>
        <v>18.400000000000009</v>
      </c>
      <c r="G17" s="28">
        <f t="shared" si="5"/>
        <v>21.299999999999976</v>
      </c>
    </row>
    <row r="18" spans="2:7" ht="16" x14ac:dyDescent="0.2">
      <c r="B18" s="18" t="s">
        <v>17</v>
      </c>
      <c r="C18" s="24">
        <v>3.8</v>
      </c>
      <c r="D18" s="24">
        <v>5.3</v>
      </c>
      <c r="E18" s="24">
        <v>6.6</v>
      </c>
      <c r="F18" s="24">
        <v>3.9</v>
      </c>
      <c r="G18" s="24">
        <v>4.5</v>
      </c>
    </row>
    <row r="19" spans="2:7" ht="15" customHeight="1" x14ac:dyDescent="0.2">
      <c r="B19" s="14" t="s">
        <v>18</v>
      </c>
      <c r="C19" s="29">
        <f>C17-C18</f>
        <v>5.6999999999999931</v>
      </c>
      <c r="D19" s="29">
        <f t="shared" ref="D19:G19" si="6">D17-D18</f>
        <v>7.7999999999999963</v>
      </c>
      <c r="E19" s="29">
        <f t="shared" si="6"/>
        <v>9.9999999999999769</v>
      </c>
      <c r="F19" s="29">
        <f t="shared" si="6"/>
        <v>14.500000000000009</v>
      </c>
      <c r="G19" s="29">
        <f t="shared" si="6"/>
        <v>16.799999999999976</v>
      </c>
    </row>
    <row r="20" spans="2:7" ht="15" customHeight="1" x14ac:dyDescent="0.2">
      <c r="B20" s="10"/>
      <c r="C20" s="16"/>
      <c r="D20" s="16"/>
      <c r="E20" s="16"/>
      <c r="F20" s="16"/>
      <c r="G20" s="16"/>
    </row>
    <row r="21" spans="2:7" ht="15" customHeight="1" x14ac:dyDescent="0.2">
      <c r="B21" s="12" t="s">
        <v>19</v>
      </c>
      <c r="C21" s="26">
        <v>2.2999999999999998</v>
      </c>
      <c r="D21" s="26">
        <v>3.4</v>
      </c>
      <c r="E21" s="26">
        <v>2.2999999999999998</v>
      </c>
      <c r="F21" s="26">
        <v>3.1</v>
      </c>
      <c r="G21" s="26">
        <v>3.3</v>
      </c>
    </row>
    <row r="22" spans="2:7" ht="16" x14ac:dyDescent="0.2">
      <c r="B22" s="19" t="s">
        <v>20</v>
      </c>
      <c r="C22" s="22">
        <f>C21/C6</f>
        <v>1.2987012987012986E-2</v>
      </c>
      <c r="D22" s="22">
        <f t="shared" ref="D22:G22" si="7">D21/D6</f>
        <v>1.528776978417266E-2</v>
      </c>
      <c r="E22" s="22">
        <f t="shared" si="7"/>
        <v>9.6355257645580217E-3</v>
      </c>
      <c r="F22" s="22">
        <f t="shared" si="7"/>
        <v>1.2010848508330105E-2</v>
      </c>
      <c r="G22" s="22">
        <f t="shared" si="7"/>
        <v>1.1840688912809472E-2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FFC2D-1B23-454D-A54A-07CE4D2C5779}">
  <dimension ref="B2:H39"/>
  <sheetViews>
    <sheetView showGridLines="0" topLeftCell="A2" workbookViewId="0">
      <selection activeCell="F22" sqref="F22"/>
    </sheetView>
  </sheetViews>
  <sheetFormatPr baseColWidth="10" defaultColWidth="8.83203125" defaultRowHeight="15" x14ac:dyDescent="0.2"/>
  <cols>
    <col min="1" max="1" width="2.6640625" customWidth="1"/>
    <col min="2" max="2" width="37" customWidth="1"/>
    <col min="3" max="3" width="11.5" customWidth="1"/>
    <col min="4" max="4" width="11.6640625" customWidth="1"/>
    <col min="5" max="5" width="11.5" customWidth="1"/>
    <col min="6" max="6" width="13" customWidth="1"/>
  </cols>
  <sheetData>
    <row r="2" spans="2:6" ht="15" customHeight="1" x14ac:dyDescent="0.2">
      <c r="B2" s="53" t="s">
        <v>69</v>
      </c>
      <c r="C2" s="54"/>
      <c r="D2" s="54"/>
      <c r="E2" s="54"/>
      <c r="F2" s="54"/>
    </row>
    <row r="3" spans="2:6" ht="15" customHeight="1" x14ac:dyDescent="0.2">
      <c r="B3" s="75" t="s">
        <v>44</v>
      </c>
      <c r="C3" s="60"/>
      <c r="D3" s="60"/>
      <c r="E3" s="60"/>
      <c r="F3" s="60"/>
    </row>
    <row r="4" spans="2:6" x14ac:dyDescent="0.2">
      <c r="B4" s="61"/>
      <c r="C4" s="36">
        <v>2020</v>
      </c>
      <c r="D4" s="36">
        <v>2021</v>
      </c>
      <c r="E4" s="36">
        <v>2022</v>
      </c>
      <c r="F4" s="36">
        <v>2023</v>
      </c>
    </row>
    <row r="5" spans="2:6" ht="15" customHeight="1" x14ac:dyDescent="0.2">
      <c r="B5" s="61"/>
      <c r="C5" s="40" t="s">
        <v>67</v>
      </c>
      <c r="D5" s="40" t="s">
        <v>67</v>
      </c>
      <c r="E5" s="40" t="s">
        <v>67</v>
      </c>
      <c r="F5" s="40" t="s">
        <v>68</v>
      </c>
    </row>
    <row r="6" spans="2:6" ht="15" customHeight="1" x14ac:dyDescent="0.2">
      <c r="B6" s="63" t="s">
        <v>60</v>
      </c>
    </row>
    <row r="7" spans="2:6" ht="15" customHeight="1" x14ac:dyDescent="0.2">
      <c r="B7" t="s">
        <v>45</v>
      </c>
      <c r="C7" s="55">
        <v>10.199999999999999</v>
      </c>
      <c r="D7" s="55">
        <v>10.8</v>
      </c>
      <c r="E7" s="55">
        <v>9.9</v>
      </c>
      <c r="F7" s="55">
        <v>11.3</v>
      </c>
    </row>
    <row r="8" spans="2:6" x14ac:dyDescent="0.2">
      <c r="B8" t="s">
        <v>61</v>
      </c>
      <c r="C8" s="42">
        <v>29</v>
      </c>
      <c r="D8" s="42">
        <v>30.9</v>
      </c>
      <c r="E8" s="42">
        <v>35.5</v>
      </c>
      <c r="F8" s="42">
        <v>33.799999999999997</v>
      </c>
    </row>
    <row r="9" spans="2:6" ht="15" customHeight="1" x14ac:dyDescent="0.2">
      <c r="B9" s="48" t="s">
        <v>24</v>
      </c>
      <c r="C9" s="42">
        <v>49.2</v>
      </c>
      <c r="D9" s="42">
        <v>52.3</v>
      </c>
      <c r="E9" s="42">
        <v>57.2</v>
      </c>
      <c r="F9" s="42">
        <v>60.5</v>
      </c>
    </row>
    <row r="10" spans="2:6" ht="15" customHeight="1" x14ac:dyDescent="0.2">
      <c r="B10" s="64" t="s">
        <v>25</v>
      </c>
      <c r="C10" s="43">
        <v>2.1</v>
      </c>
      <c r="D10" s="43">
        <v>1.3</v>
      </c>
      <c r="E10" s="43">
        <v>1.2</v>
      </c>
      <c r="F10" s="43">
        <v>3.1</v>
      </c>
    </row>
    <row r="11" spans="2:6" ht="15" customHeight="1" x14ac:dyDescent="0.2">
      <c r="B11" s="67" t="s">
        <v>26</v>
      </c>
      <c r="C11" s="71">
        <f>SUM(C7:C10)</f>
        <v>90.5</v>
      </c>
      <c r="D11" s="71">
        <f t="shared" ref="D11:F11" si="0">SUM(D7:D10)</f>
        <v>95.3</v>
      </c>
      <c r="E11" s="71">
        <f t="shared" si="0"/>
        <v>103.8</v>
      </c>
      <c r="F11" s="71">
        <f t="shared" si="0"/>
        <v>108.69999999999999</v>
      </c>
    </row>
    <row r="12" spans="2:6" ht="15" customHeight="1" x14ac:dyDescent="0.2"/>
    <row r="13" spans="2:6" ht="15" customHeight="1" x14ac:dyDescent="0.2">
      <c r="B13" s="68" t="s">
        <v>46</v>
      </c>
    </row>
    <row r="14" spans="2:6" ht="15" customHeight="1" x14ac:dyDescent="0.2">
      <c r="B14" t="s">
        <v>47</v>
      </c>
      <c r="C14" s="55">
        <v>17</v>
      </c>
      <c r="D14" s="55">
        <v>18.7</v>
      </c>
      <c r="E14" s="55">
        <v>19.600000000000001</v>
      </c>
      <c r="F14" s="55">
        <v>22.2</v>
      </c>
    </row>
    <row r="15" spans="2:6" ht="15" customHeight="1" x14ac:dyDescent="0.2">
      <c r="B15" s="48" t="s">
        <v>27</v>
      </c>
      <c r="C15" s="42">
        <v>0.7</v>
      </c>
      <c r="D15" s="42">
        <v>1.4</v>
      </c>
      <c r="E15" s="42">
        <v>1.7</v>
      </c>
      <c r="F15" s="42">
        <v>2.1</v>
      </c>
    </row>
    <row r="16" spans="2:6" ht="15" customHeight="1" x14ac:dyDescent="0.2">
      <c r="B16" s="48" t="s">
        <v>28</v>
      </c>
      <c r="C16" s="42">
        <v>5.0999999999999996</v>
      </c>
      <c r="D16" s="42">
        <v>8.4</v>
      </c>
      <c r="E16" s="42">
        <v>9.6999999999999993</v>
      </c>
      <c r="F16" s="42">
        <v>9.6999999999999993</v>
      </c>
    </row>
    <row r="17" spans="2:8" ht="15" customHeight="1" x14ac:dyDescent="0.2">
      <c r="B17" s="64" t="s">
        <v>29</v>
      </c>
      <c r="C17" s="43">
        <v>6.3</v>
      </c>
      <c r="D17" s="43">
        <v>12</v>
      </c>
      <c r="E17" s="43">
        <v>8.6</v>
      </c>
      <c r="F17" s="43">
        <v>11.4</v>
      </c>
    </row>
    <row r="18" spans="2:8" ht="15" customHeight="1" x14ac:dyDescent="0.2">
      <c r="B18" s="67" t="s">
        <v>30</v>
      </c>
      <c r="C18" s="71">
        <f>SUM(C14:C17)</f>
        <v>29.099999999999998</v>
      </c>
      <c r="D18" s="71">
        <f t="shared" ref="D18:F18" si="1">SUM(D14:D17)</f>
        <v>40.5</v>
      </c>
      <c r="E18" s="71">
        <f t="shared" si="1"/>
        <v>39.6</v>
      </c>
      <c r="F18" s="71">
        <f t="shared" si="1"/>
        <v>45.4</v>
      </c>
    </row>
    <row r="19" spans="2:8" ht="15" customHeight="1" thickBot="1" x14ac:dyDescent="0.25">
      <c r="B19" s="69" t="s">
        <v>31</v>
      </c>
      <c r="C19" s="72">
        <f>C11+C18</f>
        <v>119.6</v>
      </c>
      <c r="D19" s="72">
        <f t="shared" ref="D19:F19" si="2">D11+D18</f>
        <v>135.80000000000001</v>
      </c>
      <c r="E19" s="72">
        <f t="shared" si="2"/>
        <v>143.4</v>
      </c>
      <c r="F19" s="72">
        <f t="shared" si="2"/>
        <v>154.1</v>
      </c>
    </row>
    <row r="20" spans="2:8" ht="15" customHeight="1" thickTop="1" x14ac:dyDescent="0.2"/>
    <row r="21" spans="2:8" ht="15" customHeight="1" x14ac:dyDescent="0.2">
      <c r="B21" s="47" t="s">
        <v>48</v>
      </c>
    </row>
    <row r="22" spans="2:8" ht="15" customHeight="1" x14ac:dyDescent="0.2">
      <c r="B22" t="s">
        <v>59</v>
      </c>
      <c r="C22" s="55">
        <v>12</v>
      </c>
      <c r="D22" s="55">
        <v>13.1</v>
      </c>
      <c r="E22" s="55">
        <v>10.4</v>
      </c>
      <c r="F22" s="55">
        <v>10.199999999999999</v>
      </c>
    </row>
    <row r="23" spans="2:8" ht="15" customHeight="1" x14ac:dyDescent="0.2">
      <c r="B23" s="48" t="s">
        <v>62</v>
      </c>
      <c r="C23" s="42">
        <v>8.6999999999999993</v>
      </c>
      <c r="D23" s="42">
        <v>9.4</v>
      </c>
      <c r="E23" s="42">
        <v>7.7</v>
      </c>
      <c r="F23" s="42">
        <v>8.3000000000000007</v>
      </c>
    </row>
    <row r="24" spans="2:8" ht="15" customHeight="1" x14ac:dyDescent="0.2">
      <c r="B24" s="48" t="s">
        <v>32</v>
      </c>
      <c r="C24" s="42">
        <v>26.1</v>
      </c>
      <c r="D24" s="42">
        <v>28</v>
      </c>
      <c r="E24" s="42">
        <v>29.6</v>
      </c>
      <c r="F24" s="42">
        <v>32.200000000000003</v>
      </c>
    </row>
    <row r="25" spans="2:8" ht="15" customHeight="1" x14ac:dyDescent="0.2">
      <c r="B25" s="48" t="s">
        <v>33</v>
      </c>
      <c r="C25" s="42">
        <v>5.7</v>
      </c>
      <c r="D25" s="42">
        <v>7.5</v>
      </c>
      <c r="E25" s="42">
        <v>10.5</v>
      </c>
      <c r="F25" s="42">
        <v>8.9</v>
      </c>
    </row>
    <row r="26" spans="2:8" ht="15" customHeight="1" x14ac:dyDescent="0.2">
      <c r="B26" s="65" t="s">
        <v>63</v>
      </c>
      <c r="C26" s="43">
        <v>2</v>
      </c>
      <c r="D26" s="43">
        <v>2</v>
      </c>
      <c r="E26" s="43">
        <v>2.2999999999999998</v>
      </c>
      <c r="F26" s="43">
        <v>2.4</v>
      </c>
    </row>
    <row r="27" spans="2:8" ht="15" customHeight="1" x14ac:dyDescent="0.2">
      <c r="B27" s="67" t="s">
        <v>35</v>
      </c>
      <c r="C27" s="71">
        <f>SUM(C22:C26)</f>
        <v>54.5</v>
      </c>
      <c r="D27" s="71">
        <f t="shared" ref="D27:F27" si="3">SUM(D22:D26)</f>
        <v>60</v>
      </c>
      <c r="E27" s="71">
        <f t="shared" si="3"/>
        <v>60.5</v>
      </c>
      <c r="F27" s="71">
        <f t="shared" si="3"/>
        <v>62</v>
      </c>
    </row>
    <row r="28" spans="2:8" ht="15" customHeight="1" x14ac:dyDescent="0.2"/>
    <row r="29" spans="2:8" ht="15" customHeight="1" x14ac:dyDescent="0.2">
      <c r="B29" s="68" t="s">
        <v>50</v>
      </c>
    </row>
    <row r="30" spans="2:8" x14ac:dyDescent="0.2">
      <c r="B30" t="s">
        <v>51</v>
      </c>
      <c r="C30" s="55">
        <v>18</v>
      </c>
      <c r="D30" s="55">
        <v>19.600000000000001</v>
      </c>
      <c r="E30" s="55">
        <v>15.7</v>
      </c>
      <c r="F30" s="55">
        <v>15.4</v>
      </c>
      <c r="H30" s="119">
        <f>E35+E30-E7</f>
        <v>73</v>
      </c>
    </row>
    <row r="31" spans="2:8" x14ac:dyDescent="0.2">
      <c r="B31" s="48" t="s">
        <v>36</v>
      </c>
      <c r="C31" s="42">
        <v>0</v>
      </c>
      <c r="D31" s="42">
        <v>0</v>
      </c>
      <c r="E31" s="42">
        <v>0</v>
      </c>
      <c r="F31" s="42">
        <v>0</v>
      </c>
    </row>
    <row r="32" spans="2:8" x14ac:dyDescent="0.2">
      <c r="B32" s="64" t="s">
        <v>37</v>
      </c>
      <c r="C32" s="43">
        <v>0</v>
      </c>
      <c r="D32" s="43">
        <v>0</v>
      </c>
      <c r="E32" s="43">
        <v>0</v>
      </c>
      <c r="F32" s="43">
        <v>0</v>
      </c>
    </row>
    <row r="33" spans="2:6" ht="16" x14ac:dyDescent="0.2">
      <c r="B33" s="70" t="s">
        <v>38</v>
      </c>
      <c r="C33" s="73">
        <f>SUM(C30:C32)</f>
        <v>18</v>
      </c>
      <c r="D33" s="73">
        <f t="shared" ref="D33:F33" si="4">SUM(D30:D32)</f>
        <v>19.600000000000001</v>
      </c>
      <c r="E33" s="73">
        <f t="shared" si="4"/>
        <v>15.7</v>
      </c>
      <c r="F33" s="73">
        <f t="shared" si="4"/>
        <v>15.4</v>
      </c>
    </row>
    <row r="34" spans="2:6" ht="16" x14ac:dyDescent="0.2">
      <c r="B34" s="67" t="s">
        <v>39</v>
      </c>
      <c r="C34" s="71">
        <f>C27+C33</f>
        <v>72.5</v>
      </c>
      <c r="D34" s="71">
        <f t="shared" ref="D34:F34" si="5">D27+D33</f>
        <v>79.599999999999994</v>
      </c>
      <c r="E34" s="71">
        <f t="shared" si="5"/>
        <v>76.2</v>
      </c>
      <c r="F34" s="71">
        <f t="shared" si="5"/>
        <v>77.400000000000006</v>
      </c>
    </row>
    <row r="35" spans="2:6" x14ac:dyDescent="0.2">
      <c r="B35" s="65" t="s">
        <v>64</v>
      </c>
      <c r="C35" s="43">
        <v>47.1</v>
      </c>
      <c r="D35" s="43">
        <v>56.2</v>
      </c>
      <c r="E35" s="43">
        <v>67.2</v>
      </c>
      <c r="F35" s="43">
        <v>76.7</v>
      </c>
    </row>
    <row r="36" spans="2:6" ht="16" thickBot="1" x14ac:dyDescent="0.25">
      <c r="B36" s="66" t="s">
        <v>65</v>
      </c>
      <c r="C36" s="72">
        <f>C34+C35</f>
        <v>119.6</v>
      </c>
      <c r="D36" s="72">
        <f t="shared" ref="D36:F36" si="6">D34+D35</f>
        <v>135.80000000000001</v>
      </c>
      <c r="E36" s="72">
        <f t="shared" si="6"/>
        <v>143.4</v>
      </c>
      <c r="F36" s="72">
        <f t="shared" si="6"/>
        <v>154.10000000000002</v>
      </c>
    </row>
    <row r="37" spans="2:6" ht="16" thickTop="1" x14ac:dyDescent="0.2">
      <c r="B37" t="s">
        <v>66</v>
      </c>
      <c r="C37" s="52">
        <f>C19-C36</f>
        <v>0</v>
      </c>
      <c r="D37" s="52">
        <f t="shared" ref="D37:F37" si="7">D19-D36</f>
        <v>0</v>
      </c>
      <c r="E37" s="52">
        <f t="shared" si="7"/>
        <v>0</v>
      </c>
      <c r="F37" s="52">
        <f t="shared" si="7"/>
        <v>0</v>
      </c>
    </row>
    <row r="38" spans="2:6" x14ac:dyDescent="0.2">
      <c r="B38" s="32"/>
    </row>
    <row r="39" spans="2:6" x14ac:dyDescent="0.2">
      <c r="B3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28C4B-6C62-4E5B-B7FC-32B2079E53B7}">
  <dimension ref="B2:G22"/>
  <sheetViews>
    <sheetView showGridLines="0" workbookViewId="0">
      <selection activeCell="G18" sqref="G18"/>
    </sheetView>
  </sheetViews>
  <sheetFormatPr baseColWidth="10" defaultColWidth="8.83203125" defaultRowHeight="15" x14ac:dyDescent="0.2"/>
  <cols>
    <col min="1" max="1" width="2.6640625" customWidth="1"/>
    <col min="2" max="2" width="34.1640625" customWidth="1"/>
    <col min="3" max="7" width="9.1640625"/>
  </cols>
  <sheetData>
    <row r="2" spans="2:7" x14ac:dyDescent="0.2">
      <c r="B2" s="9" t="s">
        <v>87</v>
      </c>
      <c r="C2" s="4"/>
      <c r="D2" s="4"/>
      <c r="E2" s="4"/>
      <c r="F2" s="4"/>
      <c r="G2" s="4"/>
    </row>
    <row r="3" spans="2:7" x14ac:dyDescent="0.2">
      <c r="B3" s="74" t="s">
        <v>44</v>
      </c>
      <c r="C3" s="2"/>
      <c r="D3" s="2"/>
      <c r="E3" s="2"/>
      <c r="F3" s="2"/>
      <c r="G3" s="2"/>
    </row>
    <row r="4" spans="2:7" x14ac:dyDescent="0.2">
      <c r="B4" s="62"/>
      <c r="C4" s="41">
        <v>2020</v>
      </c>
      <c r="D4" s="41">
        <v>2021</v>
      </c>
      <c r="E4" s="41">
        <v>2022</v>
      </c>
      <c r="F4" s="41">
        <v>2023</v>
      </c>
      <c r="G4" s="41">
        <v>2024</v>
      </c>
    </row>
    <row r="5" spans="2:7" x14ac:dyDescent="0.2">
      <c r="B5" s="62"/>
      <c r="C5" s="40" t="s">
        <v>67</v>
      </c>
      <c r="D5" s="40" t="s">
        <v>67</v>
      </c>
      <c r="E5" s="40" t="s">
        <v>67</v>
      </c>
      <c r="F5" s="40" t="s">
        <v>68</v>
      </c>
      <c r="G5" s="40" t="s">
        <v>70</v>
      </c>
    </row>
    <row r="6" spans="2:7" x14ac:dyDescent="0.2">
      <c r="B6" s="10" t="s">
        <v>71</v>
      </c>
      <c r="C6" s="15">
        <v>159.5</v>
      </c>
      <c r="D6" s="15">
        <v>169.2</v>
      </c>
      <c r="E6" s="15">
        <v>181.9</v>
      </c>
      <c r="F6" s="15">
        <v>194.5</v>
      </c>
      <c r="G6" s="15">
        <v>212</v>
      </c>
    </row>
    <row r="7" spans="2:7" x14ac:dyDescent="0.2">
      <c r="B7" s="19" t="s">
        <v>84</v>
      </c>
      <c r="C7" s="20"/>
      <c r="D7" s="21">
        <v>6.0999999999999999E-2</v>
      </c>
      <c r="E7" s="21">
        <v>7.4999999999999997E-2</v>
      </c>
      <c r="F7" s="21">
        <v>6.9000000000000006E-2</v>
      </c>
      <c r="G7" s="21">
        <v>0.09</v>
      </c>
    </row>
    <row r="8" spans="2:7" x14ac:dyDescent="0.2">
      <c r="B8" s="18" t="s">
        <v>72</v>
      </c>
      <c r="C8" s="24">
        <v>115</v>
      </c>
      <c r="D8" s="24">
        <v>126</v>
      </c>
      <c r="E8" s="24">
        <v>137</v>
      </c>
      <c r="F8" s="24">
        <v>145.80000000000001</v>
      </c>
      <c r="G8" s="24">
        <v>159</v>
      </c>
    </row>
    <row r="9" spans="2:7" x14ac:dyDescent="0.2">
      <c r="B9" s="13" t="s">
        <v>73</v>
      </c>
      <c r="C9" s="25">
        <v>44.5</v>
      </c>
      <c r="D9" s="25">
        <v>43.2</v>
      </c>
      <c r="E9" s="25">
        <v>44.9</v>
      </c>
      <c r="F9" s="25">
        <v>48.7</v>
      </c>
      <c r="G9" s="25">
        <v>53</v>
      </c>
    </row>
    <row r="10" spans="2:7" x14ac:dyDescent="0.2">
      <c r="B10" s="19" t="s">
        <v>85</v>
      </c>
      <c r="C10" s="22">
        <v>0.27900000000000003</v>
      </c>
      <c r="D10" s="22">
        <v>0.255</v>
      </c>
      <c r="E10" s="22">
        <v>0.247</v>
      </c>
      <c r="F10" s="22">
        <v>0.25</v>
      </c>
      <c r="G10" s="22">
        <v>0.25</v>
      </c>
    </row>
    <row r="11" spans="2:7" x14ac:dyDescent="0.2">
      <c r="B11" s="12" t="s">
        <v>74</v>
      </c>
      <c r="C11" s="26">
        <v>14.2</v>
      </c>
      <c r="D11" s="26">
        <v>16</v>
      </c>
      <c r="E11" s="26">
        <v>19.600000000000001</v>
      </c>
      <c r="F11" s="26">
        <v>20.399999999999999</v>
      </c>
      <c r="G11" s="26">
        <v>21.2</v>
      </c>
    </row>
    <row r="12" spans="2:7" x14ac:dyDescent="0.2">
      <c r="B12" s="12" t="s">
        <v>75</v>
      </c>
      <c r="C12" s="26">
        <v>2.4</v>
      </c>
      <c r="D12" s="26">
        <v>2.8</v>
      </c>
      <c r="E12" s="26">
        <v>2.6</v>
      </c>
      <c r="F12" s="26">
        <v>2.9</v>
      </c>
      <c r="G12" s="26">
        <v>3.2</v>
      </c>
    </row>
    <row r="13" spans="2:7" ht="16" x14ac:dyDescent="0.2">
      <c r="B13" s="18" t="s">
        <v>76</v>
      </c>
      <c r="C13" s="24">
        <v>0.7</v>
      </c>
      <c r="D13" s="24">
        <v>0.3</v>
      </c>
      <c r="E13" s="17" t="s">
        <v>0</v>
      </c>
      <c r="F13" s="17" t="s">
        <v>0</v>
      </c>
      <c r="G13" s="17" t="s">
        <v>0</v>
      </c>
    </row>
    <row r="14" spans="2:7" x14ac:dyDescent="0.2">
      <c r="B14" s="10" t="s">
        <v>77</v>
      </c>
      <c r="C14" s="27">
        <v>27.2</v>
      </c>
      <c r="D14" s="27">
        <v>24.1</v>
      </c>
      <c r="E14" s="27">
        <v>22.7</v>
      </c>
      <c r="F14" s="27">
        <v>25.3</v>
      </c>
      <c r="G14" s="27">
        <v>28.6</v>
      </c>
    </row>
    <row r="15" spans="2:7" x14ac:dyDescent="0.2">
      <c r="B15" s="19" t="s">
        <v>86</v>
      </c>
      <c r="C15" s="22">
        <v>0.17100000000000001</v>
      </c>
      <c r="D15" s="22">
        <v>0.14199999999999999</v>
      </c>
      <c r="E15" s="22">
        <v>0.125</v>
      </c>
      <c r="F15" s="22">
        <v>0.13</v>
      </c>
      <c r="G15" s="22">
        <v>0.13500000000000001</v>
      </c>
    </row>
    <row r="16" spans="2:7" x14ac:dyDescent="0.2">
      <c r="B16" s="18" t="s">
        <v>78</v>
      </c>
      <c r="C16" s="24">
        <v>1.9</v>
      </c>
      <c r="D16" s="24">
        <v>2.2999999999999998</v>
      </c>
      <c r="E16" s="24">
        <v>1.8</v>
      </c>
      <c r="F16" s="24">
        <v>1.7</v>
      </c>
      <c r="G16" s="24">
        <v>1.7</v>
      </c>
    </row>
    <row r="17" spans="2:7" x14ac:dyDescent="0.2">
      <c r="B17" s="12" t="s">
        <v>79</v>
      </c>
      <c r="C17" s="28">
        <v>25.3</v>
      </c>
      <c r="D17" s="28">
        <v>21.8</v>
      </c>
      <c r="E17" s="28">
        <v>20.9</v>
      </c>
      <c r="F17" s="28">
        <v>23.7</v>
      </c>
      <c r="G17" s="28">
        <v>26.9</v>
      </c>
    </row>
    <row r="18" spans="2:7" x14ac:dyDescent="0.2">
      <c r="B18" s="18" t="s">
        <v>80</v>
      </c>
      <c r="C18" s="24">
        <v>10.1</v>
      </c>
      <c r="D18" s="24">
        <v>8.6999999999999993</v>
      </c>
      <c r="E18" s="24">
        <v>8.3000000000000007</v>
      </c>
      <c r="F18" s="24">
        <v>5</v>
      </c>
      <c r="G18" s="24">
        <v>5.7</v>
      </c>
    </row>
    <row r="19" spans="2:7" x14ac:dyDescent="0.2">
      <c r="B19" s="14" t="s">
        <v>81</v>
      </c>
      <c r="C19" s="29">
        <v>15.2</v>
      </c>
      <c r="D19" s="29">
        <v>13.1</v>
      </c>
      <c r="E19" s="29">
        <v>12.5</v>
      </c>
      <c r="F19" s="29">
        <v>18.7</v>
      </c>
      <c r="G19" s="29">
        <v>21.3</v>
      </c>
    </row>
    <row r="21" spans="2:7" x14ac:dyDescent="0.2">
      <c r="B21" s="12" t="s">
        <v>82</v>
      </c>
      <c r="C21" s="26">
        <v>2.4</v>
      </c>
      <c r="D21" s="26">
        <v>2.8</v>
      </c>
      <c r="E21" s="26">
        <v>2.6</v>
      </c>
      <c r="F21" s="26">
        <v>2.9</v>
      </c>
      <c r="G21" s="26">
        <v>3.2</v>
      </c>
    </row>
    <row r="22" spans="2:7" x14ac:dyDescent="0.2">
      <c r="B22" s="19" t="s">
        <v>83</v>
      </c>
      <c r="C22" s="22">
        <v>1.4999999999999999E-2</v>
      </c>
      <c r="D22" s="22">
        <v>1.7000000000000001E-2</v>
      </c>
      <c r="E22" s="22">
        <v>1.4E-2</v>
      </c>
      <c r="F22" s="22">
        <v>1.4999999999999999E-2</v>
      </c>
      <c r="G22" s="22">
        <v>1.4999999999999999E-2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3CC2E-C5F4-4889-9A41-C80E2DC5C4BA}">
  <dimension ref="B2:F36"/>
  <sheetViews>
    <sheetView showGridLines="0" zoomScale="106" workbookViewId="0">
      <selection activeCell="M9" sqref="M9"/>
    </sheetView>
  </sheetViews>
  <sheetFormatPr baseColWidth="10" defaultColWidth="8.83203125" defaultRowHeight="15" x14ac:dyDescent="0.2"/>
  <cols>
    <col min="1" max="1" width="2.6640625" customWidth="1"/>
    <col min="2" max="2" width="39.6640625" customWidth="1"/>
    <col min="3" max="3" width="11" customWidth="1"/>
    <col min="4" max="4" width="12.6640625" customWidth="1"/>
    <col min="5" max="5" width="12.33203125" customWidth="1"/>
    <col min="6" max="6" width="14.5" customWidth="1"/>
  </cols>
  <sheetData>
    <row r="2" spans="2:6" ht="15" customHeight="1" x14ac:dyDescent="0.2">
      <c r="B2" s="9" t="s">
        <v>110</v>
      </c>
      <c r="C2" s="4"/>
      <c r="D2" s="4"/>
      <c r="E2" s="4"/>
      <c r="F2" s="4"/>
    </row>
    <row r="3" spans="2:6" x14ac:dyDescent="0.2">
      <c r="B3" s="74" t="s">
        <v>44</v>
      </c>
      <c r="C3" s="2"/>
      <c r="D3" s="2"/>
      <c r="E3" s="2"/>
      <c r="F3" s="2"/>
    </row>
    <row r="4" spans="2:6" x14ac:dyDescent="0.2">
      <c r="B4" s="62"/>
      <c r="C4" s="36">
        <v>2020</v>
      </c>
      <c r="D4" s="36">
        <v>2021</v>
      </c>
      <c r="E4" s="36">
        <v>2022</v>
      </c>
      <c r="F4" s="36">
        <v>2023</v>
      </c>
    </row>
    <row r="5" spans="2:6" x14ac:dyDescent="0.2">
      <c r="B5" s="62"/>
      <c r="C5" s="40" t="s">
        <v>67</v>
      </c>
      <c r="D5" s="40" t="s">
        <v>67</v>
      </c>
      <c r="E5" s="40" t="s">
        <v>67</v>
      </c>
      <c r="F5" s="40" t="s">
        <v>68</v>
      </c>
    </row>
    <row r="6" spans="2:6" ht="16" x14ac:dyDescent="0.2">
      <c r="B6" s="63" t="s">
        <v>89</v>
      </c>
    </row>
    <row r="7" spans="2:6" x14ac:dyDescent="0.2">
      <c r="B7" t="s">
        <v>88</v>
      </c>
      <c r="C7" s="55">
        <v>6.6</v>
      </c>
      <c r="D7" s="55">
        <v>6.9</v>
      </c>
      <c r="E7" s="55">
        <v>8.8000000000000007</v>
      </c>
      <c r="F7" s="55">
        <v>8.5</v>
      </c>
    </row>
    <row r="8" spans="2:6" x14ac:dyDescent="0.2">
      <c r="B8" t="s">
        <v>90</v>
      </c>
      <c r="C8" s="42">
        <v>22.8</v>
      </c>
      <c r="D8" s="42">
        <v>23.8</v>
      </c>
      <c r="E8" s="42">
        <v>26.7</v>
      </c>
      <c r="F8" s="42">
        <v>27.4</v>
      </c>
    </row>
    <row r="9" spans="2:6" x14ac:dyDescent="0.2">
      <c r="B9" s="48" t="s">
        <v>91</v>
      </c>
      <c r="C9" s="42">
        <v>37.299999999999997</v>
      </c>
      <c r="D9" s="42">
        <v>41.1</v>
      </c>
      <c r="E9" s="42">
        <v>40.1</v>
      </c>
      <c r="F9" s="42">
        <v>42.5</v>
      </c>
    </row>
    <row r="10" spans="2:6" x14ac:dyDescent="0.2">
      <c r="B10" s="64" t="s">
        <v>92</v>
      </c>
      <c r="C10" s="43">
        <v>1</v>
      </c>
      <c r="D10" s="43">
        <v>1.5</v>
      </c>
      <c r="E10" s="43">
        <v>1.1000000000000001</v>
      </c>
      <c r="F10" s="43">
        <v>1.6</v>
      </c>
    </row>
    <row r="11" spans="2:6" x14ac:dyDescent="0.2">
      <c r="B11" s="67" t="s">
        <v>93</v>
      </c>
      <c r="C11" s="71">
        <f>SUM(C7:C10)</f>
        <v>67.699999999999989</v>
      </c>
      <c r="D11" s="71">
        <f t="shared" ref="D11:F11" si="0">SUM(D7:D10)</f>
        <v>73.300000000000011</v>
      </c>
      <c r="E11" s="71">
        <f t="shared" si="0"/>
        <v>76.699999999999989</v>
      </c>
      <c r="F11" s="71">
        <f t="shared" si="0"/>
        <v>80</v>
      </c>
    </row>
    <row r="12" spans="2:6" x14ac:dyDescent="0.2">
      <c r="C12" s="55"/>
      <c r="D12" s="55"/>
      <c r="E12" s="55"/>
      <c r="F12" s="55"/>
    </row>
    <row r="13" spans="2:6" x14ac:dyDescent="0.2">
      <c r="B13" s="68" t="s">
        <v>46</v>
      </c>
    </row>
    <row r="14" spans="2:6" x14ac:dyDescent="0.2">
      <c r="B14" t="s">
        <v>47</v>
      </c>
      <c r="C14" s="55">
        <v>13</v>
      </c>
      <c r="D14" s="55">
        <v>13.9</v>
      </c>
      <c r="E14" s="55">
        <v>15.7</v>
      </c>
      <c r="F14" s="55">
        <v>16.399999999999999</v>
      </c>
    </row>
    <row r="15" spans="2:6" x14ac:dyDescent="0.2">
      <c r="B15" s="48" t="s">
        <v>94</v>
      </c>
      <c r="C15" s="42">
        <v>5</v>
      </c>
      <c r="D15" s="42">
        <v>5</v>
      </c>
      <c r="E15" s="42">
        <v>5</v>
      </c>
      <c r="F15" s="42">
        <v>5</v>
      </c>
    </row>
    <row r="16" spans="2:6" x14ac:dyDescent="0.2">
      <c r="B16" s="48" t="s">
        <v>95</v>
      </c>
      <c r="C16" s="42">
        <v>0</v>
      </c>
      <c r="D16" s="42">
        <v>0</v>
      </c>
      <c r="E16" s="42">
        <v>0</v>
      </c>
      <c r="F16" s="42">
        <v>0</v>
      </c>
    </row>
    <row r="17" spans="2:6" x14ac:dyDescent="0.2">
      <c r="B17" s="64" t="s">
        <v>96</v>
      </c>
      <c r="C17" s="43">
        <v>19.399999999999999</v>
      </c>
      <c r="D17" s="43">
        <v>25.6</v>
      </c>
      <c r="E17" s="43">
        <v>22.4</v>
      </c>
      <c r="F17" s="43">
        <v>27.6</v>
      </c>
    </row>
    <row r="18" spans="2:6" x14ac:dyDescent="0.2">
      <c r="B18" s="67" t="s">
        <v>97</v>
      </c>
      <c r="C18" s="71">
        <f>SUM(C14:C17)</f>
        <v>37.4</v>
      </c>
      <c r="D18" s="71">
        <f t="shared" ref="D18:F18" si="1">SUM(D14:D17)</f>
        <v>44.5</v>
      </c>
      <c r="E18" s="71">
        <f t="shared" si="1"/>
        <v>43.099999999999994</v>
      </c>
      <c r="F18" s="71">
        <f t="shared" si="1"/>
        <v>49</v>
      </c>
    </row>
    <row r="19" spans="2:6" ht="16" thickBot="1" x14ac:dyDescent="0.25">
      <c r="B19" s="69" t="s">
        <v>98</v>
      </c>
      <c r="C19" s="72">
        <f>C11+C18</f>
        <v>105.1</v>
      </c>
      <c r="D19" s="72">
        <f t="shared" ref="D19:F19" si="2">D11+D18</f>
        <v>117.80000000000001</v>
      </c>
      <c r="E19" s="72">
        <f t="shared" si="2"/>
        <v>119.79999999999998</v>
      </c>
      <c r="F19" s="72">
        <f t="shared" si="2"/>
        <v>129</v>
      </c>
    </row>
    <row r="20" spans="2:6" ht="16" thickTop="1" x14ac:dyDescent="0.2"/>
    <row r="21" spans="2:6" x14ac:dyDescent="0.2">
      <c r="B21" s="47" t="s">
        <v>48</v>
      </c>
    </row>
    <row r="22" spans="2:6" x14ac:dyDescent="0.2">
      <c r="B22" t="s">
        <v>62</v>
      </c>
      <c r="C22" s="55">
        <v>19.600000000000001</v>
      </c>
      <c r="D22" s="55">
        <v>21.1</v>
      </c>
      <c r="E22" s="55">
        <v>23</v>
      </c>
      <c r="F22" s="55">
        <v>26.7</v>
      </c>
    </row>
    <row r="23" spans="2:6" x14ac:dyDescent="0.2">
      <c r="B23" s="48" t="s">
        <v>99</v>
      </c>
      <c r="C23" s="42">
        <v>12.1</v>
      </c>
      <c r="D23" s="42">
        <v>11.7</v>
      </c>
      <c r="E23" s="42">
        <v>11.6</v>
      </c>
      <c r="F23" s="42">
        <v>13.2</v>
      </c>
    </row>
    <row r="24" spans="2:6" x14ac:dyDescent="0.2">
      <c r="B24" s="48" t="s">
        <v>100</v>
      </c>
      <c r="C24" s="42">
        <v>0</v>
      </c>
      <c r="D24" s="42">
        <v>0</v>
      </c>
      <c r="E24" s="42">
        <v>0</v>
      </c>
      <c r="F24" s="42">
        <v>0</v>
      </c>
    </row>
    <row r="25" spans="2:6" x14ac:dyDescent="0.2">
      <c r="B25" s="48" t="s">
        <v>101</v>
      </c>
      <c r="C25" s="43">
        <v>8.1</v>
      </c>
      <c r="D25" s="43">
        <v>9.1999999999999993</v>
      </c>
      <c r="E25" s="43">
        <v>9.1999999999999993</v>
      </c>
      <c r="F25" s="43">
        <v>8.8000000000000007</v>
      </c>
    </row>
    <row r="26" spans="2:6" x14ac:dyDescent="0.2">
      <c r="B26" s="67" t="s">
        <v>102</v>
      </c>
      <c r="C26" s="71">
        <f>SUM(C22:C25)</f>
        <v>39.800000000000004</v>
      </c>
      <c r="D26" s="71">
        <f t="shared" ref="D26:F26" si="3">SUM(D22:D25)</f>
        <v>42</v>
      </c>
      <c r="E26" s="71">
        <f t="shared" si="3"/>
        <v>43.8</v>
      </c>
      <c r="F26" s="71">
        <f t="shared" si="3"/>
        <v>48.7</v>
      </c>
    </row>
    <row r="28" spans="2:6" x14ac:dyDescent="0.2">
      <c r="B28" s="68" t="s">
        <v>50</v>
      </c>
    </row>
    <row r="29" spans="2:6" x14ac:dyDescent="0.2">
      <c r="B29" t="s">
        <v>51</v>
      </c>
      <c r="C29" s="55">
        <v>23.2</v>
      </c>
      <c r="D29" s="55">
        <v>27.9</v>
      </c>
      <c r="E29" s="55">
        <v>22.3</v>
      </c>
      <c r="F29" s="55">
        <v>19.5</v>
      </c>
    </row>
    <row r="30" spans="2:6" x14ac:dyDescent="0.2">
      <c r="B30" s="48" t="s">
        <v>103</v>
      </c>
      <c r="C30" s="42">
        <v>0</v>
      </c>
      <c r="D30" s="42">
        <v>0</v>
      </c>
      <c r="E30" s="42">
        <v>0</v>
      </c>
      <c r="F30" s="42">
        <v>0</v>
      </c>
    </row>
    <row r="31" spans="2:6" x14ac:dyDescent="0.2">
      <c r="B31" s="64" t="s">
        <v>104</v>
      </c>
      <c r="C31" s="43">
        <v>0</v>
      </c>
      <c r="D31" s="43">
        <v>0</v>
      </c>
      <c r="E31" s="43">
        <v>0</v>
      </c>
      <c r="F31" s="43">
        <v>0</v>
      </c>
    </row>
    <row r="32" spans="2:6" x14ac:dyDescent="0.2">
      <c r="B32" s="70" t="s">
        <v>105</v>
      </c>
      <c r="C32" s="73">
        <f>SUM(C29:C31)</f>
        <v>23.2</v>
      </c>
      <c r="D32" s="73">
        <f t="shared" ref="D32:F32" si="4">SUM(D29:D31)</f>
        <v>27.9</v>
      </c>
      <c r="E32" s="73">
        <f t="shared" si="4"/>
        <v>22.3</v>
      </c>
      <c r="F32" s="73">
        <f t="shared" si="4"/>
        <v>19.5</v>
      </c>
    </row>
    <row r="33" spans="2:6" x14ac:dyDescent="0.2">
      <c r="B33" s="67" t="s">
        <v>106</v>
      </c>
      <c r="C33" s="71">
        <f>C26+C32</f>
        <v>63</v>
      </c>
      <c r="D33" s="71">
        <f t="shared" ref="D33:F33" si="5">D26+D32</f>
        <v>69.900000000000006</v>
      </c>
      <c r="E33" s="71">
        <f t="shared" si="5"/>
        <v>66.099999999999994</v>
      </c>
      <c r="F33" s="71">
        <f t="shared" si="5"/>
        <v>68.2</v>
      </c>
    </row>
    <row r="34" spans="2:6" x14ac:dyDescent="0.2">
      <c r="B34" s="65" t="s">
        <v>107</v>
      </c>
      <c r="C34" s="43">
        <v>42.1</v>
      </c>
      <c r="D34" s="43">
        <v>47.9</v>
      </c>
      <c r="E34" s="43">
        <v>53.7</v>
      </c>
      <c r="F34" s="43">
        <v>60.8</v>
      </c>
    </row>
    <row r="35" spans="2:6" ht="16" thickBot="1" x14ac:dyDescent="0.25">
      <c r="B35" s="66" t="s">
        <v>108</v>
      </c>
      <c r="C35" s="72">
        <f>C33+C34</f>
        <v>105.1</v>
      </c>
      <c r="D35" s="72">
        <f t="shared" ref="D35:F35" si="6">D33+D34</f>
        <v>117.80000000000001</v>
      </c>
      <c r="E35" s="72">
        <f t="shared" si="6"/>
        <v>119.8</v>
      </c>
      <c r="F35" s="72">
        <f t="shared" si="6"/>
        <v>129</v>
      </c>
    </row>
    <row r="36" spans="2:6" ht="16" thickTop="1" x14ac:dyDescent="0.2">
      <c r="B36" t="s">
        <v>109</v>
      </c>
      <c r="C36" s="52">
        <f>C19-C35</f>
        <v>0</v>
      </c>
      <c r="D36" s="52">
        <f t="shared" ref="D36:F36" si="7">D19-D35</f>
        <v>0</v>
      </c>
      <c r="E36" s="52">
        <f t="shared" si="7"/>
        <v>0</v>
      </c>
      <c r="F36" s="52">
        <f t="shared" si="7"/>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51842-CB87-41D4-A3AD-A673D4B4794F}">
  <dimension ref="A2:L23"/>
  <sheetViews>
    <sheetView showGridLines="0" workbookViewId="0">
      <selection activeCell="L7" sqref="L7"/>
    </sheetView>
  </sheetViews>
  <sheetFormatPr baseColWidth="10" defaultColWidth="8.83203125" defaultRowHeight="15" x14ac:dyDescent="0.2"/>
  <cols>
    <col min="1" max="1" width="2.6640625" customWidth="1"/>
    <col min="2" max="2" width="18.33203125" customWidth="1"/>
    <col min="6" max="6" width="13.83203125" customWidth="1"/>
    <col min="7" max="7" width="11.5" customWidth="1"/>
    <col min="8" max="8" width="10.83203125" customWidth="1"/>
    <col min="9" max="9" width="11" customWidth="1"/>
    <col min="10" max="10" width="11.5" customWidth="1"/>
    <col min="11" max="11" width="11.6640625" customWidth="1"/>
    <col min="12" max="12" width="12.33203125" customWidth="1"/>
  </cols>
  <sheetData>
    <row r="2" spans="1:12" ht="15" customHeight="1" x14ac:dyDescent="0.2">
      <c r="B2" s="53" t="s">
        <v>129</v>
      </c>
      <c r="C2" s="4"/>
      <c r="D2" s="4"/>
      <c r="E2" s="4"/>
      <c r="F2" s="4"/>
      <c r="G2" s="9"/>
      <c r="H2" s="4"/>
      <c r="I2" s="4"/>
      <c r="J2" s="4"/>
      <c r="K2" s="4"/>
      <c r="L2" s="9"/>
    </row>
    <row r="3" spans="1:12" ht="15" customHeight="1" x14ac:dyDescent="0.2">
      <c r="B3" s="11" t="s">
        <v>128</v>
      </c>
      <c r="C3" s="76"/>
      <c r="D3" s="76"/>
      <c r="E3" s="76"/>
      <c r="F3" s="76"/>
      <c r="G3" s="76"/>
      <c r="H3" s="76"/>
      <c r="I3" s="76"/>
      <c r="J3" s="76"/>
      <c r="K3" s="76"/>
      <c r="L3" s="76"/>
    </row>
    <row r="4" spans="1:12" ht="15" customHeight="1" x14ac:dyDescent="0.2">
      <c r="A4" s="6"/>
      <c r="B4" s="76"/>
      <c r="C4" s="76"/>
      <c r="D4" s="12"/>
      <c r="E4" s="88" t="s">
        <v>112</v>
      </c>
      <c r="F4" s="88" t="s">
        <v>114</v>
      </c>
      <c r="G4" s="88"/>
      <c r="H4" s="88"/>
      <c r="I4" s="88" t="s">
        <v>118</v>
      </c>
      <c r="J4" s="88" t="s">
        <v>118</v>
      </c>
      <c r="K4" s="88" t="s">
        <v>118</v>
      </c>
      <c r="L4" s="88" t="s">
        <v>118</v>
      </c>
    </row>
    <row r="5" spans="1:12" ht="15" customHeight="1" x14ac:dyDescent="0.2">
      <c r="A5" s="6"/>
      <c r="B5" s="65"/>
      <c r="C5" s="85"/>
      <c r="D5" s="85"/>
      <c r="E5" s="89" t="s">
        <v>113</v>
      </c>
      <c r="F5" s="89" t="s">
        <v>115</v>
      </c>
      <c r="G5" s="89" t="s">
        <v>116</v>
      </c>
      <c r="H5" s="89" t="s">
        <v>117</v>
      </c>
      <c r="I5" s="89" t="s">
        <v>119</v>
      </c>
      <c r="J5" s="89" t="s">
        <v>120</v>
      </c>
      <c r="K5" s="89" t="s">
        <v>121</v>
      </c>
      <c r="L5" s="89" t="s">
        <v>122</v>
      </c>
    </row>
    <row r="6" spans="1:12" ht="15" customHeight="1" x14ac:dyDescent="0.2">
      <c r="A6" s="6"/>
      <c r="B6" s="78" t="s">
        <v>111</v>
      </c>
      <c r="C6" s="2"/>
      <c r="D6" s="2"/>
      <c r="E6" s="82"/>
      <c r="F6" s="82"/>
      <c r="G6" s="82"/>
      <c r="H6" s="82"/>
      <c r="I6" s="82"/>
      <c r="J6" s="82"/>
      <c r="K6" s="82"/>
      <c r="L6" s="82"/>
    </row>
    <row r="7" spans="1:12" ht="15" customHeight="1" x14ac:dyDescent="0.2">
      <c r="A7" s="6"/>
      <c r="B7" s="5" t="s">
        <v>123</v>
      </c>
      <c r="C7" s="77"/>
      <c r="D7" s="77"/>
      <c r="E7" s="86">
        <v>31.5</v>
      </c>
      <c r="F7" s="84">
        <v>225.6</v>
      </c>
      <c r="G7" s="91">
        <v>4112.6000000000004</v>
      </c>
      <c r="H7" s="91">
        <v>1374.5</v>
      </c>
      <c r="I7" s="91">
        <v>5675.2</v>
      </c>
      <c r="J7" s="91">
        <v>1254.7</v>
      </c>
      <c r="K7" s="91">
        <v>1023.9</v>
      </c>
      <c r="L7" s="91">
        <v>476.9</v>
      </c>
    </row>
    <row r="8" spans="1:12" ht="15" customHeight="1" x14ac:dyDescent="0.2">
      <c r="A8" s="6"/>
      <c r="B8" s="5" t="s">
        <v>124</v>
      </c>
      <c r="C8" s="77"/>
      <c r="D8" s="77"/>
      <c r="E8" s="87">
        <v>3.73</v>
      </c>
      <c r="F8" s="84">
        <v>53.7</v>
      </c>
      <c r="G8" s="90">
        <v>815</v>
      </c>
      <c r="H8" s="90">
        <v>17.8</v>
      </c>
      <c r="I8" s="90">
        <v>657.1</v>
      </c>
      <c r="J8" s="90">
        <v>160.19999999999999</v>
      </c>
      <c r="K8" s="90">
        <v>112.9</v>
      </c>
      <c r="L8" s="90">
        <v>-85.1</v>
      </c>
    </row>
    <row r="9" spans="1:12" ht="15" customHeight="1" x14ac:dyDescent="0.2">
      <c r="A9" s="6"/>
      <c r="B9" s="5" t="s">
        <v>125</v>
      </c>
      <c r="C9" s="77"/>
      <c r="D9" s="77"/>
      <c r="E9" s="87">
        <v>3.56</v>
      </c>
      <c r="F9" s="84">
        <v>86.7</v>
      </c>
      <c r="G9" s="90">
        <v>1560.3</v>
      </c>
      <c r="H9" s="90">
        <v>225.1</v>
      </c>
      <c r="I9" s="90">
        <v>1215.2</v>
      </c>
      <c r="J9" s="90">
        <v>248.9</v>
      </c>
      <c r="K9" s="90">
        <v>144.6</v>
      </c>
      <c r="L9" s="90">
        <v>83.9</v>
      </c>
    </row>
    <row r="10" spans="1:12" ht="15" customHeight="1" x14ac:dyDescent="0.2">
      <c r="A10" s="6"/>
      <c r="B10" s="5" t="s">
        <v>126</v>
      </c>
      <c r="C10" s="77"/>
      <c r="D10" s="77"/>
      <c r="E10" s="87">
        <v>12.84</v>
      </c>
      <c r="F10" s="84">
        <v>150.30000000000001</v>
      </c>
      <c r="G10" s="90">
        <v>669.4</v>
      </c>
      <c r="H10" s="90">
        <v>414.6</v>
      </c>
      <c r="I10" s="90">
        <v>1587.7</v>
      </c>
      <c r="J10" s="90">
        <v>251.2</v>
      </c>
      <c r="K10" s="90">
        <v>152.80000000000001</v>
      </c>
      <c r="L10" s="90">
        <v>64.099999999999994</v>
      </c>
    </row>
    <row r="11" spans="1:12" ht="15" customHeight="1" x14ac:dyDescent="0.2">
      <c r="A11" s="6"/>
      <c r="B11" s="116" t="s">
        <v>127</v>
      </c>
      <c r="C11" s="112"/>
      <c r="D11" s="112"/>
      <c r="E11" s="113">
        <v>22.59</v>
      </c>
      <c r="F11" s="114">
        <v>109</v>
      </c>
      <c r="G11" s="115">
        <v>1376</v>
      </c>
      <c r="H11" s="115">
        <v>325</v>
      </c>
      <c r="I11" s="115">
        <v>3352</v>
      </c>
      <c r="J11" s="115">
        <v>501.1</v>
      </c>
      <c r="K11" s="115">
        <v>352</v>
      </c>
      <c r="L11" s="115">
        <v>8</v>
      </c>
    </row>
    <row r="12" spans="1:12" ht="15" customHeight="1" x14ac:dyDescent="0.2">
      <c r="A12" s="6"/>
      <c r="B12" s="6"/>
      <c r="C12" s="6"/>
      <c r="D12" s="6"/>
      <c r="E12" s="83"/>
      <c r="F12" s="6"/>
      <c r="G12" s="6"/>
      <c r="H12" s="6"/>
      <c r="I12" s="6"/>
      <c r="J12" s="6"/>
      <c r="K12" s="6"/>
      <c r="L12" s="6"/>
    </row>
    <row r="13" spans="1:12" ht="15" customHeight="1" x14ac:dyDescent="0.2">
      <c r="A13" s="6"/>
      <c r="B13" s="53" t="s">
        <v>130</v>
      </c>
      <c r="C13" s="4"/>
      <c r="D13" s="4"/>
      <c r="E13" s="4"/>
      <c r="F13" s="4"/>
      <c r="G13" s="9"/>
      <c r="H13" s="4"/>
      <c r="I13" s="4"/>
      <c r="J13" s="4"/>
      <c r="K13" s="4"/>
      <c r="L13" s="9"/>
    </row>
    <row r="14" spans="1:12" ht="15" customHeight="1" x14ac:dyDescent="0.2">
      <c r="A14" s="6"/>
      <c r="B14" s="11" t="s">
        <v>128</v>
      </c>
      <c r="C14" s="76"/>
      <c r="D14" s="76"/>
      <c r="E14" s="76"/>
      <c r="F14" s="76"/>
      <c r="G14" s="76"/>
      <c r="H14" s="76"/>
      <c r="I14" s="76"/>
      <c r="J14" s="76"/>
      <c r="K14" s="76"/>
      <c r="L14" s="76"/>
    </row>
    <row r="15" spans="1:12" ht="15" customHeight="1" x14ac:dyDescent="0.2">
      <c r="A15" s="6"/>
      <c r="B15" s="76"/>
      <c r="C15" s="76"/>
      <c r="D15" s="12"/>
      <c r="E15" s="88" t="s">
        <v>112</v>
      </c>
      <c r="F15" s="88" t="s">
        <v>114</v>
      </c>
      <c r="G15" s="88"/>
      <c r="H15" s="88"/>
      <c r="I15" s="88" t="s">
        <v>118</v>
      </c>
      <c r="J15" s="88" t="s">
        <v>118</v>
      </c>
      <c r="K15" s="88" t="s">
        <v>118</v>
      </c>
      <c r="L15" s="88" t="s">
        <v>118</v>
      </c>
    </row>
    <row r="16" spans="1:12" ht="15" customHeight="1" x14ac:dyDescent="0.2">
      <c r="A16" s="6"/>
      <c r="B16" s="65"/>
      <c r="C16" s="85"/>
      <c r="D16" s="85"/>
      <c r="E16" s="89" t="s">
        <v>113</v>
      </c>
      <c r="F16" s="89" t="s">
        <v>115</v>
      </c>
      <c r="G16" s="89" t="s">
        <v>116</v>
      </c>
      <c r="H16" s="89" t="s">
        <v>117</v>
      </c>
      <c r="I16" s="89" t="s">
        <v>119</v>
      </c>
      <c r="J16" s="89" t="s">
        <v>120</v>
      </c>
      <c r="K16" s="89" t="s">
        <v>121</v>
      </c>
      <c r="L16" s="89" t="s">
        <v>122</v>
      </c>
    </row>
    <row r="17" spans="1:12" ht="15" customHeight="1" x14ac:dyDescent="0.2">
      <c r="A17" s="6"/>
      <c r="B17" s="2" t="s">
        <v>52</v>
      </c>
      <c r="C17" s="2"/>
      <c r="D17" s="2"/>
      <c r="E17" s="2"/>
      <c r="F17" s="2"/>
      <c r="G17" s="2"/>
      <c r="H17" s="2"/>
      <c r="I17" s="2"/>
      <c r="J17" s="2"/>
      <c r="K17" s="2"/>
      <c r="L17" s="2"/>
    </row>
    <row r="18" spans="1:12" ht="15" customHeight="1" thickBot="1" x14ac:dyDescent="0.25">
      <c r="A18" s="6"/>
      <c r="B18" s="77" t="s">
        <v>53</v>
      </c>
      <c r="C18" s="77"/>
      <c r="D18" s="77"/>
      <c r="E18" s="86">
        <v>6.19</v>
      </c>
      <c r="F18" s="84">
        <v>14.8</v>
      </c>
      <c r="G18" s="91">
        <v>55.4</v>
      </c>
      <c r="H18" s="91">
        <v>25</v>
      </c>
      <c r="I18" s="91">
        <v>422.3</v>
      </c>
      <c r="J18" s="91">
        <v>14.2</v>
      </c>
      <c r="K18" s="91">
        <v>12.8</v>
      </c>
      <c r="L18" s="91">
        <v>10.1</v>
      </c>
    </row>
    <row r="19" spans="1:12" ht="15" customHeight="1" x14ac:dyDescent="0.2">
      <c r="A19" s="6"/>
      <c r="B19" s="129" t="s">
        <v>54</v>
      </c>
      <c r="C19" s="130"/>
      <c r="D19" s="130"/>
      <c r="E19" s="131">
        <v>79.349999999999994</v>
      </c>
      <c r="F19" s="132">
        <v>22.4</v>
      </c>
      <c r="G19" s="133">
        <v>71.2</v>
      </c>
      <c r="H19" s="133">
        <v>21.5</v>
      </c>
      <c r="I19" s="133">
        <v>1931.7</v>
      </c>
      <c r="J19" s="147">
        <v>164</v>
      </c>
      <c r="K19" s="133">
        <v>135.9</v>
      </c>
      <c r="L19" s="134">
        <v>80.2</v>
      </c>
    </row>
    <row r="20" spans="1:12" ht="15" customHeight="1" x14ac:dyDescent="0.2">
      <c r="A20" s="6"/>
      <c r="B20" s="135" t="s">
        <v>55</v>
      </c>
      <c r="C20" s="136"/>
      <c r="D20" s="136"/>
      <c r="E20" s="137">
        <v>61.25</v>
      </c>
      <c r="F20" s="138">
        <v>16.5</v>
      </c>
      <c r="G20" s="139">
        <v>108.5</v>
      </c>
      <c r="H20" s="139">
        <v>6.4</v>
      </c>
      <c r="I20" s="139">
        <v>951.8</v>
      </c>
      <c r="J20" s="148">
        <v>135.19999999999999</v>
      </c>
      <c r="K20" s="139">
        <v>85.3</v>
      </c>
      <c r="L20" s="140">
        <v>45.9</v>
      </c>
    </row>
    <row r="21" spans="1:12" ht="16" thickBot="1" x14ac:dyDescent="0.25">
      <c r="A21" s="6"/>
      <c r="B21" s="141" t="s">
        <v>56</v>
      </c>
      <c r="C21" s="142"/>
      <c r="D21" s="142"/>
      <c r="E21" s="143">
        <v>20.45</v>
      </c>
      <c r="F21" s="144">
        <v>15.7</v>
      </c>
      <c r="G21" s="145">
        <v>172.5</v>
      </c>
      <c r="H21" s="145">
        <v>49.2</v>
      </c>
      <c r="I21" s="145">
        <v>899</v>
      </c>
      <c r="J21" s="149">
        <v>42</v>
      </c>
      <c r="K21" s="145">
        <v>21.3</v>
      </c>
      <c r="L21" s="146">
        <v>-25.1</v>
      </c>
    </row>
    <row r="22" spans="1:12" x14ac:dyDescent="0.2">
      <c r="A22" s="6"/>
      <c r="B22" s="112" t="s">
        <v>57</v>
      </c>
      <c r="C22" s="112"/>
      <c r="D22" s="112"/>
      <c r="E22" s="113">
        <v>114.35</v>
      </c>
      <c r="F22" s="114">
        <v>82.4</v>
      </c>
      <c r="G22" s="115">
        <v>3907.4</v>
      </c>
      <c r="H22" s="115">
        <v>461.1</v>
      </c>
      <c r="I22" s="115">
        <v>8250.7000000000007</v>
      </c>
      <c r="J22" s="115">
        <v>1352.4</v>
      </c>
      <c r="K22" s="115">
        <v>948.9</v>
      </c>
      <c r="L22" s="115">
        <v>321</v>
      </c>
    </row>
    <row r="23" spans="1:12" x14ac:dyDescent="0.2">
      <c r="A23" s="6"/>
      <c r="B23" s="77"/>
      <c r="C23" s="77"/>
      <c r="D23" s="77"/>
      <c r="E23" s="77"/>
      <c r="F23" s="79"/>
      <c r="G23" s="81"/>
      <c r="H23" s="81"/>
      <c r="I23" s="81"/>
      <c r="J23" s="81"/>
      <c r="K23" s="81"/>
      <c r="L23"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7F1D2-31C2-4AAF-8FA1-1F8711557648}">
  <dimension ref="B2:V57"/>
  <sheetViews>
    <sheetView showGridLines="0" zoomScale="119" workbookViewId="0">
      <selection activeCell="G34" sqref="G34"/>
    </sheetView>
  </sheetViews>
  <sheetFormatPr baseColWidth="10" defaultColWidth="8.83203125" defaultRowHeight="15" x14ac:dyDescent="0.2"/>
  <cols>
    <col min="1" max="1" width="2.6640625" customWidth="1"/>
    <col min="2" max="2" width="16.1640625" style="6" customWidth="1"/>
    <col min="3" max="3" width="12.5" style="6" customWidth="1"/>
    <col min="4" max="4" width="18.83203125" style="6" customWidth="1"/>
    <col min="5" max="5" width="12.1640625" style="6" customWidth="1"/>
    <col min="6" max="6" width="13" style="6" customWidth="1"/>
    <col min="7" max="8" width="9.1640625" style="6"/>
    <col min="9" max="9" width="23.5" style="6" customWidth="1"/>
    <col min="10" max="10" width="9.1640625" style="6"/>
    <col min="11" max="11" width="24" style="6" customWidth="1"/>
    <col min="12" max="16" width="9.1640625" style="6"/>
    <col min="17" max="17" width="16.83203125" style="6" customWidth="1"/>
    <col min="18" max="22" width="9.1640625" style="6"/>
  </cols>
  <sheetData>
    <row r="2" spans="2:21" ht="15" customHeight="1" x14ac:dyDescent="0.2">
      <c r="B2" s="53" t="s">
        <v>156</v>
      </c>
      <c r="C2" s="4"/>
      <c r="D2" s="4"/>
      <c r="E2" s="4"/>
      <c r="F2" s="4"/>
      <c r="H2" s="3"/>
      <c r="I2" s="53" t="s">
        <v>157</v>
      </c>
      <c r="J2" s="54"/>
      <c r="K2" s="54"/>
      <c r="L2" s="54"/>
      <c r="M2" s="54"/>
      <c r="N2" s="3"/>
      <c r="O2" s="3"/>
      <c r="P2" s="3"/>
      <c r="Q2" s="3"/>
      <c r="R2" s="3"/>
      <c r="S2" s="3"/>
      <c r="T2" s="3"/>
    </row>
    <row r="3" spans="2:21" customFormat="1" ht="15" customHeight="1" x14ac:dyDescent="0.2">
      <c r="B3" s="98" t="s">
        <v>44</v>
      </c>
      <c r="C3" s="92"/>
      <c r="D3" s="92"/>
      <c r="E3" s="92"/>
      <c r="F3" s="92"/>
      <c r="G3" s="92"/>
      <c r="H3" s="92"/>
      <c r="I3" s="98" t="s">
        <v>44</v>
      </c>
      <c r="J3" s="92"/>
      <c r="K3" s="92"/>
      <c r="L3" s="92"/>
      <c r="M3" s="92"/>
      <c r="N3" s="92"/>
      <c r="O3" s="92"/>
      <c r="P3" s="92"/>
      <c r="Q3" s="92"/>
      <c r="R3" s="92"/>
      <c r="S3" s="92"/>
      <c r="T3" s="92"/>
    </row>
    <row r="4" spans="2:21" customFormat="1" ht="15" customHeight="1" x14ac:dyDescent="0.2">
      <c r="B4" s="92"/>
      <c r="C4" s="100" t="s">
        <v>131</v>
      </c>
      <c r="D4" s="100" t="s">
        <v>134</v>
      </c>
      <c r="E4" s="100" t="s">
        <v>135</v>
      </c>
      <c r="F4" s="100" t="s">
        <v>135</v>
      </c>
      <c r="G4" s="92"/>
      <c r="H4" s="92"/>
      <c r="I4" s="92"/>
      <c r="J4" s="100" t="s">
        <v>131</v>
      </c>
      <c r="K4" s="100" t="s">
        <v>134</v>
      </c>
      <c r="L4" s="100" t="s">
        <v>135</v>
      </c>
      <c r="M4" s="100" t="s">
        <v>135</v>
      </c>
      <c r="N4" s="92"/>
      <c r="O4" s="92"/>
      <c r="P4" s="92"/>
      <c r="Q4" s="92"/>
      <c r="R4" s="92"/>
      <c r="S4" s="92"/>
      <c r="T4" s="92"/>
    </row>
    <row r="5" spans="2:21" customFormat="1" ht="15" customHeight="1" x14ac:dyDescent="0.2">
      <c r="B5" s="99"/>
      <c r="C5" s="101" t="s">
        <v>132</v>
      </c>
      <c r="D5" s="101" t="s">
        <v>133</v>
      </c>
      <c r="E5" s="101" t="s">
        <v>5</v>
      </c>
      <c r="F5" s="101" t="s">
        <v>120</v>
      </c>
      <c r="G5" s="31"/>
      <c r="H5" s="31"/>
      <c r="I5" s="99"/>
      <c r="J5" s="101" t="s">
        <v>132</v>
      </c>
      <c r="K5" s="101" t="s">
        <v>133</v>
      </c>
      <c r="L5" s="101" t="s">
        <v>5</v>
      </c>
      <c r="M5" s="101" t="s">
        <v>120</v>
      </c>
      <c r="N5" s="31"/>
      <c r="O5" s="31"/>
      <c r="P5" s="31"/>
      <c r="Q5" s="31"/>
      <c r="R5" s="31"/>
      <c r="S5" s="31"/>
      <c r="T5" s="31"/>
    </row>
    <row r="6" spans="2:21" customFormat="1" ht="15" customHeight="1" x14ac:dyDescent="0.2">
      <c r="B6" s="48" t="s">
        <v>136</v>
      </c>
      <c r="C6" s="94">
        <v>2022</v>
      </c>
      <c r="D6" s="97">
        <v>972</v>
      </c>
      <c r="E6" s="120"/>
      <c r="F6" s="120">
        <v>11.7</v>
      </c>
      <c r="H6" s="93"/>
      <c r="I6" s="31"/>
      <c r="J6" s="31"/>
      <c r="K6" s="31"/>
      <c r="L6" s="31"/>
      <c r="N6" s="93"/>
      <c r="O6" s="93"/>
      <c r="P6" s="93"/>
      <c r="Q6" s="93"/>
      <c r="R6" s="93"/>
      <c r="S6" s="8"/>
      <c r="T6" s="8"/>
    </row>
    <row r="7" spans="2:21" customFormat="1" ht="15" customHeight="1" x14ac:dyDescent="0.2">
      <c r="B7" s="48" t="s">
        <v>138</v>
      </c>
      <c r="C7" s="94">
        <v>2022</v>
      </c>
      <c r="D7" s="96">
        <v>690</v>
      </c>
      <c r="E7" s="120"/>
      <c r="F7" s="120" t="s">
        <v>137</v>
      </c>
      <c r="H7" s="93"/>
      <c r="I7" s="48" t="s">
        <v>136</v>
      </c>
      <c r="J7" s="94">
        <v>2022</v>
      </c>
      <c r="K7" s="106">
        <v>359</v>
      </c>
      <c r="L7" s="123">
        <v>0.6</v>
      </c>
      <c r="M7" s="124" t="s">
        <v>137</v>
      </c>
      <c r="N7" s="93"/>
      <c r="O7" s="93"/>
      <c r="P7" s="93"/>
      <c r="Q7" s="93"/>
      <c r="R7" s="93"/>
      <c r="S7" s="8"/>
      <c r="T7" s="8"/>
    </row>
    <row r="8" spans="2:21" customFormat="1" ht="15" customHeight="1" x14ac:dyDescent="0.2">
      <c r="B8" s="48" t="s">
        <v>139</v>
      </c>
      <c r="C8" s="94">
        <v>2022</v>
      </c>
      <c r="D8" s="96">
        <v>511</v>
      </c>
      <c r="E8" s="120">
        <v>1.5</v>
      </c>
      <c r="F8" s="120">
        <v>7.9</v>
      </c>
      <c r="H8" s="93"/>
      <c r="I8" s="48" t="s">
        <v>138</v>
      </c>
      <c r="J8" s="94">
        <v>2022</v>
      </c>
      <c r="K8" s="105">
        <v>189</v>
      </c>
      <c r="L8" s="123" t="s">
        <v>137</v>
      </c>
      <c r="M8" s="124">
        <v>13</v>
      </c>
      <c r="N8" s="93"/>
      <c r="O8" s="93"/>
      <c r="P8" s="93"/>
      <c r="Q8" s="93"/>
      <c r="R8" s="93"/>
      <c r="S8" s="8"/>
      <c r="T8" s="8"/>
    </row>
    <row r="9" spans="2:21" customFormat="1" ht="15" customHeight="1" x14ac:dyDescent="0.2">
      <c r="B9" s="48" t="s">
        <v>140</v>
      </c>
      <c r="C9" s="94">
        <v>2022</v>
      </c>
      <c r="D9" s="96">
        <v>350</v>
      </c>
      <c r="E9" s="120"/>
      <c r="F9" s="120" t="s">
        <v>137</v>
      </c>
      <c r="H9" s="93"/>
      <c r="I9" s="48" t="s">
        <v>139</v>
      </c>
      <c r="J9" s="94">
        <v>2021</v>
      </c>
      <c r="K9" s="105">
        <v>2201</v>
      </c>
      <c r="L9" s="123">
        <v>0.6</v>
      </c>
      <c r="M9" s="124">
        <v>9.8000000000000007</v>
      </c>
      <c r="N9" s="93"/>
      <c r="O9" s="93"/>
      <c r="P9" s="93"/>
      <c r="Q9" s="93"/>
      <c r="R9" s="93"/>
      <c r="S9" s="8"/>
      <c r="T9" s="8"/>
    </row>
    <row r="10" spans="2:21" customFormat="1" ht="15" customHeight="1" x14ac:dyDescent="0.2">
      <c r="B10" s="48" t="s">
        <v>141</v>
      </c>
      <c r="C10" s="94">
        <v>2022</v>
      </c>
      <c r="D10" s="96">
        <v>25</v>
      </c>
      <c r="E10" s="120">
        <v>0.2</v>
      </c>
      <c r="F10" s="120">
        <v>6.9</v>
      </c>
      <c r="H10" s="93"/>
      <c r="I10" s="48" t="s">
        <v>140</v>
      </c>
      <c r="J10" s="94">
        <v>2021</v>
      </c>
      <c r="K10" s="105">
        <v>1486</v>
      </c>
      <c r="L10" s="123">
        <v>1.4</v>
      </c>
      <c r="M10" s="124">
        <v>11.4</v>
      </c>
      <c r="N10" s="93"/>
      <c r="O10" s="93"/>
      <c r="P10" s="93"/>
      <c r="Q10" s="93"/>
      <c r="R10" s="93"/>
      <c r="S10" s="8"/>
      <c r="T10" s="8"/>
    </row>
    <row r="11" spans="2:21" customFormat="1" ht="15" customHeight="1" x14ac:dyDescent="0.2">
      <c r="B11" s="48" t="s">
        <v>142</v>
      </c>
      <c r="C11" s="94">
        <v>2022</v>
      </c>
      <c r="D11" s="96">
        <v>6</v>
      </c>
      <c r="E11" s="120">
        <v>0.5</v>
      </c>
      <c r="F11" s="120">
        <v>3.5</v>
      </c>
      <c r="H11" s="93"/>
      <c r="I11" s="48" t="s">
        <v>141</v>
      </c>
      <c r="J11" s="94">
        <v>2021</v>
      </c>
      <c r="K11" s="105">
        <v>615</v>
      </c>
      <c r="L11" s="123">
        <v>2.2000000000000002</v>
      </c>
      <c r="M11" s="124">
        <v>9.6</v>
      </c>
      <c r="N11" s="93"/>
      <c r="O11" s="93"/>
      <c r="P11" s="93"/>
      <c r="Q11" s="93"/>
      <c r="R11" s="93"/>
      <c r="S11" s="8"/>
      <c r="T11" s="8"/>
    </row>
    <row r="12" spans="2:21" customFormat="1" ht="15" customHeight="1" x14ac:dyDescent="0.2">
      <c r="B12" s="48" t="s">
        <v>143</v>
      </c>
      <c r="C12" s="94">
        <v>2021</v>
      </c>
      <c r="D12" s="96">
        <v>105</v>
      </c>
      <c r="E12" s="120">
        <v>0.8</v>
      </c>
      <c r="F12" s="120">
        <v>8.9</v>
      </c>
      <c r="H12" s="93"/>
      <c r="I12" s="48" t="s">
        <v>142</v>
      </c>
      <c r="J12" s="94">
        <v>2021</v>
      </c>
      <c r="K12" s="105">
        <v>253</v>
      </c>
      <c r="L12" s="123">
        <v>1.3</v>
      </c>
      <c r="M12" s="124">
        <v>13.2</v>
      </c>
      <c r="N12" s="93"/>
      <c r="O12" s="93"/>
      <c r="P12" s="93"/>
      <c r="Q12" s="93"/>
      <c r="R12" s="93"/>
      <c r="S12" s="8"/>
      <c r="T12" s="8"/>
    </row>
    <row r="13" spans="2:21" customFormat="1" ht="15" customHeight="1" x14ac:dyDescent="0.2">
      <c r="B13" s="48" t="s">
        <v>144</v>
      </c>
      <c r="C13" s="94">
        <v>2021</v>
      </c>
      <c r="D13" s="96">
        <v>76</v>
      </c>
      <c r="E13" s="120">
        <v>1.9</v>
      </c>
      <c r="F13" s="120" t="s">
        <v>137</v>
      </c>
      <c r="H13" s="93"/>
      <c r="I13" s="48" t="s">
        <v>143</v>
      </c>
      <c r="J13" s="94">
        <v>2021</v>
      </c>
      <c r="K13" s="105">
        <v>2274</v>
      </c>
      <c r="L13" s="123">
        <v>0.9</v>
      </c>
      <c r="M13" s="124">
        <v>8.3000000000000007</v>
      </c>
      <c r="N13" s="93"/>
      <c r="O13" s="93"/>
      <c r="P13" s="93"/>
      <c r="Q13" s="48"/>
      <c r="R13" s="94"/>
      <c r="S13" s="105"/>
      <c r="T13" s="104"/>
      <c r="U13" s="95"/>
    </row>
    <row r="14" spans="2:21" customFormat="1" ht="15" customHeight="1" x14ac:dyDescent="0.2">
      <c r="B14" s="48" t="s">
        <v>145</v>
      </c>
      <c r="C14" s="94">
        <v>2021</v>
      </c>
      <c r="D14" s="96">
        <v>82</v>
      </c>
      <c r="E14" s="120">
        <v>0.5</v>
      </c>
      <c r="F14" s="120">
        <v>3</v>
      </c>
      <c r="H14" s="93"/>
      <c r="I14" s="48" t="s">
        <v>144</v>
      </c>
      <c r="J14" s="94">
        <v>2021</v>
      </c>
      <c r="K14" s="105">
        <v>567</v>
      </c>
      <c r="L14" s="123">
        <v>1</v>
      </c>
      <c r="M14" s="124">
        <v>13.1</v>
      </c>
      <c r="N14" s="93"/>
      <c r="O14" s="93"/>
      <c r="P14" s="93"/>
      <c r="Q14" s="48" t="s">
        <v>145</v>
      </c>
      <c r="R14" s="94">
        <v>2021</v>
      </c>
      <c r="S14" s="105">
        <v>143</v>
      </c>
      <c r="T14" s="104">
        <v>1.9</v>
      </c>
      <c r="U14" s="95">
        <v>13.5</v>
      </c>
    </row>
    <row r="15" spans="2:21" customFormat="1" ht="15" customHeight="1" x14ac:dyDescent="0.2">
      <c r="B15" s="48" t="s">
        <v>146</v>
      </c>
      <c r="C15" s="94">
        <v>2021</v>
      </c>
      <c r="D15" s="96">
        <v>252</v>
      </c>
      <c r="E15" s="120">
        <v>1.1000000000000001</v>
      </c>
      <c r="F15" s="120" t="s">
        <v>137</v>
      </c>
      <c r="H15" s="93"/>
      <c r="I15" s="48" t="s">
        <v>145</v>
      </c>
      <c r="J15" s="94">
        <v>2021</v>
      </c>
      <c r="K15" s="105">
        <v>143</v>
      </c>
      <c r="L15" s="123">
        <v>1.9</v>
      </c>
      <c r="M15" s="124">
        <v>13.5</v>
      </c>
      <c r="N15" s="93"/>
      <c r="O15" s="93"/>
      <c r="P15" s="93"/>
      <c r="Q15" s="48" t="s">
        <v>151</v>
      </c>
      <c r="R15" s="103">
        <v>2020</v>
      </c>
      <c r="S15" s="105">
        <v>88</v>
      </c>
      <c r="T15" s="104">
        <v>0.4</v>
      </c>
      <c r="U15" s="95">
        <v>5.2</v>
      </c>
    </row>
    <row r="16" spans="2:21" customFormat="1" ht="15" customHeight="1" x14ac:dyDescent="0.2">
      <c r="B16" s="48" t="s">
        <v>147</v>
      </c>
      <c r="C16" s="94">
        <v>2021</v>
      </c>
      <c r="D16" s="96">
        <v>3</v>
      </c>
      <c r="E16" s="120">
        <v>0.3</v>
      </c>
      <c r="F16" s="120" t="s">
        <v>137</v>
      </c>
      <c r="H16" s="93"/>
      <c r="I16" s="48" t="s">
        <v>146</v>
      </c>
      <c r="J16" s="94">
        <v>2021</v>
      </c>
      <c r="K16" s="105">
        <v>1000</v>
      </c>
      <c r="L16" s="123">
        <v>1.1000000000000001</v>
      </c>
      <c r="M16" s="124">
        <v>9.8000000000000007</v>
      </c>
      <c r="N16" s="93"/>
      <c r="O16" s="93"/>
      <c r="P16" s="93"/>
      <c r="Q16" s="93"/>
      <c r="R16" s="93"/>
      <c r="S16" s="8"/>
      <c r="T16" s="8"/>
    </row>
    <row r="17" spans="2:20" customFormat="1" ht="15" customHeight="1" x14ac:dyDescent="0.2">
      <c r="B17" s="48" t="s">
        <v>148</v>
      </c>
      <c r="C17" s="94">
        <v>2021</v>
      </c>
      <c r="D17" s="96">
        <v>829</v>
      </c>
      <c r="E17" s="120">
        <v>2.1</v>
      </c>
      <c r="F17" s="120">
        <v>7</v>
      </c>
      <c r="H17" s="93"/>
      <c r="I17" s="48" t="s">
        <v>147</v>
      </c>
      <c r="J17" s="94">
        <v>2021</v>
      </c>
      <c r="K17" s="105">
        <v>628</v>
      </c>
      <c r="L17" s="123">
        <v>1.3</v>
      </c>
      <c r="M17" s="124">
        <v>7.2</v>
      </c>
      <c r="N17" s="93"/>
      <c r="O17" s="93"/>
      <c r="P17" s="93"/>
      <c r="Q17" s="93"/>
      <c r="R17" s="93"/>
      <c r="S17" s="8"/>
      <c r="T17" s="8"/>
    </row>
    <row r="18" spans="2:20" customFormat="1" ht="15" customHeight="1" x14ac:dyDescent="0.2">
      <c r="B18" s="48" t="s">
        <v>149</v>
      </c>
      <c r="C18" s="94">
        <v>2021</v>
      </c>
      <c r="D18" s="96">
        <v>201</v>
      </c>
      <c r="E18" s="120" t="s">
        <v>137</v>
      </c>
      <c r="F18" s="120" t="s">
        <v>137</v>
      </c>
      <c r="H18" s="93"/>
      <c r="I18" s="48" t="s">
        <v>148</v>
      </c>
      <c r="J18" s="94">
        <v>2021</v>
      </c>
      <c r="K18" s="105">
        <v>18</v>
      </c>
      <c r="L18" s="123">
        <v>0.4</v>
      </c>
      <c r="M18" s="124">
        <v>9.8000000000000007</v>
      </c>
      <c r="N18" s="93"/>
      <c r="O18" s="93"/>
      <c r="P18" s="93"/>
      <c r="Q18" s="93"/>
      <c r="R18" s="93"/>
      <c r="S18" s="8"/>
      <c r="T18" s="8"/>
    </row>
    <row r="19" spans="2:20" customFormat="1" ht="15" customHeight="1" x14ac:dyDescent="0.2">
      <c r="B19" s="48" t="s">
        <v>150</v>
      </c>
      <c r="C19" s="94">
        <v>2021</v>
      </c>
      <c r="D19" s="96">
        <v>355</v>
      </c>
      <c r="E19" s="120">
        <v>2.1</v>
      </c>
      <c r="F19" s="120">
        <v>11.3</v>
      </c>
      <c r="H19" s="93"/>
      <c r="I19" s="48" t="s">
        <v>149</v>
      </c>
      <c r="J19" s="94">
        <v>2021</v>
      </c>
      <c r="K19" s="105">
        <v>548</v>
      </c>
      <c r="L19" s="123">
        <v>0.7</v>
      </c>
      <c r="M19" s="124">
        <v>8.6999999999999993</v>
      </c>
      <c r="N19" s="93"/>
      <c r="O19" s="93"/>
      <c r="P19" s="93"/>
      <c r="Q19" s="93"/>
      <c r="R19" s="93"/>
      <c r="S19" s="8"/>
      <c r="T19" s="8"/>
    </row>
    <row r="20" spans="2:20" customFormat="1" ht="15" customHeight="1" x14ac:dyDescent="0.2">
      <c r="B20" s="48" t="s">
        <v>151</v>
      </c>
      <c r="C20" s="94">
        <v>2021</v>
      </c>
      <c r="D20" s="96">
        <v>108</v>
      </c>
      <c r="E20" s="120" t="s">
        <v>137</v>
      </c>
      <c r="F20" s="120" t="s">
        <v>137</v>
      </c>
      <c r="H20" s="93"/>
      <c r="I20" s="48" t="s">
        <v>150</v>
      </c>
      <c r="J20" s="103">
        <v>2020</v>
      </c>
      <c r="K20" s="105">
        <v>2847</v>
      </c>
      <c r="L20" s="123">
        <v>1.2</v>
      </c>
      <c r="M20" s="124">
        <v>10</v>
      </c>
      <c r="N20" s="93"/>
      <c r="O20" s="93"/>
      <c r="P20" s="93"/>
      <c r="Q20" s="93"/>
      <c r="R20" s="93"/>
      <c r="S20" s="8"/>
      <c r="T20" s="8"/>
    </row>
    <row r="21" spans="2:20" customFormat="1" ht="15" customHeight="1" x14ac:dyDescent="0.2">
      <c r="B21" s="48" t="s">
        <v>152</v>
      </c>
      <c r="C21" s="94">
        <v>2021</v>
      </c>
      <c r="D21" s="96">
        <v>214</v>
      </c>
      <c r="E21" s="120">
        <v>2.7</v>
      </c>
      <c r="F21" s="120" t="s">
        <v>137</v>
      </c>
      <c r="H21" s="93"/>
      <c r="I21" s="48" t="s">
        <v>151</v>
      </c>
      <c r="J21" s="103">
        <v>2020</v>
      </c>
      <c r="K21" s="105">
        <v>88</v>
      </c>
      <c r="L21" s="123">
        <v>0.4</v>
      </c>
      <c r="M21" s="124">
        <v>5.2</v>
      </c>
      <c r="N21" s="93"/>
      <c r="O21" s="93"/>
      <c r="P21" s="93"/>
      <c r="Q21" s="93"/>
      <c r="R21" s="93"/>
      <c r="S21" s="8"/>
      <c r="T21" s="8"/>
    </row>
    <row r="22" spans="2:20" customFormat="1" ht="15" customHeight="1" x14ac:dyDescent="0.2">
      <c r="B22" s="48" t="s">
        <v>153</v>
      </c>
      <c r="C22" s="94">
        <v>2020</v>
      </c>
      <c r="D22" s="96">
        <v>13</v>
      </c>
      <c r="E22" s="120">
        <v>0.3</v>
      </c>
      <c r="F22" s="120">
        <v>8.6999999999999993</v>
      </c>
      <c r="H22" s="93"/>
      <c r="I22" s="48" t="s">
        <v>152</v>
      </c>
      <c r="J22" s="103">
        <v>2020</v>
      </c>
      <c r="K22" s="105">
        <v>852</v>
      </c>
      <c r="L22" s="123">
        <v>0.4</v>
      </c>
      <c r="M22" s="124">
        <v>10.199999999999999</v>
      </c>
      <c r="N22" s="93"/>
      <c r="O22" s="93"/>
      <c r="P22" s="93"/>
      <c r="Q22" s="93"/>
      <c r="R22" s="93"/>
      <c r="S22" s="8"/>
      <c r="T22" s="8"/>
    </row>
    <row r="23" spans="2:20" customFormat="1" ht="15" customHeight="1" x14ac:dyDescent="0.2">
      <c r="B23" s="48" t="s">
        <v>154</v>
      </c>
      <c r="C23" s="94">
        <v>2020</v>
      </c>
      <c r="D23" s="96">
        <v>86</v>
      </c>
      <c r="E23" s="120">
        <v>1</v>
      </c>
      <c r="F23" s="120">
        <v>5.2</v>
      </c>
      <c r="H23" s="93"/>
      <c r="I23" s="48" t="s">
        <v>153</v>
      </c>
      <c r="J23" s="103">
        <v>2020</v>
      </c>
      <c r="K23" s="105">
        <v>1809</v>
      </c>
      <c r="L23" s="123">
        <v>0.5</v>
      </c>
      <c r="M23" s="124">
        <v>8.4</v>
      </c>
      <c r="N23" s="93"/>
      <c r="O23" s="93"/>
      <c r="P23" s="93"/>
      <c r="Q23" s="93"/>
      <c r="R23" s="93"/>
      <c r="S23" s="8"/>
      <c r="T23" s="8"/>
    </row>
    <row r="24" spans="2:20" customFormat="1" ht="15" customHeight="1" x14ac:dyDescent="0.2">
      <c r="B24" s="64" t="s">
        <v>155</v>
      </c>
      <c r="C24" s="108">
        <v>2020</v>
      </c>
      <c r="D24" s="109">
        <v>15</v>
      </c>
      <c r="E24" s="121">
        <v>0.4</v>
      </c>
      <c r="F24" s="121">
        <v>7.6</v>
      </c>
      <c r="H24" s="93"/>
      <c r="I24" s="48" t="s">
        <v>154</v>
      </c>
      <c r="J24" s="103">
        <v>2020</v>
      </c>
      <c r="K24" s="105">
        <v>246</v>
      </c>
      <c r="L24" s="123">
        <v>0.5</v>
      </c>
      <c r="M24" s="124">
        <v>10.6</v>
      </c>
      <c r="N24" s="93"/>
      <c r="O24" s="93"/>
      <c r="P24" s="93"/>
      <c r="Q24" s="93"/>
      <c r="R24" s="93"/>
      <c r="S24" s="8"/>
      <c r="T24" s="8"/>
    </row>
    <row r="25" spans="2:20" s="107" customFormat="1" x14ac:dyDescent="0.2">
      <c r="E25" s="122"/>
      <c r="F25" s="122"/>
      <c r="I25" s="48" t="s">
        <v>155</v>
      </c>
      <c r="J25" s="103">
        <v>2020</v>
      </c>
      <c r="K25" s="105">
        <v>553</v>
      </c>
      <c r="L25" s="123">
        <v>4.4000000000000004</v>
      </c>
      <c r="M25" s="124">
        <v>10.9</v>
      </c>
    </row>
    <row r="26" spans="2:20" s="107" customFormat="1" x14ac:dyDescent="0.2">
      <c r="E26" s="122"/>
      <c r="F26" s="122"/>
      <c r="I26" s="48" t="s">
        <v>158</v>
      </c>
      <c r="J26" s="103">
        <v>2020</v>
      </c>
      <c r="K26" s="105">
        <v>58</v>
      </c>
      <c r="L26" s="123">
        <v>0.4</v>
      </c>
      <c r="M26" s="124">
        <v>5.5</v>
      </c>
    </row>
    <row r="27" spans="2:20" s="107" customFormat="1" x14ac:dyDescent="0.2">
      <c r="B27" s="48" t="s">
        <v>151</v>
      </c>
      <c r="C27" s="94">
        <v>2021</v>
      </c>
      <c r="D27" s="96">
        <v>108</v>
      </c>
      <c r="E27" s="120" t="s">
        <v>137</v>
      </c>
      <c r="F27" s="120" t="s">
        <v>137</v>
      </c>
      <c r="I27" s="48" t="s">
        <v>159</v>
      </c>
      <c r="J27" s="103">
        <v>2019</v>
      </c>
      <c r="K27" s="105">
        <v>60</v>
      </c>
      <c r="L27" s="123">
        <v>0.6</v>
      </c>
      <c r="M27" s="124">
        <v>10.7</v>
      </c>
    </row>
    <row r="28" spans="2:20" customFormat="1" ht="15" customHeight="1" x14ac:dyDescent="0.2">
      <c r="B28" s="48" t="s">
        <v>143</v>
      </c>
      <c r="C28" s="94">
        <v>2021</v>
      </c>
      <c r="D28" s="96">
        <v>105</v>
      </c>
      <c r="E28" s="120">
        <v>0.8</v>
      </c>
      <c r="F28" s="120">
        <v>8.9</v>
      </c>
      <c r="I28" s="48" t="s">
        <v>160</v>
      </c>
      <c r="J28" s="103">
        <v>2019</v>
      </c>
      <c r="K28" s="105">
        <v>60</v>
      </c>
      <c r="L28" s="123">
        <v>0.6</v>
      </c>
      <c r="M28" s="124">
        <v>10.6</v>
      </c>
      <c r="N28" s="8"/>
      <c r="O28" s="8"/>
      <c r="P28" s="8"/>
      <c r="Q28" s="8"/>
      <c r="R28" s="8"/>
      <c r="S28" s="8"/>
      <c r="T28" s="8"/>
    </row>
    <row r="29" spans="2:20" customFormat="1" ht="15" customHeight="1" x14ac:dyDescent="0.2">
      <c r="B29" s="48" t="s">
        <v>154</v>
      </c>
      <c r="C29" s="94">
        <v>2020</v>
      </c>
      <c r="D29" s="96">
        <v>86</v>
      </c>
      <c r="E29" s="120">
        <v>1</v>
      </c>
      <c r="F29" s="120">
        <v>5.2</v>
      </c>
      <c r="G29" s="92"/>
      <c r="H29" s="92"/>
      <c r="I29" s="64" t="s">
        <v>161</v>
      </c>
      <c r="J29" s="110">
        <v>2019</v>
      </c>
      <c r="K29" s="111">
        <v>357</v>
      </c>
      <c r="L29" s="125">
        <v>0.3</v>
      </c>
      <c r="M29" s="126" t="s">
        <v>137</v>
      </c>
      <c r="N29" s="92"/>
      <c r="O29" s="92"/>
      <c r="P29" s="92"/>
      <c r="Q29" s="92"/>
      <c r="R29" s="92"/>
      <c r="S29" s="92"/>
      <c r="T29" s="92"/>
    </row>
    <row r="30" spans="2:20" customFormat="1" ht="15" customHeight="1" x14ac:dyDescent="0.2">
      <c r="G30" s="92"/>
      <c r="H30" s="92"/>
      <c r="I30" s="92"/>
      <c r="J30" s="92"/>
      <c r="K30" s="92"/>
      <c r="L30" s="127"/>
      <c r="M30" s="127"/>
      <c r="N30" s="92"/>
      <c r="O30" s="92"/>
      <c r="P30" s="92"/>
      <c r="Q30" s="92"/>
      <c r="R30" s="92"/>
      <c r="S30" s="92"/>
      <c r="T30" s="92"/>
    </row>
    <row r="31" spans="2:20" customFormat="1" ht="15" customHeight="1" x14ac:dyDescent="0.2">
      <c r="G31" s="92"/>
      <c r="H31" s="92"/>
      <c r="I31" s="92"/>
      <c r="J31" s="92"/>
      <c r="K31" s="92"/>
      <c r="L31" s="127"/>
      <c r="M31" s="127"/>
      <c r="N31" s="92"/>
      <c r="O31" s="92"/>
      <c r="P31" s="92"/>
      <c r="Q31" s="92"/>
      <c r="R31" s="92"/>
      <c r="S31" s="92"/>
      <c r="T31" s="92"/>
    </row>
    <row r="32" spans="2:20" customFormat="1" ht="15" customHeight="1" x14ac:dyDescent="0.2">
      <c r="G32" s="31"/>
      <c r="H32" s="31"/>
      <c r="I32" s="31"/>
      <c r="J32" s="31"/>
      <c r="K32" s="31"/>
      <c r="L32" s="31"/>
      <c r="M32" s="31"/>
      <c r="N32" s="31"/>
      <c r="O32" s="31"/>
      <c r="P32" s="31"/>
      <c r="Q32" s="31"/>
      <c r="R32" s="31"/>
      <c r="S32" s="31"/>
      <c r="T32" s="31"/>
    </row>
    <row r="33" spans="8:20" customFormat="1" ht="15" customHeight="1" x14ac:dyDescent="0.2">
      <c r="H33" s="93"/>
      <c r="I33" s="93"/>
      <c r="J33" s="93"/>
      <c r="K33" s="93"/>
      <c r="L33" s="93"/>
      <c r="N33" s="102"/>
      <c r="O33" s="93"/>
      <c r="P33" s="93"/>
      <c r="Q33" s="93"/>
      <c r="R33" s="93"/>
      <c r="S33" s="8"/>
      <c r="T33" s="8"/>
    </row>
    <row r="34" spans="8:20" customFormat="1" ht="15" customHeight="1" x14ac:dyDescent="0.2">
      <c r="H34" s="93"/>
      <c r="I34" s="93"/>
      <c r="J34" s="93"/>
      <c r="K34" s="93"/>
      <c r="L34" s="93"/>
      <c r="N34" s="102"/>
      <c r="O34" s="93"/>
      <c r="P34" s="93"/>
      <c r="Q34" s="93"/>
      <c r="R34" s="93"/>
      <c r="S34" s="8"/>
      <c r="T34" s="8"/>
    </row>
    <row r="35" spans="8:20" customFormat="1" ht="15" customHeight="1" x14ac:dyDescent="0.2">
      <c r="H35" s="93"/>
      <c r="I35" s="93"/>
      <c r="J35" s="93"/>
      <c r="K35" s="93"/>
      <c r="L35" s="93"/>
      <c r="N35" s="102"/>
      <c r="O35" s="93"/>
      <c r="P35" s="93"/>
      <c r="Q35" s="93"/>
      <c r="R35" s="93"/>
      <c r="S35" s="8"/>
      <c r="T35" s="8"/>
    </row>
    <row r="36" spans="8:20" customFormat="1" ht="15" customHeight="1" x14ac:dyDescent="0.2">
      <c r="H36" s="93"/>
      <c r="I36" s="93"/>
      <c r="J36" s="93"/>
      <c r="K36" s="93"/>
      <c r="L36" s="93"/>
      <c r="N36" s="102"/>
      <c r="O36" s="93"/>
      <c r="P36" s="93"/>
      <c r="Q36" s="93"/>
      <c r="R36" s="93"/>
      <c r="S36" s="8"/>
      <c r="T36" s="8"/>
    </row>
    <row r="37" spans="8:20" customFormat="1" ht="15" customHeight="1" x14ac:dyDescent="0.2">
      <c r="H37" s="93"/>
      <c r="I37" s="93"/>
      <c r="J37" s="93"/>
      <c r="K37" s="93"/>
      <c r="L37" s="93"/>
      <c r="N37" s="102"/>
      <c r="O37" s="93"/>
      <c r="P37" s="93"/>
      <c r="Q37" s="93"/>
      <c r="R37" s="93"/>
      <c r="S37" s="8"/>
      <c r="T37" s="8"/>
    </row>
    <row r="38" spans="8:20" customFormat="1" ht="15" customHeight="1" x14ac:dyDescent="0.2">
      <c r="H38" s="93"/>
      <c r="I38" s="93"/>
      <c r="J38" s="93"/>
      <c r="K38" s="93"/>
      <c r="L38" s="93"/>
      <c r="N38" s="102"/>
      <c r="O38" s="93"/>
      <c r="P38" s="93"/>
      <c r="Q38" s="93"/>
      <c r="R38" s="93"/>
      <c r="S38" s="8"/>
      <c r="T38" s="8"/>
    </row>
    <row r="39" spans="8:20" customFormat="1" ht="15" customHeight="1" x14ac:dyDescent="0.2">
      <c r="H39" s="93"/>
      <c r="I39" s="93"/>
      <c r="J39" s="93"/>
      <c r="K39" s="93"/>
      <c r="L39" s="93"/>
      <c r="N39" s="102"/>
      <c r="O39" s="93"/>
      <c r="P39" s="93"/>
      <c r="Q39" s="93"/>
      <c r="R39" s="93"/>
      <c r="S39" s="8"/>
      <c r="T39" s="8"/>
    </row>
    <row r="40" spans="8:20" customFormat="1" ht="15" customHeight="1" x14ac:dyDescent="0.2">
      <c r="H40" s="93"/>
      <c r="I40" s="93"/>
      <c r="J40" s="93"/>
      <c r="K40" s="93"/>
      <c r="L40" s="93"/>
      <c r="N40" s="102"/>
      <c r="O40" s="93"/>
      <c r="P40" s="93"/>
      <c r="Q40" s="93"/>
      <c r="R40" s="93"/>
      <c r="S40" s="8"/>
      <c r="T40" s="8"/>
    </row>
    <row r="41" spans="8:20" customFormat="1" ht="15" customHeight="1" x14ac:dyDescent="0.2">
      <c r="H41" s="93"/>
      <c r="I41" s="93"/>
      <c r="J41" s="93"/>
      <c r="K41" s="93"/>
      <c r="L41" s="93"/>
      <c r="N41" s="102"/>
      <c r="O41" s="93"/>
      <c r="P41" s="93"/>
      <c r="Q41" s="93"/>
      <c r="R41" s="93"/>
      <c r="S41" s="8"/>
      <c r="T41" s="8"/>
    </row>
    <row r="42" spans="8:20" customFormat="1" ht="15" customHeight="1" x14ac:dyDescent="0.2">
      <c r="H42" s="93"/>
      <c r="I42" s="93"/>
      <c r="J42" s="93"/>
      <c r="K42" s="93"/>
      <c r="L42" s="93"/>
      <c r="N42" s="102"/>
      <c r="O42" s="93"/>
      <c r="P42" s="93"/>
      <c r="Q42" s="93"/>
      <c r="R42" s="93"/>
      <c r="S42" s="8"/>
      <c r="T42" s="8"/>
    </row>
    <row r="43" spans="8:20" customFormat="1" ht="15" customHeight="1" x14ac:dyDescent="0.2">
      <c r="H43" s="93"/>
      <c r="I43" s="93"/>
      <c r="J43" s="93"/>
      <c r="K43" s="93"/>
      <c r="L43" s="93"/>
      <c r="N43" s="102"/>
      <c r="O43" s="93"/>
      <c r="P43" s="93"/>
      <c r="Q43" s="93"/>
      <c r="R43" s="93"/>
      <c r="S43" s="8"/>
      <c r="T43" s="8"/>
    </row>
    <row r="44" spans="8:20" customFormat="1" ht="15" customHeight="1" x14ac:dyDescent="0.2">
      <c r="H44" s="93"/>
      <c r="I44" s="93"/>
      <c r="J44" s="93"/>
      <c r="K44" s="93"/>
      <c r="L44" s="93"/>
      <c r="N44" s="102"/>
      <c r="O44" s="93"/>
      <c r="P44" s="93"/>
      <c r="Q44" s="93"/>
      <c r="R44" s="93"/>
      <c r="S44" s="8"/>
      <c r="T44" s="8"/>
    </row>
    <row r="45" spans="8:20" customFormat="1" ht="15" customHeight="1" x14ac:dyDescent="0.2">
      <c r="H45" s="93"/>
      <c r="I45" s="93"/>
      <c r="J45" s="93"/>
      <c r="K45" s="93"/>
      <c r="L45" s="93"/>
      <c r="N45" s="102"/>
      <c r="O45" s="93"/>
      <c r="P45" s="93"/>
      <c r="Q45" s="93"/>
      <c r="R45" s="93"/>
      <c r="S45" s="8"/>
      <c r="T45" s="8"/>
    </row>
    <row r="46" spans="8:20" customFormat="1" ht="15" customHeight="1" x14ac:dyDescent="0.2">
      <c r="H46" s="93"/>
      <c r="I46" s="93"/>
      <c r="J46" s="93"/>
      <c r="K46" s="93"/>
      <c r="L46" s="93"/>
      <c r="N46" s="102"/>
      <c r="O46" s="93"/>
      <c r="P46" s="93"/>
      <c r="Q46" s="93"/>
      <c r="R46" s="93"/>
      <c r="S46" s="8"/>
      <c r="T46" s="8"/>
    </row>
    <row r="47" spans="8:20" customFormat="1" ht="15" customHeight="1" x14ac:dyDescent="0.2">
      <c r="H47" s="93"/>
      <c r="I47" s="93"/>
      <c r="J47" s="93"/>
      <c r="K47" s="93"/>
      <c r="L47" s="93"/>
      <c r="N47" s="102"/>
      <c r="O47" s="93"/>
      <c r="P47" s="93"/>
      <c r="Q47" s="93"/>
      <c r="R47" s="93"/>
      <c r="S47" s="8"/>
      <c r="T47" s="8"/>
    </row>
    <row r="48" spans="8:20" customFormat="1" ht="15" customHeight="1" x14ac:dyDescent="0.2">
      <c r="H48" s="93"/>
      <c r="I48" s="93"/>
      <c r="J48" s="93"/>
      <c r="K48" s="93"/>
      <c r="L48" s="93"/>
      <c r="N48" s="102"/>
      <c r="O48" s="93"/>
      <c r="P48" s="93"/>
      <c r="Q48" s="93"/>
      <c r="R48" s="93"/>
      <c r="S48" s="8"/>
      <c r="T48" s="8"/>
    </row>
    <row r="49" spans="2:20" customFormat="1" ht="15" customHeight="1" x14ac:dyDescent="0.2">
      <c r="H49" s="93"/>
      <c r="I49" s="93"/>
      <c r="J49" s="93"/>
      <c r="K49" s="93"/>
      <c r="L49" s="93"/>
      <c r="N49" s="102"/>
      <c r="O49" s="93"/>
      <c r="P49" s="93"/>
      <c r="Q49" s="93"/>
      <c r="R49" s="93"/>
      <c r="S49" s="8"/>
      <c r="T49" s="8"/>
    </row>
    <row r="50" spans="2:20" customFormat="1" ht="15" customHeight="1" x14ac:dyDescent="0.2">
      <c r="H50" s="93"/>
      <c r="I50" s="93"/>
      <c r="J50" s="93"/>
      <c r="K50" s="93"/>
      <c r="L50" s="93"/>
      <c r="N50" s="102"/>
      <c r="O50" s="93"/>
      <c r="P50" s="93"/>
      <c r="Q50" s="93"/>
      <c r="R50" s="93"/>
      <c r="S50" s="8"/>
      <c r="T50" s="8"/>
    </row>
    <row r="51" spans="2:20" customFormat="1" ht="15" customHeight="1" x14ac:dyDescent="0.2">
      <c r="H51" s="93"/>
      <c r="I51" s="93"/>
      <c r="J51" s="93"/>
      <c r="K51" s="93"/>
      <c r="L51" s="93"/>
      <c r="N51" s="102"/>
      <c r="O51" s="93"/>
      <c r="P51" s="93"/>
      <c r="Q51" s="93"/>
      <c r="R51" s="93"/>
      <c r="S51" s="8"/>
      <c r="T51" s="8"/>
    </row>
    <row r="52" spans="2:20" customFormat="1" ht="15" customHeight="1" x14ac:dyDescent="0.2">
      <c r="H52" s="93"/>
      <c r="I52" s="93"/>
      <c r="J52" s="93"/>
      <c r="K52" s="93"/>
      <c r="L52" s="93"/>
      <c r="N52" s="102"/>
      <c r="O52" s="93"/>
      <c r="P52" s="93"/>
      <c r="Q52" s="93"/>
      <c r="R52" s="93"/>
      <c r="S52" s="8"/>
      <c r="T52" s="8"/>
    </row>
    <row r="53" spans="2:20" customFormat="1" ht="15" customHeight="1" x14ac:dyDescent="0.2">
      <c r="H53" s="93"/>
      <c r="I53" s="93"/>
      <c r="J53" s="93"/>
      <c r="K53" s="93"/>
      <c r="L53" s="93"/>
      <c r="N53" s="102"/>
      <c r="O53" s="93"/>
      <c r="P53" s="93"/>
      <c r="Q53" s="93"/>
      <c r="R53" s="93"/>
      <c r="S53" s="8"/>
      <c r="T53" s="8"/>
    </row>
    <row r="54" spans="2:20" customFormat="1" ht="15" customHeight="1" x14ac:dyDescent="0.2">
      <c r="H54" s="93"/>
      <c r="I54" s="93"/>
      <c r="J54" s="93"/>
      <c r="K54" s="93"/>
      <c r="L54" s="93"/>
      <c r="N54" s="102"/>
      <c r="O54" s="93"/>
      <c r="P54" s="93"/>
      <c r="Q54" s="93"/>
      <c r="R54" s="93"/>
      <c r="S54" s="8"/>
      <c r="T54" s="8"/>
    </row>
    <row r="55" spans="2:20" customFormat="1" ht="15" customHeight="1" x14ac:dyDescent="0.2">
      <c r="H55" s="93"/>
      <c r="I55" s="93"/>
      <c r="J55" s="93"/>
      <c r="K55" s="93"/>
      <c r="L55" s="93"/>
      <c r="N55" s="102"/>
      <c r="O55" s="93"/>
      <c r="P55" s="93"/>
      <c r="Q55" s="93"/>
      <c r="R55" s="93"/>
      <c r="S55" s="8"/>
      <c r="T55" s="8"/>
    </row>
    <row r="56" spans="2:20" customFormat="1" x14ac:dyDescent="0.2">
      <c r="B56" s="31"/>
      <c r="C56" s="31"/>
      <c r="D56" s="31"/>
      <c r="E56" s="31"/>
      <c r="F56" s="31"/>
      <c r="G56" s="31"/>
      <c r="H56" s="31"/>
      <c r="I56" s="31"/>
      <c r="J56" s="31"/>
      <c r="K56" s="31"/>
      <c r="L56" s="31"/>
      <c r="M56" s="31"/>
      <c r="N56" s="31"/>
      <c r="O56" s="31"/>
      <c r="P56" s="31"/>
      <c r="Q56" s="31"/>
      <c r="R56" s="31"/>
      <c r="S56" s="31"/>
      <c r="T56" s="31"/>
    </row>
    <row r="57" spans="2:20" customFormat="1" x14ac:dyDescent="0.2">
      <c r="B57" s="31"/>
      <c r="C57" s="31"/>
      <c r="D57" s="31"/>
      <c r="E57" s="31"/>
      <c r="F57" s="31"/>
      <c r="G57" s="31"/>
      <c r="H57" s="31"/>
      <c r="I57" s="31"/>
      <c r="J57" s="31"/>
      <c r="K57" s="31"/>
      <c r="L57" s="31"/>
      <c r="M57" s="31"/>
      <c r="N57" s="31"/>
      <c r="O57" s="31"/>
      <c r="P57" s="31"/>
      <c r="Q57" s="31"/>
      <c r="R57" s="31"/>
      <c r="S57" s="31"/>
      <c r="T57" s="3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5E8FE-EE55-AA47-80EB-9FAB7E7808BE}">
  <dimension ref="B1:S64"/>
  <sheetViews>
    <sheetView tabSelected="1" zoomScale="118" zoomScaleNormal="75" workbookViewId="0">
      <selection activeCell="B15" sqref="B15"/>
    </sheetView>
  </sheetViews>
  <sheetFormatPr baseColWidth="10" defaultColWidth="11.5" defaultRowHeight="18" x14ac:dyDescent="0.2"/>
  <cols>
    <col min="1" max="1" width="11.5" style="188"/>
    <col min="2" max="2" width="85.33203125" style="188" customWidth="1"/>
    <col min="3" max="3" width="11.5" style="188"/>
    <col min="4" max="5" width="35.83203125" style="188" customWidth="1"/>
    <col min="6" max="6" width="87.83203125" style="188" customWidth="1"/>
    <col min="7" max="7" width="31.1640625" style="188" customWidth="1"/>
    <col min="8" max="8" width="21.5" style="188" customWidth="1"/>
    <col min="9" max="9" width="32" style="188" customWidth="1"/>
    <col min="10" max="10" width="19.83203125" style="188" customWidth="1"/>
    <col min="11" max="11" width="23.83203125" style="188" customWidth="1"/>
    <col min="12" max="12" width="36" style="188" customWidth="1"/>
    <col min="13" max="13" width="14.83203125" style="188" customWidth="1"/>
    <col min="14" max="14" width="11.5" style="188"/>
    <col min="15" max="15" width="32.1640625" style="188" customWidth="1"/>
    <col min="16" max="16" width="30.5" style="188" customWidth="1"/>
    <col min="17" max="17" width="34" style="188" customWidth="1"/>
    <col min="18" max="18" width="36.5" style="188" customWidth="1"/>
    <col min="19" max="19" width="16.5" style="188" customWidth="1"/>
    <col min="20" max="20" width="24.83203125" style="188" customWidth="1"/>
    <col min="21" max="16384" width="11.5" style="188"/>
  </cols>
  <sheetData>
    <row r="1" spans="2:19" ht="19" thickBot="1" x14ac:dyDescent="0.25"/>
    <row r="2" spans="2:19" ht="19" thickBot="1" x14ac:dyDescent="0.25">
      <c r="B2" s="380" t="s">
        <v>129</v>
      </c>
      <c r="C2" s="381"/>
      <c r="D2" s="381"/>
      <c r="E2" s="381"/>
      <c r="F2" s="381"/>
      <c r="G2" s="381"/>
      <c r="H2" s="382"/>
      <c r="I2" s="382"/>
      <c r="J2" s="381"/>
      <c r="K2" s="381"/>
      <c r="L2" s="381"/>
      <c r="M2" s="381"/>
      <c r="N2" s="381"/>
      <c r="O2" s="382"/>
      <c r="P2" s="382"/>
      <c r="Q2" s="382"/>
      <c r="R2" s="382"/>
      <c r="S2" s="383"/>
    </row>
    <row r="3" spans="2:19" ht="40" customHeight="1" thickBot="1" x14ac:dyDescent="0.25">
      <c r="B3" s="384" t="s">
        <v>128</v>
      </c>
      <c r="C3" s="385"/>
      <c r="D3" s="386"/>
      <c r="E3" s="384"/>
      <c r="F3" s="385"/>
      <c r="G3" s="385"/>
      <c r="H3" s="385"/>
      <c r="I3" s="385"/>
      <c r="J3" s="385"/>
      <c r="K3" s="385"/>
      <c r="L3" s="385"/>
      <c r="M3" s="385"/>
      <c r="N3" s="385"/>
      <c r="O3" s="385"/>
      <c r="P3" s="385"/>
      <c r="Q3" s="385"/>
      <c r="R3" s="385"/>
      <c r="S3" s="386"/>
    </row>
    <row r="4" spans="2:19" ht="19" x14ac:dyDescent="0.2">
      <c r="B4" s="387"/>
      <c r="C4" s="388"/>
      <c r="D4" s="389"/>
      <c r="E4" s="390" t="s">
        <v>112</v>
      </c>
      <c r="F4" s="390" t="s">
        <v>114</v>
      </c>
      <c r="G4" s="390" t="s">
        <v>162</v>
      </c>
      <c r="H4" s="390"/>
      <c r="I4" s="390"/>
      <c r="J4" s="390" t="s">
        <v>165</v>
      </c>
      <c r="K4" s="390" t="s">
        <v>168</v>
      </c>
      <c r="L4" s="390" t="s">
        <v>118</v>
      </c>
      <c r="M4" s="390" t="s">
        <v>118</v>
      </c>
      <c r="N4" s="390" t="s">
        <v>118</v>
      </c>
      <c r="O4" s="390" t="s">
        <v>118</v>
      </c>
      <c r="P4" s="390" t="s">
        <v>166</v>
      </c>
      <c r="Q4" s="390" t="s">
        <v>167</v>
      </c>
      <c r="R4" s="390" t="s">
        <v>169</v>
      </c>
      <c r="S4" s="391" t="s">
        <v>170</v>
      </c>
    </row>
    <row r="5" spans="2:19" ht="20" thickBot="1" x14ac:dyDescent="0.25">
      <c r="B5" s="392"/>
      <c r="C5" s="393"/>
      <c r="D5" s="394"/>
      <c r="E5" s="395" t="s">
        <v>113</v>
      </c>
      <c r="F5" s="395" t="s">
        <v>115</v>
      </c>
      <c r="G5" s="395" t="s">
        <v>163</v>
      </c>
      <c r="H5" s="395" t="s">
        <v>116</v>
      </c>
      <c r="I5" s="395" t="s">
        <v>117</v>
      </c>
      <c r="J5" s="395" t="s">
        <v>164</v>
      </c>
      <c r="K5" s="395"/>
      <c r="L5" s="395" t="s">
        <v>119</v>
      </c>
      <c r="M5" s="395" t="s">
        <v>120</v>
      </c>
      <c r="N5" s="395" t="s">
        <v>121</v>
      </c>
      <c r="O5" s="395" t="s">
        <v>122</v>
      </c>
      <c r="P5" s="395"/>
      <c r="Q5" s="395"/>
      <c r="R5" s="395"/>
      <c r="S5" s="396"/>
    </row>
    <row r="6" spans="2:19" ht="19" x14ac:dyDescent="0.2">
      <c r="B6" s="397" t="s">
        <v>111</v>
      </c>
      <c r="C6" s="398"/>
      <c r="D6" s="398"/>
      <c r="E6" s="398"/>
      <c r="F6" s="398"/>
      <c r="G6" s="398"/>
      <c r="H6" s="398"/>
      <c r="I6" s="398"/>
      <c r="J6" s="398"/>
      <c r="K6" s="398"/>
      <c r="L6" s="398"/>
      <c r="M6" s="398"/>
      <c r="N6" s="398"/>
      <c r="O6" s="398"/>
      <c r="P6" s="398"/>
      <c r="Q6" s="398"/>
      <c r="R6" s="398"/>
      <c r="S6" s="399"/>
    </row>
    <row r="7" spans="2:19" ht="19" x14ac:dyDescent="0.2">
      <c r="B7" s="400" t="str">
        <f>'Public Comps'!B7</f>
        <v>Company 1</v>
      </c>
      <c r="C7" s="401"/>
      <c r="D7" s="401"/>
      <c r="E7" s="401">
        <f>'Public Comps'!E7</f>
        <v>31.5</v>
      </c>
      <c r="F7" s="401">
        <f>'Public Comps'!F7</f>
        <v>225.6</v>
      </c>
      <c r="G7" s="401">
        <f>E7*F7</f>
        <v>7106.4</v>
      </c>
      <c r="H7" s="401">
        <f>'Public Comps'!G7</f>
        <v>4112.6000000000004</v>
      </c>
      <c r="I7" s="401">
        <f>'Public Comps'!H7</f>
        <v>1374.5</v>
      </c>
      <c r="J7" s="401">
        <f>G7+H7</f>
        <v>11219</v>
      </c>
      <c r="K7" s="401">
        <f>O7/F7</f>
        <v>2.1139184397163122</v>
      </c>
      <c r="L7" s="401">
        <f>'Public Comps'!I7</f>
        <v>5675.2</v>
      </c>
      <c r="M7" s="401">
        <f>'Public Comps'!J7</f>
        <v>1254.7</v>
      </c>
      <c r="N7" s="401">
        <f>'Public Comps'!K7</f>
        <v>1023.9</v>
      </c>
      <c r="O7" s="401">
        <f>'Public Comps'!L7</f>
        <v>476.9</v>
      </c>
      <c r="P7" s="401">
        <f>$J7/L7</f>
        <v>1.9768466309557373</v>
      </c>
      <c r="Q7" s="401">
        <f t="shared" ref="Q7:R7" si="0">$J7/M7</f>
        <v>8.9415796604766076</v>
      </c>
      <c r="R7" s="401">
        <f t="shared" si="0"/>
        <v>10.95712471921086</v>
      </c>
      <c r="S7" s="402">
        <f>E7/K7</f>
        <v>14.90123715663661</v>
      </c>
    </row>
    <row r="8" spans="2:19" ht="19" x14ac:dyDescent="0.2">
      <c r="B8" s="403" t="str">
        <f>'Public Comps'!B8</f>
        <v>Company 2</v>
      </c>
      <c r="C8" s="404"/>
      <c r="D8" s="404"/>
      <c r="E8" s="405">
        <f>'Public Comps'!E8</f>
        <v>3.73</v>
      </c>
      <c r="F8" s="406">
        <f>'Public Comps'!F8</f>
        <v>53.7</v>
      </c>
      <c r="G8" s="406">
        <f>E8*F8</f>
        <v>200.30100000000002</v>
      </c>
      <c r="H8" s="407">
        <f>'Public Comps'!G8</f>
        <v>815</v>
      </c>
      <c r="I8" s="407">
        <f>'Public Comps'!H8</f>
        <v>17.8</v>
      </c>
      <c r="J8" s="407">
        <f>G8+H8-I8</f>
        <v>997.50100000000009</v>
      </c>
      <c r="K8" s="407">
        <f>O8/F8</f>
        <v>-1.5847299813780258</v>
      </c>
      <c r="L8" s="407">
        <f>'Public Comps'!I8</f>
        <v>657.1</v>
      </c>
      <c r="M8" s="407">
        <f>'Public Comps'!J8</f>
        <v>160.19999999999999</v>
      </c>
      <c r="N8" s="407">
        <f>'Public Comps'!K8</f>
        <v>112.9</v>
      </c>
      <c r="O8" s="407">
        <f>'Public Comps'!L8</f>
        <v>-85.1</v>
      </c>
      <c r="P8" s="408">
        <f>J8/L8</f>
        <v>1.5180353066504337</v>
      </c>
      <c r="Q8" s="408">
        <f>J8/M8</f>
        <v>6.2265980024968801</v>
      </c>
      <c r="R8" s="408">
        <f>J8/N8</f>
        <v>8.8352612931798049</v>
      </c>
      <c r="S8" s="409">
        <f>E8/K8</f>
        <v>-2.3537132784958876</v>
      </c>
    </row>
    <row r="9" spans="2:19" ht="19" x14ac:dyDescent="0.2">
      <c r="B9" s="403" t="str">
        <f>'Public Comps'!B9</f>
        <v>Company 3</v>
      </c>
      <c r="C9" s="404"/>
      <c r="D9" s="404"/>
      <c r="E9" s="410">
        <f>'Public Comps'!E9</f>
        <v>3.56</v>
      </c>
      <c r="F9" s="410">
        <f>'Public Comps'!F9</f>
        <v>86.7</v>
      </c>
      <c r="G9" s="406">
        <f>E9*F9</f>
        <v>308.65199999999999</v>
      </c>
      <c r="H9" s="411">
        <f>'Public Comps'!G9</f>
        <v>1560.3</v>
      </c>
      <c r="I9" s="411">
        <f>'Public Comps'!H9</f>
        <v>225.1</v>
      </c>
      <c r="J9" s="407">
        <f>G9+H9-I9</f>
        <v>1643.8520000000001</v>
      </c>
      <c r="K9" s="407">
        <f>O9/F9</f>
        <v>0.96770472895040371</v>
      </c>
      <c r="L9" s="411">
        <f>'Public Comps'!I9</f>
        <v>1215.2</v>
      </c>
      <c r="M9" s="407">
        <f>'Public Comps'!J9</f>
        <v>248.9</v>
      </c>
      <c r="N9" s="407">
        <f>'Public Comps'!K9</f>
        <v>144.6</v>
      </c>
      <c r="O9" s="407">
        <f>'Public Comps'!L9</f>
        <v>83.9</v>
      </c>
      <c r="P9" s="408">
        <f>J9/L9</f>
        <v>1.352741935483871</v>
      </c>
      <c r="Q9" s="408">
        <f>J9/M9</f>
        <v>6.6044676576938528</v>
      </c>
      <c r="R9" s="408">
        <f>J9/N9</f>
        <v>11.368271092669435</v>
      </c>
      <c r="S9" s="409">
        <f>E9/K9</f>
        <v>3.67880810488677</v>
      </c>
    </row>
    <row r="10" spans="2:19" ht="19" x14ac:dyDescent="0.2">
      <c r="B10" s="403" t="str">
        <f>'Public Comps'!B10</f>
        <v>Company 4</v>
      </c>
      <c r="C10" s="404"/>
      <c r="D10" s="404"/>
      <c r="E10" s="410">
        <f>'Public Comps'!E10</f>
        <v>12.84</v>
      </c>
      <c r="F10" s="410">
        <f>'Public Comps'!F10</f>
        <v>150.30000000000001</v>
      </c>
      <c r="G10" s="406">
        <f>E10*F10</f>
        <v>1929.8520000000001</v>
      </c>
      <c r="H10" s="411">
        <f>'Public Comps'!G10</f>
        <v>669.4</v>
      </c>
      <c r="I10" s="411">
        <f>'Public Comps'!H10</f>
        <v>414.6</v>
      </c>
      <c r="J10" s="407">
        <f>G10+H10-I10</f>
        <v>2184.652</v>
      </c>
      <c r="K10" s="407">
        <f>O10/F10</f>
        <v>0.42648037258815696</v>
      </c>
      <c r="L10" s="411">
        <f>'Public Comps'!I10</f>
        <v>1587.7</v>
      </c>
      <c r="M10" s="407">
        <f>'Public Comps'!J10</f>
        <v>251.2</v>
      </c>
      <c r="N10" s="407">
        <f>'Public Comps'!K10</f>
        <v>152.80000000000001</v>
      </c>
      <c r="O10" s="407">
        <f>'Public Comps'!L10</f>
        <v>64.099999999999994</v>
      </c>
      <c r="P10" s="408">
        <f>J10/L10</f>
        <v>1.3759853876676953</v>
      </c>
      <c r="Q10" s="408">
        <f>J10/M10</f>
        <v>8.6968630573248422</v>
      </c>
      <c r="R10" s="408">
        <f>J10/N10</f>
        <v>14.297460732984293</v>
      </c>
      <c r="S10" s="409">
        <f>E10/K10</f>
        <v>30.106895475819037</v>
      </c>
    </row>
    <row r="11" spans="2:19" ht="19" thickBot="1" x14ac:dyDescent="0.25">
      <c r="B11" s="412" t="str">
        <f>'Public Comps'!B11</f>
        <v>Company 5</v>
      </c>
      <c r="C11" s="413"/>
      <c r="D11" s="413"/>
      <c r="E11" s="414">
        <f>'Public Comps'!E11</f>
        <v>22.59</v>
      </c>
      <c r="F11" s="413">
        <f>'Public Comps'!F11</f>
        <v>109</v>
      </c>
      <c r="G11" s="415">
        <f>E11*F11</f>
        <v>2462.31</v>
      </c>
      <c r="H11" s="413">
        <f>'Public Comps'!G11</f>
        <v>1376</v>
      </c>
      <c r="I11" s="413">
        <f>'Public Comps'!H11</f>
        <v>325</v>
      </c>
      <c r="J11" s="416">
        <f>G11+H11-I11</f>
        <v>3513.31</v>
      </c>
      <c r="K11" s="416">
        <f>O11/F11</f>
        <v>7.3394495412844041E-2</v>
      </c>
      <c r="L11" s="413">
        <f>'Public Comps'!I11</f>
        <v>3352</v>
      </c>
      <c r="M11" s="413">
        <f>'Public Comps'!J11</f>
        <v>501.1</v>
      </c>
      <c r="N11" s="413">
        <f>'Public Comps'!K11</f>
        <v>352</v>
      </c>
      <c r="O11" s="413">
        <f>'Public Comps'!L11</f>
        <v>8</v>
      </c>
      <c r="P11" s="413">
        <f>$J11/L11</f>
        <v>1.0481235083532219</v>
      </c>
      <c r="Q11" s="417">
        <f>J11/M11</f>
        <v>7.0111953701855914</v>
      </c>
      <c r="R11" s="417">
        <f>J11/N11</f>
        <v>9.9809943181818177</v>
      </c>
      <c r="S11" s="418">
        <f>E11/K11</f>
        <v>307.78874999999999</v>
      </c>
    </row>
    <row r="16" spans="2:19" ht="19" thickBot="1" x14ac:dyDescent="0.25"/>
    <row r="17" spans="2:19" ht="19" thickBot="1" x14ac:dyDescent="0.25">
      <c r="B17" s="419" t="s">
        <v>191</v>
      </c>
      <c r="C17" s="420"/>
      <c r="D17" s="420"/>
      <c r="E17" s="420"/>
      <c r="F17" s="420">
        <f>B30</f>
        <v>13.49218356026223</v>
      </c>
      <c r="G17" s="420"/>
      <c r="H17" s="420">
        <f>'Cross Health BS'!F29</f>
        <v>70.099999999999994</v>
      </c>
      <c r="I17" s="420">
        <f>'Cross Health BS'!F7</f>
        <v>35.9</v>
      </c>
      <c r="J17" s="420">
        <f>L17*F17</f>
        <v>7219.6674230963199</v>
      </c>
      <c r="K17" s="420">
        <f>L17/F17</f>
        <v>39.659999999999997</v>
      </c>
      <c r="L17" s="420">
        <f>'Cross Health IS'!F6</f>
        <v>535.1</v>
      </c>
      <c r="M17" s="420">
        <f>'Cross Health IS'!F19+'Cross Health IS'!F18+'Cross Health IS'!F16+'Cross Health IS'!F12</f>
        <v>60.90000000000002</v>
      </c>
      <c r="N17" s="420">
        <f>M17-'Cross Health IS'!F12</f>
        <v>44.90000000000002</v>
      </c>
      <c r="O17" s="421"/>
      <c r="P17" s="421"/>
      <c r="Q17" s="421"/>
      <c r="R17" s="421"/>
      <c r="S17" s="422"/>
    </row>
    <row r="22" spans="2:19" ht="19" thickBot="1" x14ac:dyDescent="0.25"/>
    <row r="23" spans="2:19" ht="19" thickBot="1" x14ac:dyDescent="0.25">
      <c r="K23" s="350"/>
      <c r="L23" s="297"/>
      <c r="M23" s="297"/>
      <c r="N23" s="247" t="s">
        <v>172</v>
      </c>
      <c r="O23" s="423"/>
    </row>
    <row r="24" spans="2:19" ht="19" thickBot="1" x14ac:dyDescent="0.25">
      <c r="D24" s="191"/>
      <c r="E24" s="191"/>
      <c r="F24" s="424" t="s">
        <v>203</v>
      </c>
      <c r="G24" s="285"/>
      <c r="H24" s="425"/>
      <c r="I24" s="426"/>
      <c r="J24" s="279"/>
      <c r="K24" s="304"/>
      <c r="L24" s="427" t="s">
        <v>178</v>
      </c>
      <c r="M24" s="427" t="s">
        <v>120</v>
      </c>
      <c r="N24" s="427" t="s">
        <v>179</v>
      </c>
      <c r="O24" s="428" t="s">
        <v>170</v>
      </c>
    </row>
    <row r="25" spans="2:19" x14ac:dyDescent="0.2">
      <c r="D25" s="246"/>
      <c r="E25" s="429"/>
      <c r="F25" s="429" t="s">
        <v>180</v>
      </c>
      <c r="G25" s="429" t="s">
        <v>120</v>
      </c>
      <c r="H25" s="430" t="s">
        <v>179</v>
      </c>
      <c r="I25" s="250" t="s">
        <v>170</v>
      </c>
      <c r="J25" s="279"/>
      <c r="K25" s="249" t="s">
        <v>174</v>
      </c>
      <c r="L25" s="431">
        <f>MAX(P7:P11)</f>
        <v>1.9768466309557373</v>
      </c>
      <c r="M25" s="431">
        <f>MAX(Q7:Q11)</f>
        <v>8.9415796604766076</v>
      </c>
      <c r="N25" s="431">
        <f>MAX(R7:R11)</f>
        <v>14.297460732984293</v>
      </c>
      <c r="O25" s="431">
        <f>MAX(S7:S11)</f>
        <v>307.78874999999999</v>
      </c>
    </row>
    <row r="26" spans="2:19" x14ac:dyDescent="0.2">
      <c r="D26" s="432" t="s">
        <v>181</v>
      </c>
      <c r="E26" s="433"/>
      <c r="F26" s="238">
        <f>'Cross Health IS'!F6</f>
        <v>535.1</v>
      </c>
      <c r="G26" s="238">
        <f>'Cross Health IS'!F9</f>
        <v>219.10000000000002</v>
      </c>
      <c r="H26" s="238">
        <f>'Cross Health IS'!F14</f>
        <v>44.90000000000002</v>
      </c>
      <c r="I26" s="155">
        <f>'Cross Health IS'!F19</f>
        <v>34.200000000000017</v>
      </c>
      <c r="J26" s="279"/>
      <c r="K26" s="249" t="s">
        <v>173</v>
      </c>
      <c r="L26" s="434">
        <f>QUARTILE(P7:P11,3)</f>
        <v>1.5180353066504337</v>
      </c>
      <c r="M26" s="434">
        <f>QUARTILE(Q7:Q11,3)</f>
        <v>8.6968630573248422</v>
      </c>
      <c r="N26" s="434">
        <f>QUARTILE(R7:R11,3)</f>
        <v>11.368271092669435</v>
      </c>
      <c r="O26" s="434">
        <f>QUARTILE(S7:S11,3)</f>
        <v>30.106895475819037</v>
      </c>
    </row>
    <row r="27" spans="2:19" x14ac:dyDescent="0.2">
      <c r="D27" s="432" t="s">
        <v>182</v>
      </c>
      <c r="E27" s="435"/>
      <c r="F27" s="436">
        <f>L27</f>
        <v>1.3759853876676953</v>
      </c>
      <c r="G27" s="436">
        <f>M27</f>
        <v>7.0111953701855914</v>
      </c>
      <c r="H27" s="436">
        <f>N27</f>
        <v>10.95712471921086</v>
      </c>
      <c r="I27" s="436">
        <f>O27</f>
        <v>14.90123715663661</v>
      </c>
      <c r="J27" s="279"/>
      <c r="K27" s="249" t="s">
        <v>175</v>
      </c>
      <c r="L27" s="437">
        <f>MEDIAN(P7:P11)</f>
        <v>1.3759853876676953</v>
      </c>
      <c r="M27" s="437">
        <f>MEDIAN(Q7:Q11)</f>
        <v>7.0111953701855914</v>
      </c>
      <c r="N27" s="437">
        <f>MEDIAN(R7:R11)</f>
        <v>10.95712471921086</v>
      </c>
      <c r="O27" s="437">
        <f>MEDIAN(S7:S11)</f>
        <v>14.90123715663661</v>
      </c>
    </row>
    <row r="28" spans="2:19" ht="19" thickBot="1" x14ac:dyDescent="0.25">
      <c r="D28" s="432" t="s">
        <v>183</v>
      </c>
      <c r="E28" s="155"/>
      <c r="F28" s="232">
        <f>F26*F27</f>
        <v>736.28978094098375</v>
      </c>
      <c r="G28" s="232">
        <f>G26*G27</f>
        <v>1536.1529056076631</v>
      </c>
      <c r="H28" s="232">
        <f>H26*H27</f>
        <v>491.97489989256786</v>
      </c>
      <c r="I28" s="232">
        <f>I26*I27</f>
        <v>509.6223107569723</v>
      </c>
      <c r="J28" s="279"/>
      <c r="K28" s="249" t="s">
        <v>176</v>
      </c>
      <c r="L28" s="431">
        <f>AVERAGE(P7:P11)</f>
        <v>1.4543465538221918</v>
      </c>
      <c r="M28" s="431">
        <f>AVERAGE(Q7:Q11)</f>
        <v>7.496140749635555</v>
      </c>
      <c r="N28" s="431">
        <f>AVERAGE(R7:R11)</f>
        <v>11.087822431245243</v>
      </c>
      <c r="O28" s="431">
        <f>AVERAGE(S7:S11)</f>
        <v>70.824395491769309</v>
      </c>
    </row>
    <row r="29" spans="2:19" ht="19" thickBot="1" x14ac:dyDescent="0.25">
      <c r="B29" s="438" t="s">
        <v>188</v>
      </c>
      <c r="D29" s="432" t="s">
        <v>184</v>
      </c>
      <c r="E29" s="155"/>
      <c r="F29" s="232">
        <f>(-'Cross Health BS'!F29)</f>
        <v>-70.099999999999994</v>
      </c>
      <c r="G29" s="232">
        <f>-'Cross Health BS'!F29</f>
        <v>-70.099999999999994</v>
      </c>
      <c r="H29" s="232">
        <f>-'Cross Health BS'!F29</f>
        <v>-70.099999999999994</v>
      </c>
      <c r="I29" s="232">
        <f>-'Cross Health BS'!F29</f>
        <v>-70.099999999999994</v>
      </c>
      <c r="J29" s="279"/>
      <c r="K29" s="249" t="s">
        <v>177</v>
      </c>
      <c r="L29" s="431">
        <f>QUARTILE(P7:P11,1)</f>
        <v>1.352741935483871</v>
      </c>
      <c r="M29" s="431">
        <f>QUARTILE(Q7:Q11,1)</f>
        <v>6.6044676576938528</v>
      </c>
      <c r="N29" s="431">
        <f>QUARTILE(R7:R11,1)</f>
        <v>9.9809943181818177</v>
      </c>
      <c r="O29" s="431">
        <f>QUARTILE(S7:S11,1)</f>
        <v>3.67880810488677</v>
      </c>
    </row>
    <row r="30" spans="2:19" ht="19" thickBot="1" x14ac:dyDescent="0.25">
      <c r="B30" s="439">
        <f>'Cross Health IS'!G28</f>
        <v>13.49218356026223</v>
      </c>
      <c r="D30" s="432" t="s">
        <v>185</v>
      </c>
      <c r="E30" s="155"/>
      <c r="F30" s="232">
        <f>'Cross Health BS'!F7</f>
        <v>35.9</v>
      </c>
      <c r="G30" s="232">
        <f>'Cross Health BS'!F7</f>
        <v>35.9</v>
      </c>
      <c r="H30" s="232">
        <f>'Cross Health BS'!F7</f>
        <v>35.9</v>
      </c>
      <c r="I30" s="155">
        <f>'Cross Health BS'!F7</f>
        <v>35.9</v>
      </c>
      <c r="J30" s="279"/>
      <c r="K30" s="252" t="s">
        <v>171</v>
      </c>
      <c r="L30" s="440">
        <f>MIN(P7:P11)</f>
        <v>1.0481235083532219</v>
      </c>
      <c r="M30" s="440">
        <f>MIN(Q7:Q11)</f>
        <v>6.2265980024968801</v>
      </c>
      <c r="N30" s="440">
        <f>MIN(R7:R11)</f>
        <v>8.8352612931798049</v>
      </c>
      <c r="O30" s="440">
        <f>MIN(S7:S11)</f>
        <v>-2.3537132784958876</v>
      </c>
    </row>
    <row r="31" spans="2:19" x14ac:dyDescent="0.2">
      <c r="B31" s="441"/>
      <c r="D31" s="432" t="s">
        <v>186</v>
      </c>
      <c r="E31" s="155"/>
      <c r="F31" s="232">
        <f>SUM(F28:F30)</f>
        <v>702.0897809409837</v>
      </c>
      <c r="G31" s="232">
        <f t="shared" ref="G31:I31" si="1">SUM(G28:G30)</f>
        <v>1501.9529056076633</v>
      </c>
      <c r="H31" s="232">
        <f t="shared" si="1"/>
        <v>457.77489989256787</v>
      </c>
      <c r="I31" s="232">
        <f t="shared" si="1"/>
        <v>475.42231075697225</v>
      </c>
      <c r="J31" s="279"/>
    </row>
    <row r="32" spans="2:19" ht="19" thickBot="1" x14ac:dyDescent="0.25">
      <c r="B32" s="442"/>
      <c r="D32" s="432" t="s">
        <v>187</v>
      </c>
      <c r="E32" s="232">
        <f>B30</f>
        <v>13.49218356026223</v>
      </c>
      <c r="F32" s="232"/>
      <c r="G32" s="232"/>
      <c r="H32" s="232"/>
      <c r="I32" s="155"/>
      <c r="J32" s="279"/>
    </row>
    <row r="33" spans="4:17" ht="19" thickBot="1" x14ac:dyDescent="0.25">
      <c r="D33" s="443" t="s">
        <v>189</v>
      </c>
      <c r="E33" s="444"/>
      <c r="F33" s="445">
        <f>F31/E32</f>
        <v>52.03677950311981</v>
      </c>
      <c r="G33" s="445">
        <f>G31/E32</f>
        <v>111.32022469893462</v>
      </c>
      <c r="H33" s="445">
        <f>H31/E32</f>
        <v>33.928896523526895</v>
      </c>
      <c r="I33" s="446">
        <f>I31/E32</f>
        <v>35.236869453600292</v>
      </c>
      <c r="J33" s="279"/>
    </row>
    <row r="34" spans="4:17" ht="19" thickBot="1" x14ac:dyDescent="0.25">
      <c r="D34" s="447"/>
      <c r="E34" s="448"/>
      <c r="F34" s="449"/>
      <c r="G34" s="449"/>
      <c r="H34" s="450"/>
      <c r="I34" s="451"/>
      <c r="J34" s="279"/>
      <c r="L34" s="213"/>
      <c r="M34" s="284"/>
      <c r="N34" s="186" t="s">
        <v>180</v>
      </c>
      <c r="O34" s="186" t="s">
        <v>120</v>
      </c>
      <c r="P34" s="186" t="s">
        <v>179</v>
      </c>
      <c r="Q34" s="452" t="s">
        <v>170</v>
      </c>
    </row>
    <row r="35" spans="4:17" x14ac:dyDescent="0.2">
      <c r="D35" s="279"/>
      <c r="E35" s="279"/>
      <c r="F35" s="279"/>
      <c r="G35" s="279"/>
      <c r="H35" s="279"/>
      <c r="I35" s="279"/>
      <c r="J35" s="279"/>
      <c r="L35" s="276" t="s">
        <v>181</v>
      </c>
      <c r="M35" s="152"/>
      <c r="N35" s="240">
        <f>F26</f>
        <v>535.1</v>
      </c>
      <c r="O35" s="240">
        <f t="shared" ref="O35:Q35" si="2">G26</f>
        <v>219.10000000000002</v>
      </c>
      <c r="P35" s="240">
        <f t="shared" si="2"/>
        <v>44.90000000000002</v>
      </c>
      <c r="Q35" s="241">
        <f t="shared" si="2"/>
        <v>34.200000000000017</v>
      </c>
    </row>
    <row r="36" spans="4:17" x14ac:dyDescent="0.2">
      <c r="D36" s="279"/>
      <c r="E36" s="279"/>
      <c r="F36" s="279"/>
      <c r="G36" s="279"/>
      <c r="H36" s="279"/>
      <c r="I36" s="279"/>
      <c r="J36" s="279"/>
      <c r="L36" s="277" t="s">
        <v>270</v>
      </c>
      <c r="M36" s="232"/>
      <c r="N36" s="260">
        <f>L26</f>
        <v>1.5180353066504337</v>
      </c>
      <c r="O36" s="260">
        <f t="shared" ref="O36:Q36" si="3">M26</f>
        <v>8.6968630573248422</v>
      </c>
      <c r="P36" s="260">
        <f t="shared" si="3"/>
        <v>11.368271092669435</v>
      </c>
      <c r="Q36" s="453">
        <f t="shared" si="3"/>
        <v>30.106895475819037</v>
      </c>
    </row>
    <row r="37" spans="4:17" x14ac:dyDescent="0.2">
      <c r="D37" s="279"/>
      <c r="E37" s="279"/>
      <c r="F37" s="279"/>
      <c r="G37" s="279"/>
      <c r="H37" s="279"/>
      <c r="I37" s="279"/>
      <c r="J37" s="279"/>
      <c r="L37" s="277" t="s">
        <v>183</v>
      </c>
      <c r="M37" s="232"/>
      <c r="N37" s="232">
        <f>N35*N36</f>
        <v>812.30069258864717</v>
      </c>
      <c r="O37" s="232">
        <f>O35*O36</f>
        <v>1905.482695859873</v>
      </c>
      <c r="P37" s="232">
        <f>P35*P36</f>
        <v>510.43537206085784</v>
      </c>
      <c r="Q37" s="243">
        <f>Q35*Q36</f>
        <v>1029.6558252730115</v>
      </c>
    </row>
    <row r="38" spans="4:17" ht="19" thickBot="1" x14ac:dyDescent="0.25">
      <c r="D38" s="279"/>
      <c r="E38" s="279"/>
      <c r="F38" s="279"/>
      <c r="G38" s="279"/>
      <c r="H38" s="279"/>
      <c r="I38" s="279"/>
      <c r="J38" s="279"/>
      <c r="L38" s="277" t="s">
        <v>184</v>
      </c>
      <c r="M38" s="232"/>
      <c r="N38" s="232">
        <f>F29</f>
        <v>-70.099999999999994</v>
      </c>
      <c r="O38" s="232">
        <f t="shared" ref="O38:Q38" si="4">G29</f>
        <v>-70.099999999999994</v>
      </c>
      <c r="P38" s="232">
        <f t="shared" si="4"/>
        <v>-70.099999999999994</v>
      </c>
      <c r="Q38" s="243">
        <f t="shared" si="4"/>
        <v>-70.099999999999994</v>
      </c>
    </row>
    <row r="39" spans="4:17" x14ac:dyDescent="0.2">
      <c r="D39" s="350"/>
      <c r="E39" s="297"/>
      <c r="F39" s="297" t="s">
        <v>267</v>
      </c>
      <c r="G39" s="297"/>
      <c r="H39" s="297"/>
      <c r="I39" s="423"/>
      <c r="J39" s="279"/>
      <c r="L39" s="277" t="s">
        <v>271</v>
      </c>
      <c r="M39" s="232"/>
      <c r="N39" s="232">
        <f>F30</f>
        <v>35.9</v>
      </c>
      <c r="O39" s="232">
        <f t="shared" ref="O39:Q39" si="5">G30</f>
        <v>35.9</v>
      </c>
      <c r="P39" s="232">
        <f t="shared" si="5"/>
        <v>35.9</v>
      </c>
      <c r="Q39" s="243">
        <f t="shared" si="5"/>
        <v>35.9</v>
      </c>
    </row>
    <row r="40" spans="4:17" ht="19" thickBot="1" x14ac:dyDescent="0.25">
      <c r="D40" s="371"/>
      <c r="E40" s="253"/>
      <c r="F40" s="253" t="s">
        <v>180</v>
      </c>
      <c r="G40" s="253" t="s">
        <v>120</v>
      </c>
      <c r="H40" s="253" t="s">
        <v>179</v>
      </c>
      <c r="I40" s="254" t="s">
        <v>170</v>
      </c>
      <c r="J40" s="279"/>
      <c r="K40" s="454"/>
      <c r="L40" s="277" t="s">
        <v>272</v>
      </c>
      <c r="M40" s="232"/>
      <c r="N40" s="232">
        <f>SUM(N37:N39)</f>
        <v>778.10069258864712</v>
      </c>
      <c r="O40" s="232">
        <f t="shared" ref="O40:Q40" si="6">SUM(O37:O39)</f>
        <v>1871.2826958598732</v>
      </c>
      <c r="P40" s="232">
        <f t="shared" si="6"/>
        <v>476.2353720608578</v>
      </c>
      <c r="Q40" s="243">
        <f t="shared" si="6"/>
        <v>995.45582527301144</v>
      </c>
    </row>
    <row r="41" spans="4:17" ht="19" thickBot="1" x14ac:dyDescent="0.25">
      <c r="D41" s="455" t="s">
        <v>181</v>
      </c>
      <c r="E41" s="232"/>
      <c r="F41" s="232">
        <f>F26</f>
        <v>535.1</v>
      </c>
      <c r="G41" s="232">
        <f t="shared" ref="G41:I41" si="7">G26</f>
        <v>219.10000000000002</v>
      </c>
      <c r="H41" s="232">
        <f t="shared" si="7"/>
        <v>44.90000000000002</v>
      </c>
      <c r="I41" s="243">
        <f t="shared" si="7"/>
        <v>34.200000000000017</v>
      </c>
      <c r="J41" s="279"/>
      <c r="L41" s="278"/>
      <c r="M41" s="237"/>
      <c r="N41" s="237"/>
      <c r="O41" s="237"/>
      <c r="P41" s="237"/>
      <c r="Q41" s="245"/>
    </row>
    <row r="42" spans="4:17" ht="19" thickBot="1" x14ac:dyDescent="0.25">
      <c r="D42" s="432" t="s">
        <v>182</v>
      </c>
      <c r="E42" s="232"/>
      <c r="F42" s="260">
        <f>L30</f>
        <v>1.0481235083532219</v>
      </c>
      <c r="G42" s="260">
        <f t="shared" ref="G42:I42" si="8">M30</f>
        <v>6.2265980024968801</v>
      </c>
      <c r="H42" s="260">
        <f t="shared" si="8"/>
        <v>8.8352612931798049</v>
      </c>
      <c r="I42" s="453">
        <f t="shared" si="8"/>
        <v>-2.3537132784958876</v>
      </c>
      <c r="J42" s="279"/>
    </row>
    <row r="43" spans="4:17" ht="19" thickBot="1" x14ac:dyDescent="0.25">
      <c r="D43" s="185" t="s">
        <v>183</v>
      </c>
      <c r="E43" s="456"/>
      <c r="F43" s="456">
        <f>F41*F42</f>
        <v>560.85088931980908</v>
      </c>
      <c r="G43" s="456">
        <f t="shared" ref="G43:I43" si="9">G41*G42</f>
        <v>1364.2476223470667</v>
      </c>
      <c r="H43" s="456">
        <f t="shared" si="9"/>
        <v>396.70323206377344</v>
      </c>
      <c r="I43" s="457">
        <f t="shared" si="9"/>
        <v>-80.496994124559393</v>
      </c>
      <c r="J43" s="279"/>
      <c r="L43" s="213"/>
      <c r="M43" s="284"/>
      <c r="N43" s="186" t="s">
        <v>180</v>
      </c>
      <c r="O43" s="186" t="s">
        <v>120</v>
      </c>
      <c r="P43" s="186" t="s">
        <v>179</v>
      </c>
      <c r="Q43" s="452" t="s">
        <v>170</v>
      </c>
    </row>
    <row r="44" spans="4:17" x14ac:dyDescent="0.2">
      <c r="D44" s="432" t="s">
        <v>184</v>
      </c>
      <c r="E44" s="232"/>
      <c r="F44" s="232">
        <f>F29</f>
        <v>-70.099999999999994</v>
      </c>
      <c r="G44" s="232">
        <f t="shared" ref="G44:I44" si="10">G29</f>
        <v>-70.099999999999994</v>
      </c>
      <c r="H44" s="232">
        <f t="shared" si="10"/>
        <v>-70.099999999999994</v>
      </c>
      <c r="I44" s="243">
        <f t="shared" si="10"/>
        <v>-70.099999999999994</v>
      </c>
      <c r="J44" s="279"/>
      <c r="L44" s="276" t="s">
        <v>181</v>
      </c>
      <c r="M44" s="239"/>
      <c r="N44" s="240">
        <f>N35</f>
        <v>535.1</v>
      </c>
      <c r="O44" s="240">
        <f t="shared" ref="O44:Q44" si="11">O35</f>
        <v>219.10000000000002</v>
      </c>
      <c r="P44" s="240">
        <f t="shared" si="11"/>
        <v>44.90000000000002</v>
      </c>
      <c r="Q44" s="241">
        <f t="shared" si="11"/>
        <v>34.200000000000017</v>
      </c>
    </row>
    <row r="45" spans="4:17" x14ac:dyDescent="0.2">
      <c r="D45" s="432" t="s">
        <v>185</v>
      </c>
      <c r="E45" s="232"/>
      <c r="F45" s="232">
        <f>F30</f>
        <v>35.9</v>
      </c>
      <c r="G45" s="232">
        <f t="shared" ref="G45:I45" si="12">G30</f>
        <v>35.9</v>
      </c>
      <c r="H45" s="232">
        <f t="shared" si="12"/>
        <v>35.9</v>
      </c>
      <c r="I45" s="243">
        <f t="shared" si="12"/>
        <v>35.9</v>
      </c>
      <c r="J45" s="279"/>
      <c r="L45" s="277" t="s">
        <v>273</v>
      </c>
      <c r="M45" s="242"/>
      <c r="N45" s="260">
        <f>L29</f>
        <v>1.352741935483871</v>
      </c>
      <c r="O45" s="260">
        <f t="shared" ref="O45:Q45" si="13">M29</f>
        <v>6.6044676576938528</v>
      </c>
      <c r="P45" s="260">
        <f t="shared" si="13"/>
        <v>9.9809943181818177</v>
      </c>
      <c r="Q45" s="453">
        <f t="shared" si="13"/>
        <v>3.67880810488677</v>
      </c>
    </row>
    <row r="46" spans="4:17" x14ac:dyDescent="0.2">
      <c r="D46" s="432" t="s">
        <v>186</v>
      </c>
      <c r="E46" s="232"/>
      <c r="F46" s="232">
        <f>SUM(F43:F45)</f>
        <v>526.65088931980904</v>
      </c>
      <c r="G46" s="232">
        <f t="shared" ref="G46:I46" si="14">SUM(G43:G45)</f>
        <v>1330.0476223470669</v>
      </c>
      <c r="H46" s="232">
        <f t="shared" si="14"/>
        <v>362.50323206377345</v>
      </c>
      <c r="I46" s="232">
        <f t="shared" si="14"/>
        <v>-114.69699412455938</v>
      </c>
      <c r="J46" s="279"/>
      <c r="L46" s="277" t="s">
        <v>183</v>
      </c>
      <c r="M46" s="242"/>
      <c r="N46" s="232">
        <f>N44*N45</f>
        <v>723.85220967741941</v>
      </c>
      <c r="O46" s="232">
        <f t="shared" ref="O46:Q46" si="15">O44*O45</f>
        <v>1447.0388638007232</v>
      </c>
      <c r="P46" s="232">
        <f t="shared" si="15"/>
        <v>448.14664488636379</v>
      </c>
      <c r="Q46" s="243">
        <f t="shared" si="15"/>
        <v>125.81523718712759</v>
      </c>
    </row>
    <row r="47" spans="4:17" ht="19" thickBot="1" x14ac:dyDescent="0.25">
      <c r="D47" s="447" t="s">
        <v>187</v>
      </c>
      <c r="E47" s="458">
        <f>B30</f>
        <v>13.49218356026223</v>
      </c>
      <c r="F47" s="237"/>
      <c r="G47" s="237"/>
      <c r="H47" s="237"/>
      <c r="I47" s="245"/>
      <c r="J47" s="279"/>
      <c r="L47" s="277" t="s">
        <v>184</v>
      </c>
      <c r="M47" s="242"/>
      <c r="N47" s="232">
        <f>N38</f>
        <v>-70.099999999999994</v>
      </c>
      <c r="O47" s="232">
        <f t="shared" ref="O47:Q47" si="16">O38</f>
        <v>-70.099999999999994</v>
      </c>
      <c r="P47" s="232">
        <f t="shared" si="16"/>
        <v>-70.099999999999994</v>
      </c>
      <c r="Q47" s="243">
        <f t="shared" si="16"/>
        <v>-70.099999999999994</v>
      </c>
    </row>
    <row r="48" spans="4:17" ht="19" thickBot="1" x14ac:dyDescent="0.25">
      <c r="D48" s="185" t="s">
        <v>189</v>
      </c>
      <c r="E48" s="456"/>
      <c r="F48" s="456">
        <f>F45/E47</f>
        <v>2.6607998504952342</v>
      </c>
      <c r="G48" s="456">
        <f>G45/$E47</f>
        <v>2.6607998504952342</v>
      </c>
      <c r="H48" s="456">
        <f>H45/$E47</f>
        <v>2.6607998504952342</v>
      </c>
      <c r="I48" s="456">
        <f>I45/$E47</f>
        <v>2.6607998504952342</v>
      </c>
      <c r="J48" s="279"/>
      <c r="L48" s="277" t="s">
        <v>271</v>
      </c>
      <c r="M48" s="242"/>
      <c r="N48" s="232">
        <f>N39</f>
        <v>35.9</v>
      </c>
      <c r="O48" s="232">
        <f t="shared" ref="O48:Q48" si="17">O39</f>
        <v>35.9</v>
      </c>
      <c r="P48" s="232">
        <f t="shared" si="17"/>
        <v>35.9</v>
      </c>
      <c r="Q48" s="243">
        <f t="shared" si="17"/>
        <v>35.9</v>
      </c>
    </row>
    <row r="49" spans="4:17" ht="19" thickBot="1" x14ac:dyDescent="0.25">
      <c r="D49" s="279"/>
      <c r="E49" s="459"/>
      <c r="F49" s="459"/>
      <c r="G49" s="459"/>
      <c r="H49" s="459"/>
      <c r="I49" s="459"/>
      <c r="J49" s="279"/>
      <c r="L49" s="278" t="s">
        <v>272</v>
      </c>
      <c r="M49" s="244"/>
      <c r="N49" s="237">
        <f>SUM(N46:N48)</f>
        <v>689.65220967741936</v>
      </c>
      <c r="O49" s="237">
        <f t="shared" ref="O49:Q49" si="18">SUM(O46:O48)</f>
        <v>1412.8388638007234</v>
      </c>
      <c r="P49" s="237">
        <f t="shared" si="18"/>
        <v>413.94664488636374</v>
      </c>
      <c r="Q49" s="245">
        <f t="shared" si="18"/>
        <v>91.615237187127605</v>
      </c>
    </row>
    <row r="50" spans="4:17" ht="19" thickBot="1" x14ac:dyDescent="0.25">
      <c r="D50" s="279"/>
      <c r="E50" s="459"/>
      <c r="F50" s="459"/>
      <c r="G50" s="459"/>
      <c r="H50" s="459"/>
      <c r="I50" s="459"/>
      <c r="J50" s="279"/>
    </row>
    <row r="51" spans="4:17" x14ac:dyDescent="0.2">
      <c r="D51" s="350"/>
      <c r="E51" s="247"/>
      <c r="F51" s="247" t="s">
        <v>268</v>
      </c>
      <c r="G51" s="247"/>
      <c r="H51" s="247"/>
      <c r="I51" s="248"/>
      <c r="J51" s="279"/>
    </row>
    <row r="52" spans="4:17" ht="19" thickBot="1" x14ac:dyDescent="0.25">
      <c r="D52" s="371"/>
      <c r="E52" s="253"/>
      <c r="F52" s="253" t="s">
        <v>180</v>
      </c>
      <c r="G52" s="253" t="s">
        <v>120</v>
      </c>
      <c r="H52" s="253" t="s">
        <v>179</v>
      </c>
      <c r="I52" s="254" t="s">
        <v>170</v>
      </c>
      <c r="J52" s="279"/>
    </row>
    <row r="53" spans="4:17" x14ac:dyDescent="0.2">
      <c r="D53" s="455" t="s">
        <v>181</v>
      </c>
      <c r="E53" s="232"/>
      <c r="F53" s="232">
        <f>F41</f>
        <v>535.1</v>
      </c>
      <c r="G53" s="232">
        <f t="shared" ref="G53:I53" si="19">G41</f>
        <v>219.10000000000002</v>
      </c>
      <c r="H53" s="232">
        <f t="shared" si="19"/>
        <v>44.90000000000002</v>
      </c>
      <c r="I53" s="232">
        <f t="shared" si="19"/>
        <v>34.200000000000017</v>
      </c>
      <c r="J53" s="279"/>
    </row>
    <row r="54" spans="4:17" ht="19" thickBot="1" x14ac:dyDescent="0.25">
      <c r="D54" s="432" t="s">
        <v>182</v>
      </c>
      <c r="E54" s="232"/>
      <c r="F54" s="260">
        <f>L25</f>
        <v>1.9768466309557373</v>
      </c>
      <c r="G54" s="260">
        <f t="shared" ref="G54:I54" si="20">M25</f>
        <v>8.9415796604766076</v>
      </c>
      <c r="H54" s="260">
        <f t="shared" si="20"/>
        <v>14.297460732984293</v>
      </c>
      <c r="I54" s="260">
        <f t="shared" si="20"/>
        <v>307.78874999999999</v>
      </c>
      <c r="J54" s="279"/>
    </row>
    <row r="55" spans="4:17" ht="19" thickBot="1" x14ac:dyDescent="0.25">
      <c r="D55" s="185" t="s">
        <v>183</v>
      </c>
      <c r="E55" s="456"/>
      <c r="F55" s="456">
        <f>F53*F54</f>
        <v>1057.810632224415</v>
      </c>
      <c r="G55" s="456">
        <f t="shared" ref="G55" si="21">G53*G54</f>
        <v>1959.1001036104249</v>
      </c>
      <c r="H55" s="456">
        <f t="shared" ref="H55" si="22">H53*H54</f>
        <v>641.95598691099508</v>
      </c>
      <c r="I55" s="457">
        <f t="shared" ref="I55" si="23">I53*I54</f>
        <v>10526.375250000005</v>
      </c>
      <c r="J55" s="279"/>
    </row>
    <row r="56" spans="4:17" x14ac:dyDescent="0.2">
      <c r="D56" s="432" t="s">
        <v>184</v>
      </c>
      <c r="E56" s="232"/>
      <c r="F56" s="232">
        <f>F44</f>
        <v>-70.099999999999994</v>
      </c>
      <c r="G56" s="232">
        <f t="shared" ref="G56:I56" si="24">G44</f>
        <v>-70.099999999999994</v>
      </c>
      <c r="H56" s="232">
        <f t="shared" si="24"/>
        <v>-70.099999999999994</v>
      </c>
      <c r="I56" s="232">
        <f t="shared" si="24"/>
        <v>-70.099999999999994</v>
      </c>
      <c r="J56" s="279"/>
    </row>
    <row r="57" spans="4:17" x14ac:dyDescent="0.2">
      <c r="D57" s="432" t="s">
        <v>185</v>
      </c>
      <c r="E57" s="232"/>
      <c r="F57" s="232">
        <f>F45</f>
        <v>35.9</v>
      </c>
      <c r="G57" s="232">
        <f t="shared" ref="G57:I57" si="25">G45</f>
        <v>35.9</v>
      </c>
      <c r="H57" s="232">
        <f t="shared" si="25"/>
        <v>35.9</v>
      </c>
      <c r="I57" s="232">
        <f t="shared" si="25"/>
        <v>35.9</v>
      </c>
      <c r="J57" s="279"/>
    </row>
    <row r="58" spans="4:17" x14ac:dyDescent="0.2">
      <c r="D58" s="432" t="s">
        <v>186</v>
      </c>
      <c r="E58" s="232"/>
      <c r="F58" s="232">
        <f>SUM(F55:F57)</f>
        <v>1023.610632224415</v>
      </c>
      <c r="G58" s="232">
        <f t="shared" ref="G58" si="26">SUM(G55:G57)</f>
        <v>1924.900103610425</v>
      </c>
      <c r="H58" s="232">
        <f t="shared" ref="H58" si="27">SUM(H55:H57)</f>
        <v>607.75598691099503</v>
      </c>
      <c r="I58" s="232">
        <f t="shared" ref="I58" si="28">SUM(I55:I57)</f>
        <v>10492.175250000004</v>
      </c>
      <c r="J58" s="279"/>
    </row>
    <row r="59" spans="4:17" ht="19" thickBot="1" x14ac:dyDescent="0.25">
      <c r="D59" s="447" t="s">
        <v>187</v>
      </c>
      <c r="E59" s="458">
        <f>B30</f>
        <v>13.49218356026223</v>
      </c>
      <c r="F59" s="237"/>
      <c r="G59" s="237"/>
      <c r="H59" s="237"/>
      <c r="I59" s="245"/>
      <c r="J59" s="279"/>
    </row>
    <row r="60" spans="4:17" ht="19" thickBot="1" x14ac:dyDescent="0.25">
      <c r="D60" s="185" t="s">
        <v>189</v>
      </c>
      <c r="E60" s="456"/>
      <c r="F60" s="456">
        <f>F57/E59</f>
        <v>2.6607998504952342</v>
      </c>
      <c r="G60" s="456">
        <f>G57/$E59</f>
        <v>2.6607998504952342</v>
      </c>
      <c r="H60" s="456">
        <f>H57/$E59</f>
        <v>2.6607998504952342</v>
      </c>
      <c r="I60" s="456">
        <f>I57/$E59</f>
        <v>2.6607998504952342</v>
      </c>
      <c r="J60" s="279"/>
    </row>
    <row r="61" spans="4:17" x14ac:dyDescent="0.2">
      <c r="D61" s="279"/>
      <c r="E61" s="279"/>
      <c r="F61" s="279"/>
      <c r="G61" s="279"/>
      <c r="H61" s="279"/>
      <c r="I61" s="279"/>
      <c r="J61" s="279"/>
    </row>
    <row r="62" spans="4:17" x14ac:dyDescent="0.2">
      <c r="D62" s="279"/>
      <c r="E62" s="279"/>
      <c r="F62" s="279"/>
      <c r="G62" s="279"/>
      <c r="H62" s="279"/>
      <c r="I62" s="279"/>
      <c r="J62" s="279"/>
    </row>
    <row r="63" spans="4:17" x14ac:dyDescent="0.2">
      <c r="D63" s="279"/>
      <c r="E63" s="279"/>
      <c r="F63" s="279"/>
      <c r="G63" s="279"/>
      <c r="H63" s="279"/>
      <c r="I63" s="279"/>
      <c r="J63" s="279"/>
    </row>
    <row r="64" spans="4:17" x14ac:dyDescent="0.2">
      <c r="K64" s="188" t="s">
        <v>190</v>
      </c>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5350-3024-D140-9128-17F4954E6DF1}">
  <dimension ref="A2:L77"/>
  <sheetViews>
    <sheetView topLeftCell="B10" zoomScale="82" zoomScaleNormal="55" workbookViewId="0">
      <selection activeCell="F20" sqref="F20"/>
    </sheetView>
  </sheetViews>
  <sheetFormatPr baseColWidth="10" defaultColWidth="11.5" defaultRowHeight="18" x14ac:dyDescent="0.2"/>
  <cols>
    <col min="1" max="1" width="27.1640625" style="188" customWidth="1"/>
    <col min="2" max="2" width="34.33203125" style="188" customWidth="1"/>
    <col min="3" max="3" width="23.5" style="188" customWidth="1"/>
    <col min="4" max="4" width="46.1640625" style="188" customWidth="1"/>
    <col min="5" max="5" width="11.5" style="188"/>
    <col min="6" max="6" width="22" style="188" customWidth="1"/>
    <col min="7" max="7" width="11.5" style="188"/>
    <col min="8" max="8" width="17.6640625" style="188" customWidth="1"/>
    <col min="9" max="9" width="11.5" style="188"/>
    <col min="10" max="10" width="25.33203125" style="188" customWidth="1"/>
    <col min="11" max="16384" width="11.5" style="188"/>
  </cols>
  <sheetData>
    <row r="2" spans="1:12" ht="19" thickBot="1" x14ac:dyDescent="0.25"/>
    <row r="3" spans="1:12" ht="19" thickBot="1" x14ac:dyDescent="0.25">
      <c r="A3" s="380" t="s">
        <v>156</v>
      </c>
      <c r="B3" s="381"/>
      <c r="C3" s="381"/>
      <c r="D3" s="381"/>
      <c r="E3" s="460"/>
    </row>
    <row r="4" spans="1:12" x14ac:dyDescent="0.2">
      <c r="A4" s="461" t="s">
        <v>44</v>
      </c>
      <c r="B4" s="461"/>
      <c r="C4" s="461"/>
      <c r="D4" s="461"/>
      <c r="E4" s="462"/>
    </row>
    <row r="5" spans="1:12" x14ac:dyDescent="0.2">
      <c r="A5" s="463"/>
      <c r="B5" s="464" t="s">
        <v>131</v>
      </c>
      <c r="C5" s="464" t="s">
        <v>134</v>
      </c>
      <c r="D5" s="464" t="s">
        <v>135</v>
      </c>
      <c r="E5" s="465" t="s">
        <v>135</v>
      </c>
    </row>
    <row r="6" spans="1:12" x14ac:dyDescent="0.2">
      <c r="A6" s="466"/>
      <c r="B6" s="467" t="s">
        <v>132</v>
      </c>
      <c r="C6" s="467" t="s">
        <v>133</v>
      </c>
      <c r="D6" s="468" t="s">
        <v>5</v>
      </c>
      <c r="E6" s="469" t="s">
        <v>120</v>
      </c>
    </row>
    <row r="7" spans="1:12" x14ac:dyDescent="0.2">
      <c r="A7" s="281" t="str">
        <f>'M&amp;A Comps'!B8</f>
        <v>Transaction 3</v>
      </c>
      <c r="B7" s="281">
        <f>'M&amp;A Comps'!C8</f>
        <v>2022</v>
      </c>
      <c r="C7" s="281">
        <f>'M&amp;A Comps'!D8</f>
        <v>511</v>
      </c>
      <c r="D7" s="470">
        <f>'M&amp;A Comps'!E8</f>
        <v>1.5</v>
      </c>
      <c r="E7" s="470">
        <f>'M&amp;A Comps'!F8</f>
        <v>7.9</v>
      </c>
    </row>
    <row r="8" spans="1:12" x14ac:dyDescent="0.2">
      <c r="A8" s="281" t="str">
        <f>'M&amp;A Comps'!B10</f>
        <v>Transaction 5</v>
      </c>
      <c r="B8" s="281">
        <f>'M&amp;A Comps'!C10</f>
        <v>2022</v>
      </c>
      <c r="C8" s="281">
        <f>'M&amp;A Comps'!D10</f>
        <v>25</v>
      </c>
      <c r="D8" s="470">
        <f>'M&amp;A Comps'!E10</f>
        <v>0.2</v>
      </c>
      <c r="E8" s="470">
        <f>'M&amp;A Comps'!F10</f>
        <v>6.9</v>
      </c>
    </row>
    <row r="9" spans="1:12" ht="19" thickBot="1" x14ac:dyDescent="0.25">
      <c r="A9" s="471" t="str">
        <f>'M&amp;A Comps'!B11</f>
        <v>Transaction 6</v>
      </c>
      <c r="B9" s="471">
        <f>'M&amp;A Comps'!C11</f>
        <v>2022</v>
      </c>
      <c r="C9" s="471">
        <f>'M&amp;A Comps'!D11</f>
        <v>6</v>
      </c>
      <c r="D9" s="472">
        <f>'M&amp;A Comps'!E11</f>
        <v>0.5</v>
      </c>
      <c r="E9" s="472">
        <f>'M&amp;A Comps'!F11</f>
        <v>3.5</v>
      </c>
    </row>
    <row r="10" spans="1:12" x14ac:dyDescent="0.2">
      <c r="D10" s="473"/>
      <c r="E10" s="473"/>
    </row>
    <row r="11" spans="1:12" x14ac:dyDescent="0.2">
      <c r="D11" s="473"/>
      <c r="E11" s="473"/>
    </row>
    <row r="12" spans="1:12" ht="19" thickBot="1" x14ac:dyDescent="0.25">
      <c r="D12" s="473"/>
      <c r="E12" s="473"/>
    </row>
    <row r="13" spans="1:12" x14ac:dyDescent="0.2">
      <c r="D13" s="473"/>
      <c r="E13" s="473"/>
      <c r="J13" s="215"/>
      <c r="K13" s="474" t="s">
        <v>135</v>
      </c>
      <c r="L13" s="475" t="s">
        <v>135</v>
      </c>
    </row>
    <row r="14" spans="1:12" ht="19" thickBot="1" x14ac:dyDescent="0.25">
      <c r="D14" s="473"/>
      <c r="E14" s="473"/>
      <c r="J14" s="218"/>
      <c r="K14" s="476" t="s">
        <v>5</v>
      </c>
      <c r="L14" s="477" t="s">
        <v>120</v>
      </c>
    </row>
    <row r="15" spans="1:12" x14ac:dyDescent="0.2">
      <c r="B15" s="215"/>
      <c r="C15" s="478" t="s">
        <v>134</v>
      </c>
      <c r="D15" s="474" t="s">
        <v>135</v>
      </c>
      <c r="E15" s="475" t="s">
        <v>135</v>
      </c>
      <c r="J15" s="277" t="s">
        <v>196</v>
      </c>
      <c r="K15" s="280">
        <f>D17*E28</f>
        <v>802.65000000000009</v>
      </c>
      <c r="L15" s="479">
        <f>E17*F28</f>
        <v>1730.8900000000003</v>
      </c>
    </row>
    <row r="16" spans="1:12" ht="19" thickBot="1" x14ac:dyDescent="0.25">
      <c r="B16" s="216"/>
      <c r="C16" s="480" t="s">
        <v>133</v>
      </c>
      <c r="D16" s="476" t="s">
        <v>5</v>
      </c>
      <c r="E16" s="477" t="s">
        <v>120</v>
      </c>
      <c r="J16" s="277" t="s">
        <v>192</v>
      </c>
      <c r="K16" s="282">
        <f>D18*E28</f>
        <v>535.1</v>
      </c>
      <c r="L16" s="302">
        <f>E18*F28</f>
        <v>1621.3400000000001</v>
      </c>
    </row>
    <row r="17" spans="2:12" x14ac:dyDescent="0.2">
      <c r="B17" s="277" t="s">
        <v>196</v>
      </c>
      <c r="C17" s="481">
        <f>MAX(C7:C9)</f>
        <v>511</v>
      </c>
      <c r="D17" s="482">
        <f t="shared" ref="D17:E17" si="0">MAX(D7:D9)</f>
        <v>1.5</v>
      </c>
      <c r="E17" s="482">
        <f t="shared" si="0"/>
        <v>7.9</v>
      </c>
      <c r="J17" s="483" t="s">
        <v>193</v>
      </c>
      <c r="K17" s="484">
        <f>D19*E28</f>
        <v>267.55</v>
      </c>
      <c r="L17" s="485">
        <f>E19*F28</f>
        <v>1511.7900000000002</v>
      </c>
    </row>
    <row r="18" spans="2:12" x14ac:dyDescent="0.2">
      <c r="B18" s="277" t="s">
        <v>192</v>
      </c>
      <c r="C18" s="486">
        <f>QUARTILE(C7:C9,3)</f>
        <v>268</v>
      </c>
      <c r="D18" s="470">
        <f>QUARTILE(D7:D9,3)</f>
        <v>1</v>
      </c>
      <c r="E18" s="470">
        <f t="shared" ref="E18" si="1">QUARTILE(E7:E9,3)</f>
        <v>7.4</v>
      </c>
      <c r="J18" s="277" t="s">
        <v>194</v>
      </c>
      <c r="K18" s="282">
        <f>D20*E28</f>
        <v>392.40666666666669</v>
      </c>
      <c r="L18" s="302">
        <f>E20*F28</f>
        <v>1336.5100000000002</v>
      </c>
    </row>
    <row r="19" spans="2:12" x14ac:dyDescent="0.2">
      <c r="B19" s="487" t="s">
        <v>193</v>
      </c>
      <c r="C19" s="488">
        <f>MEDIAN(C7:C9)</f>
        <v>25</v>
      </c>
      <c r="D19" s="489">
        <f t="shared" ref="D19:E19" si="2">MEDIAN(D7:D9)</f>
        <v>0.5</v>
      </c>
      <c r="E19" s="489">
        <f t="shared" si="2"/>
        <v>6.9</v>
      </c>
      <c r="J19" s="277" t="s">
        <v>195</v>
      </c>
      <c r="K19" s="282">
        <f>D21*E28</f>
        <v>187.285</v>
      </c>
      <c r="L19" s="302">
        <f>E21*F28</f>
        <v>1139.3200000000002</v>
      </c>
    </row>
    <row r="20" spans="2:12" ht="19" thickBot="1" x14ac:dyDescent="0.25">
      <c r="B20" s="277" t="s">
        <v>194</v>
      </c>
      <c r="C20" s="486">
        <f>AVERAGE(C7:C9)</f>
        <v>180.66666666666666</v>
      </c>
      <c r="D20" s="470">
        <f t="shared" ref="D20:E20" si="3">AVERAGE(D7:D9)</f>
        <v>0.73333333333333339</v>
      </c>
      <c r="E20" s="470">
        <f t="shared" si="3"/>
        <v>6.1000000000000005</v>
      </c>
      <c r="J20" s="278" t="s">
        <v>197</v>
      </c>
      <c r="K20" s="283">
        <f>D22*E28</f>
        <v>107.02000000000001</v>
      </c>
      <c r="L20" s="490">
        <f>E22*F28</f>
        <v>766.85000000000014</v>
      </c>
    </row>
    <row r="21" spans="2:12" x14ac:dyDescent="0.2">
      <c r="B21" s="277" t="s">
        <v>195</v>
      </c>
      <c r="C21" s="486">
        <f>QUARTILE(C7:C9,1)</f>
        <v>15.5</v>
      </c>
      <c r="D21" s="470">
        <f t="shared" ref="D21:E21" si="4">QUARTILE(D7:D9,1)</f>
        <v>0.35</v>
      </c>
      <c r="E21" s="470">
        <f t="shared" si="4"/>
        <v>5.2</v>
      </c>
      <c r="F21" s="491"/>
      <c r="G21" s="491"/>
      <c r="H21" s="491"/>
    </row>
    <row r="22" spans="2:12" ht="19" thickBot="1" x14ac:dyDescent="0.25">
      <c r="B22" s="278" t="s">
        <v>197</v>
      </c>
      <c r="C22" s="492">
        <f>MIN(C7:C9)</f>
        <v>6</v>
      </c>
      <c r="D22" s="472">
        <f t="shared" ref="D22:E22" si="5">MIN(D7:D9)</f>
        <v>0.2</v>
      </c>
      <c r="E22" s="472">
        <f t="shared" si="5"/>
        <v>3.5</v>
      </c>
    </row>
    <row r="23" spans="2:12" x14ac:dyDescent="0.2">
      <c r="D23" s="473"/>
      <c r="E23" s="473"/>
    </row>
    <row r="25" spans="2:12" ht="19" thickBot="1" x14ac:dyDescent="0.25"/>
    <row r="26" spans="2:12" x14ac:dyDescent="0.2">
      <c r="B26" s="211"/>
      <c r="C26" s="296"/>
      <c r="D26" s="190"/>
      <c r="E26" s="474"/>
      <c r="F26" s="475"/>
    </row>
    <row r="27" spans="2:12" ht="19" thickBot="1" x14ac:dyDescent="0.25">
      <c r="B27" s="214"/>
      <c r="C27" s="493"/>
      <c r="D27" s="494" t="s">
        <v>175</v>
      </c>
      <c r="E27" s="476" t="s">
        <v>5</v>
      </c>
      <c r="F27" s="477" t="s">
        <v>120</v>
      </c>
    </row>
    <row r="28" spans="2:12" x14ac:dyDescent="0.2">
      <c r="B28" s="246" t="s">
        <v>198</v>
      </c>
      <c r="C28" s="248"/>
      <c r="D28" s="240"/>
      <c r="E28" s="495">
        <f>'Cross Health IS'!F6</f>
        <v>535.1</v>
      </c>
      <c r="F28" s="496">
        <f>'Cross Health IS'!F9</f>
        <v>219.10000000000002</v>
      </c>
    </row>
    <row r="29" spans="2:12" x14ac:dyDescent="0.2">
      <c r="B29" s="249" t="s">
        <v>182</v>
      </c>
      <c r="C29" s="251"/>
      <c r="D29" s="232"/>
      <c r="E29" s="497">
        <f>D19</f>
        <v>0.5</v>
      </c>
      <c r="F29" s="498">
        <f>E19</f>
        <v>6.9</v>
      </c>
    </row>
    <row r="30" spans="2:12" x14ac:dyDescent="0.2">
      <c r="B30" s="249" t="s">
        <v>183</v>
      </c>
      <c r="C30" s="251"/>
      <c r="D30" s="232"/>
      <c r="E30" s="499">
        <f t="shared" ref="E30:F30" si="6">E28*E29</f>
        <v>267.55</v>
      </c>
      <c r="F30" s="193">
        <f t="shared" si="6"/>
        <v>1511.7900000000002</v>
      </c>
    </row>
    <row r="31" spans="2:12" x14ac:dyDescent="0.2">
      <c r="B31" s="249" t="s">
        <v>200</v>
      </c>
      <c r="C31" s="251"/>
      <c r="D31" s="232"/>
      <c r="E31" s="499">
        <f>-'Cross Health BS'!E29</f>
        <v>-63.5</v>
      </c>
      <c r="F31" s="193">
        <f>-'Cross Health BS'!E29</f>
        <v>-63.5</v>
      </c>
    </row>
    <row r="32" spans="2:12" x14ac:dyDescent="0.2">
      <c r="B32" s="249" t="s">
        <v>199</v>
      </c>
      <c r="C32" s="251"/>
      <c r="D32" s="232"/>
      <c r="E32" s="499">
        <f>'Cross Health BS'!E7</f>
        <v>34.9</v>
      </c>
      <c r="F32" s="193">
        <f>'Cross Health BS'!E7</f>
        <v>34.9</v>
      </c>
      <c r="G32" s="188" t="s">
        <v>204</v>
      </c>
    </row>
    <row r="33" spans="2:6" x14ac:dyDescent="0.2">
      <c r="B33" s="249" t="s">
        <v>201</v>
      </c>
      <c r="C33" s="251"/>
      <c r="D33" s="232"/>
      <c r="E33" s="499">
        <f>E30+E31+E32</f>
        <v>238.95000000000002</v>
      </c>
      <c r="F33" s="193">
        <f>F30+F31+F32</f>
        <v>1483.1900000000003</v>
      </c>
    </row>
    <row r="34" spans="2:6" x14ac:dyDescent="0.2">
      <c r="B34" s="249" t="s">
        <v>187</v>
      </c>
      <c r="C34" s="251"/>
      <c r="D34" s="232">
        <f>'CROSS HEALTH- COMPS'!B30</f>
        <v>13.49218356026223</v>
      </c>
      <c r="E34" s="499"/>
      <c r="F34" s="193"/>
    </row>
    <row r="35" spans="2:6" ht="19" thickBot="1" x14ac:dyDescent="0.25">
      <c r="B35" s="252" t="s">
        <v>202</v>
      </c>
      <c r="C35" s="254"/>
      <c r="D35" s="237"/>
      <c r="E35" s="500">
        <f>E33/D34</f>
        <v>17.710254158101289</v>
      </c>
      <c r="F35" s="194">
        <f>F33/D34</f>
        <v>109.92957465894226</v>
      </c>
    </row>
    <row r="38" spans="2:6" ht="19" thickBot="1" x14ac:dyDescent="0.25"/>
    <row r="39" spans="2:6" ht="19" thickBot="1" x14ac:dyDescent="0.25">
      <c r="B39" s="217"/>
      <c r="C39" s="217"/>
      <c r="D39" s="186" t="s">
        <v>274</v>
      </c>
      <c r="E39" s="501" t="s">
        <v>5</v>
      </c>
      <c r="F39" s="502" t="s">
        <v>120</v>
      </c>
    </row>
    <row r="40" spans="2:6" x14ac:dyDescent="0.2">
      <c r="B40" s="276" t="s">
        <v>198</v>
      </c>
      <c r="C40" s="495"/>
      <c r="D40" s="151"/>
      <c r="E40" s="495">
        <f>E28</f>
        <v>535.1</v>
      </c>
      <c r="F40" s="192">
        <f>F28</f>
        <v>219.10000000000002</v>
      </c>
    </row>
    <row r="41" spans="2:6" x14ac:dyDescent="0.2">
      <c r="B41" s="277" t="s">
        <v>182</v>
      </c>
      <c r="C41" s="499"/>
      <c r="D41" s="154"/>
      <c r="E41" s="503">
        <f>D22</f>
        <v>0.2</v>
      </c>
      <c r="F41" s="504">
        <f>E22</f>
        <v>3.5</v>
      </c>
    </row>
    <row r="42" spans="2:6" x14ac:dyDescent="0.2">
      <c r="B42" s="277" t="s">
        <v>183</v>
      </c>
      <c r="C42" s="499"/>
      <c r="D42" s="154"/>
      <c r="E42" s="499">
        <f>E40*E41</f>
        <v>107.02000000000001</v>
      </c>
      <c r="F42" s="193">
        <f>F40*F41</f>
        <v>766.85000000000014</v>
      </c>
    </row>
    <row r="43" spans="2:6" x14ac:dyDescent="0.2">
      <c r="B43" s="277" t="s">
        <v>200</v>
      </c>
      <c r="C43" s="499"/>
      <c r="D43" s="154"/>
      <c r="E43" s="499">
        <f>E31</f>
        <v>-63.5</v>
      </c>
      <c r="F43" s="193">
        <f>F31</f>
        <v>-63.5</v>
      </c>
    </row>
    <row r="44" spans="2:6" x14ac:dyDescent="0.2">
      <c r="B44" s="277" t="s">
        <v>199</v>
      </c>
      <c r="C44" s="499"/>
      <c r="D44" s="154"/>
      <c r="E44" s="499">
        <f>E32</f>
        <v>34.9</v>
      </c>
      <c r="F44" s="193">
        <f>F32</f>
        <v>34.9</v>
      </c>
    </row>
    <row r="45" spans="2:6" x14ac:dyDescent="0.2">
      <c r="B45" s="277" t="s">
        <v>201</v>
      </c>
      <c r="C45" s="499"/>
      <c r="D45" s="154" t="s">
        <v>204</v>
      </c>
      <c r="E45" s="499">
        <f>SUM(E42:E44)</f>
        <v>78.420000000000016</v>
      </c>
      <c r="F45" s="193">
        <f>SUM(F42:F44)</f>
        <v>738.25000000000011</v>
      </c>
    </row>
    <row r="46" spans="2:6" x14ac:dyDescent="0.2">
      <c r="B46" s="277" t="s">
        <v>187</v>
      </c>
      <c r="C46" s="499"/>
      <c r="D46" s="154">
        <f>D34</f>
        <v>13.49218356026223</v>
      </c>
      <c r="E46" s="499"/>
      <c r="F46" s="193"/>
    </row>
    <row r="47" spans="2:6" ht="19" thickBot="1" x14ac:dyDescent="0.25">
      <c r="B47" s="278" t="s">
        <v>202</v>
      </c>
      <c r="C47" s="500"/>
      <c r="D47" s="158"/>
      <c r="E47" s="500">
        <f>E45/D46</f>
        <v>5.8122541581012905</v>
      </c>
      <c r="F47" s="194">
        <f>F45/D46</f>
        <v>54.716866006353953</v>
      </c>
    </row>
    <row r="48" spans="2:6" ht="19" thickBot="1" x14ac:dyDescent="0.25">
      <c r="B48" s="275"/>
      <c r="C48" s="275"/>
    </row>
    <row r="49" spans="2:6" ht="19" thickBot="1" x14ac:dyDescent="0.25">
      <c r="B49" s="217"/>
      <c r="C49" s="217"/>
      <c r="D49" s="186" t="s">
        <v>196</v>
      </c>
      <c r="E49" s="501" t="s">
        <v>5</v>
      </c>
      <c r="F49" s="502" t="s">
        <v>120</v>
      </c>
    </row>
    <row r="50" spans="2:6" x14ac:dyDescent="0.2">
      <c r="B50" s="277" t="s">
        <v>198</v>
      </c>
      <c r="C50" s="499"/>
      <c r="D50" s="154"/>
      <c r="E50" s="499">
        <f>E40</f>
        <v>535.1</v>
      </c>
      <c r="F50" s="193">
        <f>F40</f>
        <v>219.10000000000002</v>
      </c>
    </row>
    <row r="51" spans="2:6" x14ac:dyDescent="0.2">
      <c r="B51" s="277" t="s">
        <v>182</v>
      </c>
      <c r="C51" s="499"/>
      <c r="D51" s="154"/>
      <c r="E51" s="497">
        <f>D17</f>
        <v>1.5</v>
      </c>
      <c r="F51" s="498">
        <f>E17</f>
        <v>7.9</v>
      </c>
    </row>
    <row r="52" spans="2:6" x14ac:dyDescent="0.2">
      <c r="B52" s="277" t="s">
        <v>183</v>
      </c>
      <c r="C52" s="499"/>
      <c r="D52" s="154"/>
      <c r="E52" s="499">
        <f>E50*E51</f>
        <v>802.65000000000009</v>
      </c>
      <c r="F52" s="193">
        <f>F50*F51</f>
        <v>1730.8900000000003</v>
      </c>
    </row>
    <row r="53" spans="2:6" x14ac:dyDescent="0.2">
      <c r="B53" s="277" t="s">
        <v>200</v>
      </c>
      <c r="C53" s="499"/>
      <c r="D53" s="154"/>
      <c r="E53" s="499">
        <f>E43</f>
        <v>-63.5</v>
      </c>
      <c r="F53" s="193">
        <f>F43</f>
        <v>-63.5</v>
      </c>
    </row>
    <row r="54" spans="2:6" x14ac:dyDescent="0.2">
      <c r="B54" s="277" t="s">
        <v>199</v>
      </c>
      <c r="C54" s="499"/>
      <c r="D54" s="154"/>
      <c r="E54" s="499">
        <f>E44</f>
        <v>34.9</v>
      </c>
      <c r="F54" s="193">
        <f>F44</f>
        <v>34.9</v>
      </c>
    </row>
    <row r="55" spans="2:6" x14ac:dyDescent="0.2">
      <c r="B55" s="277" t="s">
        <v>201</v>
      </c>
      <c r="C55" s="499"/>
      <c r="D55" s="154"/>
      <c r="E55" s="499">
        <f>SUM(E52:E54)</f>
        <v>774.05000000000007</v>
      </c>
      <c r="F55" s="193">
        <f>SUM(F52:F54)</f>
        <v>1702.2900000000004</v>
      </c>
    </row>
    <row r="56" spans="2:6" x14ac:dyDescent="0.2">
      <c r="B56" s="277" t="s">
        <v>187</v>
      </c>
      <c r="C56" s="499"/>
      <c r="D56" s="154">
        <f>D46</f>
        <v>13.49218356026223</v>
      </c>
      <c r="E56" s="499"/>
      <c r="F56" s="193"/>
    </row>
    <row r="57" spans="2:6" ht="19" thickBot="1" x14ac:dyDescent="0.25">
      <c r="B57" s="278" t="s">
        <v>202</v>
      </c>
      <c r="C57" s="500"/>
      <c r="D57" s="158"/>
      <c r="E57" s="500">
        <f>E55/D56</f>
        <v>57.370254158101289</v>
      </c>
      <c r="F57" s="194">
        <f>F55/D56</f>
        <v>126.16860661558589</v>
      </c>
    </row>
    <row r="58" spans="2:6" ht="19" thickBot="1" x14ac:dyDescent="0.25">
      <c r="B58" s="275"/>
      <c r="C58" s="275"/>
    </row>
    <row r="59" spans="2:6" ht="19" thickBot="1" x14ac:dyDescent="0.25">
      <c r="B59" s="217"/>
      <c r="C59" s="217"/>
      <c r="D59" s="186" t="s">
        <v>192</v>
      </c>
      <c r="E59" s="501" t="s">
        <v>5</v>
      </c>
      <c r="F59" s="502" t="s">
        <v>120</v>
      </c>
    </row>
    <row r="60" spans="2:6" x14ac:dyDescent="0.2">
      <c r="B60" s="276" t="s">
        <v>198</v>
      </c>
      <c r="C60" s="495"/>
      <c r="D60" s="151"/>
      <c r="E60" s="495">
        <f>E50</f>
        <v>535.1</v>
      </c>
      <c r="F60" s="192">
        <f>F50</f>
        <v>219.10000000000002</v>
      </c>
    </row>
    <row r="61" spans="2:6" x14ac:dyDescent="0.2">
      <c r="B61" s="277" t="s">
        <v>182</v>
      </c>
      <c r="C61" s="499"/>
      <c r="D61" s="154"/>
      <c r="E61" s="503">
        <f>D18</f>
        <v>1</v>
      </c>
      <c r="F61" s="504">
        <f>E18</f>
        <v>7.4</v>
      </c>
    </row>
    <row r="62" spans="2:6" x14ac:dyDescent="0.2">
      <c r="B62" s="277" t="s">
        <v>183</v>
      </c>
      <c r="C62" s="499"/>
      <c r="D62" s="154"/>
      <c r="E62" s="499">
        <f>E60*E61</f>
        <v>535.1</v>
      </c>
      <c r="F62" s="193">
        <f>F60*F61</f>
        <v>1621.3400000000001</v>
      </c>
    </row>
    <row r="63" spans="2:6" x14ac:dyDescent="0.2">
      <c r="B63" s="277" t="s">
        <v>200</v>
      </c>
      <c r="C63" s="499"/>
      <c r="D63" s="154"/>
      <c r="E63" s="499">
        <f>E53</f>
        <v>-63.5</v>
      </c>
      <c r="F63" s="193">
        <f>F53</f>
        <v>-63.5</v>
      </c>
    </row>
    <row r="64" spans="2:6" x14ac:dyDescent="0.2">
      <c r="B64" s="277" t="s">
        <v>199</v>
      </c>
      <c r="C64" s="499"/>
      <c r="D64" s="154"/>
      <c r="E64" s="499">
        <f>E54</f>
        <v>34.9</v>
      </c>
      <c r="F64" s="193">
        <f>F54</f>
        <v>34.9</v>
      </c>
    </row>
    <row r="65" spans="2:6" x14ac:dyDescent="0.2">
      <c r="B65" s="277" t="s">
        <v>201</v>
      </c>
      <c r="C65" s="499"/>
      <c r="D65" s="154">
        <f>D56</f>
        <v>13.49218356026223</v>
      </c>
      <c r="E65" s="499"/>
      <c r="F65" s="193"/>
    </row>
    <row r="66" spans="2:6" x14ac:dyDescent="0.2">
      <c r="B66" s="277" t="s">
        <v>187</v>
      </c>
      <c r="C66" s="499"/>
      <c r="D66" s="154"/>
      <c r="E66" s="499">
        <f>E64/D65</f>
        <v>2.5866828630162582</v>
      </c>
      <c r="F66" s="193">
        <f>F64/D65</f>
        <v>2.5866828630162582</v>
      </c>
    </row>
    <row r="67" spans="2:6" ht="19" thickBot="1" x14ac:dyDescent="0.25">
      <c r="B67" s="278" t="s">
        <v>202</v>
      </c>
      <c r="C67" s="500"/>
      <c r="D67" s="158"/>
      <c r="E67" s="500"/>
      <c r="F67" s="194"/>
    </row>
    <row r="68" spans="2:6" ht="19" thickBot="1" x14ac:dyDescent="0.25">
      <c r="B68" s="275"/>
      <c r="C68" s="275"/>
    </row>
    <row r="69" spans="2:6" ht="19" thickBot="1" x14ac:dyDescent="0.25">
      <c r="B69" s="217"/>
      <c r="C69" s="217"/>
      <c r="D69" s="248" t="s">
        <v>195</v>
      </c>
      <c r="E69" s="505" t="s">
        <v>5</v>
      </c>
      <c r="F69" s="506" t="s">
        <v>120</v>
      </c>
    </row>
    <row r="70" spans="2:6" x14ac:dyDescent="0.2">
      <c r="B70" s="276" t="s">
        <v>198</v>
      </c>
      <c r="C70" s="507"/>
      <c r="D70" s="508"/>
      <c r="E70" s="507">
        <f>E60</f>
        <v>535.1</v>
      </c>
      <c r="F70" s="508">
        <f>F60</f>
        <v>219.10000000000002</v>
      </c>
    </row>
    <row r="71" spans="2:6" x14ac:dyDescent="0.2">
      <c r="B71" s="277" t="s">
        <v>182</v>
      </c>
      <c r="C71" s="281"/>
      <c r="D71" s="303"/>
      <c r="E71" s="470">
        <f>D21</f>
        <v>0.35</v>
      </c>
      <c r="F71" s="509">
        <f>E21</f>
        <v>5.2</v>
      </c>
    </row>
    <row r="72" spans="2:6" x14ac:dyDescent="0.2">
      <c r="B72" s="277" t="s">
        <v>183</v>
      </c>
      <c r="C72" s="281"/>
      <c r="D72" s="303"/>
      <c r="E72" s="281">
        <f>E70*E71</f>
        <v>187.285</v>
      </c>
      <c r="F72" s="303">
        <f>F70*F71</f>
        <v>1139.3200000000002</v>
      </c>
    </row>
    <row r="73" spans="2:6" x14ac:dyDescent="0.2">
      <c r="B73" s="277" t="s">
        <v>200</v>
      </c>
      <c r="C73" s="281"/>
      <c r="D73" s="303">
        <f>D65</f>
        <v>13.49218356026223</v>
      </c>
      <c r="E73" s="281"/>
      <c r="F73" s="303"/>
    </row>
    <row r="74" spans="2:6" x14ac:dyDescent="0.2">
      <c r="B74" s="277" t="s">
        <v>199</v>
      </c>
      <c r="C74" s="281"/>
      <c r="D74" s="303"/>
      <c r="E74" s="281">
        <f>E72/D73</f>
        <v>13.880999999999998</v>
      </c>
      <c r="F74" s="303">
        <f>F72/D73</f>
        <v>84.442966174546811</v>
      </c>
    </row>
    <row r="75" spans="2:6" x14ac:dyDescent="0.2">
      <c r="B75" s="277" t="s">
        <v>201</v>
      </c>
      <c r="C75" s="281"/>
      <c r="D75" s="303"/>
      <c r="E75" s="281"/>
      <c r="F75" s="303"/>
    </row>
    <row r="76" spans="2:6" x14ac:dyDescent="0.2">
      <c r="B76" s="277" t="s">
        <v>187</v>
      </c>
      <c r="C76" s="281"/>
      <c r="D76" s="303"/>
      <c r="E76" s="281"/>
      <c r="F76" s="303"/>
    </row>
    <row r="77" spans="2:6" ht="19" thickBot="1" x14ac:dyDescent="0.25">
      <c r="B77" s="278" t="s">
        <v>202</v>
      </c>
      <c r="C77" s="471"/>
      <c r="D77" s="510"/>
      <c r="E77" s="471"/>
      <c r="F77" s="510"/>
    </row>
  </sheetData>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E63AD-193B-A04C-9116-5DEB0EC347E4}">
  <dimension ref="A1:M74"/>
  <sheetViews>
    <sheetView topLeftCell="D12" zoomScale="82" zoomScaleNormal="89" workbookViewId="0">
      <selection activeCell="O48" sqref="O48"/>
    </sheetView>
  </sheetViews>
  <sheetFormatPr baseColWidth="10" defaultColWidth="11.5" defaultRowHeight="18" x14ac:dyDescent="0.2"/>
  <cols>
    <col min="1" max="1" width="36.83203125" style="279" customWidth="1"/>
    <col min="2" max="2" width="26" style="279" customWidth="1"/>
    <col min="3" max="3" width="52.83203125" style="188" customWidth="1"/>
    <col min="4" max="4" width="61.1640625" style="188" customWidth="1"/>
    <col min="5" max="5" width="21.1640625" style="188" customWidth="1"/>
    <col min="6" max="6" width="15.5" style="188" customWidth="1"/>
    <col min="7" max="7" width="18" style="188" customWidth="1"/>
    <col min="8" max="8" width="11.6640625" style="188" customWidth="1"/>
    <col min="9" max="9" width="11.6640625" style="188" bestFit="1" customWidth="1"/>
    <col min="10" max="11" width="12.83203125" style="188" bestFit="1" customWidth="1"/>
    <col min="12" max="13" width="11.6640625" style="188" bestFit="1" customWidth="1"/>
    <col min="14" max="16384" width="11.5" style="188"/>
  </cols>
  <sheetData>
    <row r="1" spans="1:13" ht="19" thickBot="1" x14ac:dyDescent="0.25"/>
    <row r="2" spans="1:13" ht="19" thickBot="1" x14ac:dyDescent="0.25">
      <c r="A2" s="511" t="s">
        <v>205</v>
      </c>
      <c r="B2" s="426"/>
    </row>
    <row r="3" spans="1:13" x14ac:dyDescent="0.2">
      <c r="A3" s="242" t="s">
        <v>206</v>
      </c>
      <c r="B3" s="512">
        <v>0.05</v>
      </c>
    </row>
    <row r="4" spans="1:13" x14ac:dyDescent="0.2">
      <c r="A4" s="242" t="s">
        <v>208</v>
      </c>
      <c r="B4" s="513">
        <f>'Cross Health IS'!F32</f>
        <v>0.21016166281755186</v>
      </c>
    </row>
    <row r="5" spans="1:13" ht="19" thickBot="1" x14ac:dyDescent="0.25">
      <c r="A5" s="244" t="s">
        <v>207</v>
      </c>
      <c r="B5" s="514">
        <v>0.15</v>
      </c>
    </row>
    <row r="6" spans="1:13" ht="19" thickBot="1" x14ac:dyDescent="0.25">
      <c r="D6" s="515"/>
      <c r="E6" s="424"/>
      <c r="F6" s="186" t="s">
        <v>220</v>
      </c>
      <c r="G6" s="426"/>
      <c r="H6" s="424"/>
      <c r="I6" s="285"/>
      <c r="J6" s="186" t="s">
        <v>221</v>
      </c>
      <c r="K6" s="285"/>
      <c r="L6" s="285"/>
      <c r="M6" s="426"/>
    </row>
    <row r="7" spans="1:13" ht="19" thickBot="1" x14ac:dyDescent="0.25">
      <c r="D7" s="516"/>
      <c r="E7" s="517">
        <f>'Cross Health IS'!C4</f>
        <v>2020</v>
      </c>
      <c r="F7" s="517">
        <f>'Cross Health IS'!D4</f>
        <v>2021</v>
      </c>
      <c r="G7" s="517">
        <f>'Cross Health IS'!E4</f>
        <v>2022</v>
      </c>
      <c r="H7" s="518">
        <f>G7+1</f>
        <v>2023</v>
      </c>
      <c r="I7" s="518">
        <f t="shared" ref="I7:M7" si="0">H7+1</f>
        <v>2024</v>
      </c>
      <c r="J7" s="518">
        <f t="shared" si="0"/>
        <v>2025</v>
      </c>
      <c r="K7" s="518">
        <f t="shared" si="0"/>
        <v>2026</v>
      </c>
      <c r="L7" s="518">
        <f t="shared" si="0"/>
        <v>2027</v>
      </c>
      <c r="M7" s="518">
        <f t="shared" si="0"/>
        <v>2028</v>
      </c>
    </row>
    <row r="8" spans="1:13" ht="19" thickBot="1" x14ac:dyDescent="0.25">
      <c r="D8" s="276" t="s">
        <v>209</v>
      </c>
      <c r="E8" s="372">
        <f>'Cross Health IS'!C6</f>
        <v>522.29999999999995</v>
      </c>
      <c r="F8" s="372">
        <f>'Cross Health IS'!D6</f>
        <v>540.5</v>
      </c>
      <c r="G8" s="372">
        <f>'Cross Health IS'!E6</f>
        <v>551.79999999999995</v>
      </c>
      <c r="H8" s="507">
        <f>'Cross Health IS'!F6</f>
        <v>535.1</v>
      </c>
      <c r="I8" s="507">
        <f>'Cross Health IS'!G6</f>
        <v>545.79999999999995</v>
      </c>
      <c r="J8" s="507">
        <f>I8*(1+$B3)</f>
        <v>573.09</v>
      </c>
      <c r="K8" s="507">
        <f t="shared" ref="K8:M8" si="1">J8*(1+$B3)</f>
        <v>601.74450000000002</v>
      </c>
      <c r="L8" s="507">
        <f t="shared" si="1"/>
        <v>631.83172500000001</v>
      </c>
      <c r="M8" s="507">
        <f t="shared" si="1"/>
        <v>663.42331124999998</v>
      </c>
    </row>
    <row r="9" spans="1:13" ht="19" thickBot="1" x14ac:dyDescent="0.25">
      <c r="A9" s="519" t="s">
        <v>224</v>
      </c>
      <c r="B9" s="520"/>
      <c r="D9" s="277" t="s">
        <v>219</v>
      </c>
      <c r="E9" s="521"/>
      <c r="F9" s="522">
        <f t="shared" ref="F9:M9" si="2">(F8-E8)/F8</f>
        <v>3.3672525439408039E-2</v>
      </c>
      <c r="G9" s="522">
        <f t="shared" si="2"/>
        <v>2.0478434215295317E-2</v>
      </c>
      <c r="H9" s="523">
        <f t="shared" si="2"/>
        <v>-3.1209119790693199E-2</v>
      </c>
      <c r="I9" s="523">
        <f t="shared" si="2"/>
        <v>1.9604250641260413E-2</v>
      </c>
      <c r="J9" s="524">
        <f t="shared" si="2"/>
        <v>4.7619047619047748E-2</v>
      </c>
      <c r="K9" s="524">
        <f t="shared" si="2"/>
        <v>4.7619047619047589E-2</v>
      </c>
      <c r="L9" s="524">
        <f t="shared" si="2"/>
        <v>4.7619047619047603E-2</v>
      </c>
      <c r="M9" s="512">
        <f t="shared" si="2"/>
        <v>4.7619047619047589E-2</v>
      </c>
    </row>
    <row r="10" spans="1:13" ht="19" thickBot="1" x14ac:dyDescent="0.25">
      <c r="A10" s="278" t="s">
        <v>275</v>
      </c>
      <c r="B10" s="514">
        <v>0.01</v>
      </c>
      <c r="D10" s="277" t="s">
        <v>280</v>
      </c>
      <c r="E10" s="521">
        <f>'Cross Health IS'!C9</f>
        <v>216.19999999999993</v>
      </c>
      <c r="F10" s="521">
        <f>'Cross Health IS'!D9</f>
        <v>227.39999999999998</v>
      </c>
      <c r="G10" s="521">
        <f>'Cross Health IS'!E9</f>
        <v>223.29999999999995</v>
      </c>
      <c r="H10" s="281">
        <f>'Cross Health IS'!F9</f>
        <v>219.10000000000002</v>
      </c>
      <c r="I10" s="281">
        <f>'Cross Health IS'!G9</f>
        <v>223.79999999999995</v>
      </c>
      <c r="J10" s="525">
        <f>I10*(1+$B3)</f>
        <v>234.98999999999995</v>
      </c>
      <c r="K10" s="525">
        <f t="shared" ref="K10:M10" si="3">J10*(1+$B3)</f>
        <v>246.73949999999996</v>
      </c>
      <c r="L10" s="525">
        <f t="shared" si="3"/>
        <v>259.07647499999996</v>
      </c>
      <c r="M10" s="525">
        <f t="shared" si="3"/>
        <v>272.03029874999999</v>
      </c>
    </row>
    <row r="11" spans="1:13" x14ac:dyDescent="0.2">
      <c r="B11" s="526"/>
      <c r="D11" s="277" t="s">
        <v>276</v>
      </c>
      <c r="E11" s="521">
        <f>'Cross Health IS'!C11</f>
        <v>155.4</v>
      </c>
      <c r="F11" s="521">
        <f>'Cross Health IS'!D11</f>
        <v>162.5</v>
      </c>
      <c r="G11" s="521">
        <f>'Cross Health IS'!E11</f>
        <v>154.80000000000001</v>
      </c>
      <c r="H11" s="281">
        <f>'Cross Health IS'!F11</f>
        <v>155</v>
      </c>
      <c r="I11" s="281">
        <f>'Cross Health IS'!G11</f>
        <v>156.6</v>
      </c>
      <c r="J11" s="525">
        <f>I11*(1+$B10)</f>
        <v>158.166</v>
      </c>
      <c r="K11" s="525">
        <f>J11*(1+$B10)</f>
        <v>159.74766</v>
      </c>
      <c r="L11" s="525">
        <f>K11*(1+$B10)</f>
        <v>161.34513659999999</v>
      </c>
      <c r="M11" s="525">
        <f>L11*(1+$B10)</f>
        <v>162.95858796599998</v>
      </c>
    </row>
    <row r="12" spans="1:13" x14ac:dyDescent="0.2">
      <c r="B12" s="526"/>
      <c r="D12" s="277" t="s">
        <v>277</v>
      </c>
      <c r="E12" s="527">
        <f>E11/E8</f>
        <v>0.29753015508328551</v>
      </c>
      <c r="F12" s="527">
        <f t="shared" ref="F12:M12" si="4">F11/F8</f>
        <v>0.30064754856614245</v>
      </c>
      <c r="G12" s="527">
        <f t="shared" si="4"/>
        <v>0.28053642624139186</v>
      </c>
      <c r="H12" s="524">
        <f t="shared" si="4"/>
        <v>0.28966548308727341</v>
      </c>
      <c r="I12" s="524">
        <f t="shared" si="4"/>
        <v>0.28691828508611217</v>
      </c>
      <c r="J12" s="524">
        <f t="shared" si="4"/>
        <v>0.27598806470187925</v>
      </c>
      <c r="K12" s="524">
        <f t="shared" si="4"/>
        <v>0.26547423366561723</v>
      </c>
      <c r="L12" s="524">
        <f t="shared" si="4"/>
        <v>0.25536092952597461</v>
      </c>
      <c r="M12" s="524">
        <f t="shared" si="4"/>
        <v>0.24563289411546133</v>
      </c>
    </row>
    <row r="13" spans="1:13" x14ac:dyDescent="0.2">
      <c r="B13" s="526"/>
      <c r="D13" s="277" t="s">
        <v>11</v>
      </c>
      <c r="E13" s="521">
        <f>'Cross Health IS'!C12</f>
        <v>15</v>
      </c>
      <c r="F13" s="521">
        <f>'Cross Health IS'!D12</f>
        <v>15.5</v>
      </c>
      <c r="G13" s="521">
        <f>'Cross Health IS'!E12</f>
        <v>14.9</v>
      </c>
      <c r="H13" s="281">
        <f>'Cross Health IS'!F12</f>
        <v>16</v>
      </c>
      <c r="I13" s="281">
        <f>'Cross Health IS'!G12</f>
        <v>16.399999999999999</v>
      </c>
      <c r="J13" s="282">
        <f>I13*(1+$B3)</f>
        <v>17.22</v>
      </c>
      <c r="K13" s="282">
        <f>J13*(1+$B3)</f>
        <v>18.081</v>
      </c>
      <c r="L13" s="282">
        <f>K13*(1+$B3)</f>
        <v>18.985050000000001</v>
      </c>
      <c r="M13" s="282">
        <f>L13*(1+$B3)</f>
        <v>19.934302500000001</v>
      </c>
    </row>
    <row r="14" spans="1:13" ht="19" thickBot="1" x14ac:dyDescent="0.25">
      <c r="B14" s="526"/>
      <c r="D14" s="277" t="s">
        <v>278</v>
      </c>
      <c r="E14" s="527">
        <f>E13/E8</f>
        <v>2.8719126938541072E-2</v>
      </c>
      <c r="F14" s="527">
        <f t="shared" ref="F14:M14" si="5">F13/F8</f>
        <v>2.8677150786308975E-2</v>
      </c>
      <c r="G14" s="527">
        <f t="shared" si="5"/>
        <v>2.7002537151141721E-2</v>
      </c>
      <c r="H14" s="524">
        <f t="shared" si="5"/>
        <v>2.9900953092879833E-2</v>
      </c>
      <c r="I14" s="524">
        <f t="shared" si="5"/>
        <v>3.0047636496885306E-2</v>
      </c>
      <c r="J14" s="524">
        <f t="shared" si="5"/>
        <v>3.0047636496885303E-2</v>
      </c>
      <c r="K14" s="524">
        <f t="shared" si="5"/>
        <v>3.0047636496885303E-2</v>
      </c>
      <c r="L14" s="524">
        <f t="shared" si="5"/>
        <v>3.0047636496885306E-2</v>
      </c>
      <c r="M14" s="524">
        <f t="shared" si="5"/>
        <v>3.004763649688531E-2</v>
      </c>
    </row>
    <row r="15" spans="1:13" ht="19" thickBot="1" x14ac:dyDescent="0.25">
      <c r="A15" s="528" t="s">
        <v>225</v>
      </c>
      <c r="B15" s="426"/>
      <c r="D15" s="277" t="s">
        <v>121</v>
      </c>
      <c r="E15" s="521">
        <f>'Cross Health IS'!C14</f>
        <v>45.299999999999926</v>
      </c>
      <c r="F15" s="521">
        <f>'Cross Health IS'!D14</f>
        <v>50.999999999999979</v>
      </c>
      <c r="G15" s="521">
        <f>'Cross Health IS'!E14</f>
        <v>52.099999999999945</v>
      </c>
      <c r="H15" s="281">
        <f>'Cross Health IS'!F14</f>
        <v>44.90000000000002</v>
      </c>
      <c r="I15" s="281">
        <f>'Cross Health IS'!G14</f>
        <v>50.799999999999962</v>
      </c>
      <c r="J15" s="282">
        <f>J10-J11-J13</f>
        <v>59.603999999999957</v>
      </c>
      <c r="K15" s="282">
        <f>K10-K11-K13</f>
        <v>68.910839999999965</v>
      </c>
      <c r="L15" s="282">
        <f>L10-L11-L13</f>
        <v>78.746288399999969</v>
      </c>
      <c r="M15" s="282">
        <f>M10-M11-M13</f>
        <v>89.137408284000003</v>
      </c>
    </row>
    <row r="16" spans="1:13" x14ac:dyDescent="0.2">
      <c r="A16" s="529" t="s">
        <v>226</v>
      </c>
      <c r="B16" s="530">
        <f>M23</f>
        <v>60.984621089787517</v>
      </c>
      <c r="D16" s="277" t="s">
        <v>222</v>
      </c>
      <c r="E16" s="522">
        <f t="shared" ref="E16:M16" si="6">E15/E8</f>
        <v>8.6731763354393893E-2</v>
      </c>
      <c r="F16" s="522">
        <f t="shared" si="6"/>
        <v>9.4357076780758511E-2</v>
      </c>
      <c r="G16" s="522">
        <f t="shared" si="6"/>
        <v>9.4418267488220284E-2</v>
      </c>
      <c r="H16" s="523">
        <f t="shared" si="6"/>
        <v>8.3909549616894077E-2</v>
      </c>
      <c r="I16" s="523">
        <f t="shared" si="6"/>
        <v>9.3074386222059297E-2</v>
      </c>
      <c r="J16" s="523">
        <f t="shared" si="6"/>
        <v>0.10400460660629213</v>
      </c>
      <c r="K16" s="523">
        <f t="shared" si="6"/>
        <v>0.1145184376425542</v>
      </c>
      <c r="L16" s="523">
        <f t="shared" si="6"/>
        <v>0.12463174178219678</v>
      </c>
      <c r="M16" s="531">
        <f t="shared" si="6"/>
        <v>0.13435977719271017</v>
      </c>
    </row>
    <row r="17" spans="1:13" x14ac:dyDescent="0.2">
      <c r="A17" s="195" t="s">
        <v>227</v>
      </c>
      <c r="B17" s="532">
        <f>B3</f>
        <v>0.05</v>
      </c>
      <c r="D17" s="277" t="s">
        <v>233</v>
      </c>
      <c r="E17" s="533">
        <f t="shared" ref="E17:M17" si="7">-(E15*E18)</f>
        <v>-9.5203233256350845</v>
      </c>
      <c r="F17" s="533">
        <f t="shared" si="7"/>
        <v>-10.718244803695141</v>
      </c>
      <c r="G17" s="533">
        <f t="shared" si="7"/>
        <v>-10.949422632794441</v>
      </c>
      <c r="H17" s="282">
        <f t="shared" si="7"/>
        <v>-9.4362586605080825</v>
      </c>
      <c r="I17" s="282">
        <f t="shared" si="7"/>
        <v>-10.676212471131626</v>
      </c>
      <c r="J17" s="282">
        <f t="shared" si="7"/>
        <v>-12.526475750577353</v>
      </c>
      <c r="K17" s="282">
        <f t="shared" si="7"/>
        <v>-14.482416720554259</v>
      </c>
      <c r="L17" s="282">
        <f t="shared" si="7"/>
        <v>-16.549450910854489</v>
      </c>
      <c r="M17" s="282">
        <f t="shared" si="7"/>
        <v>-18.733265944212462</v>
      </c>
    </row>
    <row r="18" spans="1:13" ht="19" thickBot="1" x14ac:dyDescent="0.25">
      <c r="A18" s="534" t="s">
        <v>228</v>
      </c>
      <c r="B18" s="535">
        <f>B5</f>
        <v>0.15</v>
      </c>
      <c r="D18" s="277" t="s">
        <v>234</v>
      </c>
      <c r="E18" s="522">
        <f>$B4</f>
        <v>0.21016166281755186</v>
      </c>
      <c r="F18" s="522">
        <f t="shared" ref="F18:M18" si="8">$B4</f>
        <v>0.21016166281755186</v>
      </c>
      <c r="G18" s="522">
        <f t="shared" si="8"/>
        <v>0.21016166281755186</v>
      </c>
      <c r="H18" s="523">
        <f t="shared" si="8"/>
        <v>0.21016166281755186</v>
      </c>
      <c r="I18" s="523">
        <f t="shared" si="8"/>
        <v>0.21016166281755186</v>
      </c>
      <c r="J18" s="523">
        <f t="shared" si="8"/>
        <v>0.21016166281755186</v>
      </c>
      <c r="K18" s="523">
        <f t="shared" si="8"/>
        <v>0.21016166281755186</v>
      </c>
      <c r="L18" s="523">
        <f t="shared" si="8"/>
        <v>0.21016166281755186</v>
      </c>
      <c r="M18" s="523">
        <f t="shared" si="8"/>
        <v>0.21016166281755186</v>
      </c>
    </row>
    <row r="19" spans="1:13" ht="19" thickBot="1" x14ac:dyDescent="0.25">
      <c r="A19" s="511" t="s">
        <v>229</v>
      </c>
      <c r="B19" s="536">
        <f>B16*(1+B17)/(B18-B17)</f>
        <v>640.33852144276898</v>
      </c>
      <c r="D19" s="184" t="s">
        <v>210</v>
      </c>
      <c r="E19" s="537">
        <f>E15+E17</f>
        <v>35.779676674364843</v>
      </c>
      <c r="F19" s="537">
        <f t="shared" ref="F19:M19" si="9">F15+F17</f>
        <v>40.281755196304836</v>
      </c>
      <c r="G19" s="537">
        <f t="shared" si="9"/>
        <v>41.1505773672055</v>
      </c>
      <c r="H19" s="538">
        <f t="shared" si="9"/>
        <v>35.463741339491939</v>
      </c>
      <c r="I19" s="538">
        <f t="shared" si="9"/>
        <v>40.123787528868334</v>
      </c>
      <c r="J19" s="538">
        <f t="shared" si="9"/>
        <v>47.077524249422602</v>
      </c>
      <c r="K19" s="538">
        <f t="shared" si="9"/>
        <v>54.42842327944571</v>
      </c>
      <c r="L19" s="538">
        <f t="shared" si="9"/>
        <v>62.19683748914548</v>
      </c>
      <c r="M19" s="538">
        <f t="shared" si="9"/>
        <v>70.404142339787541</v>
      </c>
    </row>
    <row r="20" spans="1:13" x14ac:dyDescent="0.2">
      <c r="A20" s="526"/>
      <c r="D20" s="277" t="s">
        <v>211</v>
      </c>
      <c r="E20" s="521">
        <f t="shared" ref="E20:M20" si="10">E13</f>
        <v>15</v>
      </c>
      <c r="F20" s="521">
        <f t="shared" si="10"/>
        <v>15.5</v>
      </c>
      <c r="G20" s="521">
        <f t="shared" si="10"/>
        <v>14.9</v>
      </c>
      <c r="H20" s="281">
        <f t="shared" si="10"/>
        <v>16</v>
      </c>
      <c r="I20" s="281">
        <f t="shared" si="10"/>
        <v>16.399999999999999</v>
      </c>
      <c r="J20" s="281">
        <f t="shared" si="10"/>
        <v>17.22</v>
      </c>
      <c r="K20" s="281">
        <f t="shared" si="10"/>
        <v>18.081</v>
      </c>
      <c r="L20" s="281">
        <f t="shared" si="10"/>
        <v>18.985050000000001</v>
      </c>
      <c r="M20" s="303">
        <f t="shared" si="10"/>
        <v>19.934302500000001</v>
      </c>
    </row>
    <row r="21" spans="1:13" x14ac:dyDescent="0.2">
      <c r="A21" s="526"/>
      <c r="D21" s="277" t="s">
        <v>279</v>
      </c>
      <c r="E21" s="521"/>
      <c r="F21" s="521">
        <f>F10-E10</f>
        <v>11.200000000000045</v>
      </c>
      <c r="G21" s="521">
        <f t="shared" ref="G21:M21" si="11">G10-F10</f>
        <v>-4.1000000000000227</v>
      </c>
      <c r="H21" s="281">
        <f t="shared" si="11"/>
        <v>-4.1999999999999318</v>
      </c>
      <c r="I21" s="281">
        <f t="shared" si="11"/>
        <v>4.6999999999999318</v>
      </c>
      <c r="J21" s="281">
        <f t="shared" si="11"/>
        <v>11.189999999999998</v>
      </c>
      <c r="K21" s="281">
        <f t="shared" si="11"/>
        <v>11.749500000000012</v>
      </c>
      <c r="L21" s="281">
        <f t="shared" si="11"/>
        <v>12.336974999999995</v>
      </c>
      <c r="M21" s="281">
        <f t="shared" si="11"/>
        <v>12.953823750000026</v>
      </c>
    </row>
    <row r="22" spans="1:13" ht="19" thickBot="1" x14ac:dyDescent="0.25">
      <c r="A22" s="526"/>
      <c r="D22" s="277" t="s">
        <v>212</v>
      </c>
      <c r="E22" s="521">
        <f>'Cross Health IS'!C21</f>
        <v>15</v>
      </c>
      <c r="F22" s="521">
        <f>'Cross Health IS'!D21</f>
        <v>15.5</v>
      </c>
      <c r="G22" s="521">
        <f>'Cross Health IS'!E21</f>
        <v>14.9</v>
      </c>
      <c r="H22" s="281">
        <f>'Cross Health IS'!F21</f>
        <v>16</v>
      </c>
      <c r="I22" s="281">
        <f>'Cross Health IS'!G21</f>
        <v>16.399999999999999</v>
      </c>
      <c r="J22" s="281">
        <f>I22</f>
        <v>16.399999999999999</v>
      </c>
      <c r="K22" s="281">
        <f t="shared" ref="K22:M22" si="12">J22</f>
        <v>16.399999999999999</v>
      </c>
      <c r="L22" s="281">
        <f t="shared" si="12"/>
        <v>16.399999999999999</v>
      </c>
      <c r="M22" s="281">
        <f t="shared" si="12"/>
        <v>16.399999999999999</v>
      </c>
    </row>
    <row r="23" spans="1:13" x14ac:dyDescent="0.2">
      <c r="A23" s="526"/>
      <c r="D23" s="276" t="s">
        <v>214</v>
      </c>
      <c r="E23" s="539">
        <f>E19+E20-E21-E22</f>
        <v>35.779676674364843</v>
      </c>
      <c r="F23" s="539">
        <f t="shared" ref="F23:M23" si="13">F19+F20-F21-F22</f>
        <v>29.08175519630479</v>
      </c>
      <c r="G23" s="539">
        <f t="shared" si="13"/>
        <v>45.250577367205523</v>
      </c>
      <c r="H23" s="540">
        <f>H19+H20-H21-H22</f>
        <v>39.663741339491871</v>
      </c>
      <c r="I23" s="541">
        <f t="shared" si="13"/>
        <v>35.423787528868402</v>
      </c>
      <c r="J23" s="541">
        <f>J19+J20-J21-J22</f>
        <v>36.707524249422598</v>
      </c>
      <c r="K23" s="541">
        <f t="shared" si="13"/>
        <v>44.359923279445702</v>
      </c>
      <c r="L23" s="541">
        <f t="shared" si="13"/>
        <v>52.444912489145487</v>
      </c>
      <c r="M23" s="541">
        <f t="shared" si="13"/>
        <v>60.984621089787517</v>
      </c>
    </row>
    <row r="24" spans="1:13" ht="19" thickBot="1" x14ac:dyDescent="0.25">
      <c r="A24" s="526"/>
      <c r="D24" s="277" t="s">
        <v>215</v>
      </c>
      <c r="E24" s="521"/>
      <c r="F24" s="521"/>
      <c r="G24" s="521"/>
      <c r="H24" s="281"/>
      <c r="I24" s="281"/>
      <c r="J24" s="281"/>
      <c r="K24" s="281"/>
      <c r="L24" s="281"/>
      <c r="M24" s="301">
        <f>B19</f>
        <v>640.33852144276898</v>
      </c>
    </row>
    <row r="25" spans="1:13" ht="19" thickBot="1" x14ac:dyDescent="0.25">
      <c r="A25" s="526"/>
      <c r="D25" s="184" t="s">
        <v>231</v>
      </c>
      <c r="E25" s="536">
        <f>E23+E24</f>
        <v>35.779676674364843</v>
      </c>
      <c r="F25" s="542">
        <f t="shared" ref="F25:M25" si="14">F23+F24</f>
        <v>29.08175519630479</v>
      </c>
      <c r="G25" s="542">
        <f t="shared" si="14"/>
        <v>45.250577367205523</v>
      </c>
      <c r="H25" s="543">
        <f t="shared" si="14"/>
        <v>39.663741339491871</v>
      </c>
      <c r="I25" s="543">
        <f t="shared" si="14"/>
        <v>35.423787528868402</v>
      </c>
      <c r="J25" s="543">
        <f t="shared" si="14"/>
        <v>36.707524249422598</v>
      </c>
      <c r="K25" s="543">
        <f t="shared" si="14"/>
        <v>44.359923279445702</v>
      </c>
      <c r="L25" s="543">
        <f t="shared" si="14"/>
        <v>52.444912489145487</v>
      </c>
      <c r="M25" s="543">
        <f t="shared" si="14"/>
        <v>701.32314253255652</v>
      </c>
    </row>
    <row r="26" spans="1:13" x14ac:dyDescent="0.2">
      <c r="A26" s="188"/>
      <c r="B26" s="188"/>
      <c r="D26" s="277" t="s">
        <v>216</v>
      </c>
      <c r="E26" s="372"/>
      <c r="F26" s="372">
        <v>1</v>
      </c>
      <c r="G26" s="372">
        <f>F26+1</f>
        <v>2</v>
      </c>
      <c r="H26" s="507">
        <f t="shared" ref="H26:M26" si="15">G26+1</f>
        <v>3</v>
      </c>
      <c r="I26" s="507">
        <f t="shared" si="15"/>
        <v>4</v>
      </c>
      <c r="J26" s="507">
        <f t="shared" si="15"/>
        <v>5</v>
      </c>
      <c r="K26" s="507">
        <f t="shared" si="15"/>
        <v>6</v>
      </c>
      <c r="L26" s="507">
        <f t="shared" si="15"/>
        <v>7</v>
      </c>
      <c r="M26" s="507">
        <f t="shared" si="15"/>
        <v>8</v>
      </c>
    </row>
    <row r="27" spans="1:13" x14ac:dyDescent="0.2">
      <c r="A27" s="188"/>
      <c r="B27" s="188"/>
      <c r="D27" s="277" t="s">
        <v>230</v>
      </c>
      <c r="E27" s="521"/>
      <c r="F27" s="521">
        <v>0.5</v>
      </c>
      <c r="G27" s="521">
        <v>1.5</v>
      </c>
      <c r="H27" s="281">
        <v>2.5</v>
      </c>
      <c r="I27" s="281">
        <v>3.5</v>
      </c>
      <c r="J27" s="281">
        <v>4.5</v>
      </c>
      <c r="K27" s="281">
        <v>5.5</v>
      </c>
      <c r="L27" s="281">
        <v>6.5</v>
      </c>
      <c r="M27" s="281">
        <v>7.5</v>
      </c>
    </row>
    <row r="28" spans="1:13" ht="19" thickBot="1" x14ac:dyDescent="0.25">
      <c r="A28" s="188"/>
      <c r="B28" s="188"/>
      <c r="D28" s="277"/>
      <c r="E28" s="521"/>
      <c r="F28" s="521"/>
      <c r="G28" s="521"/>
      <c r="H28" s="281"/>
      <c r="I28" s="281"/>
      <c r="J28" s="281"/>
      <c r="K28" s="281"/>
      <c r="L28" s="281"/>
      <c r="M28" s="281"/>
    </row>
    <row r="29" spans="1:13" ht="19" thickBot="1" x14ac:dyDescent="0.25">
      <c r="A29" s="188"/>
      <c r="B29" s="188"/>
      <c r="D29" s="184" t="s">
        <v>217</v>
      </c>
      <c r="E29" s="425"/>
      <c r="F29" s="537">
        <f>F25/(1+$B5)^F27</f>
        <v>27.118876552621945</v>
      </c>
      <c r="G29" s="537">
        <f t="shared" ref="G29:L29" si="16">G25/(1+$B5)^G27</f>
        <v>36.69250519179954</v>
      </c>
      <c r="H29" s="538">
        <f t="shared" si="16"/>
        <v>27.967205680057678</v>
      </c>
      <c r="I29" s="538">
        <f t="shared" si="16"/>
        <v>21.719636522891793</v>
      </c>
      <c r="J29" s="538">
        <f t="shared" si="16"/>
        <v>19.571080927346316</v>
      </c>
      <c r="K29" s="538">
        <f>K25/(1+$B5)^K27</f>
        <v>20.566134154754433</v>
      </c>
      <c r="L29" s="538">
        <f t="shared" si="16"/>
        <v>21.143038605237969</v>
      </c>
      <c r="M29" s="538">
        <f>M23/(1+$B5)^M27</f>
        <v>21.378957658361241</v>
      </c>
    </row>
    <row r="30" spans="1:13" ht="19" thickBot="1" x14ac:dyDescent="0.25">
      <c r="A30" s="188"/>
      <c r="B30" s="188"/>
      <c r="D30" s="459"/>
    </row>
    <row r="31" spans="1:13" ht="19" thickBot="1" x14ac:dyDescent="0.25">
      <c r="A31" s="188"/>
      <c r="B31" s="188"/>
      <c r="D31" s="544" t="s">
        <v>281</v>
      </c>
      <c r="E31" s="545">
        <f>SUM(F29:M29)</f>
        <v>196.15743529307088</v>
      </c>
    </row>
    <row r="32" spans="1:13" x14ac:dyDescent="0.2">
      <c r="A32" s="188"/>
      <c r="B32" s="188"/>
      <c r="D32" s="546" t="s">
        <v>282</v>
      </c>
      <c r="E32" s="547">
        <f>M24/(1+B5)^M26</f>
        <v>209.32779852167337</v>
      </c>
      <c r="G32" s="215"/>
      <c r="H32" s="548"/>
    </row>
    <row r="33" spans="4:11" s="188" customFormat="1" x14ac:dyDescent="0.2">
      <c r="D33" s="546" t="s">
        <v>283</v>
      </c>
      <c r="E33" s="547">
        <f>SUM(E31:E32)</f>
        <v>405.48523381474422</v>
      </c>
      <c r="G33" s="216"/>
      <c r="H33" s="441"/>
    </row>
    <row r="34" spans="4:11" s="188" customFormat="1" x14ac:dyDescent="0.2">
      <c r="D34" s="546" t="s">
        <v>199</v>
      </c>
      <c r="E34" s="549">
        <f>'Cross Health BS'!F7</f>
        <v>35.9</v>
      </c>
      <c r="G34" s="277" t="s">
        <v>293</v>
      </c>
      <c r="H34" s="550">
        <f>MAX(G47:I49)</f>
        <v>480.62366758872849</v>
      </c>
    </row>
    <row r="35" spans="4:11" s="188" customFormat="1" x14ac:dyDescent="0.2">
      <c r="D35" s="546" t="s">
        <v>184</v>
      </c>
      <c r="E35" s="549">
        <f>-'Cross Health BS'!F29</f>
        <v>-70.099999999999994</v>
      </c>
      <c r="G35" s="277" t="s">
        <v>192</v>
      </c>
      <c r="H35" s="441">
        <f>QUARTILE(G47:I49,3)</f>
        <v>417.748548856301</v>
      </c>
    </row>
    <row r="36" spans="4:11" s="188" customFormat="1" ht="19" thickBot="1" x14ac:dyDescent="0.25">
      <c r="D36" s="551" t="s">
        <v>272</v>
      </c>
      <c r="E36" s="552">
        <f>SUM(E33:E35)</f>
        <v>371.28523381474417</v>
      </c>
      <c r="G36" s="487" t="s">
        <v>239</v>
      </c>
      <c r="H36" s="553">
        <f>MEDIAN(G47:I49)</f>
        <v>371.28523381474417</v>
      </c>
    </row>
    <row r="37" spans="4:11" s="188" customFormat="1" x14ac:dyDescent="0.2">
      <c r="E37" s="459"/>
      <c r="G37" s="277" t="s">
        <v>294</v>
      </c>
      <c r="H37" s="550">
        <f>AVERAGE(G47:I49)</f>
        <v>377.31375398762651</v>
      </c>
    </row>
    <row r="38" spans="4:11" s="188" customFormat="1" x14ac:dyDescent="0.2">
      <c r="G38" s="277" t="s">
        <v>195</v>
      </c>
      <c r="H38" s="441">
        <f>QUARTILE(G47:I49,1)</f>
        <v>333.47751996141756</v>
      </c>
    </row>
    <row r="39" spans="4:11" s="188" customFormat="1" ht="19" thickBot="1" x14ac:dyDescent="0.25">
      <c r="G39" s="278" t="s">
        <v>240</v>
      </c>
      <c r="H39" s="554">
        <f>MIN(G47:I49)</f>
        <v>299.65144825275718</v>
      </c>
    </row>
    <row r="40" spans="4:11" s="188" customFormat="1" ht="19" thickBot="1" x14ac:dyDescent="0.25"/>
    <row r="41" spans="4:11" s="188" customFormat="1" x14ac:dyDescent="0.2">
      <c r="D41" s="555"/>
      <c r="E41" s="556"/>
      <c r="F41" s="556"/>
      <c r="G41" s="556"/>
      <c r="H41" s="556"/>
      <c r="I41" s="556"/>
      <c r="J41" s="556"/>
      <c r="K41" s="557"/>
    </row>
    <row r="42" spans="4:11" s="188" customFormat="1" ht="19" thickBot="1" x14ac:dyDescent="0.25">
      <c r="D42" s="558"/>
      <c r="E42" s="559" t="s">
        <v>284</v>
      </c>
      <c r="F42" s="560"/>
      <c r="G42" s="560"/>
      <c r="H42" s="560"/>
      <c r="I42" s="560"/>
      <c r="J42" s="560"/>
      <c r="K42" s="561"/>
    </row>
    <row r="43" spans="4:11" s="188" customFormat="1" ht="19" thickBot="1" x14ac:dyDescent="0.25">
      <c r="D43" s="562">
        <f>E36</f>
        <v>371.28523381474417</v>
      </c>
      <c r="E43" s="563">
        <v>0.02</v>
      </c>
      <c r="F43" s="563">
        <v>0.03</v>
      </c>
      <c r="G43" s="563">
        <v>0.04</v>
      </c>
      <c r="H43" s="563">
        <v>0.05</v>
      </c>
      <c r="I43" s="563">
        <v>0.06</v>
      </c>
      <c r="J43" s="563">
        <v>7.0000000000000007E-2</v>
      </c>
      <c r="K43" s="564">
        <v>0.08</v>
      </c>
    </row>
    <row r="44" spans="4:11" s="188" customFormat="1" x14ac:dyDescent="0.2">
      <c r="D44" s="565">
        <v>0.11</v>
      </c>
      <c r="E44" s="231">
        <f t="dataTable" ref="E44:K53" dt2D="1" dtr="1" r1="B3" r2="B5"/>
        <v>398.41588506814855</v>
      </c>
      <c r="F44" s="566">
        <v>462.0594130682415</v>
      </c>
      <c r="G44" s="566">
        <v>543.82383086142102</v>
      </c>
      <c r="H44" s="566">
        <v>652.76851507454228</v>
      </c>
      <c r="I44" s="566">
        <v>805.20034395448829</v>
      </c>
      <c r="J44" s="566">
        <v>1033.7330746971438</v>
      </c>
      <c r="K44" s="567">
        <v>1414.4654754343132</v>
      </c>
    </row>
    <row r="45" spans="4:11" s="188" customFormat="1" x14ac:dyDescent="0.2">
      <c r="D45" s="565">
        <v>0.12</v>
      </c>
      <c r="E45" s="568">
        <v>355.6457289466839</v>
      </c>
      <c r="F45" s="569">
        <v>406.50365013012595</v>
      </c>
      <c r="G45" s="569">
        <v>470.0202294542371</v>
      </c>
      <c r="H45" s="569">
        <v>551.61967851931058</v>
      </c>
      <c r="I45" s="569">
        <v>660.34235026141869</v>
      </c>
      <c r="J45" s="569">
        <v>812.46088053451172</v>
      </c>
      <c r="K45" s="570">
        <v>1040.5205420656694</v>
      </c>
    </row>
    <row r="46" spans="4:11" s="188" customFormat="1" ht="19" thickBot="1" x14ac:dyDescent="0.25">
      <c r="D46" s="565">
        <v>0.13</v>
      </c>
      <c r="E46" s="568">
        <v>320.75741599582238</v>
      </c>
      <c r="F46" s="569">
        <v>362.23874915393458</v>
      </c>
      <c r="G46" s="569">
        <v>412.88820590878368</v>
      </c>
      <c r="H46" s="569">
        <v>476.14301554650285</v>
      </c>
      <c r="I46" s="569">
        <v>557.40453860590992</v>
      </c>
      <c r="J46" s="569">
        <v>665.67504312904498</v>
      </c>
      <c r="K46" s="570">
        <v>817.1586124123578</v>
      </c>
    </row>
    <row r="47" spans="4:11" s="188" customFormat="1" x14ac:dyDescent="0.2">
      <c r="D47" s="565">
        <v>0.14000000000000001</v>
      </c>
      <c r="E47" s="568">
        <v>291.76886748551135</v>
      </c>
      <c r="F47" s="569">
        <v>326.1680845220867</v>
      </c>
      <c r="G47" s="571">
        <v>367.40212881481887</v>
      </c>
      <c r="H47" s="572">
        <v>417.748548856301</v>
      </c>
      <c r="I47" s="573">
        <v>480.62366758872849</v>
      </c>
      <c r="J47" s="569">
        <v>561.39599290239983</v>
      </c>
      <c r="K47" s="570">
        <v>669.01303863271778</v>
      </c>
    </row>
    <row r="48" spans="4:11" s="188" customFormat="1" x14ac:dyDescent="0.2">
      <c r="D48" s="565">
        <v>0.15</v>
      </c>
      <c r="E48" s="568">
        <v>267.30908407185348</v>
      </c>
      <c r="F48" s="569">
        <v>296.22892521645599</v>
      </c>
      <c r="G48" s="574">
        <v>330.36612357153945</v>
      </c>
      <c r="H48" s="575">
        <v>371.28523381474417</v>
      </c>
      <c r="I48" s="576">
        <v>421.24616843836895</v>
      </c>
      <c r="J48" s="569">
        <v>483.63879653823165</v>
      </c>
      <c r="K48" s="570">
        <v>563.79005585012908</v>
      </c>
    </row>
    <row r="49" spans="4:11" s="188" customFormat="1" ht="19" thickBot="1" x14ac:dyDescent="0.25">
      <c r="D49" s="565">
        <v>0.16</v>
      </c>
      <c r="E49" s="568">
        <v>246.39977347447271</v>
      </c>
      <c r="F49" s="569">
        <v>270.99460940054394</v>
      </c>
      <c r="G49" s="577">
        <v>299.65144825275718</v>
      </c>
      <c r="H49" s="578">
        <v>333.47751996141756</v>
      </c>
      <c r="I49" s="579">
        <v>374.02294658996311</v>
      </c>
      <c r="J49" s="569">
        <v>423.52679365659378</v>
      </c>
      <c r="K49" s="570">
        <v>485.34765994712552</v>
      </c>
    </row>
    <row r="50" spans="4:11" s="188" customFormat="1" x14ac:dyDescent="0.2">
      <c r="D50" s="565">
        <v>0.17</v>
      </c>
      <c r="E50" s="568">
        <v>228.32434165897794</v>
      </c>
      <c r="F50" s="569">
        <v>249.44723459245316</v>
      </c>
      <c r="G50" s="569">
        <v>273.78587397106264</v>
      </c>
      <c r="H50" s="569">
        <v>302.1436619627176</v>
      </c>
      <c r="I50" s="569">
        <v>335.61614712308278</v>
      </c>
      <c r="J50" s="569">
        <v>375.73709771109793</v>
      </c>
      <c r="K50" s="570">
        <v>424.72195721484866</v>
      </c>
    </row>
    <row r="51" spans="4:11" s="188" customFormat="1" x14ac:dyDescent="0.2">
      <c r="D51" s="565">
        <v>0.18</v>
      </c>
      <c r="E51" s="568">
        <v>212.5460242682116</v>
      </c>
      <c r="F51" s="569">
        <v>230.84128728713992</v>
      </c>
      <c r="G51" s="569">
        <v>251.71906474065426</v>
      </c>
      <c r="H51" s="569">
        <v>275.77483460616077</v>
      </c>
      <c r="I51" s="569">
        <v>303.80256765127081</v>
      </c>
      <c r="J51" s="569">
        <v>336.88495153849203</v>
      </c>
      <c r="K51" s="570">
        <v>376.5377493927333</v>
      </c>
    </row>
    <row r="52" spans="4:11" s="188" customFormat="1" x14ac:dyDescent="0.2">
      <c r="D52" s="565">
        <v>0.19</v>
      </c>
      <c r="E52" s="568">
        <v>198.65492267484038</v>
      </c>
      <c r="F52" s="569">
        <v>214.61842422641544</v>
      </c>
      <c r="G52" s="569">
        <v>232.68182150460618</v>
      </c>
      <c r="H52" s="569">
        <v>253.29464706836339</v>
      </c>
      <c r="I52" s="569">
        <v>277.04475130619414</v>
      </c>
      <c r="J52" s="569">
        <v>304.71593496363812</v>
      </c>
      <c r="K52" s="570">
        <v>337.37701759482195</v>
      </c>
    </row>
    <row r="53" spans="4:11" s="188" customFormat="1" ht="19" thickBot="1" x14ac:dyDescent="0.25">
      <c r="D53" s="580">
        <v>0.2</v>
      </c>
      <c r="E53" s="581">
        <v>186.3327028143128</v>
      </c>
      <c r="F53" s="582">
        <v>200.35234140511429</v>
      </c>
      <c r="G53" s="582">
        <v>216.09812292876532</v>
      </c>
      <c r="H53" s="582">
        <v>233.91486789277351</v>
      </c>
      <c r="I53" s="582">
        <v>254.24591705829508</v>
      </c>
      <c r="J53" s="582">
        <v>277.67102393469509</v>
      </c>
      <c r="K53" s="583">
        <v>304.96319352138823</v>
      </c>
    </row>
    <row r="54" spans="4:11" s="188" customFormat="1" x14ac:dyDescent="0.2">
      <c r="D54" s="584"/>
    </row>
    <row r="55" spans="4:11" s="188" customFormat="1" x14ac:dyDescent="0.2">
      <c r="D55" s="584"/>
    </row>
    <row r="56" spans="4:11" s="188" customFormat="1" x14ac:dyDescent="0.2">
      <c r="D56" s="584"/>
    </row>
    <row r="57" spans="4:11" s="188" customFormat="1" x14ac:dyDescent="0.2"/>
    <row r="58" spans="4:11" s="188" customFormat="1" x14ac:dyDescent="0.2"/>
    <row r="59" spans="4:11" s="188" customFormat="1" x14ac:dyDescent="0.2"/>
    <row r="60" spans="4:11" s="188" customFormat="1" x14ac:dyDescent="0.2"/>
    <row r="61" spans="4:11" s="188" customFormat="1" x14ac:dyDescent="0.2"/>
    <row r="62" spans="4:11" s="188" customFormat="1" x14ac:dyDescent="0.2"/>
    <row r="63" spans="4:11" s="188" customFormat="1" x14ac:dyDescent="0.2"/>
    <row r="64" spans="4:11" s="188" customFormat="1" x14ac:dyDescent="0.2"/>
    <row r="69" spans="3:3" x14ac:dyDescent="0.2">
      <c r="C69" s="274"/>
    </row>
    <row r="70" spans="3:3" x14ac:dyDescent="0.2">
      <c r="C70" s="585"/>
    </row>
    <row r="71" spans="3:3" x14ac:dyDescent="0.2">
      <c r="C71" s="585"/>
    </row>
    <row r="72" spans="3:3" x14ac:dyDescent="0.2">
      <c r="C72" s="585"/>
    </row>
    <row r="73" spans="3:3" x14ac:dyDescent="0.2">
      <c r="C73" s="585"/>
    </row>
    <row r="74" spans="3:3" x14ac:dyDescent="0.2">
      <c r="C74" s="585"/>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C4335-5C52-624D-9EA4-9A862C1D2D5F}">
  <dimension ref="A1:F62"/>
  <sheetViews>
    <sheetView topLeftCell="A12" workbookViewId="0">
      <selection activeCell="K27" sqref="K27"/>
    </sheetView>
  </sheetViews>
  <sheetFormatPr baseColWidth="10" defaultColWidth="11.5" defaultRowHeight="15" x14ac:dyDescent="0.2"/>
  <cols>
    <col min="1" max="1" width="35.5" customWidth="1"/>
    <col min="2" max="6" width="11.5" style="219"/>
  </cols>
  <sheetData>
    <row r="1" spans="1:6" ht="17" thickBot="1" x14ac:dyDescent="0.25">
      <c r="A1" s="187" t="s">
        <v>307</v>
      </c>
      <c r="B1" s="228" t="s">
        <v>313</v>
      </c>
      <c r="C1" s="229" t="s">
        <v>314</v>
      </c>
      <c r="D1" s="229" t="s">
        <v>315</v>
      </c>
      <c r="E1" s="229" t="s">
        <v>316</v>
      </c>
      <c r="F1" s="230" t="s">
        <v>238</v>
      </c>
    </row>
    <row r="2" spans="1:6" ht="16" x14ac:dyDescent="0.2">
      <c r="A2" s="169" t="s">
        <v>308</v>
      </c>
      <c r="B2" s="222"/>
      <c r="C2" s="223"/>
      <c r="D2" s="223"/>
      <c r="E2" s="223"/>
      <c r="F2" s="224"/>
    </row>
    <row r="3" spans="1:6" ht="16" x14ac:dyDescent="0.2">
      <c r="A3" s="169" t="s">
        <v>309</v>
      </c>
      <c r="B3" s="222">
        <f>'CROSS HEALTH- COMPS'!F46</f>
        <v>526.65088931980904</v>
      </c>
      <c r="C3" s="223">
        <f>'CROSS HEALTH- COMPS'!N49</f>
        <v>689.65220967741936</v>
      </c>
      <c r="D3" s="223">
        <f>'CROSS HEALTH- COMPS'!F31</f>
        <v>702.0897809409837</v>
      </c>
      <c r="E3" s="223">
        <f>'CROSS HEALTH- COMPS'!N40</f>
        <v>778.10069258864712</v>
      </c>
      <c r="F3" s="224">
        <f>'CROSS HEALTH- COMPS'!F58</f>
        <v>1023.610632224415</v>
      </c>
    </row>
    <row r="4" spans="1:6" ht="16" x14ac:dyDescent="0.2">
      <c r="A4" s="169" t="s">
        <v>167</v>
      </c>
      <c r="B4" s="222">
        <f>'CROSS HEALTH- COMPS'!G46</f>
        <v>1330.0476223470669</v>
      </c>
      <c r="C4" s="223">
        <f>'CROSS HEALTH- COMPS'!O49</f>
        <v>1412.8388638007234</v>
      </c>
      <c r="D4" s="223">
        <f>'CROSS HEALTH- COMPS'!G31</f>
        <v>1501.9529056076633</v>
      </c>
      <c r="E4" s="223">
        <f>'CROSS HEALTH- COMPS'!O40</f>
        <v>1871.2826958598732</v>
      </c>
      <c r="F4" s="224">
        <f>'CROSS HEALTH- COMPS'!G58</f>
        <v>1924.900103610425</v>
      </c>
    </row>
    <row r="5" spans="1:6" ht="16" x14ac:dyDescent="0.2">
      <c r="A5" s="169" t="s">
        <v>169</v>
      </c>
      <c r="B5" s="222">
        <f>'CROSS HEALTH- COMPS'!H46</f>
        <v>362.50323206377345</v>
      </c>
      <c r="C5" s="223">
        <f>'CROSS HEALTH- COMPS'!P49</f>
        <v>413.94664488636374</v>
      </c>
      <c r="D5" s="223">
        <f>'CROSS HEALTH- COMPS'!H31</f>
        <v>457.77489989256787</v>
      </c>
      <c r="E5" s="223">
        <f>'CROSS HEALTH- COMPS'!P40</f>
        <v>476.2353720608578</v>
      </c>
      <c r="F5" s="224">
        <f>'CROSS HEALTH- COMPS'!H58</f>
        <v>607.75598691099503</v>
      </c>
    </row>
    <row r="6" spans="1:6" ht="16" x14ac:dyDescent="0.2">
      <c r="A6" s="169" t="s">
        <v>170</v>
      </c>
      <c r="B6" s="222">
        <f>'CROSS HEALTH- COMPS'!I46</f>
        <v>-114.69699412455938</v>
      </c>
      <c r="C6" s="223">
        <f>'CROSS HEALTH- COMPS'!Q49</f>
        <v>91.615237187127605</v>
      </c>
      <c r="D6" s="223">
        <f>'CROSS HEALTH- COMPS'!I31</f>
        <v>475.42231075697225</v>
      </c>
      <c r="E6" s="223">
        <f>'CROSS HEALTH- COMPS'!Q40</f>
        <v>995.45582527301144</v>
      </c>
      <c r="F6" s="224">
        <f>'CROSS HEALTH- COMPS'!I58</f>
        <v>10492.175250000004</v>
      </c>
    </row>
    <row r="7" spans="1:6" ht="16" x14ac:dyDescent="0.2">
      <c r="A7" s="169" t="s">
        <v>310</v>
      </c>
      <c r="B7" s="222"/>
      <c r="C7" s="223"/>
      <c r="D7" s="223"/>
      <c r="E7" s="223"/>
      <c r="F7" s="224"/>
    </row>
    <row r="8" spans="1:6" ht="16" x14ac:dyDescent="0.2">
      <c r="A8" s="169" t="s">
        <v>309</v>
      </c>
      <c r="B8" s="222">
        <f>'CROSS HEALTH - Precedent Trans'!E45</f>
        <v>78.420000000000016</v>
      </c>
      <c r="C8" s="223">
        <f>'CROSS HEALTH - Precedent Trans'!E72</f>
        <v>187.285</v>
      </c>
      <c r="D8" s="223">
        <f>'CROSS HEALTH - Precedent Trans'!E33</f>
        <v>238.95000000000002</v>
      </c>
      <c r="E8" s="223">
        <f>'CROSS HEALTH - Precedent Trans'!E64</f>
        <v>34.9</v>
      </c>
      <c r="F8" s="224">
        <f>'CROSS HEALTH - Precedent Trans'!E55</f>
        <v>774.05000000000007</v>
      </c>
    </row>
    <row r="9" spans="1:6" ht="16" x14ac:dyDescent="0.2">
      <c r="A9" s="169" t="s">
        <v>167</v>
      </c>
      <c r="B9" s="222">
        <f>'CROSS HEALTH - Precedent Trans'!F45</f>
        <v>738.25000000000011</v>
      </c>
      <c r="C9" s="223">
        <f>'CROSS HEALTH - Precedent Trans'!F72</f>
        <v>1139.3200000000002</v>
      </c>
      <c r="D9" s="223">
        <f>'CROSS HEALTH - Precedent Trans'!F33</f>
        <v>1483.1900000000003</v>
      </c>
      <c r="E9" s="223">
        <f>'CROSS HEALTH - Precedent Trans'!F64</f>
        <v>34.9</v>
      </c>
      <c r="F9" s="224">
        <f>'CROSS HEALTH - Precedent Trans'!F55</f>
        <v>1702.2900000000004</v>
      </c>
    </row>
    <row r="10" spans="1:6" ht="16" x14ac:dyDescent="0.2">
      <c r="A10" s="169" t="s">
        <v>311</v>
      </c>
      <c r="B10" s="222"/>
      <c r="C10" s="223"/>
      <c r="D10" s="223"/>
      <c r="E10" s="223"/>
      <c r="F10" s="224"/>
    </row>
    <row r="11" spans="1:6" ht="17" thickBot="1" x14ac:dyDescent="0.25">
      <c r="A11" s="170" t="s">
        <v>312</v>
      </c>
      <c r="B11" s="225">
        <f>'CROSS HEALTH - DCF '!H39</f>
        <v>299.65144825275718</v>
      </c>
      <c r="C11" s="226">
        <f>'CROSS HEALTH - DCF '!H38</f>
        <v>333.47751996141756</v>
      </c>
      <c r="D11" s="226">
        <f>'CROSS HEALTH - DCF '!H36</f>
        <v>371.28523381474417</v>
      </c>
      <c r="E11" s="226">
        <f>'CROSS HEALTH - DCF '!H35</f>
        <v>417.748548856301</v>
      </c>
      <c r="F11" s="227">
        <f>'CROSS HEALTH - DCF '!H34</f>
        <v>480.62366758872849</v>
      </c>
    </row>
    <row r="42" spans="1:6" x14ac:dyDescent="0.2">
      <c r="A42" s="219"/>
      <c r="F42"/>
    </row>
    <row r="43" spans="1:6" x14ac:dyDescent="0.2">
      <c r="B43"/>
      <c r="C43"/>
      <c r="D43"/>
      <c r="E43"/>
      <c r="F43"/>
    </row>
    <row r="44" spans="1:6" x14ac:dyDescent="0.2">
      <c r="B44"/>
      <c r="C44"/>
      <c r="D44"/>
      <c r="E44"/>
      <c r="F44"/>
    </row>
    <row r="45" spans="1:6" x14ac:dyDescent="0.2">
      <c r="B45"/>
      <c r="C45"/>
      <c r="D45"/>
      <c r="E45"/>
      <c r="F45"/>
    </row>
    <row r="46" spans="1:6" x14ac:dyDescent="0.2">
      <c r="B46"/>
      <c r="C46"/>
      <c r="D46"/>
      <c r="E46"/>
      <c r="F46"/>
    </row>
    <row r="47" spans="1:6" x14ac:dyDescent="0.2">
      <c r="B47"/>
      <c r="C47"/>
      <c r="D47"/>
      <c r="E47"/>
      <c r="F47"/>
    </row>
    <row r="48" spans="1:6" x14ac:dyDescent="0.2">
      <c r="B48"/>
      <c r="C48"/>
      <c r="D48"/>
      <c r="E48"/>
      <c r="F48"/>
    </row>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464A-4A49-F942-BFC0-B57597EF40D3}">
  <dimension ref="B1:W77"/>
  <sheetViews>
    <sheetView topLeftCell="A16" zoomScale="74" workbookViewId="0">
      <selection activeCell="E45" sqref="E45"/>
    </sheetView>
  </sheetViews>
  <sheetFormatPr baseColWidth="10" defaultColWidth="11.5" defaultRowHeight="18" x14ac:dyDescent="0.2"/>
  <cols>
    <col min="1" max="1" width="11.5" style="188"/>
    <col min="2" max="2" width="83.6640625" style="188" customWidth="1"/>
    <col min="3" max="3" width="44.33203125" style="188" customWidth="1"/>
    <col min="4" max="5" width="11.5" style="188"/>
    <col min="6" max="6" width="29.5" style="188" customWidth="1"/>
    <col min="7" max="7" width="11.5" style="188"/>
    <col min="8" max="8" width="51" style="188" customWidth="1"/>
    <col min="9" max="9" width="27.5" style="188" customWidth="1"/>
    <col min="10" max="10" width="20.83203125" style="188" customWidth="1"/>
    <col min="11" max="13" width="11.5" style="188"/>
    <col min="14" max="14" width="22" style="188" customWidth="1"/>
    <col min="15" max="15" width="31.5" style="188" customWidth="1"/>
    <col min="16" max="16" width="51.83203125" style="188" customWidth="1"/>
    <col min="17" max="17" width="11.5" style="188"/>
    <col min="18" max="18" width="44.1640625" style="188" customWidth="1"/>
    <col min="19" max="16384" width="11.5" style="188"/>
  </cols>
  <sheetData>
    <row r="1" spans="2:19" ht="19" thickBot="1" x14ac:dyDescent="0.25">
      <c r="B1" s="380" t="s">
        <v>241</v>
      </c>
      <c r="C1" s="381"/>
      <c r="D1" s="381"/>
      <c r="E1" s="381"/>
      <c r="F1" s="381"/>
      <c r="G1" s="381"/>
      <c r="H1" s="382"/>
      <c r="I1" s="382"/>
      <c r="J1" s="381"/>
      <c r="K1" s="381"/>
      <c r="L1" s="381"/>
      <c r="M1" s="381"/>
      <c r="N1" s="381"/>
      <c r="O1" s="382"/>
      <c r="P1" s="382"/>
      <c r="Q1" s="382"/>
      <c r="R1" s="382"/>
      <c r="S1" s="383"/>
    </row>
    <row r="2" spans="2:19" ht="48.5" customHeight="1" thickBot="1" x14ac:dyDescent="0.25">
      <c r="B2" s="384" t="s">
        <v>128</v>
      </c>
      <c r="C2" s="384"/>
      <c r="D2" s="385"/>
      <c r="E2" s="385"/>
      <c r="F2" s="385"/>
      <c r="G2" s="385"/>
      <c r="H2" s="385"/>
      <c r="I2" s="385"/>
      <c r="J2" s="385"/>
      <c r="K2" s="385"/>
      <c r="L2" s="385"/>
      <c r="M2" s="385"/>
      <c r="N2" s="385"/>
      <c r="O2" s="385"/>
      <c r="P2" s="385"/>
      <c r="Q2" s="386"/>
    </row>
    <row r="3" spans="2:19" ht="28.25" customHeight="1" x14ac:dyDescent="0.2">
      <c r="B3" s="586"/>
      <c r="C3" s="587" t="s">
        <v>112</v>
      </c>
      <c r="D3" s="587" t="s">
        <v>114</v>
      </c>
      <c r="E3" s="587" t="s">
        <v>162</v>
      </c>
      <c r="F3" s="587"/>
      <c r="G3" s="587"/>
      <c r="H3" s="587" t="s">
        <v>165</v>
      </c>
      <c r="I3" s="587" t="s">
        <v>168</v>
      </c>
      <c r="J3" s="587" t="s">
        <v>118</v>
      </c>
      <c r="K3" s="587" t="s">
        <v>118</v>
      </c>
      <c r="L3" s="587" t="s">
        <v>118</v>
      </c>
      <c r="M3" s="587" t="s">
        <v>118</v>
      </c>
      <c r="N3" s="587" t="s">
        <v>166</v>
      </c>
      <c r="O3" s="587" t="s">
        <v>167</v>
      </c>
      <c r="P3" s="587" t="s">
        <v>169</v>
      </c>
      <c r="Q3" s="588" t="s">
        <v>170</v>
      </c>
    </row>
    <row r="4" spans="2:19" ht="21" customHeight="1" thickBot="1" x14ac:dyDescent="0.25">
      <c r="B4" s="214"/>
      <c r="C4" s="589" t="s">
        <v>113</v>
      </c>
      <c r="D4" s="589" t="s">
        <v>115</v>
      </c>
      <c r="E4" s="589" t="s">
        <v>163</v>
      </c>
      <c r="F4" s="589" t="s">
        <v>116</v>
      </c>
      <c r="G4" s="589" t="s">
        <v>117</v>
      </c>
      <c r="H4" s="589" t="s">
        <v>164</v>
      </c>
      <c r="I4" s="589"/>
      <c r="J4" s="589" t="s">
        <v>119</v>
      </c>
      <c r="K4" s="589" t="s">
        <v>120</v>
      </c>
      <c r="L4" s="589" t="s">
        <v>121</v>
      </c>
      <c r="M4" s="589" t="s">
        <v>122</v>
      </c>
      <c r="N4" s="589"/>
      <c r="O4" s="589"/>
      <c r="P4" s="589"/>
      <c r="Q4" s="590"/>
    </row>
    <row r="5" spans="2:19" ht="19" thickBot="1" x14ac:dyDescent="0.25">
      <c r="B5" s="239" t="str">
        <f>'Public Comps'!B19</f>
        <v>Company 7</v>
      </c>
      <c r="C5" s="591">
        <f>'Public Comps'!E19</f>
        <v>79.349999999999994</v>
      </c>
      <c r="D5" s="591">
        <f>'Public Comps'!F19</f>
        <v>22.4</v>
      </c>
      <c r="E5" s="548">
        <f>C5*D5</f>
        <v>1777.4399999999998</v>
      </c>
      <c r="F5" s="548">
        <f>'Public Comps'!G19</f>
        <v>71.2</v>
      </c>
      <c r="G5" s="548">
        <f>'Public Comps'!H19</f>
        <v>21.5</v>
      </c>
      <c r="H5" s="548">
        <f>E5+F5-G5</f>
        <v>1827.1399999999999</v>
      </c>
      <c r="I5" s="548">
        <f>J5/D5</f>
        <v>86.236607142857153</v>
      </c>
      <c r="J5" s="548">
        <f>'Public Comps'!I19</f>
        <v>1931.7</v>
      </c>
      <c r="K5" s="548">
        <f>'Public Comps'!J19</f>
        <v>164</v>
      </c>
      <c r="L5" s="548">
        <f>'Public Comps'!K19</f>
        <v>135.9</v>
      </c>
      <c r="M5" s="548">
        <f>'Public Comps'!L19</f>
        <v>80.2</v>
      </c>
      <c r="N5" s="548">
        <f>H5/J5</f>
        <v>0.94587151213956611</v>
      </c>
      <c r="O5" s="548">
        <f>H5/K5</f>
        <v>11.141097560975609</v>
      </c>
      <c r="P5" s="548">
        <f>H5/L5</f>
        <v>13.444738778513612</v>
      </c>
      <c r="Q5" s="241">
        <f>C5/L5</f>
        <v>0.58388520971302427</v>
      </c>
    </row>
    <row r="6" spans="2:19" ht="19" thickBot="1" x14ac:dyDescent="0.25">
      <c r="B6" s="242" t="str">
        <f>'Public Comps'!B20</f>
        <v>Company 8</v>
      </c>
      <c r="C6" s="592">
        <f>'Public Comps'!E20</f>
        <v>61.25</v>
      </c>
      <c r="D6" s="592">
        <f>'Public Comps'!F20</f>
        <v>16.5</v>
      </c>
      <c r="E6" s="441">
        <f>C6*D6</f>
        <v>1010.625</v>
      </c>
      <c r="F6" s="441">
        <f>'Public Comps'!G20</f>
        <v>108.5</v>
      </c>
      <c r="G6" s="441">
        <f>'Public Comps'!H20</f>
        <v>6.4</v>
      </c>
      <c r="H6" s="441">
        <f>E6+F6-G6</f>
        <v>1112.7249999999999</v>
      </c>
      <c r="I6" s="441">
        <f>J6/D6</f>
        <v>57.68484848484848</v>
      </c>
      <c r="J6" s="441">
        <f>'Public Comps'!I20</f>
        <v>951.8</v>
      </c>
      <c r="K6" s="441">
        <f>'Public Comps'!J20</f>
        <v>135.19999999999999</v>
      </c>
      <c r="L6" s="441">
        <f>'Public Comps'!K20</f>
        <v>85.3</v>
      </c>
      <c r="M6" s="441">
        <f>'Public Comps'!L20</f>
        <v>45.9</v>
      </c>
      <c r="N6" s="441">
        <f>H6/J6</f>
        <v>1.1690743853750787</v>
      </c>
      <c r="O6" s="441">
        <f>H6/K6</f>
        <v>8.2302144970414197</v>
      </c>
      <c r="P6" s="441">
        <f>H6/L6</f>
        <v>13.044841735052755</v>
      </c>
      <c r="Q6" s="241">
        <f>C6/L6</f>
        <v>0.71805392731535755</v>
      </c>
    </row>
    <row r="7" spans="2:19" ht="19" thickBot="1" x14ac:dyDescent="0.25">
      <c r="B7" s="244" t="str">
        <f>'Public Comps'!B21</f>
        <v>Company 9</v>
      </c>
      <c r="C7" s="593">
        <f>'Public Comps'!E21</f>
        <v>20.45</v>
      </c>
      <c r="D7" s="593">
        <f>'Public Comps'!F21</f>
        <v>15.7</v>
      </c>
      <c r="E7" s="442">
        <f>C7*D7</f>
        <v>321.065</v>
      </c>
      <c r="F7" s="442">
        <f>'Public Comps'!G21</f>
        <v>172.5</v>
      </c>
      <c r="G7" s="442">
        <f>'Public Comps'!H21</f>
        <v>49.2</v>
      </c>
      <c r="H7" s="442">
        <f>E7+F7-G7</f>
        <v>444.36500000000001</v>
      </c>
      <c r="I7" s="442">
        <f>J7/D7</f>
        <v>57.261146496815286</v>
      </c>
      <c r="J7" s="442">
        <f>'Public Comps'!I21</f>
        <v>899</v>
      </c>
      <c r="K7" s="442">
        <f>'Public Comps'!J21</f>
        <v>42</v>
      </c>
      <c r="L7" s="442">
        <f>'Public Comps'!K21</f>
        <v>21.3</v>
      </c>
      <c r="M7" s="442">
        <f>'Public Comps'!L21</f>
        <v>-25.1</v>
      </c>
      <c r="N7" s="442">
        <f>H7/J7</f>
        <v>0.4942880978865406</v>
      </c>
      <c r="O7" s="442">
        <f>H7/K7</f>
        <v>10.580119047619048</v>
      </c>
      <c r="P7" s="442">
        <f>H7/L7</f>
        <v>20.862206572769953</v>
      </c>
      <c r="Q7" s="241">
        <f>C7/L7</f>
        <v>0.960093896713615</v>
      </c>
    </row>
    <row r="8" spans="2:19" ht="19" thickBot="1" x14ac:dyDescent="0.25"/>
    <row r="9" spans="2:19" x14ac:dyDescent="0.2">
      <c r="B9" s="548"/>
    </row>
    <row r="10" spans="2:19" x14ac:dyDescent="0.2">
      <c r="B10" s="441" t="s">
        <v>285</v>
      </c>
    </row>
    <row r="11" spans="2:19" x14ac:dyDescent="0.2">
      <c r="B11" s="441"/>
    </row>
    <row r="12" spans="2:19" ht="19" thickBot="1" x14ac:dyDescent="0.25">
      <c r="B12" s="441"/>
    </row>
    <row r="13" spans="2:19" ht="19" thickBot="1" x14ac:dyDescent="0.25">
      <c r="B13" s="442"/>
      <c r="O13" s="350"/>
      <c r="P13" s="297"/>
      <c r="Q13" s="297"/>
      <c r="R13" s="247" t="s">
        <v>172</v>
      </c>
      <c r="S13" s="423"/>
    </row>
    <row r="14" spans="2:19" ht="19" thickBot="1" x14ac:dyDescent="0.25">
      <c r="H14" s="350"/>
      <c r="I14" s="297"/>
      <c r="J14" s="297"/>
      <c r="K14" s="247" t="s">
        <v>172</v>
      </c>
      <c r="L14" s="423"/>
      <c r="O14" s="304"/>
      <c r="P14" s="427" t="s">
        <v>178</v>
      </c>
      <c r="Q14" s="594" t="s">
        <v>120</v>
      </c>
      <c r="R14" s="427" t="s">
        <v>179</v>
      </c>
      <c r="S14" s="428" t="s">
        <v>170</v>
      </c>
    </row>
    <row r="15" spans="2:19" ht="19" thickBot="1" x14ac:dyDescent="0.25">
      <c r="H15" s="304"/>
      <c r="I15" s="427" t="s">
        <v>178</v>
      </c>
      <c r="J15" s="594" t="s">
        <v>120</v>
      </c>
      <c r="K15" s="427" t="s">
        <v>179</v>
      </c>
      <c r="L15" s="428" t="s">
        <v>170</v>
      </c>
      <c r="O15" s="249" t="s">
        <v>174</v>
      </c>
      <c r="P15" s="595">
        <f>K27*I16</f>
        <v>301.73809886530785</v>
      </c>
      <c r="Q15" s="153">
        <f t="shared" ref="Q15:S15" si="0">L27*J16</f>
        <v>543.68556097560986</v>
      </c>
      <c r="R15" s="153">
        <f>M27*K16</f>
        <v>427.67523474178427</v>
      </c>
      <c r="S15" s="530">
        <f t="shared" si="0"/>
        <v>13.921361502347427</v>
      </c>
    </row>
    <row r="16" spans="2:19" ht="19" thickBot="1" x14ac:dyDescent="0.25">
      <c r="H16" s="249" t="s">
        <v>174</v>
      </c>
      <c r="I16" s="596">
        <f>MAX(N5:N7)</f>
        <v>1.1690743853750787</v>
      </c>
      <c r="J16" s="596">
        <f>MAX(O5:O7)</f>
        <v>11.141097560975609</v>
      </c>
      <c r="K16" s="596">
        <f>MAX(P5:P7)</f>
        <v>20.862206572769953</v>
      </c>
      <c r="L16" s="596">
        <f>MAX(Q5:Q7)</f>
        <v>0.960093896713615</v>
      </c>
      <c r="O16" s="249" t="s">
        <v>173</v>
      </c>
      <c r="P16" s="597">
        <f>I17*K27</f>
        <v>272.93376807426495</v>
      </c>
      <c r="Q16" s="156">
        <f>J17*L27</f>
        <v>529.99768524970978</v>
      </c>
      <c r="R16" s="156">
        <f t="shared" ref="R16:S16" si="1">K17*M27</f>
        <v>351.64618985065675</v>
      </c>
      <c r="S16" s="301">
        <f t="shared" si="1"/>
        <v>12.16657172421006</v>
      </c>
    </row>
    <row r="17" spans="2:22" ht="19" thickBot="1" x14ac:dyDescent="0.25">
      <c r="H17" s="249" t="s">
        <v>173</v>
      </c>
      <c r="I17" s="201">
        <f>QUARTILE(N5:N7,3)</f>
        <v>1.0574729487573225</v>
      </c>
      <c r="J17" s="201">
        <f>QUARTILE(O5:O7,3)</f>
        <v>10.86060830429733</v>
      </c>
      <c r="K17" s="201">
        <f>QUARTILE(P5:P7,3)</f>
        <v>17.153472675641783</v>
      </c>
      <c r="L17" s="201">
        <f>QUARTILE(Q5:Q7,3)</f>
        <v>0.83907391201448633</v>
      </c>
      <c r="O17" s="598" t="s">
        <v>175</v>
      </c>
      <c r="P17" s="597">
        <f>I18*K27</f>
        <v>244.12943728322205</v>
      </c>
      <c r="Q17" s="156">
        <f t="shared" ref="Q17:S17" si="2">J18*L27</f>
        <v>516.30980952380969</v>
      </c>
      <c r="R17" s="156">
        <f t="shared" si="2"/>
        <v>275.61714495952918</v>
      </c>
      <c r="S17" s="301">
        <f t="shared" si="2"/>
        <v>10.411781946072692</v>
      </c>
    </row>
    <row r="18" spans="2:22" ht="19" thickBot="1" x14ac:dyDescent="0.25">
      <c r="H18" s="598" t="s">
        <v>175</v>
      </c>
      <c r="I18" s="599">
        <f>MEDIAN(N5:N7)</f>
        <v>0.94587151213956611</v>
      </c>
      <c r="J18" s="599">
        <f>MEDIAN(O5:O7)</f>
        <v>10.580119047619048</v>
      </c>
      <c r="K18" s="599">
        <f>MEDIAN(P5:P7)</f>
        <v>13.444738778513612</v>
      </c>
      <c r="L18" s="600">
        <f>MEDIAN(Q5:Q7)</f>
        <v>0.71805392731535755</v>
      </c>
      <c r="O18" s="249" t="s">
        <v>176</v>
      </c>
      <c r="P18" s="597">
        <f>I19*K27</f>
        <v>224.48109807101534</v>
      </c>
      <c r="Q18" s="156">
        <f t="shared" ref="Q18:S18" si="3">J19*L27</f>
        <v>487.20994598501358</v>
      </c>
      <c r="R18" s="156">
        <f t="shared" si="3"/>
        <v>323.57054508996498</v>
      </c>
      <c r="S18" s="301">
        <f t="shared" si="3"/>
        <v>10.933159663086325</v>
      </c>
    </row>
    <row r="19" spans="2:22" x14ac:dyDescent="0.2">
      <c r="H19" s="249" t="s">
        <v>176</v>
      </c>
      <c r="I19" s="201">
        <f>AVERAGE(N5:N7)</f>
        <v>0.8697446651337285</v>
      </c>
      <c r="J19" s="201">
        <f>AVERAGE(O5:O7)</f>
        <v>9.9838103685453579</v>
      </c>
      <c r="K19" s="201">
        <f>AVERAGE(P5:P7)</f>
        <v>15.783929028778772</v>
      </c>
      <c r="L19" s="201">
        <f>AVERAGE(Q5:Q7)</f>
        <v>0.75401101124733227</v>
      </c>
      <c r="O19" s="249" t="s">
        <v>242</v>
      </c>
      <c r="P19" s="597">
        <f>I20*K27</f>
        <v>185.8525976738691</v>
      </c>
      <c r="Q19" s="156">
        <f t="shared" ref="Q19:S19" si="4">J20*L27</f>
        <v>458.97213848971546</v>
      </c>
      <c r="R19" s="156">
        <f t="shared" si="4"/>
        <v>271.51820026405539</v>
      </c>
      <c r="S19" s="301">
        <f t="shared" si="4"/>
        <v>9.4390587434557744</v>
      </c>
    </row>
    <row r="20" spans="2:22" ht="19" thickBot="1" x14ac:dyDescent="0.25">
      <c r="H20" s="249" t="s">
        <v>177</v>
      </c>
      <c r="I20" s="201">
        <f>QUARTILE(N5:N7,1)</f>
        <v>0.72007980501305335</v>
      </c>
      <c r="J20" s="201">
        <f>QUARTILE(O5:O7,1)</f>
        <v>9.405166772330233</v>
      </c>
      <c r="K20" s="201">
        <f>QUARTILE(P5:P7,1)</f>
        <v>13.244790256783183</v>
      </c>
      <c r="L20" s="201">
        <f>QUARTILE(Q5:Q7,1)</f>
        <v>0.65096956851419097</v>
      </c>
      <c r="O20" s="252" t="s">
        <v>171</v>
      </c>
      <c r="P20" s="601">
        <f>I21*K27</f>
        <v>127.57575806451614</v>
      </c>
      <c r="Q20" s="307">
        <f t="shared" ref="Q20:S20" si="5">J21*L27</f>
        <v>401.63446745562135</v>
      </c>
      <c r="R20" s="307">
        <f t="shared" si="5"/>
        <v>267.4192555685816</v>
      </c>
      <c r="S20" s="308">
        <f t="shared" si="5"/>
        <v>8.4663355408388572</v>
      </c>
    </row>
    <row r="21" spans="2:22" ht="19" thickBot="1" x14ac:dyDescent="0.25">
      <c r="H21" s="252" t="s">
        <v>171</v>
      </c>
      <c r="I21" s="602">
        <f>MIN(N5:N7)</f>
        <v>0.4942880978865406</v>
      </c>
      <c r="J21" s="602">
        <f>MIN(O5:O7)</f>
        <v>8.2302144970414197</v>
      </c>
      <c r="K21" s="602">
        <f>MIN(P5:P7)</f>
        <v>13.044841735052755</v>
      </c>
      <c r="L21" s="602">
        <f>MIN(Q5:Q7)</f>
        <v>0.58388520971302427</v>
      </c>
    </row>
    <row r="23" spans="2:22" ht="19" thickBot="1" x14ac:dyDescent="0.25"/>
    <row r="24" spans="2:22" ht="19" thickBot="1" x14ac:dyDescent="0.25">
      <c r="P24" s="211"/>
      <c r="Q24" s="297"/>
      <c r="R24" s="297"/>
      <c r="S24" s="297" t="s">
        <v>286</v>
      </c>
      <c r="T24" s="297"/>
      <c r="U24" s="297"/>
      <c r="V24" s="423"/>
    </row>
    <row r="25" spans="2:22" ht="19" thickBot="1" x14ac:dyDescent="0.25">
      <c r="H25" s="213"/>
      <c r="I25" s="297"/>
      <c r="J25" s="297"/>
      <c r="K25" s="297" t="s">
        <v>203</v>
      </c>
      <c r="L25" s="297"/>
      <c r="M25" s="297"/>
      <c r="N25" s="423"/>
      <c r="P25" s="212"/>
      <c r="Q25" s="250"/>
      <c r="R25" s="250"/>
      <c r="S25" s="250" t="s">
        <v>180</v>
      </c>
      <c r="T25" s="250" t="s">
        <v>120</v>
      </c>
      <c r="U25" s="250" t="s">
        <v>179</v>
      </c>
      <c r="V25" s="251" t="s">
        <v>170</v>
      </c>
    </row>
    <row r="26" spans="2:22" ht="19" thickBot="1" x14ac:dyDescent="0.25">
      <c r="H26" s="249"/>
      <c r="I26" s="511"/>
      <c r="J26" s="186"/>
      <c r="K26" s="186" t="s">
        <v>180</v>
      </c>
      <c r="L26" s="186" t="s">
        <v>120</v>
      </c>
      <c r="M26" s="186" t="s">
        <v>179</v>
      </c>
      <c r="N26" s="452" t="s">
        <v>170</v>
      </c>
      <c r="P26" s="249" t="s">
        <v>181</v>
      </c>
      <c r="Q26" s="603"/>
      <c r="R26" s="603"/>
      <c r="S26" s="603">
        <f>K27</f>
        <v>258.10000000000002</v>
      </c>
      <c r="T26" s="603">
        <f t="shared" ref="T26:V26" si="6">L27</f>
        <v>48.800000000000011</v>
      </c>
      <c r="U26" s="603">
        <f t="shared" si="6"/>
        <v>20.500000000000011</v>
      </c>
      <c r="V26" s="604">
        <f t="shared" si="6"/>
        <v>14.500000000000009</v>
      </c>
    </row>
    <row r="27" spans="2:22" x14ac:dyDescent="0.2">
      <c r="H27" s="249" t="s">
        <v>181</v>
      </c>
      <c r="I27" s="205"/>
      <c r="J27" s="151"/>
      <c r="K27" s="152">
        <f>'Cross Play IS'!F6</f>
        <v>258.10000000000002</v>
      </c>
      <c r="L27" s="152">
        <f>'Cross Play IS'!F9</f>
        <v>48.800000000000011</v>
      </c>
      <c r="M27" s="152">
        <f>'Cross Play IS'!F14</f>
        <v>20.500000000000011</v>
      </c>
      <c r="N27" s="508">
        <f>'Cross Play IS'!F19</f>
        <v>14.500000000000009</v>
      </c>
      <c r="P27" s="277" t="s">
        <v>182</v>
      </c>
      <c r="Q27" s="195"/>
      <c r="R27" s="155"/>
      <c r="S27" s="155">
        <f>I21</f>
        <v>0.4942880978865406</v>
      </c>
      <c r="T27" s="155">
        <f t="shared" ref="T27:V27" si="7">J21</f>
        <v>8.2302144970414197</v>
      </c>
      <c r="U27" s="155">
        <f t="shared" si="7"/>
        <v>13.044841735052755</v>
      </c>
      <c r="V27" s="303">
        <f t="shared" si="7"/>
        <v>0.58388520971302427</v>
      </c>
    </row>
    <row r="28" spans="2:22" ht="19" thickBot="1" x14ac:dyDescent="0.25">
      <c r="H28" s="249" t="s">
        <v>182</v>
      </c>
      <c r="I28" s="207"/>
      <c r="J28" s="154"/>
      <c r="K28" s="155">
        <f>I18</f>
        <v>0.94587151213956611</v>
      </c>
      <c r="L28" s="155">
        <f t="shared" ref="L28:N28" si="8">J18</f>
        <v>10.580119047619048</v>
      </c>
      <c r="M28" s="155">
        <f t="shared" si="8"/>
        <v>13.444738778513612</v>
      </c>
      <c r="N28" s="303">
        <f t="shared" si="8"/>
        <v>0.71805392731535755</v>
      </c>
      <c r="P28" s="277" t="s">
        <v>183</v>
      </c>
      <c r="Q28" s="195"/>
      <c r="R28" s="155"/>
      <c r="S28" s="155">
        <f>S26*S27</f>
        <v>127.57575806451614</v>
      </c>
      <c r="T28" s="155">
        <f t="shared" ref="T28:V28" si="9">T26*T27</f>
        <v>401.63446745562135</v>
      </c>
      <c r="U28" s="155">
        <f t="shared" si="9"/>
        <v>267.4192555685816</v>
      </c>
      <c r="V28" s="303">
        <f t="shared" si="9"/>
        <v>8.4663355408388572</v>
      </c>
    </row>
    <row r="29" spans="2:22" x14ac:dyDescent="0.2">
      <c r="B29" s="605"/>
      <c r="H29" s="249" t="s">
        <v>183</v>
      </c>
      <c r="I29" s="207"/>
      <c r="J29" s="154"/>
      <c r="K29" s="155">
        <f>K27*K28</f>
        <v>244.12943728322205</v>
      </c>
      <c r="L29" s="155">
        <f t="shared" ref="L29:N29" si="10">L27*L28</f>
        <v>516.30980952380969</v>
      </c>
      <c r="M29" s="155">
        <f t="shared" si="10"/>
        <v>275.61714495952918</v>
      </c>
      <c r="N29" s="303">
        <f t="shared" si="10"/>
        <v>10.411781946072692</v>
      </c>
      <c r="P29" s="277" t="s">
        <v>184</v>
      </c>
      <c r="Q29" s="195"/>
      <c r="R29" s="155"/>
      <c r="S29" s="155">
        <f>K30</f>
        <v>-15.4</v>
      </c>
      <c r="T29" s="155">
        <f t="shared" ref="T29:V30" si="11">L30</f>
        <v>-15.4</v>
      </c>
      <c r="U29" s="155">
        <f t="shared" si="11"/>
        <v>-15.4</v>
      </c>
      <c r="V29" s="303">
        <f t="shared" si="11"/>
        <v>-15.4</v>
      </c>
    </row>
    <row r="30" spans="2:22" ht="19" thickBot="1" x14ac:dyDescent="0.25">
      <c r="B30" s="606" t="s">
        <v>188</v>
      </c>
      <c r="H30" s="249" t="s">
        <v>184</v>
      </c>
      <c r="I30" s="207"/>
      <c r="J30" s="154"/>
      <c r="K30" s="155">
        <f>-'Cross Play BS'!F30</f>
        <v>-15.4</v>
      </c>
      <c r="L30" s="155">
        <f>K30</f>
        <v>-15.4</v>
      </c>
      <c r="M30" s="155">
        <f t="shared" ref="M30:N30" si="12">L30</f>
        <v>-15.4</v>
      </c>
      <c r="N30" s="303">
        <f t="shared" si="12"/>
        <v>-15.4</v>
      </c>
      <c r="P30" s="277" t="s">
        <v>185</v>
      </c>
      <c r="Q30" s="195"/>
      <c r="R30" s="155"/>
      <c r="S30" s="155">
        <f>K31</f>
        <v>11.3</v>
      </c>
      <c r="T30" s="155">
        <f t="shared" si="11"/>
        <v>11.3</v>
      </c>
      <c r="U30" s="155">
        <f t="shared" si="11"/>
        <v>11.3</v>
      </c>
      <c r="V30" s="303">
        <f t="shared" si="11"/>
        <v>11.3</v>
      </c>
    </row>
    <row r="31" spans="2:22" x14ac:dyDescent="0.2">
      <c r="B31" s="607">
        <f>'Cross Health IS'!H28</f>
        <v>6.5078164397377716</v>
      </c>
      <c r="H31" s="249" t="s">
        <v>185</v>
      </c>
      <c r="I31" s="207"/>
      <c r="J31" s="154"/>
      <c r="K31" s="155">
        <f>'Cross Play BS'!F7</f>
        <v>11.3</v>
      </c>
      <c r="L31" s="155">
        <f>K31</f>
        <v>11.3</v>
      </c>
      <c r="M31" s="155">
        <f t="shared" ref="M31:N31" si="13">L31</f>
        <v>11.3</v>
      </c>
      <c r="N31" s="303">
        <f t="shared" si="13"/>
        <v>11.3</v>
      </c>
      <c r="P31" s="277" t="s">
        <v>186</v>
      </c>
      <c r="Q31" s="195"/>
      <c r="R31" s="155"/>
      <c r="S31" s="155">
        <f>SUM(S28:S30)</f>
        <v>123.47575806451613</v>
      </c>
      <c r="T31" s="155">
        <f t="shared" ref="T31:V31" si="14">SUM(T28:T30)</f>
        <v>397.53446745562138</v>
      </c>
      <c r="U31" s="155">
        <f t="shared" si="14"/>
        <v>263.31925556858158</v>
      </c>
      <c r="V31" s="303">
        <f t="shared" si="14"/>
        <v>4.3663355408388576</v>
      </c>
    </row>
    <row r="32" spans="2:22" x14ac:dyDescent="0.2">
      <c r="B32" s="608"/>
      <c r="H32" s="249" t="s">
        <v>186</v>
      </c>
      <c r="I32" s="207"/>
      <c r="J32" s="154"/>
      <c r="K32" s="155">
        <f>SUM(K29:K31)</f>
        <v>240.02943728322205</v>
      </c>
      <c r="L32" s="155">
        <f t="shared" ref="L32:N32" si="15">SUM(L29:L31)</f>
        <v>512.20980952380967</v>
      </c>
      <c r="M32" s="155">
        <f t="shared" si="15"/>
        <v>271.51714495952922</v>
      </c>
      <c r="N32" s="303">
        <f t="shared" si="15"/>
        <v>6.3117819460726921</v>
      </c>
      <c r="P32" s="277" t="s">
        <v>187</v>
      </c>
      <c r="Q32" s="195"/>
      <c r="R32" s="156">
        <f>J33</f>
        <v>6.5078164397377716</v>
      </c>
      <c r="S32" s="155"/>
      <c r="T32" s="155"/>
      <c r="U32" s="155"/>
      <c r="V32" s="303"/>
    </row>
    <row r="33" spans="2:23" ht="19" thickBot="1" x14ac:dyDescent="0.25">
      <c r="B33" s="609"/>
      <c r="H33" s="249" t="s">
        <v>187</v>
      </c>
      <c r="I33" s="207"/>
      <c r="J33" s="157">
        <f>B31</f>
        <v>6.5078164397377716</v>
      </c>
      <c r="K33" s="155"/>
      <c r="L33" s="155"/>
      <c r="M33" s="155"/>
      <c r="N33" s="303"/>
      <c r="P33" s="610" t="s">
        <v>189</v>
      </c>
      <c r="Q33" s="195"/>
      <c r="R33" s="155"/>
      <c r="S33" s="155">
        <f>S31/$R32</f>
        <v>18.973454338778417</v>
      </c>
      <c r="T33" s="155">
        <f>T31/$R32</f>
        <v>61.085691512165603</v>
      </c>
      <c r="U33" s="155">
        <f t="shared" ref="U33:V33" si="16">U31/$R32</f>
        <v>40.461997969197768</v>
      </c>
      <c r="V33" s="303">
        <f t="shared" si="16"/>
        <v>0.67093710790263106</v>
      </c>
    </row>
    <row r="34" spans="2:23" ht="19" thickBot="1" x14ac:dyDescent="0.25">
      <c r="H34" s="611" t="s">
        <v>189</v>
      </c>
      <c r="I34" s="612"/>
      <c r="J34" s="613"/>
      <c r="K34" s="603">
        <f>K32/J33</f>
        <v>36.883252548053413</v>
      </c>
      <c r="L34" s="603">
        <f>L32/J33</f>
        <v>78.706861858637311</v>
      </c>
      <c r="M34" s="603">
        <f>M32/J33</f>
        <v>41.721696896919518</v>
      </c>
      <c r="N34" s="604">
        <f>N32/J33</f>
        <v>0.96987707083007724</v>
      </c>
      <c r="P34" s="278"/>
      <c r="Q34" s="534"/>
      <c r="R34" s="159"/>
      <c r="S34" s="159"/>
      <c r="T34" s="159"/>
      <c r="U34" s="159"/>
      <c r="V34" s="510"/>
    </row>
    <row r="35" spans="2:23" ht="19" thickBot="1" x14ac:dyDescent="0.25">
      <c r="H35" s="252"/>
      <c r="I35" s="210"/>
      <c r="J35" s="158"/>
      <c r="K35" s="159"/>
      <c r="L35" s="159"/>
      <c r="M35" s="159"/>
      <c r="N35" s="510"/>
    </row>
    <row r="37" spans="2:23" ht="19" thickBot="1" x14ac:dyDescent="0.25"/>
    <row r="38" spans="2:23" x14ac:dyDescent="0.2">
      <c r="P38" s="211"/>
      <c r="Q38" s="296"/>
      <c r="R38" s="297"/>
      <c r="S38" s="297" t="s">
        <v>287</v>
      </c>
      <c r="T38" s="297"/>
      <c r="U38" s="297"/>
      <c r="V38" s="297"/>
      <c r="W38" s="190"/>
    </row>
    <row r="39" spans="2:23" x14ac:dyDescent="0.2">
      <c r="P39" s="212"/>
      <c r="Q39" s="287"/>
      <c r="R39" s="250"/>
      <c r="S39" s="250"/>
      <c r="T39" s="250" t="s">
        <v>180</v>
      </c>
      <c r="U39" s="250" t="s">
        <v>120</v>
      </c>
      <c r="V39" s="250" t="s">
        <v>179</v>
      </c>
      <c r="W39" s="251" t="s">
        <v>170</v>
      </c>
    </row>
    <row r="40" spans="2:23" x14ac:dyDescent="0.2">
      <c r="P40" s="249" t="s">
        <v>181</v>
      </c>
      <c r="Q40" s="287"/>
      <c r="R40" s="433"/>
      <c r="S40" s="603"/>
      <c r="T40" s="603">
        <f>K27</f>
        <v>258.10000000000002</v>
      </c>
      <c r="U40" s="603">
        <f t="shared" ref="U40:W40" si="17">L27</f>
        <v>48.800000000000011</v>
      </c>
      <c r="V40" s="603">
        <f t="shared" si="17"/>
        <v>20.500000000000011</v>
      </c>
      <c r="W40" s="604">
        <f t="shared" si="17"/>
        <v>14.500000000000009</v>
      </c>
    </row>
    <row r="41" spans="2:23" x14ac:dyDescent="0.2">
      <c r="P41" s="249" t="s">
        <v>182</v>
      </c>
      <c r="Q41" s="287"/>
      <c r="R41" s="614"/>
      <c r="S41" s="155"/>
      <c r="T41" s="155">
        <f>I16</f>
        <v>1.1690743853750787</v>
      </c>
      <c r="U41" s="155">
        <f t="shared" ref="U41:W41" si="18">J16</f>
        <v>11.141097560975609</v>
      </c>
      <c r="V41" s="155">
        <f t="shared" si="18"/>
        <v>20.862206572769953</v>
      </c>
      <c r="W41" s="303">
        <f t="shared" si="18"/>
        <v>0.960093896713615</v>
      </c>
    </row>
    <row r="42" spans="2:23" x14ac:dyDescent="0.2">
      <c r="P42" s="249" t="s">
        <v>183</v>
      </c>
      <c r="Q42" s="287"/>
      <c r="R42" s="614"/>
      <c r="S42" s="155"/>
      <c r="T42" s="155">
        <f>T40*T41</f>
        <v>301.73809886530785</v>
      </c>
      <c r="U42" s="155">
        <f t="shared" ref="U42:W42" si="19">U40*U41</f>
        <v>543.68556097560986</v>
      </c>
      <c r="V42" s="155">
        <f t="shared" si="19"/>
        <v>427.67523474178427</v>
      </c>
      <c r="W42" s="303">
        <f t="shared" si="19"/>
        <v>13.921361502347427</v>
      </c>
    </row>
    <row r="43" spans="2:23" x14ac:dyDescent="0.2">
      <c r="P43" s="249" t="s">
        <v>184</v>
      </c>
      <c r="Q43" s="287"/>
      <c r="R43" s="614"/>
      <c r="S43" s="155"/>
      <c r="T43" s="155">
        <f>S29</f>
        <v>-15.4</v>
      </c>
      <c r="U43" s="155">
        <f t="shared" ref="U43:W43" si="20">T29</f>
        <v>-15.4</v>
      </c>
      <c r="V43" s="155">
        <f t="shared" si="20"/>
        <v>-15.4</v>
      </c>
      <c r="W43" s="303">
        <f t="shared" si="20"/>
        <v>-15.4</v>
      </c>
    </row>
    <row r="44" spans="2:23" x14ac:dyDescent="0.2">
      <c r="P44" s="249" t="s">
        <v>185</v>
      </c>
      <c r="Q44" s="287"/>
      <c r="R44" s="614"/>
      <c r="S44" s="155"/>
      <c r="T44" s="155">
        <f>S30</f>
        <v>11.3</v>
      </c>
      <c r="U44" s="155">
        <f t="shared" ref="U44:W44" si="21">T30</f>
        <v>11.3</v>
      </c>
      <c r="V44" s="155">
        <f t="shared" si="21"/>
        <v>11.3</v>
      </c>
      <c r="W44" s="303">
        <f t="shared" si="21"/>
        <v>11.3</v>
      </c>
    </row>
    <row r="45" spans="2:23" x14ac:dyDescent="0.2">
      <c r="P45" s="249" t="s">
        <v>186</v>
      </c>
      <c r="Q45" s="287"/>
      <c r="R45" s="614"/>
      <c r="S45" s="155"/>
      <c r="T45" s="155">
        <f>SUM(T42:T44)</f>
        <v>297.63809886530788</v>
      </c>
      <c r="U45" s="155">
        <f t="shared" ref="U45:W45" si="22">SUM(U42:U44)</f>
        <v>539.58556097560984</v>
      </c>
      <c r="V45" s="155">
        <f t="shared" si="22"/>
        <v>423.5752347417843</v>
      </c>
      <c r="W45" s="303">
        <f t="shared" si="22"/>
        <v>9.8213615023474272</v>
      </c>
    </row>
    <row r="46" spans="2:23" x14ac:dyDescent="0.2">
      <c r="P46" s="249" t="s">
        <v>187</v>
      </c>
      <c r="Q46" s="287"/>
      <c r="R46" s="615">
        <f>R32</f>
        <v>6.5078164397377716</v>
      </c>
      <c r="S46" s="155"/>
      <c r="T46" s="155"/>
      <c r="U46" s="155"/>
      <c r="V46" s="155"/>
      <c r="W46" s="303"/>
    </row>
    <row r="47" spans="2:23" x14ac:dyDescent="0.2">
      <c r="P47" s="611" t="s">
        <v>189</v>
      </c>
      <c r="Q47" s="287"/>
      <c r="R47" s="614"/>
      <c r="S47" s="155"/>
      <c r="T47" s="155">
        <f>T45/$R46</f>
        <v>45.735478500573848</v>
      </c>
      <c r="U47" s="155">
        <f t="shared" ref="U47:W47" si="23">U45/$R46</f>
        <v>82.913457374245198</v>
      </c>
      <c r="V47" s="155">
        <f t="shared" si="23"/>
        <v>65.087151529868905</v>
      </c>
      <c r="W47" s="303">
        <f t="shared" si="23"/>
        <v>1.5091638790511388</v>
      </c>
    </row>
    <row r="48" spans="2:23" ht="19" thickBot="1" x14ac:dyDescent="0.25">
      <c r="P48" s="252"/>
      <c r="Q48" s="493"/>
      <c r="R48" s="616"/>
      <c r="S48" s="159"/>
      <c r="T48" s="159"/>
      <c r="U48" s="159"/>
      <c r="V48" s="159"/>
      <c r="W48" s="510"/>
    </row>
    <row r="50" spans="16:23" ht="19" thickBot="1" x14ac:dyDescent="0.25">
      <c r="P50" s="617"/>
      <c r="Q50" s="617"/>
    </row>
    <row r="51" spans="16:23" x14ac:dyDescent="0.2">
      <c r="P51" s="618"/>
      <c r="Q51" s="619"/>
      <c r="R51" s="297"/>
      <c r="S51" s="297" t="s">
        <v>288</v>
      </c>
      <c r="T51" s="297"/>
      <c r="U51" s="297"/>
      <c r="V51" s="297"/>
      <c r="W51" s="423"/>
    </row>
    <row r="52" spans="16:23" x14ac:dyDescent="0.2">
      <c r="P52" s="620"/>
      <c r="Q52" s="621"/>
      <c r="R52" s="250"/>
      <c r="S52" s="250"/>
      <c r="T52" s="250" t="s">
        <v>180</v>
      </c>
      <c r="U52" s="250" t="s">
        <v>120</v>
      </c>
      <c r="V52" s="250" t="s">
        <v>179</v>
      </c>
      <c r="W52" s="251" t="s">
        <v>170</v>
      </c>
    </row>
    <row r="53" spans="16:23" x14ac:dyDescent="0.2">
      <c r="P53" s="249" t="s">
        <v>181</v>
      </c>
      <c r="Q53" s="622"/>
      <c r="R53" s="603"/>
      <c r="S53" s="603"/>
      <c r="T53" s="603">
        <f>T40</f>
        <v>258.10000000000002</v>
      </c>
      <c r="U53" s="603">
        <f t="shared" ref="U53:W53" si="24">U40</f>
        <v>48.800000000000011</v>
      </c>
      <c r="V53" s="603">
        <f t="shared" si="24"/>
        <v>20.500000000000011</v>
      </c>
      <c r="W53" s="604">
        <f t="shared" si="24"/>
        <v>14.500000000000009</v>
      </c>
    </row>
    <row r="54" spans="16:23" x14ac:dyDescent="0.2">
      <c r="P54" s="249" t="s">
        <v>182</v>
      </c>
      <c r="Q54" s="195"/>
      <c r="R54" s="155"/>
      <c r="S54" s="155"/>
      <c r="T54" s="155">
        <f>I20</f>
        <v>0.72007980501305335</v>
      </c>
      <c r="U54" s="155">
        <f t="shared" ref="U54:W54" si="25">J20</f>
        <v>9.405166772330233</v>
      </c>
      <c r="V54" s="155">
        <f t="shared" si="25"/>
        <v>13.244790256783183</v>
      </c>
      <c r="W54" s="303">
        <f t="shared" si="25"/>
        <v>0.65096956851419097</v>
      </c>
    </row>
    <row r="55" spans="16:23" x14ac:dyDescent="0.2">
      <c r="P55" s="249" t="s">
        <v>183</v>
      </c>
      <c r="Q55" s="195"/>
      <c r="R55" s="155"/>
      <c r="S55" s="155"/>
      <c r="T55" s="155">
        <f>T53*T54</f>
        <v>185.8525976738691</v>
      </c>
      <c r="U55" s="155">
        <f t="shared" ref="U55:W55" si="26">U53*U54</f>
        <v>458.97213848971546</v>
      </c>
      <c r="V55" s="155">
        <f t="shared" si="26"/>
        <v>271.51820026405539</v>
      </c>
      <c r="W55" s="303">
        <f t="shared" si="26"/>
        <v>9.4390587434557744</v>
      </c>
    </row>
    <row r="56" spans="16:23" x14ac:dyDescent="0.2">
      <c r="P56" s="249" t="s">
        <v>184</v>
      </c>
      <c r="Q56" s="195"/>
      <c r="R56" s="155"/>
      <c r="S56" s="155"/>
      <c r="T56" s="155">
        <f>T43</f>
        <v>-15.4</v>
      </c>
      <c r="U56" s="155">
        <f t="shared" ref="U56:W56" si="27">U43</f>
        <v>-15.4</v>
      </c>
      <c r="V56" s="155">
        <f t="shared" si="27"/>
        <v>-15.4</v>
      </c>
      <c r="W56" s="303">
        <f t="shared" si="27"/>
        <v>-15.4</v>
      </c>
    </row>
    <row r="57" spans="16:23" x14ac:dyDescent="0.2">
      <c r="P57" s="249" t="s">
        <v>185</v>
      </c>
      <c r="Q57" s="195"/>
      <c r="R57" s="155"/>
      <c r="S57" s="155"/>
      <c r="T57" s="155">
        <f>T44</f>
        <v>11.3</v>
      </c>
      <c r="U57" s="155">
        <f t="shared" ref="U57:W57" si="28">U44</f>
        <v>11.3</v>
      </c>
      <c r="V57" s="155">
        <f t="shared" si="28"/>
        <v>11.3</v>
      </c>
      <c r="W57" s="303">
        <f t="shared" si="28"/>
        <v>11.3</v>
      </c>
    </row>
    <row r="58" spans="16:23" x14ac:dyDescent="0.2">
      <c r="P58" s="249" t="s">
        <v>186</v>
      </c>
      <c r="Q58" s="195"/>
      <c r="R58" s="155"/>
      <c r="S58" s="155"/>
      <c r="T58" s="155">
        <f>SUM(T55:T57)</f>
        <v>181.7525976738691</v>
      </c>
      <c r="U58" s="155">
        <f t="shared" ref="U58:W58" si="29">SUM(U55:U57)</f>
        <v>454.8721384897155</v>
      </c>
      <c r="V58" s="155">
        <f t="shared" si="29"/>
        <v>267.41820026405543</v>
      </c>
      <c r="W58" s="303">
        <f t="shared" si="29"/>
        <v>5.3390587434557748</v>
      </c>
    </row>
    <row r="59" spans="16:23" x14ac:dyDescent="0.2">
      <c r="P59" s="249" t="s">
        <v>187</v>
      </c>
      <c r="Q59" s="195"/>
      <c r="R59" s="156">
        <f>R46</f>
        <v>6.5078164397377716</v>
      </c>
      <c r="S59" s="155"/>
      <c r="T59" s="155"/>
      <c r="U59" s="155"/>
      <c r="V59" s="155"/>
      <c r="W59" s="303"/>
    </row>
    <row r="60" spans="16:23" x14ac:dyDescent="0.2">
      <c r="P60" s="611" t="s">
        <v>189</v>
      </c>
      <c r="Q60" s="195"/>
      <c r="R60" s="155"/>
      <c r="S60" s="155"/>
      <c r="T60" s="155">
        <f>T58/$R59</f>
        <v>27.928353443415915</v>
      </c>
      <c r="U60" s="155">
        <f t="shared" ref="U60:W60" si="30">U58/$R59</f>
        <v>69.89627668540146</v>
      </c>
      <c r="V60" s="155">
        <f t="shared" si="30"/>
        <v>41.091847433058646</v>
      </c>
      <c r="W60" s="303">
        <f t="shared" si="30"/>
        <v>0.8204070893663542</v>
      </c>
    </row>
    <row r="61" spans="16:23" ht="19" thickBot="1" x14ac:dyDescent="0.25">
      <c r="P61" s="252"/>
      <c r="Q61" s="534"/>
      <c r="R61" s="159"/>
      <c r="S61" s="159"/>
      <c r="T61" s="159"/>
      <c r="U61" s="159"/>
      <c r="V61" s="159"/>
      <c r="W61" s="510"/>
    </row>
    <row r="65" spans="16:23" ht="19" thickBot="1" x14ac:dyDescent="0.25"/>
    <row r="66" spans="16:23" x14ac:dyDescent="0.2">
      <c r="P66" s="211"/>
      <c r="Q66" s="296"/>
      <c r="R66" s="297"/>
      <c r="S66" s="297"/>
      <c r="T66" s="297"/>
      <c r="U66" s="297"/>
      <c r="V66" s="297"/>
      <c r="W66" s="423"/>
    </row>
    <row r="67" spans="16:23" x14ac:dyDescent="0.2">
      <c r="P67" s="212"/>
      <c r="Q67" s="287"/>
      <c r="R67" s="191"/>
      <c r="S67" s="191" t="s">
        <v>289</v>
      </c>
      <c r="T67" s="191"/>
      <c r="U67" s="191"/>
      <c r="V67" s="191"/>
      <c r="W67" s="316"/>
    </row>
    <row r="68" spans="16:23" x14ac:dyDescent="0.2">
      <c r="P68" s="212"/>
      <c r="Q68" s="287"/>
      <c r="R68" s="250"/>
      <c r="S68" s="250"/>
      <c r="T68" s="250" t="s">
        <v>180</v>
      </c>
      <c r="U68" s="250" t="s">
        <v>120</v>
      </c>
      <c r="V68" s="250" t="s">
        <v>179</v>
      </c>
      <c r="W68" s="251" t="s">
        <v>170</v>
      </c>
    </row>
    <row r="69" spans="16:23" x14ac:dyDescent="0.2">
      <c r="P69" s="249" t="s">
        <v>181</v>
      </c>
      <c r="Q69" s="433"/>
      <c r="R69" s="603"/>
      <c r="S69" s="603"/>
      <c r="T69" s="603">
        <f>T53</f>
        <v>258.10000000000002</v>
      </c>
      <c r="U69" s="603">
        <f t="shared" ref="U69:W69" si="31">U53</f>
        <v>48.800000000000011</v>
      </c>
      <c r="V69" s="603">
        <f t="shared" si="31"/>
        <v>20.500000000000011</v>
      </c>
      <c r="W69" s="604">
        <f t="shared" si="31"/>
        <v>14.500000000000009</v>
      </c>
    </row>
    <row r="70" spans="16:23" x14ac:dyDescent="0.2">
      <c r="P70" s="249" t="s">
        <v>182</v>
      </c>
      <c r="Q70" s="614"/>
      <c r="R70" s="155"/>
      <c r="S70" s="155"/>
      <c r="T70" s="155">
        <f>I17</f>
        <v>1.0574729487573225</v>
      </c>
      <c r="U70" s="155">
        <f t="shared" ref="U70:W70" si="32">J17</f>
        <v>10.86060830429733</v>
      </c>
      <c r="V70" s="155">
        <f t="shared" si="32"/>
        <v>17.153472675641783</v>
      </c>
      <c r="W70" s="303">
        <f t="shared" si="32"/>
        <v>0.83907391201448633</v>
      </c>
    </row>
    <row r="71" spans="16:23" x14ac:dyDescent="0.2">
      <c r="P71" s="249" t="s">
        <v>183</v>
      </c>
      <c r="Q71" s="614"/>
      <c r="R71" s="155"/>
      <c r="S71" s="155"/>
      <c r="T71" s="155">
        <f>T69*T70</f>
        <v>272.93376807426495</v>
      </c>
      <c r="U71" s="155">
        <f t="shared" ref="U71:W71" si="33">U69*U70</f>
        <v>529.99768524970978</v>
      </c>
      <c r="V71" s="155">
        <f t="shared" si="33"/>
        <v>351.64618985065675</v>
      </c>
      <c r="W71" s="303">
        <f t="shared" si="33"/>
        <v>12.16657172421006</v>
      </c>
    </row>
    <row r="72" spans="16:23" x14ac:dyDescent="0.2">
      <c r="P72" s="249" t="s">
        <v>184</v>
      </c>
      <c r="Q72" s="614"/>
      <c r="R72" s="155"/>
      <c r="S72" s="155"/>
      <c r="T72" s="155">
        <f>T56</f>
        <v>-15.4</v>
      </c>
      <c r="U72" s="155">
        <f t="shared" ref="U72:W72" si="34">U56</f>
        <v>-15.4</v>
      </c>
      <c r="V72" s="155">
        <f t="shared" si="34"/>
        <v>-15.4</v>
      </c>
      <c r="W72" s="303">
        <f t="shared" si="34"/>
        <v>-15.4</v>
      </c>
    </row>
    <row r="73" spans="16:23" x14ac:dyDescent="0.2">
      <c r="P73" s="249" t="s">
        <v>185</v>
      </c>
      <c r="Q73" s="614"/>
      <c r="R73" s="155"/>
      <c r="S73" s="155"/>
      <c r="T73" s="155">
        <f>T57</f>
        <v>11.3</v>
      </c>
      <c r="U73" s="155">
        <f t="shared" ref="U73:W73" si="35">U57</f>
        <v>11.3</v>
      </c>
      <c r="V73" s="155">
        <f t="shared" si="35"/>
        <v>11.3</v>
      </c>
      <c r="W73" s="303">
        <f t="shared" si="35"/>
        <v>11.3</v>
      </c>
    </row>
    <row r="74" spans="16:23" x14ac:dyDescent="0.2">
      <c r="P74" s="249" t="s">
        <v>186</v>
      </c>
      <c r="Q74" s="614"/>
      <c r="R74" s="155"/>
      <c r="S74" s="155"/>
      <c r="T74" s="155">
        <f>SUM(T71:T73)</f>
        <v>268.83376807426498</v>
      </c>
      <c r="U74" s="155">
        <f t="shared" ref="U74:W74" si="36">SUM(U71:U73)</f>
        <v>525.89768524970975</v>
      </c>
      <c r="V74" s="155">
        <f t="shared" si="36"/>
        <v>347.54618985065679</v>
      </c>
      <c r="W74" s="303">
        <f t="shared" si="36"/>
        <v>8.0665717242100605</v>
      </c>
    </row>
    <row r="75" spans="16:23" x14ac:dyDescent="0.2">
      <c r="P75" s="249" t="s">
        <v>187</v>
      </c>
      <c r="Q75" s="614"/>
      <c r="R75" s="156">
        <f>R59</f>
        <v>6.5078164397377716</v>
      </c>
      <c r="S75" s="155"/>
      <c r="T75" s="155"/>
      <c r="U75" s="155"/>
      <c r="V75" s="155"/>
      <c r="W75" s="303"/>
    </row>
    <row r="76" spans="16:23" x14ac:dyDescent="0.2">
      <c r="P76" s="611" t="s">
        <v>189</v>
      </c>
      <c r="Q76" s="614"/>
      <c r="R76" s="155"/>
      <c r="S76" s="155"/>
      <c r="T76" s="155">
        <f>T74/$R75</f>
        <v>41.309365524313634</v>
      </c>
      <c r="U76" s="155">
        <f t="shared" ref="U76:W76" si="37">U74/$R75</f>
        <v>80.810159616441254</v>
      </c>
      <c r="V76" s="155">
        <f t="shared" si="37"/>
        <v>53.404424213394215</v>
      </c>
      <c r="W76" s="303">
        <f t="shared" si="37"/>
        <v>1.2395204749406081</v>
      </c>
    </row>
    <row r="77" spans="16:23" ht="19" thickBot="1" x14ac:dyDescent="0.25">
      <c r="P77" s="252"/>
      <c r="Q77" s="616"/>
      <c r="R77" s="159"/>
      <c r="S77" s="159"/>
      <c r="T77" s="159"/>
      <c r="U77" s="159"/>
      <c r="V77" s="159"/>
      <c r="W77" s="510"/>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F1AA5-8BBD-5A4A-A034-059B12D0EEE9}">
  <dimension ref="D1:L81"/>
  <sheetViews>
    <sheetView topLeftCell="A2" workbookViewId="0">
      <selection activeCell="K21" sqref="K21"/>
    </sheetView>
  </sheetViews>
  <sheetFormatPr baseColWidth="10" defaultColWidth="11.5" defaultRowHeight="19" x14ac:dyDescent="0.25"/>
  <cols>
    <col min="1" max="1" width="35.1640625" style="319" customWidth="1"/>
    <col min="2" max="3" width="11.5" style="319"/>
    <col min="4" max="4" width="31.5" style="319" customWidth="1"/>
    <col min="5" max="5" width="26.83203125" style="319" customWidth="1"/>
    <col min="6" max="6" width="30" style="319" customWidth="1"/>
    <col min="7" max="9" width="11.5" style="319"/>
    <col min="10" max="10" width="16.1640625" style="319" customWidth="1"/>
    <col min="11" max="16384" width="11.5" style="319"/>
  </cols>
  <sheetData>
    <row r="1" spans="4:12" ht="20" thickBot="1" x14ac:dyDescent="0.3">
      <c r="D1" s="623" t="s">
        <v>157</v>
      </c>
      <c r="E1" s="624"/>
      <c r="F1" s="624"/>
      <c r="G1" s="624"/>
      <c r="H1" s="625"/>
    </row>
    <row r="2" spans="4:12" ht="20" thickBot="1" x14ac:dyDescent="0.3">
      <c r="D2" s="626" t="s">
        <v>44</v>
      </c>
      <c r="E2" s="627"/>
      <c r="F2" s="627"/>
      <c r="G2" s="627"/>
      <c r="H2" s="628"/>
    </row>
    <row r="3" spans="4:12" x14ac:dyDescent="0.25">
      <c r="D3" s="629"/>
      <c r="E3" s="630" t="s">
        <v>131</v>
      </c>
      <c r="F3" s="630" t="s">
        <v>134</v>
      </c>
      <c r="G3" s="630" t="s">
        <v>135</v>
      </c>
      <c r="H3" s="631" t="s">
        <v>135</v>
      </c>
    </row>
    <row r="4" spans="4:12" x14ac:dyDescent="0.25">
      <c r="D4" s="632"/>
      <c r="E4" s="633" t="s">
        <v>132</v>
      </c>
      <c r="F4" s="633" t="s">
        <v>133</v>
      </c>
      <c r="G4" s="633" t="s">
        <v>5</v>
      </c>
      <c r="H4" s="634" t="s">
        <v>120</v>
      </c>
    </row>
    <row r="5" spans="4:12" x14ac:dyDescent="0.25">
      <c r="D5" s="635" t="str">
        <f>'M&amp;A Comps'!I9</f>
        <v>Transaction 3</v>
      </c>
      <c r="E5" s="636">
        <f>'M&amp;A Comps'!J9</f>
        <v>2021</v>
      </c>
      <c r="F5" s="636">
        <f>'M&amp;A Comps'!K9</f>
        <v>2201</v>
      </c>
      <c r="G5" s="637">
        <f>'M&amp;A Comps'!L9</f>
        <v>0.6</v>
      </c>
      <c r="H5" s="638">
        <f>'M&amp;A Comps'!M9</f>
        <v>9.8000000000000007</v>
      </c>
    </row>
    <row r="6" spans="4:12" x14ac:dyDescent="0.25">
      <c r="D6" s="635" t="str">
        <f>'M&amp;A Comps'!I13</f>
        <v>Transaction 7</v>
      </c>
      <c r="E6" s="636">
        <f>'M&amp;A Comps'!J13</f>
        <v>2021</v>
      </c>
      <c r="F6" s="636">
        <f>'M&amp;A Comps'!K13</f>
        <v>2274</v>
      </c>
      <c r="G6" s="637">
        <f>'M&amp;A Comps'!L13</f>
        <v>0.9</v>
      </c>
      <c r="H6" s="638">
        <f>'M&amp;A Comps'!M13</f>
        <v>8.3000000000000007</v>
      </c>
    </row>
    <row r="7" spans="4:12" ht="20" thickBot="1" x14ac:dyDescent="0.3">
      <c r="D7" s="639" t="str">
        <f>'M&amp;A Comps'!I14</f>
        <v>Transaction 8</v>
      </c>
      <c r="E7" s="640">
        <f>'M&amp;A Comps'!J14</f>
        <v>2021</v>
      </c>
      <c r="F7" s="640">
        <f>'M&amp;A Comps'!K14</f>
        <v>567</v>
      </c>
      <c r="G7" s="641">
        <f>'M&amp;A Comps'!L14</f>
        <v>1</v>
      </c>
      <c r="H7" s="642">
        <f>'M&amp;A Comps'!M14</f>
        <v>13.1</v>
      </c>
    </row>
    <row r="8" spans="4:12" ht="20" thickBot="1" x14ac:dyDescent="0.3"/>
    <row r="9" spans="4:12" x14ac:dyDescent="0.25">
      <c r="D9" s="643"/>
      <c r="E9" s="644" t="s">
        <v>135</v>
      </c>
      <c r="F9" s="645" t="s">
        <v>135</v>
      </c>
    </row>
    <row r="10" spans="4:12" ht="20" thickBot="1" x14ac:dyDescent="0.3">
      <c r="D10" s="646"/>
      <c r="E10" s="647" t="s">
        <v>5</v>
      </c>
      <c r="F10" s="648" t="s">
        <v>120</v>
      </c>
    </row>
    <row r="11" spans="4:12" x14ac:dyDescent="0.25">
      <c r="D11" s="649" t="s">
        <v>196</v>
      </c>
      <c r="E11" s="650">
        <f>MAX(G5:G7)</f>
        <v>1</v>
      </c>
      <c r="F11" s="651">
        <f>MAX(H5:H7)</f>
        <v>13.1</v>
      </c>
      <c r="J11" s="652" t="s">
        <v>196</v>
      </c>
      <c r="K11" s="325">
        <f>E11*$F19</f>
        <v>238.7</v>
      </c>
      <c r="L11" s="326">
        <f>F11*$G19</f>
        <v>242.34999999999968</v>
      </c>
    </row>
    <row r="12" spans="4:12" x14ac:dyDescent="0.25">
      <c r="D12" s="649" t="s">
        <v>192</v>
      </c>
      <c r="E12" s="653">
        <f>QUARTILE(G5:G7,3)</f>
        <v>0.95</v>
      </c>
      <c r="F12" s="255">
        <f>QUARTILE(H5:H7,3)</f>
        <v>11.45</v>
      </c>
      <c r="J12" s="649" t="s">
        <v>192</v>
      </c>
      <c r="K12" s="328">
        <f>E12*F19</f>
        <v>226.76499999999999</v>
      </c>
      <c r="L12" s="329">
        <f>F12*G19</f>
        <v>211.8249999999997</v>
      </c>
    </row>
    <row r="13" spans="4:12" x14ac:dyDescent="0.25">
      <c r="D13" s="725" t="s">
        <v>193</v>
      </c>
      <c r="E13" s="728">
        <f>MEDIAN(G5:G7)</f>
        <v>0.9</v>
      </c>
      <c r="F13" s="729">
        <f>MEDIAN(H5:H7)</f>
        <v>9.8000000000000007</v>
      </c>
      <c r="J13" s="725" t="s">
        <v>193</v>
      </c>
      <c r="K13" s="726">
        <f>E13*F19</f>
        <v>214.82999999999998</v>
      </c>
      <c r="L13" s="727">
        <f>F13*G19</f>
        <v>181.29999999999976</v>
      </c>
    </row>
    <row r="14" spans="4:12" x14ac:dyDescent="0.25">
      <c r="D14" s="649" t="s">
        <v>194</v>
      </c>
      <c r="E14" s="654">
        <f>AVERAGE(G5:G7)</f>
        <v>0.83333333333333337</v>
      </c>
      <c r="F14" s="655">
        <f>AVERAGE(H5:H7)</f>
        <v>10.4</v>
      </c>
      <c r="J14" s="649" t="s">
        <v>194</v>
      </c>
      <c r="K14" s="328">
        <f>E14*F19</f>
        <v>198.91666666666666</v>
      </c>
      <c r="L14" s="329">
        <f>F14*G19</f>
        <v>192.39999999999975</v>
      </c>
    </row>
    <row r="15" spans="4:12" x14ac:dyDescent="0.25">
      <c r="D15" s="649" t="s">
        <v>195</v>
      </c>
      <c r="E15" s="653">
        <f>QUARTILE(G5:G7,1)</f>
        <v>0.75</v>
      </c>
      <c r="F15" s="255">
        <f>QUARTILE(H5:H7,1)</f>
        <v>9.0500000000000007</v>
      </c>
      <c r="J15" s="649" t="s">
        <v>195</v>
      </c>
      <c r="K15" s="328">
        <f>E15*F19</f>
        <v>179.02499999999998</v>
      </c>
      <c r="L15" s="329">
        <f>F15*G19</f>
        <v>167.42499999999978</v>
      </c>
    </row>
    <row r="16" spans="4:12" ht="20" thickBot="1" x14ac:dyDescent="0.3">
      <c r="D16" s="649" t="s">
        <v>197</v>
      </c>
      <c r="E16" s="654">
        <f>MIN(G5:G7)</f>
        <v>0.6</v>
      </c>
      <c r="F16" s="655">
        <f>MIN(H5:H7)</f>
        <v>8.3000000000000007</v>
      </c>
      <c r="J16" s="656" t="s">
        <v>197</v>
      </c>
      <c r="K16" s="341">
        <f>E16*F19</f>
        <v>143.22</v>
      </c>
      <c r="L16" s="342">
        <f>F16*G19</f>
        <v>153.54999999999981</v>
      </c>
    </row>
    <row r="17" spans="4:12" ht="20" thickBot="1" x14ac:dyDescent="0.3">
      <c r="D17" s="657"/>
      <c r="E17" s="658"/>
      <c r="F17" s="658"/>
      <c r="J17" s="659"/>
      <c r="K17" s="660"/>
      <c r="L17" s="660"/>
    </row>
    <row r="18" spans="4:12" x14ac:dyDescent="0.25">
      <c r="D18" s="661"/>
      <c r="E18" s="662" t="s">
        <v>290</v>
      </c>
      <c r="F18" s="663" t="s">
        <v>5</v>
      </c>
      <c r="G18" s="664" t="s">
        <v>120</v>
      </c>
    </row>
    <row r="19" spans="4:12" x14ac:dyDescent="0.25">
      <c r="D19" s="665" t="s">
        <v>198</v>
      </c>
      <c r="E19" s="666"/>
      <c r="F19" s="667">
        <f>'Cross Play IS'!E6</f>
        <v>238.7</v>
      </c>
      <c r="G19" s="668">
        <f>'Cross Play IS'!E14</f>
        <v>18.499999999999975</v>
      </c>
    </row>
    <row r="20" spans="4:12" x14ac:dyDescent="0.25">
      <c r="D20" s="665" t="s">
        <v>182</v>
      </c>
      <c r="E20" s="669"/>
      <c r="F20" s="637">
        <f>E13</f>
        <v>0.9</v>
      </c>
      <c r="G20" s="638">
        <f>F13</f>
        <v>9.8000000000000007</v>
      </c>
    </row>
    <row r="21" spans="4:12" x14ac:dyDescent="0.25">
      <c r="D21" s="665" t="s">
        <v>183</v>
      </c>
      <c r="E21" s="669"/>
      <c r="F21" s="328">
        <f>F19*F20</f>
        <v>214.82999999999998</v>
      </c>
      <c r="G21" s="329">
        <f>G19*G20</f>
        <v>181.29999999999976</v>
      </c>
    </row>
    <row r="22" spans="4:12" x14ac:dyDescent="0.25">
      <c r="D22" s="665" t="s">
        <v>200</v>
      </c>
      <c r="E22" s="669"/>
      <c r="F22" s="328">
        <f>-'Cross Play BS'!F30</f>
        <v>-15.4</v>
      </c>
      <c r="G22" s="329">
        <f>-'Cross Play BS'!F30</f>
        <v>-15.4</v>
      </c>
    </row>
    <row r="23" spans="4:12" x14ac:dyDescent="0.25">
      <c r="D23" s="665" t="s">
        <v>199</v>
      </c>
      <c r="E23" s="669"/>
      <c r="F23" s="328">
        <f>'Cross Play BS'!F7</f>
        <v>11.3</v>
      </c>
      <c r="G23" s="329">
        <f>'Cross Play BS'!F7</f>
        <v>11.3</v>
      </c>
    </row>
    <row r="24" spans="4:12" x14ac:dyDescent="0.25">
      <c r="D24" s="665" t="s">
        <v>201</v>
      </c>
      <c r="E24" s="669"/>
      <c r="F24" s="328">
        <f>SUM(F21:F23)</f>
        <v>210.73</v>
      </c>
      <c r="G24" s="329">
        <f>SUM(G21:G23)</f>
        <v>177.19999999999976</v>
      </c>
    </row>
    <row r="25" spans="4:12" x14ac:dyDescent="0.25">
      <c r="D25" s="665" t="s">
        <v>187</v>
      </c>
      <c r="E25" s="669">
        <f>'CROSS PLAY- COMPS'!B31</f>
        <v>6.5078164397377716</v>
      </c>
      <c r="F25" s="328"/>
      <c r="G25" s="329"/>
    </row>
    <row r="26" spans="4:12" ht="20" thickBot="1" x14ac:dyDescent="0.3">
      <c r="D26" s="670" t="s">
        <v>202</v>
      </c>
      <c r="E26" s="671"/>
      <c r="F26" s="341">
        <f>F24/E25</f>
        <v>32.38106082913599</v>
      </c>
      <c r="G26" s="342">
        <f>G24/E25</f>
        <v>27.228795040681867</v>
      </c>
    </row>
    <row r="29" spans="4:12" ht="20" thickBot="1" x14ac:dyDescent="0.3"/>
    <row r="30" spans="4:12" x14ac:dyDescent="0.25">
      <c r="D30" s="672"/>
      <c r="E30" s="662" t="s">
        <v>269</v>
      </c>
      <c r="F30" s="663" t="s">
        <v>5</v>
      </c>
      <c r="G30" s="664" t="s">
        <v>120</v>
      </c>
    </row>
    <row r="31" spans="4:12" x14ac:dyDescent="0.25">
      <c r="D31" s="665" t="s">
        <v>198</v>
      </c>
      <c r="E31" s="673"/>
      <c r="F31" s="667">
        <f>F19</f>
        <v>238.7</v>
      </c>
      <c r="G31" s="668">
        <f>G19</f>
        <v>18.499999999999975</v>
      </c>
    </row>
    <row r="32" spans="4:12" x14ac:dyDescent="0.25">
      <c r="D32" s="665" t="s">
        <v>182</v>
      </c>
      <c r="E32" s="335"/>
      <c r="F32" s="637">
        <f>E11</f>
        <v>1</v>
      </c>
      <c r="G32" s="638">
        <f>F11</f>
        <v>13.1</v>
      </c>
    </row>
    <row r="33" spans="4:7" x14ac:dyDescent="0.25">
      <c r="D33" s="665" t="s">
        <v>183</v>
      </c>
      <c r="E33" s="335"/>
      <c r="F33" s="328">
        <f>F31*F32</f>
        <v>238.7</v>
      </c>
      <c r="G33" s="329">
        <f>G31*G32</f>
        <v>242.34999999999968</v>
      </c>
    </row>
    <row r="34" spans="4:7" x14ac:dyDescent="0.25">
      <c r="D34" s="665" t="s">
        <v>200</v>
      </c>
      <c r="E34" s="335"/>
      <c r="F34" s="328">
        <f>F22</f>
        <v>-15.4</v>
      </c>
      <c r="G34" s="329">
        <f>G22</f>
        <v>-15.4</v>
      </c>
    </row>
    <row r="35" spans="4:7" x14ac:dyDescent="0.25">
      <c r="D35" s="665" t="s">
        <v>199</v>
      </c>
      <c r="E35" s="335"/>
      <c r="F35" s="328">
        <f>F23</f>
        <v>11.3</v>
      </c>
      <c r="G35" s="329">
        <f>G23</f>
        <v>11.3</v>
      </c>
    </row>
    <row r="36" spans="4:7" x14ac:dyDescent="0.25">
      <c r="D36" s="665" t="s">
        <v>201</v>
      </c>
      <c r="E36" s="335"/>
      <c r="F36" s="328">
        <f>SUM(F33:F35)</f>
        <v>234.6</v>
      </c>
      <c r="G36" s="329">
        <f>SUM(G33:G35)</f>
        <v>238.24999999999969</v>
      </c>
    </row>
    <row r="37" spans="4:7" x14ac:dyDescent="0.25">
      <c r="D37" s="665" t="s">
        <v>187</v>
      </c>
      <c r="E37" s="335">
        <f>E25</f>
        <v>6.5078164397377716</v>
      </c>
      <c r="F37" s="328"/>
      <c r="G37" s="329"/>
    </row>
    <row r="38" spans="4:7" ht="20" thickBot="1" x14ac:dyDescent="0.3">
      <c r="D38" s="670" t="s">
        <v>202</v>
      </c>
      <c r="E38" s="674"/>
      <c r="F38" s="341">
        <f>F36/$E37</f>
        <v>36.048957768306856</v>
      </c>
      <c r="G38" s="342">
        <f>G36/$E37</f>
        <v>36.609821774505953</v>
      </c>
    </row>
    <row r="41" spans="4:7" ht="20" thickBot="1" x14ac:dyDescent="0.3"/>
    <row r="42" spans="4:7" x14ac:dyDescent="0.25">
      <c r="D42" s="672"/>
      <c r="E42" s="662" t="s">
        <v>274</v>
      </c>
      <c r="F42" s="663" t="s">
        <v>5</v>
      </c>
      <c r="G42" s="664" t="s">
        <v>120</v>
      </c>
    </row>
    <row r="43" spans="4:7" x14ac:dyDescent="0.25">
      <c r="D43" s="665" t="s">
        <v>198</v>
      </c>
      <c r="E43" s="675"/>
      <c r="F43" s="667">
        <f>F31</f>
        <v>238.7</v>
      </c>
      <c r="G43" s="668">
        <f>G31</f>
        <v>18.499999999999975</v>
      </c>
    </row>
    <row r="44" spans="4:7" x14ac:dyDescent="0.25">
      <c r="D44" s="665" t="s">
        <v>182</v>
      </c>
      <c r="E44" s="676"/>
      <c r="F44" s="637">
        <f>E16</f>
        <v>0.6</v>
      </c>
      <c r="G44" s="638">
        <f>F16</f>
        <v>8.3000000000000007</v>
      </c>
    </row>
    <row r="45" spans="4:7" x14ac:dyDescent="0.25">
      <c r="D45" s="665" t="s">
        <v>183</v>
      </c>
      <c r="E45" s="676"/>
      <c r="F45" s="328">
        <f>F43*F44</f>
        <v>143.22</v>
      </c>
      <c r="G45" s="329">
        <f>G43*G44</f>
        <v>153.54999999999981</v>
      </c>
    </row>
    <row r="46" spans="4:7" x14ac:dyDescent="0.25">
      <c r="D46" s="665" t="s">
        <v>200</v>
      </c>
      <c r="E46" s="676"/>
      <c r="F46" s="328">
        <f>F34</f>
        <v>-15.4</v>
      </c>
      <c r="G46" s="329">
        <f>G34</f>
        <v>-15.4</v>
      </c>
    </row>
    <row r="47" spans="4:7" x14ac:dyDescent="0.25">
      <c r="D47" s="665" t="s">
        <v>199</v>
      </c>
      <c r="E47" s="676"/>
      <c r="F47" s="328">
        <f>F35</f>
        <v>11.3</v>
      </c>
      <c r="G47" s="329">
        <f>G35</f>
        <v>11.3</v>
      </c>
    </row>
    <row r="48" spans="4:7" x14ac:dyDescent="0.25">
      <c r="D48" s="665" t="s">
        <v>201</v>
      </c>
      <c r="E48" s="676"/>
      <c r="F48" s="328">
        <f>SUM(F45:F47)</f>
        <v>139.12</v>
      </c>
      <c r="G48" s="329">
        <f>SUM(G45:G47)</f>
        <v>149.44999999999982</v>
      </c>
    </row>
    <row r="49" spans="4:7" x14ac:dyDescent="0.25">
      <c r="D49" s="665" t="s">
        <v>187</v>
      </c>
      <c r="E49" s="676">
        <f>E37</f>
        <v>6.5078164397377716</v>
      </c>
      <c r="F49" s="328"/>
      <c r="G49" s="329"/>
    </row>
    <row r="50" spans="4:7" ht="20" thickBot="1" x14ac:dyDescent="0.3">
      <c r="D50" s="670" t="s">
        <v>202</v>
      </c>
      <c r="E50" s="677"/>
      <c r="F50" s="341">
        <f>F48/$E49</f>
        <v>21.377370011623402</v>
      </c>
      <c r="G50" s="342">
        <f>G48/$E49</f>
        <v>22.964691979852741</v>
      </c>
    </row>
    <row r="57" spans="4:7" ht="20" thickBot="1" x14ac:dyDescent="0.3"/>
    <row r="58" spans="4:7" ht="20" thickBot="1" x14ac:dyDescent="0.3">
      <c r="D58" s="661"/>
      <c r="E58" s="678" t="s">
        <v>242</v>
      </c>
      <c r="F58" s="679" t="s">
        <v>5</v>
      </c>
      <c r="G58" s="680" t="s">
        <v>120</v>
      </c>
    </row>
    <row r="59" spans="4:7" x14ac:dyDescent="0.25">
      <c r="D59" s="665" t="s">
        <v>198</v>
      </c>
      <c r="E59" s="362"/>
      <c r="F59" s="359">
        <f>F43</f>
        <v>238.7</v>
      </c>
      <c r="G59" s="321">
        <f>G43</f>
        <v>18.499999999999975</v>
      </c>
    </row>
    <row r="60" spans="4:7" x14ac:dyDescent="0.25">
      <c r="D60" s="665" t="s">
        <v>182</v>
      </c>
      <c r="E60" s="362"/>
      <c r="F60" s="359">
        <f>E15</f>
        <v>0.75</v>
      </c>
      <c r="G60" s="321">
        <f>F15</f>
        <v>9.0500000000000007</v>
      </c>
    </row>
    <row r="61" spans="4:7" x14ac:dyDescent="0.25">
      <c r="D61" s="665" t="s">
        <v>183</v>
      </c>
      <c r="E61" s="362"/>
      <c r="F61" s="359">
        <f>F59*F60</f>
        <v>179.02499999999998</v>
      </c>
      <c r="G61" s="321">
        <f>G59*G60</f>
        <v>167.42499999999978</v>
      </c>
    </row>
    <row r="62" spans="4:7" x14ac:dyDescent="0.25">
      <c r="D62" s="665" t="s">
        <v>200</v>
      </c>
      <c r="E62" s="362"/>
      <c r="F62" s="359">
        <f>F46</f>
        <v>-15.4</v>
      </c>
      <c r="G62" s="321">
        <f>G46</f>
        <v>-15.4</v>
      </c>
    </row>
    <row r="63" spans="4:7" x14ac:dyDescent="0.25">
      <c r="D63" s="665" t="s">
        <v>199</v>
      </c>
      <c r="E63" s="362"/>
      <c r="F63" s="359">
        <f>F47</f>
        <v>11.3</v>
      </c>
      <c r="G63" s="321">
        <f>G47</f>
        <v>11.3</v>
      </c>
    </row>
    <row r="64" spans="4:7" x14ac:dyDescent="0.25">
      <c r="D64" s="665" t="s">
        <v>201</v>
      </c>
      <c r="E64" s="362"/>
      <c r="F64" s="359">
        <f>SUM(F61:F63)</f>
        <v>174.92499999999998</v>
      </c>
      <c r="G64" s="321">
        <f>SUM(G61:G63)</f>
        <v>163.32499999999979</v>
      </c>
    </row>
    <row r="65" spans="4:7" x14ac:dyDescent="0.25">
      <c r="D65" s="665" t="s">
        <v>187</v>
      </c>
      <c r="E65" s="362">
        <f>E49</f>
        <v>6.5078164397377716</v>
      </c>
      <c r="F65" s="359"/>
      <c r="G65" s="321"/>
    </row>
    <row r="66" spans="4:7" ht="20" thickBot="1" x14ac:dyDescent="0.3">
      <c r="D66" s="670" t="s">
        <v>202</v>
      </c>
      <c r="E66" s="368"/>
      <c r="F66" s="369">
        <f>F64/$E65</f>
        <v>26.879215420379694</v>
      </c>
      <c r="G66" s="322">
        <f>G64/$E65</f>
        <v>25.096743510267302</v>
      </c>
    </row>
    <row r="72" spans="4:7" ht="20" thickBot="1" x14ac:dyDescent="0.3"/>
    <row r="73" spans="4:7" x14ac:dyDescent="0.25">
      <c r="D73" s="672"/>
      <c r="E73" s="662" t="s">
        <v>173</v>
      </c>
      <c r="F73" s="663" t="s">
        <v>5</v>
      </c>
      <c r="G73" s="664" t="s">
        <v>120</v>
      </c>
    </row>
    <row r="74" spans="4:7" x14ac:dyDescent="0.25">
      <c r="D74" s="665" t="s">
        <v>198</v>
      </c>
      <c r="E74" s="673"/>
      <c r="F74" s="667">
        <f>F59</f>
        <v>238.7</v>
      </c>
      <c r="G74" s="668">
        <f>G59</f>
        <v>18.499999999999975</v>
      </c>
    </row>
    <row r="75" spans="4:7" x14ac:dyDescent="0.25">
      <c r="D75" s="665" t="s">
        <v>182</v>
      </c>
      <c r="E75" s="335"/>
      <c r="F75" s="328">
        <f>E12</f>
        <v>0.95</v>
      </c>
      <c r="G75" s="329">
        <f>F12</f>
        <v>11.45</v>
      </c>
    </row>
    <row r="76" spans="4:7" x14ac:dyDescent="0.25">
      <c r="D76" s="665" t="s">
        <v>183</v>
      </c>
      <c r="E76" s="335"/>
      <c r="F76" s="328">
        <f>F74*F75</f>
        <v>226.76499999999999</v>
      </c>
      <c r="G76" s="329">
        <f>G74*G75</f>
        <v>211.8249999999997</v>
      </c>
    </row>
    <row r="77" spans="4:7" x14ac:dyDescent="0.25">
      <c r="D77" s="665" t="s">
        <v>200</v>
      </c>
      <c r="E77" s="335"/>
      <c r="F77" s="328">
        <f>F62</f>
        <v>-15.4</v>
      </c>
      <c r="G77" s="329">
        <f>G62</f>
        <v>-15.4</v>
      </c>
    </row>
    <row r="78" spans="4:7" x14ac:dyDescent="0.25">
      <c r="D78" s="665" t="s">
        <v>199</v>
      </c>
      <c r="E78" s="335"/>
      <c r="F78" s="328">
        <f>F63</f>
        <v>11.3</v>
      </c>
      <c r="G78" s="329">
        <f>G63</f>
        <v>11.3</v>
      </c>
    </row>
    <row r="79" spans="4:7" x14ac:dyDescent="0.25">
      <c r="D79" s="665" t="s">
        <v>201</v>
      </c>
      <c r="E79" s="335"/>
      <c r="F79" s="328">
        <f>SUM(F76:F78)</f>
        <v>222.66499999999999</v>
      </c>
      <c r="G79" s="329">
        <f>SUM(G76:G78)</f>
        <v>207.72499999999971</v>
      </c>
    </row>
    <row r="80" spans="4:7" x14ac:dyDescent="0.25">
      <c r="D80" s="665" t="s">
        <v>187</v>
      </c>
      <c r="E80" s="335">
        <f>E65</f>
        <v>6.5078164397377716</v>
      </c>
      <c r="F80" s="328"/>
      <c r="G80" s="329"/>
    </row>
    <row r="81" spans="4:7" ht="20" thickBot="1" x14ac:dyDescent="0.3">
      <c r="D81" s="670" t="s">
        <v>202</v>
      </c>
      <c r="E81" s="674"/>
      <c r="F81" s="341">
        <f>F79/E80</f>
        <v>34.215009298721419</v>
      </c>
      <c r="G81" s="342">
        <f>G79/E80</f>
        <v>31.91930840759391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1E5E1-834C-9445-A65E-64C90D48AAA9}">
  <dimension ref="A1:U63"/>
  <sheetViews>
    <sheetView topLeftCell="E1" zoomScale="81" workbookViewId="0">
      <selection activeCell="J71" sqref="J71"/>
    </sheetView>
  </sheetViews>
  <sheetFormatPr baseColWidth="10" defaultColWidth="11.5" defaultRowHeight="18" x14ac:dyDescent="0.2"/>
  <cols>
    <col min="1" max="1" width="41.33203125" style="279" customWidth="1"/>
    <col min="2" max="2" width="45.83203125" style="279" customWidth="1"/>
    <col min="3" max="6" width="11.5" style="279"/>
    <col min="7" max="7" width="11.5" style="279" customWidth="1"/>
    <col min="8" max="8" width="11.5" style="279"/>
    <col min="9" max="9" width="31.83203125" style="279" customWidth="1"/>
    <col min="10" max="10" width="102.1640625" style="279" customWidth="1"/>
    <col min="11" max="11" width="11.5" style="279" customWidth="1"/>
    <col min="12" max="21" width="11.5" style="279"/>
    <col min="22" max="16384" width="11.5" style="188"/>
  </cols>
  <sheetData>
    <row r="1" spans="1:19" ht="19" thickBot="1" x14ac:dyDescent="0.25"/>
    <row r="2" spans="1:19" ht="19" thickBot="1" x14ac:dyDescent="0.25">
      <c r="A2" s="511" t="s">
        <v>205</v>
      </c>
      <c r="B2" s="426"/>
    </row>
    <row r="3" spans="1:19" ht="19" thickBot="1" x14ac:dyDescent="0.25">
      <c r="A3" s="242" t="s">
        <v>206</v>
      </c>
      <c r="B3" s="512">
        <v>0.04</v>
      </c>
    </row>
    <row r="4" spans="1:19" ht="19" thickBot="1" x14ac:dyDescent="0.25">
      <c r="A4" s="242" t="s">
        <v>208</v>
      </c>
      <c r="B4" s="513">
        <f>'Cross Play IS'!G18/'Cross Play IS'!G17</f>
        <v>0.21126760563380306</v>
      </c>
      <c r="J4" s="681"/>
      <c r="K4" s="424"/>
      <c r="L4" s="186" t="s">
        <v>220</v>
      </c>
      <c r="M4" s="285"/>
      <c r="N4" s="285"/>
      <c r="O4" s="426"/>
      <c r="P4" s="186"/>
      <c r="Q4" s="285"/>
      <c r="R4" s="186" t="s">
        <v>221</v>
      </c>
      <c r="S4" s="426"/>
    </row>
    <row r="5" spans="1:19" ht="19" thickBot="1" x14ac:dyDescent="0.25">
      <c r="A5" s="242"/>
      <c r="B5" s="513"/>
      <c r="J5" s="682"/>
      <c r="K5" s="304"/>
      <c r="L5" s="250"/>
      <c r="M5" s="191"/>
      <c r="N5" s="191"/>
      <c r="O5" s="316"/>
      <c r="P5" s="247"/>
      <c r="Q5" s="297"/>
      <c r="R5" s="297"/>
      <c r="S5" s="316"/>
    </row>
    <row r="6" spans="1:19" ht="19" thickBot="1" x14ac:dyDescent="0.25">
      <c r="A6" s="244" t="s">
        <v>207</v>
      </c>
      <c r="B6" s="514">
        <v>0.15</v>
      </c>
      <c r="J6" s="683" t="s">
        <v>243</v>
      </c>
      <c r="K6" s="542">
        <f>'Cross Health BS'!C4</f>
        <v>2020</v>
      </c>
      <c r="L6" s="542">
        <f>'Cross Health BS'!D4</f>
        <v>2021</v>
      </c>
      <c r="M6" s="542">
        <f>'Cross Health BS'!E4</f>
        <v>2022</v>
      </c>
      <c r="N6" s="536">
        <f>M6+1</f>
        <v>2023</v>
      </c>
      <c r="O6" s="542">
        <f t="shared" ref="O6:S6" si="0">N6+1</f>
        <v>2024</v>
      </c>
      <c r="P6" s="536">
        <f t="shared" si="0"/>
        <v>2025</v>
      </c>
      <c r="Q6" s="542">
        <f t="shared" si="0"/>
        <v>2026</v>
      </c>
      <c r="R6" s="542">
        <f t="shared" si="0"/>
        <v>2027</v>
      </c>
      <c r="S6" s="536">
        <f t="shared" si="0"/>
        <v>2028</v>
      </c>
    </row>
    <row r="7" spans="1:19" x14ac:dyDescent="0.2">
      <c r="J7" s="684" t="s">
        <v>209</v>
      </c>
      <c r="K7" s="281">
        <f>'Cross Play IS'!C6</f>
        <v>177.1</v>
      </c>
      <c r="L7" s="281">
        <f>'Cross Play IS'!D6</f>
        <v>222.4</v>
      </c>
      <c r="M7" s="281">
        <f>'Cross Play IS'!E6</f>
        <v>238.7</v>
      </c>
      <c r="N7" s="303">
        <f>'Cross Play IS'!F6</f>
        <v>258.10000000000002</v>
      </c>
      <c r="O7" s="281">
        <f>'Cross Play IS'!G6</f>
        <v>278.7</v>
      </c>
      <c r="P7" s="303">
        <f>O7*(1+B3)</f>
        <v>289.84800000000001</v>
      </c>
      <c r="Q7" s="281">
        <f>P7*(1+B3)</f>
        <v>301.44192000000004</v>
      </c>
      <c r="R7" s="281">
        <f>Q7*(1+B3)</f>
        <v>313.49959680000006</v>
      </c>
      <c r="S7" s="303">
        <f>R7*(1+B3)</f>
        <v>326.03958067200006</v>
      </c>
    </row>
    <row r="8" spans="1:19" x14ac:dyDescent="0.2">
      <c r="J8" s="685" t="s">
        <v>219</v>
      </c>
      <c r="K8" s="281"/>
      <c r="L8" s="686">
        <f>(L7-K7)/L7</f>
        <v>0.20368705035971227</v>
      </c>
      <c r="M8" s="686">
        <f t="shared" ref="M8:R8" si="1">(M7-L7)/M7</f>
        <v>6.8286552157519831E-2</v>
      </c>
      <c r="N8" s="532">
        <f t="shared" si="1"/>
        <v>7.5164664858582073E-2</v>
      </c>
      <c r="O8" s="686">
        <f t="shared" si="1"/>
        <v>7.3914603516325686E-2</v>
      </c>
      <c r="P8" s="532">
        <f t="shared" si="1"/>
        <v>3.8461538461538547E-2</v>
      </c>
      <c r="Q8" s="686">
        <f t="shared" si="1"/>
        <v>3.846153846153854E-2</v>
      </c>
      <c r="R8" s="686">
        <f t="shared" si="1"/>
        <v>3.8461538461538533E-2</v>
      </c>
      <c r="S8" s="532">
        <f>(S7-R7)/S7</f>
        <v>3.8461538461538436E-2</v>
      </c>
    </row>
    <row r="9" spans="1:19" ht="19" thickBot="1" x14ac:dyDescent="0.25">
      <c r="J9" s="685" t="s">
        <v>291</v>
      </c>
      <c r="K9" s="281">
        <f>'Cross Play IS'!C9</f>
        <v>31.599999999999994</v>
      </c>
      <c r="L9" s="281">
        <f>'Cross Play IS'!D9</f>
        <v>40.599999999999994</v>
      </c>
      <c r="M9" s="281">
        <f>'Cross Play IS'!E9</f>
        <v>43.899999999999977</v>
      </c>
      <c r="N9" s="303">
        <f>'Cross Play IS'!F9</f>
        <v>48.800000000000011</v>
      </c>
      <c r="O9" s="281">
        <f>'Cross Play IS'!G9</f>
        <v>52.899999999999977</v>
      </c>
      <c r="P9" s="303">
        <f>O9*(1+$B3)</f>
        <v>55.015999999999977</v>
      </c>
      <c r="Q9" s="303">
        <f t="shared" ref="Q9:S9" si="2">P9*(1+$B3)</f>
        <v>57.216639999999977</v>
      </c>
      <c r="R9" s="303">
        <f t="shared" si="2"/>
        <v>59.505305599999978</v>
      </c>
      <c r="S9" s="303">
        <f t="shared" si="2"/>
        <v>61.885517823999983</v>
      </c>
    </row>
    <row r="10" spans="1:19" ht="19" thickBot="1" x14ac:dyDescent="0.25">
      <c r="A10" s="519" t="s">
        <v>224</v>
      </c>
      <c r="B10" s="520"/>
      <c r="J10" s="685" t="s">
        <v>223</v>
      </c>
      <c r="K10" s="524">
        <f t="shared" ref="K10:S10" si="3">K9/K7</f>
        <v>0.17843026538678711</v>
      </c>
      <c r="L10" s="524">
        <f t="shared" si="3"/>
        <v>0.18255395683453235</v>
      </c>
      <c r="M10" s="524">
        <f t="shared" si="3"/>
        <v>0.18391286133221607</v>
      </c>
      <c r="N10" s="512">
        <f t="shared" si="3"/>
        <v>0.18907400232468038</v>
      </c>
      <c r="O10" s="524">
        <f t="shared" si="3"/>
        <v>0.18980983135988511</v>
      </c>
      <c r="P10" s="512">
        <f t="shared" si="3"/>
        <v>0.18980983135988511</v>
      </c>
      <c r="Q10" s="524">
        <f t="shared" si="3"/>
        <v>0.18980983135988508</v>
      </c>
      <c r="R10" s="524">
        <f t="shared" si="3"/>
        <v>0.18980983135988508</v>
      </c>
      <c r="S10" s="524">
        <f t="shared" si="3"/>
        <v>0.18980983135988511</v>
      </c>
    </row>
    <row r="11" spans="1:19" ht="19" thickBot="1" x14ac:dyDescent="0.25">
      <c r="A11" s="730" t="str">
        <f>'Cross Play IS'!B11</f>
        <v>Selling, General &amp; Administrative</v>
      </c>
      <c r="B11" s="731">
        <v>0.01</v>
      </c>
      <c r="J11" s="685" t="s">
        <v>292</v>
      </c>
      <c r="K11" s="281">
        <f>'Cross Play IS'!C11</f>
        <v>17.100000000000001</v>
      </c>
      <c r="L11" s="281">
        <f>'Cross Play IS'!D11</f>
        <v>19.899999999999999</v>
      </c>
      <c r="M11" s="281">
        <f>'Cross Play IS'!E11</f>
        <v>23.1</v>
      </c>
      <c r="N11" s="281">
        <f>'Cross Play IS'!F11</f>
        <v>25.2</v>
      </c>
      <c r="O11" s="281">
        <f>'Cross Play IS'!G11</f>
        <v>26.2</v>
      </c>
      <c r="P11" s="281">
        <f>O11*(1+B3)</f>
        <v>27.248000000000001</v>
      </c>
      <c r="Q11" s="281">
        <f>P11*(1+C3)</f>
        <v>27.248000000000001</v>
      </c>
      <c r="R11" s="281">
        <f>Q11*(1+D3)</f>
        <v>27.248000000000001</v>
      </c>
      <c r="S11" s="281">
        <f>R11*(1+E3)</f>
        <v>27.248000000000001</v>
      </c>
    </row>
    <row r="12" spans="1:19" x14ac:dyDescent="0.2">
      <c r="J12" s="685" t="s">
        <v>292</v>
      </c>
      <c r="K12" s="524">
        <f t="shared" ref="K12:S12" si="4">K11/K7</f>
        <v>9.6555618294748735E-2</v>
      </c>
      <c r="L12" s="524">
        <f t="shared" si="4"/>
        <v>8.9478417266187035E-2</v>
      </c>
      <c r="M12" s="524">
        <f t="shared" si="4"/>
        <v>9.6774193548387108E-2</v>
      </c>
      <c r="N12" s="512">
        <f t="shared" si="4"/>
        <v>9.7636574970941484E-2</v>
      </c>
      <c r="O12" s="524">
        <f t="shared" si="4"/>
        <v>9.4007893792608543E-2</v>
      </c>
      <c r="P12" s="512">
        <f t="shared" si="4"/>
        <v>9.4007893792608543E-2</v>
      </c>
      <c r="Q12" s="524">
        <f t="shared" si="4"/>
        <v>9.0392205569815892E-2</v>
      </c>
      <c r="R12" s="524">
        <f t="shared" si="4"/>
        <v>8.6915582278669121E-2</v>
      </c>
      <c r="S12" s="524">
        <f t="shared" si="4"/>
        <v>8.3572675267951077E-2</v>
      </c>
    </row>
    <row r="13" spans="1:19" x14ac:dyDescent="0.2">
      <c r="J13" s="685" t="s">
        <v>11</v>
      </c>
      <c r="K13" s="281">
        <f>'Cross Play IS'!C12</f>
        <v>2.2999999999999998</v>
      </c>
      <c r="L13" s="281">
        <f>'Cross Play IS'!D12</f>
        <v>3.4</v>
      </c>
      <c r="M13" s="281">
        <f>'Cross Play IS'!E12</f>
        <v>2.2999999999999998</v>
      </c>
      <c r="N13" s="303">
        <f>'Cross Play IS'!F12</f>
        <v>3.1</v>
      </c>
      <c r="O13" s="281">
        <f>'Cross Play IS'!G12</f>
        <v>3.3</v>
      </c>
      <c r="P13" s="197">
        <f>O13*(1+$B3)</f>
        <v>3.4319999999999999</v>
      </c>
      <c r="Q13" s="197">
        <f t="shared" ref="Q13:S13" si="5">P13*(1+$B3)</f>
        <v>3.56928</v>
      </c>
      <c r="R13" s="197">
        <f t="shared" si="5"/>
        <v>3.7120512000000003</v>
      </c>
      <c r="S13" s="197">
        <f t="shared" si="5"/>
        <v>3.8605332480000003</v>
      </c>
    </row>
    <row r="14" spans="1:19" x14ac:dyDescent="0.2">
      <c r="J14" s="685" t="s">
        <v>121</v>
      </c>
      <c r="K14" s="281">
        <f>'Cross Play IS'!C14</f>
        <v>11.999999999999993</v>
      </c>
      <c r="L14" s="281">
        <f>'Cross Play IS'!D14</f>
        <v>15.999999999999996</v>
      </c>
      <c r="M14" s="281">
        <f>'Cross Play IS'!E14</f>
        <v>18.499999999999975</v>
      </c>
      <c r="N14" s="281">
        <f>'Cross Play IS'!F14</f>
        <v>20.500000000000011</v>
      </c>
      <c r="O14" s="281">
        <f>'Cross Play IS'!G14</f>
        <v>23.399999999999977</v>
      </c>
      <c r="P14" s="303">
        <f>O14*(1+$B3)</f>
        <v>24.335999999999977</v>
      </c>
      <c r="Q14" s="303">
        <f t="shared" ref="Q14:S14" si="6">P14*(1+$B3)</f>
        <v>25.309439999999977</v>
      </c>
      <c r="R14" s="303">
        <f t="shared" si="6"/>
        <v>26.321817599999978</v>
      </c>
      <c r="S14" s="303">
        <f t="shared" si="6"/>
        <v>27.374690303999976</v>
      </c>
    </row>
    <row r="15" spans="1:19" x14ac:dyDescent="0.2">
      <c r="J15" s="685" t="s">
        <v>222</v>
      </c>
      <c r="K15" s="524">
        <f t="shared" ref="K15:S15" si="7">K14/K7</f>
        <v>6.7758328627893813E-2</v>
      </c>
      <c r="L15" s="524">
        <f t="shared" si="7"/>
        <v>7.1942446043165451E-2</v>
      </c>
      <c r="M15" s="524">
        <f t="shared" si="7"/>
        <v>7.7503142019270957E-2</v>
      </c>
      <c r="N15" s="512">
        <f t="shared" si="7"/>
        <v>7.9426578845408796E-2</v>
      </c>
      <c r="O15" s="524">
        <f t="shared" si="7"/>
        <v>8.3961248654467094E-2</v>
      </c>
      <c r="P15" s="512">
        <f t="shared" si="7"/>
        <v>8.396124865446708E-2</v>
      </c>
      <c r="Q15" s="524">
        <f t="shared" si="7"/>
        <v>8.396124865446708E-2</v>
      </c>
      <c r="R15" s="524">
        <f t="shared" si="7"/>
        <v>8.396124865446708E-2</v>
      </c>
      <c r="S15" s="524">
        <f t="shared" si="7"/>
        <v>8.396124865446708E-2</v>
      </c>
    </row>
    <row r="16" spans="1:19" x14ac:dyDescent="0.2">
      <c r="J16" s="685" t="s">
        <v>233</v>
      </c>
      <c r="K16" s="282">
        <f>K14*$B4</f>
        <v>2.5352112676056353</v>
      </c>
      <c r="L16" s="282">
        <f t="shared" ref="L16:S16" si="8">L14*$B4</f>
        <v>3.3802816901408481</v>
      </c>
      <c r="M16" s="282">
        <f t="shared" si="8"/>
        <v>3.9084507042253516</v>
      </c>
      <c r="N16" s="282">
        <f t="shared" si="8"/>
        <v>4.3309859154929651</v>
      </c>
      <c r="O16" s="282">
        <f t="shared" si="8"/>
        <v>4.9436619718309869</v>
      </c>
      <c r="P16" s="282">
        <f t="shared" si="8"/>
        <v>5.1414084507042261</v>
      </c>
      <c r="Q16" s="282">
        <f t="shared" si="8"/>
        <v>5.3470647887323954</v>
      </c>
      <c r="R16" s="282">
        <f t="shared" si="8"/>
        <v>5.560947380281692</v>
      </c>
      <c r="S16" s="282">
        <f t="shared" si="8"/>
        <v>5.7833852754929591</v>
      </c>
    </row>
    <row r="17" spans="1:19" ht="19" thickBot="1" x14ac:dyDescent="0.25">
      <c r="B17" s="526"/>
      <c r="J17" s="685" t="s">
        <v>234</v>
      </c>
      <c r="K17" s="524">
        <f>K16/K7</f>
        <v>1.4315139850963497E-2</v>
      </c>
      <c r="L17" s="524">
        <f>L16/L7</f>
        <v>1.5199108318978633E-2</v>
      </c>
      <c r="M17" s="524">
        <f>M16/M7</f>
        <v>1.6373903243507966E-2</v>
      </c>
      <c r="N17" s="512">
        <f>N16/N7</f>
        <v>1.6780263136353991E-2</v>
      </c>
      <c r="O17" s="524">
        <f>O16/O7</f>
        <v>1.7738291969253632E-2</v>
      </c>
      <c r="P17" s="532">
        <f>$B4</f>
        <v>0.21126760563380306</v>
      </c>
      <c r="Q17" s="686">
        <f>$B4</f>
        <v>0.21126760563380306</v>
      </c>
      <c r="R17" s="686">
        <f>$B4</f>
        <v>0.21126760563380306</v>
      </c>
      <c r="S17" s="686">
        <f>$B4</f>
        <v>0.21126760563380306</v>
      </c>
    </row>
    <row r="18" spans="1:19" ht="19" thickBot="1" x14ac:dyDescent="0.25">
      <c r="B18" s="526"/>
      <c r="J18" s="683" t="s">
        <v>210</v>
      </c>
      <c r="K18" s="538">
        <f t="shared" ref="K18:S18" si="9">K14-K16</f>
        <v>9.4647887323943571</v>
      </c>
      <c r="L18" s="538">
        <f t="shared" si="9"/>
        <v>12.619718309859149</v>
      </c>
      <c r="M18" s="538">
        <f t="shared" si="9"/>
        <v>14.591549295774623</v>
      </c>
      <c r="N18" s="538">
        <f t="shared" si="9"/>
        <v>16.169014084507047</v>
      </c>
      <c r="O18" s="538">
        <f t="shared" si="9"/>
        <v>18.456338028168989</v>
      </c>
      <c r="P18" s="538">
        <f t="shared" si="9"/>
        <v>19.194591549295751</v>
      </c>
      <c r="Q18" s="538">
        <f t="shared" si="9"/>
        <v>19.962375211267581</v>
      </c>
      <c r="R18" s="538">
        <f t="shared" si="9"/>
        <v>20.760870219718285</v>
      </c>
      <c r="S18" s="538">
        <f t="shared" si="9"/>
        <v>21.591305028507016</v>
      </c>
    </row>
    <row r="19" spans="1:19" x14ac:dyDescent="0.2">
      <c r="B19" s="526"/>
      <c r="J19" s="685" t="s">
        <v>211</v>
      </c>
      <c r="K19" s="281">
        <f t="shared" ref="K19:S19" si="10">K13</f>
        <v>2.2999999999999998</v>
      </c>
      <c r="L19" s="281">
        <f t="shared" si="10"/>
        <v>3.4</v>
      </c>
      <c r="M19" s="281">
        <f t="shared" si="10"/>
        <v>2.2999999999999998</v>
      </c>
      <c r="N19" s="281">
        <f t="shared" si="10"/>
        <v>3.1</v>
      </c>
      <c r="O19" s="281">
        <f t="shared" si="10"/>
        <v>3.3</v>
      </c>
      <c r="P19" s="281">
        <f t="shared" si="10"/>
        <v>3.4319999999999999</v>
      </c>
      <c r="Q19" s="281">
        <f t="shared" si="10"/>
        <v>3.56928</v>
      </c>
      <c r="R19" s="281">
        <f t="shared" si="10"/>
        <v>3.7120512000000003</v>
      </c>
      <c r="S19" s="281">
        <f t="shared" si="10"/>
        <v>3.8605332480000003</v>
      </c>
    </row>
    <row r="20" spans="1:19" ht="19" thickBot="1" x14ac:dyDescent="0.25">
      <c r="B20" s="526"/>
      <c r="J20" s="685" t="s">
        <v>212</v>
      </c>
      <c r="K20" s="281">
        <f>'Cross Play IS'!C21</f>
        <v>2.2999999999999998</v>
      </c>
      <c r="L20" s="281">
        <f>'Cross Play IS'!D21</f>
        <v>3.4</v>
      </c>
      <c r="M20" s="281">
        <f>'Cross Play IS'!E21</f>
        <v>2.2999999999999998</v>
      </c>
      <c r="N20" s="281">
        <f>'Cross Play IS'!F21</f>
        <v>3.1</v>
      </c>
      <c r="O20" s="281">
        <f>'Cross Play IS'!G21</f>
        <v>3.3</v>
      </c>
      <c r="P20" s="281">
        <f>O20</f>
        <v>3.3</v>
      </c>
      <c r="Q20" s="281">
        <f t="shared" ref="Q20:S20" si="11">P20</f>
        <v>3.3</v>
      </c>
      <c r="R20" s="281">
        <f t="shared" si="11"/>
        <v>3.3</v>
      </c>
      <c r="S20" s="281">
        <f t="shared" si="11"/>
        <v>3.3</v>
      </c>
    </row>
    <row r="21" spans="1:19" ht="19" thickBot="1" x14ac:dyDescent="0.25">
      <c r="A21" s="687" t="s">
        <v>225</v>
      </c>
      <c r="B21" s="452"/>
      <c r="J21" s="688" t="s">
        <v>213</v>
      </c>
      <c r="K21" s="281"/>
      <c r="L21" s="281">
        <f>(L9-K9)</f>
        <v>9</v>
      </c>
      <c r="M21" s="281">
        <f t="shared" ref="M21:S21" si="12">(M9-L9)</f>
        <v>3.2999999999999829</v>
      </c>
      <c r="N21" s="281">
        <f t="shared" si="12"/>
        <v>4.9000000000000341</v>
      </c>
      <c r="O21" s="281">
        <f t="shared" si="12"/>
        <v>4.0999999999999659</v>
      </c>
      <c r="P21" s="281">
        <f t="shared" si="12"/>
        <v>2.1159999999999997</v>
      </c>
      <c r="Q21" s="281">
        <f t="shared" si="12"/>
        <v>2.2006399999999999</v>
      </c>
      <c r="R21" s="281">
        <f t="shared" si="12"/>
        <v>2.2886656000000016</v>
      </c>
      <c r="S21" s="281">
        <f t="shared" si="12"/>
        <v>2.3802122240000045</v>
      </c>
    </row>
    <row r="22" spans="1:19" x14ac:dyDescent="0.2">
      <c r="A22" s="529" t="s">
        <v>226</v>
      </c>
      <c r="B22" s="530">
        <f>S22</f>
        <v>19.77162605250701</v>
      </c>
      <c r="J22" s="684" t="s">
        <v>214</v>
      </c>
      <c r="K22" s="540">
        <f>K18+K19-K20-K21</f>
        <v>9.4647887323943571</v>
      </c>
      <c r="L22" s="540">
        <f t="shared" ref="L22:S22" si="13">L18+L19-L20-L21</f>
        <v>3.619718309859147</v>
      </c>
      <c r="M22" s="540">
        <f t="shared" si="13"/>
        <v>11.29154929577464</v>
      </c>
      <c r="N22" s="540">
        <f t="shared" si="13"/>
        <v>11.269014084507013</v>
      </c>
      <c r="O22" s="540">
        <f t="shared" si="13"/>
        <v>14.356338028169024</v>
      </c>
      <c r="P22" s="540">
        <f t="shared" si="13"/>
        <v>17.210591549295749</v>
      </c>
      <c r="Q22" s="540">
        <f t="shared" si="13"/>
        <v>18.031015211267579</v>
      </c>
      <c r="R22" s="540">
        <f t="shared" si="13"/>
        <v>18.884255819718284</v>
      </c>
      <c r="S22" s="540">
        <f t="shared" si="13"/>
        <v>19.77162605250701</v>
      </c>
    </row>
    <row r="23" spans="1:19" ht="19" thickBot="1" x14ac:dyDescent="0.25">
      <c r="A23" s="195" t="s">
        <v>227</v>
      </c>
      <c r="B23" s="532">
        <f>B3</f>
        <v>0.04</v>
      </c>
      <c r="J23" s="685" t="s">
        <v>215</v>
      </c>
      <c r="K23" s="471"/>
      <c r="L23" s="471"/>
      <c r="M23" s="471"/>
      <c r="N23" s="510"/>
      <c r="O23" s="471"/>
      <c r="P23" s="510"/>
      <c r="Q23" s="471"/>
      <c r="R23" s="471"/>
      <c r="S23" s="308">
        <f>B25</f>
        <v>186.93173722370267</v>
      </c>
    </row>
    <row r="24" spans="1:19" ht="19" thickBot="1" x14ac:dyDescent="0.25">
      <c r="A24" s="534" t="s">
        <v>228</v>
      </c>
      <c r="B24" s="535">
        <f>B6</f>
        <v>0.15</v>
      </c>
      <c r="J24" s="683" t="s">
        <v>231</v>
      </c>
      <c r="K24" s="538">
        <f>K22+K23</f>
        <v>9.4647887323943571</v>
      </c>
      <c r="L24" s="538">
        <f t="shared" ref="L24:S24" si="14">L22+L23</f>
        <v>3.619718309859147</v>
      </c>
      <c r="M24" s="538">
        <f t="shared" si="14"/>
        <v>11.29154929577464</v>
      </c>
      <c r="N24" s="538">
        <f t="shared" si="14"/>
        <v>11.269014084507013</v>
      </c>
      <c r="O24" s="538">
        <f t="shared" si="14"/>
        <v>14.356338028169024</v>
      </c>
      <c r="P24" s="538">
        <f t="shared" si="14"/>
        <v>17.210591549295749</v>
      </c>
      <c r="Q24" s="538">
        <f t="shared" si="14"/>
        <v>18.031015211267579</v>
      </c>
      <c r="R24" s="538">
        <f t="shared" si="14"/>
        <v>18.884255819718284</v>
      </c>
      <c r="S24" s="538">
        <f t="shared" si="14"/>
        <v>206.70336327620967</v>
      </c>
    </row>
    <row r="25" spans="1:19" ht="19" thickBot="1" x14ac:dyDescent="0.25">
      <c r="A25" s="683" t="s">
        <v>229</v>
      </c>
      <c r="B25" s="689">
        <f>B22*(1+B23)/(B24-B23)</f>
        <v>186.93173722370267</v>
      </c>
      <c r="J25" s="685" t="s">
        <v>216</v>
      </c>
      <c r="K25" s="281"/>
      <c r="L25" s="281">
        <v>1</v>
      </c>
      <c r="M25" s="281">
        <v>2</v>
      </c>
      <c r="N25" s="281">
        <v>3</v>
      </c>
      <c r="O25" s="281">
        <v>4</v>
      </c>
      <c r="P25" s="281">
        <v>5</v>
      </c>
      <c r="Q25" s="281">
        <v>6</v>
      </c>
      <c r="R25" s="281">
        <v>7</v>
      </c>
      <c r="S25" s="281">
        <v>8</v>
      </c>
    </row>
    <row r="26" spans="1:19" x14ac:dyDescent="0.2">
      <c r="A26" s="526"/>
      <c r="J26" s="685" t="s">
        <v>230</v>
      </c>
      <c r="K26" s="281"/>
      <c r="L26" s="281">
        <v>0.5</v>
      </c>
      <c r="M26" s="281">
        <v>1.5</v>
      </c>
      <c r="N26" s="281">
        <v>2.5</v>
      </c>
      <c r="O26" s="281">
        <v>3.5</v>
      </c>
      <c r="P26" s="281">
        <v>4.5</v>
      </c>
      <c r="Q26" s="281">
        <v>5.5</v>
      </c>
      <c r="R26" s="281">
        <v>6.5</v>
      </c>
      <c r="S26" s="690">
        <v>7.5</v>
      </c>
    </row>
    <row r="27" spans="1:19" ht="19" thickBot="1" x14ac:dyDescent="0.25">
      <c r="J27" s="685"/>
      <c r="K27" s="281"/>
      <c r="L27" s="281"/>
      <c r="M27" s="281"/>
      <c r="N27" s="281"/>
      <c r="O27" s="281"/>
      <c r="P27" s="281"/>
      <c r="Q27" s="281"/>
      <c r="R27" s="281"/>
      <c r="S27" s="281"/>
    </row>
    <row r="28" spans="1:19" ht="19" thickBot="1" x14ac:dyDescent="0.25">
      <c r="J28" s="683" t="s">
        <v>217</v>
      </c>
      <c r="K28" s="691"/>
      <c r="L28" s="692">
        <f>L24/(1+$B6)^L26</f>
        <v>3.3754047284191566</v>
      </c>
      <c r="M28" s="692">
        <f t="shared" ref="M28:R28" si="15">M24/(1+$B6)^M26</f>
        <v>9.1560208789498976</v>
      </c>
      <c r="N28" s="692">
        <f t="shared" si="15"/>
        <v>7.9458675371876062</v>
      </c>
      <c r="O28" s="692">
        <f t="shared" si="15"/>
        <v>8.8024027221112071</v>
      </c>
      <c r="P28" s="692">
        <f t="shared" si="15"/>
        <v>9.1760446095480805</v>
      </c>
      <c r="Q28" s="692">
        <f t="shared" si="15"/>
        <v>8.35953379462158</v>
      </c>
      <c r="R28" s="692">
        <f t="shared" si="15"/>
        <v>7.6131416924402426</v>
      </c>
      <c r="S28" s="692">
        <f>S22/(1+$B6)^S26</f>
        <v>6.9312024680970623</v>
      </c>
    </row>
    <row r="29" spans="1:19" ht="19" thickBot="1" x14ac:dyDescent="0.25">
      <c r="J29" s="459"/>
    </row>
    <row r="30" spans="1:19" x14ac:dyDescent="0.2">
      <c r="J30" s="693" t="s">
        <v>235</v>
      </c>
      <c r="K30" s="694">
        <f>SUM(L28:S28)</f>
        <v>61.359618431374841</v>
      </c>
    </row>
    <row r="31" spans="1:19" x14ac:dyDescent="0.2">
      <c r="J31" s="695" t="s">
        <v>236</v>
      </c>
      <c r="K31" s="198">
        <f>S23/(1+$B6)^S25</f>
        <v>61.108316486574068</v>
      </c>
    </row>
    <row r="32" spans="1:19" x14ac:dyDescent="0.2">
      <c r="J32" s="695" t="s">
        <v>183</v>
      </c>
      <c r="K32" s="198">
        <f>SUM(K30:K31)</f>
        <v>122.46793491794891</v>
      </c>
    </row>
    <row r="33" spans="10:16" x14ac:dyDescent="0.2">
      <c r="J33" s="695" t="s">
        <v>218</v>
      </c>
      <c r="K33" s="198">
        <f>-'Cross Play BS'!F30</f>
        <v>-15.4</v>
      </c>
    </row>
    <row r="34" spans="10:16" x14ac:dyDescent="0.2">
      <c r="J34" s="695" t="s">
        <v>237</v>
      </c>
      <c r="K34" s="198">
        <f>'Cross Play BS'!F7</f>
        <v>11.3</v>
      </c>
    </row>
    <row r="35" spans="10:16" ht="19" thickBot="1" x14ac:dyDescent="0.25">
      <c r="J35" s="696" t="s">
        <v>232</v>
      </c>
      <c r="K35" s="697">
        <f>SUM(K32:K34)</f>
        <v>118.3679349179489</v>
      </c>
    </row>
    <row r="41" spans="10:16" ht="19" thickBot="1" x14ac:dyDescent="0.25"/>
    <row r="42" spans="10:16" ht="19" thickBot="1" x14ac:dyDescent="0.25">
      <c r="J42" s="698">
        <f>K35</f>
        <v>118.3679349179489</v>
      </c>
      <c r="K42" s="699">
        <v>0.02</v>
      </c>
      <c r="L42" s="699">
        <f>K42+0.01</f>
        <v>0.03</v>
      </c>
      <c r="M42" s="699">
        <f t="shared" ref="M42:P42" si="16">L42+0.01</f>
        <v>0.04</v>
      </c>
      <c r="N42" s="699">
        <f t="shared" si="16"/>
        <v>0.05</v>
      </c>
      <c r="O42" s="699">
        <f t="shared" si="16"/>
        <v>6.0000000000000005E-2</v>
      </c>
      <c r="P42" s="700">
        <f t="shared" si="16"/>
        <v>7.0000000000000007E-2</v>
      </c>
    </row>
    <row r="43" spans="10:16" x14ac:dyDescent="0.2">
      <c r="J43" s="701">
        <v>0.11</v>
      </c>
      <c r="K43" s="702">
        <f t="dataTable" ref="K43:P52" dt2D="1" dtr="1" r1="B3" r2="B6"/>
        <v>161.35996507109709</v>
      </c>
      <c r="L43" s="703">
        <v>175.92023760696966</v>
      </c>
      <c r="M43" s="703">
        <v>194.64082683933398</v>
      </c>
      <c r="N43" s="703">
        <v>219.60215753380814</v>
      </c>
      <c r="O43" s="703">
        <v>254.54900643471845</v>
      </c>
      <c r="P43" s="479">
        <v>306.97094245565057</v>
      </c>
    </row>
    <row r="44" spans="10:16" x14ac:dyDescent="0.2">
      <c r="J44" s="704">
        <v>0.12</v>
      </c>
      <c r="K44" s="705">
        <v>143.40568911098896</v>
      </c>
      <c r="L44" s="293">
        <v>154.46777080328073</v>
      </c>
      <c r="M44" s="293">
        <v>168.29558461981267</v>
      </c>
      <c r="N44" s="293">
        <v>186.0746756643758</v>
      </c>
      <c r="O44" s="293">
        <v>209.78096271403822</v>
      </c>
      <c r="P44" s="302">
        <v>242.97111206842138</v>
      </c>
    </row>
    <row r="45" spans="10:16" ht="19" thickBot="1" x14ac:dyDescent="0.25">
      <c r="J45" s="701">
        <v>0.13</v>
      </c>
      <c r="K45" s="705">
        <v>128.78531309063041</v>
      </c>
      <c r="L45" s="293">
        <v>137.37977158105417</v>
      </c>
      <c r="M45" s="293">
        <v>147.88429916915604</v>
      </c>
      <c r="N45" s="293">
        <v>161.01537553503744</v>
      </c>
      <c r="O45" s="293">
        <v>177.8989061810382</v>
      </c>
      <c r="P45" s="302">
        <v>200.41141076457853</v>
      </c>
    </row>
    <row r="46" spans="10:16" x14ac:dyDescent="0.2">
      <c r="J46" s="701">
        <v>0.14000000000000001</v>
      </c>
      <c r="K46" s="705">
        <v>116.66011673652621</v>
      </c>
      <c r="L46" s="706">
        <v>123.46021243858148</v>
      </c>
      <c r="M46" s="707">
        <v>131.6204980012881</v>
      </c>
      <c r="N46" s="708">
        <v>141.59455141718516</v>
      </c>
      <c r="O46" s="293">
        <v>154.06274743996951</v>
      </c>
      <c r="P46" s="302">
        <v>170.09425539775881</v>
      </c>
    </row>
    <row r="47" spans="10:16" x14ac:dyDescent="0.2">
      <c r="J47" s="701">
        <v>0.15</v>
      </c>
      <c r="K47" s="705">
        <v>106.44994011036219</v>
      </c>
      <c r="L47" s="709">
        <v>111.91228348631306</v>
      </c>
      <c r="M47" s="313">
        <v>118.3679349179489</v>
      </c>
      <c r="N47" s="315">
        <v>126.11504954630895</v>
      </c>
      <c r="O47" s="293">
        <v>135.58430278897603</v>
      </c>
      <c r="P47" s="302">
        <v>147.42171562345126</v>
      </c>
    </row>
    <row r="48" spans="10:16" ht="19" thickBot="1" x14ac:dyDescent="0.25">
      <c r="J48" s="701">
        <v>0.16</v>
      </c>
      <c r="K48" s="705">
        <v>97.740789111865425</v>
      </c>
      <c r="L48" s="710">
        <v>102.18479047977054</v>
      </c>
      <c r="M48" s="711">
        <v>107.36959957920591</v>
      </c>
      <c r="N48" s="712">
        <v>113.49740178635399</v>
      </c>
      <c r="O48" s="293">
        <v>120.85126277734179</v>
      </c>
      <c r="P48" s="302">
        <v>129.84006212578149</v>
      </c>
    </row>
    <row r="49" spans="10:16" x14ac:dyDescent="0.2">
      <c r="J49" s="701">
        <v>0.17</v>
      </c>
      <c r="K49" s="705">
        <v>90.229404561061685</v>
      </c>
      <c r="L49" s="293">
        <v>93.884388619585806</v>
      </c>
      <c r="M49" s="293">
        <v>98.101806592449606</v>
      </c>
      <c r="N49" s="293">
        <v>103.02240024386836</v>
      </c>
      <c r="O49" s="293">
        <v>108.83809569469987</v>
      </c>
      <c r="P49" s="302">
        <v>115.81759568768219</v>
      </c>
    </row>
    <row r="50" spans="10:16" x14ac:dyDescent="0.2">
      <c r="J50" s="701">
        <v>0.18</v>
      </c>
      <c r="K50" s="705">
        <v>83.688622607224076</v>
      </c>
      <c r="L50" s="293">
        <v>86.722928008273243</v>
      </c>
      <c r="M50" s="293">
        <v>90.190823533195285</v>
      </c>
      <c r="N50" s="293">
        <v>94.192489868096445</v>
      </c>
      <c r="O50" s="293">
        <v>98.861506267087265</v>
      </c>
      <c r="P50" s="302">
        <v>104.3800317975406</v>
      </c>
    </row>
    <row r="51" spans="10:16" x14ac:dyDescent="0.2">
      <c r="J51" s="701">
        <v>0.19</v>
      </c>
      <c r="K51" s="705">
        <v>77.944964769585525</v>
      </c>
      <c r="L51" s="293">
        <v>80.484548802365467</v>
      </c>
      <c r="M51" s="293">
        <v>83.362852393361109</v>
      </c>
      <c r="N51" s="293">
        <v>86.65256930839071</v>
      </c>
      <c r="O51" s="293">
        <v>90.448765175004553</v>
      </c>
      <c r="P51" s="302">
        <v>94.878199161915077</v>
      </c>
    </row>
    <row r="52" spans="10:16" ht="19" thickBot="1" x14ac:dyDescent="0.25">
      <c r="J52" s="713">
        <v>0.2</v>
      </c>
      <c r="K52" s="714">
        <v>72.863701182483112</v>
      </c>
      <c r="L52" s="715">
        <v>75.004393332848693</v>
      </c>
      <c r="M52" s="715">
        <v>77.412771787803194</v>
      </c>
      <c r="N52" s="715">
        <v>80.142475579710961</v>
      </c>
      <c r="O52" s="715">
        <v>83.262473328302931</v>
      </c>
      <c r="P52" s="490">
        <v>86.862959299631228</v>
      </c>
    </row>
    <row r="57" spans="10:16" ht="19" thickBot="1" x14ac:dyDescent="0.25"/>
    <row r="58" spans="10:16" x14ac:dyDescent="0.2">
      <c r="J58" s="276" t="s">
        <v>293</v>
      </c>
      <c r="K58" s="479">
        <f>MAX(L46:N48)</f>
        <v>141.59455141718516</v>
      </c>
    </row>
    <row r="59" spans="10:16" x14ac:dyDescent="0.2">
      <c r="J59" s="277" t="s">
        <v>192</v>
      </c>
      <c r="K59" s="303">
        <f>QUARTILE(L46:N48,3)</f>
        <v>126.11504954630895</v>
      </c>
    </row>
    <row r="60" spans="10:16" x14ac:dyDescent="0.2">
      <c r="J60" s="487" t="s">
        <v>239</v>
      </c>
      <c r="K60" s="314">
        <f>MEDIAN(L46:N48)</f>
        <v>118.3679349179489</v>
      </c>
    </row>
    <row r="61" spans="10:16" x14ac:dyDescent="0.2">
      <c r="J61" s="277" t="s">
        <v>294</v>
      </c>
      <c r="K61" s="302">
        <f>AVERAGE(L46:N48)</f>
        <v>119.56914685032845</v>
      </c>
    </row>
    <row r="62" spans="10:16" x14ac:dyDescent="0.2">
      <c r="J62" s="277" t="s">
        <v>195</v>
      </c>
      <c r="K62" s="303">
        <f>QUARTILE(L46:N47,1)</f>
        <v>119.64100429810705</v>
      </c>
    </row>
    <row r="63" spans="10:16" ht="19" thickBot="1" x14ac:dyDescent="0.25">
      <c r="J63" s="278" t="s">
        <v>240</v>
      </c>
      <c r="K63" s="490">
        <f>MIN(L46:N48)</f>
        <v>102.18479047977054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3B194-5768-1D48-8817-06B740B12BCB}">
  <dimension ref="A2:F13"/>
  <sheetViews>
    <sheetView topLeftCell="A12" workbookViewId="0">
      <selection activeCell="N17" sqref="N17"/>
    </sheetView>
  </sheetViews>
  <sheetFormatPr baseColWidth="10" defaultColWidth="11.5" defaultRowHeight="18" x14ac:dyDescent="0.2"/>
  <cols>
    <col min="1" max="1" width="34.6640625" style="188" customWidth="1"/>
    <col min="2" max="16384" width="11.5" style="188"/>
  </cols>
  <sheetData>
    <row r="2" spans="1:6" ht="19" thickBot="1" x14ac:dyDescent="0.25"/>
    <row r="3" spans="1:6" ht="19" thickBot="1" x14ac:dyDescent="0.25">
      <c r="A3" s="184" t="s">
        <v>317</v>
      </c>
      <c r="B3" s="716" t="s">
        <v>313</v>
      </c>
      <c r="C3" s="717" t="s">
        <v>314</v>
      </c>
      <c r="D3" s="717" t="s">
        <v>315</v>
      </c>
      <c r="E3" s="717" t="s">
        <v>316</v>
      </c>
      <c r="F3" s="718" t="s">
        <v>238</v>
      </c>
    </row>
    <row r="4" spans="1:6" x14ac:dyDescent="0.2">
      <c r="A4" s="277" t="s">
        <v>308</v>
      </c>
      <c r="B4" s="719"/>
      <c r="C4" s="720"/>
      <c r="D4" s="720"/>
      <c r="E4" s="720"/>
      <c r="F4" s="721"/>
    </row>
    <row r="5" spans="1:6" x14ac:dyDescent="0.2">
      <c r="A5" s="277" t="s">
        <v>309</v>
      </c>
      <c r="B5" s="719">
        <f>'CROSS PLAY- COMPS'!S31</f>
        <v>123.47575806451613</v>
      </c>
      <c r="C5" s="720">
        <f>'CROSS PLAY- COMPS'!T58</f>
        <v>181.7525976738691</v>
      </c>
      <c r="D5" s="720">
        <f>'CROSS PLAY- COMPS'!K32</f>
        <v>240.02943728322205</v>
      </c>
      <c r="E5" s="720">
        <f>'CROSS PLAY- COMPS'!T74</f>
        <v>268.83376807426498</v>
      </c>
      <c r="F5" s="721">
        <f>'CROSS PLAY- COMPS'!T45</f>
        <v>297.63809886530788</v>
      </c>
    </row>
    <row r="6" spans="1:6" x14ac:dyDescent="0.2">
      <c r="A6" s="277" t="s">
        <v>167</v>
      </c>
      <c r="B6" s="719">
        <f>'CROSS PLAY- COMPS'!T31</f>
        <v>397.53446745562138</v>
      </c>
      <c r="C6" s="720">
        <f>'CROSS PLAY- COMPS'!U58</f>
        <v>454.8721384897155</v>
      </c>
      <c r="D6" s="720">
        <f>'CROSS PLAY- COMPS'!L32</f>
        <v>512.20980952380967</v>
      </c>
      <c r="E6" s="720">
        <f>'CROSS PLAY- COMPS'!U74</f>
        <v>525.89768524970975</v>
      </c>
      <c r="F6" s="721">
        <f>'CROSS PLAY- COMPS'!U45</f>
        <v>539.58556097560984</v>
      </c>
    </row>
    <row r="7" spans="1:6" x14ac:dyDescent="0.2">
      <c r="A7" s="277" t="s">
        <v>169</v>
      </c>
      <c r="B7" s="719">
        <f>'CROSS PLAY- COMPS'!U31</f>
        <v>263.31925556858158</v>
      </c>
      <c r="C7" s="720">
        <f>'CROSS PLAY- COMPS'!V58</f>
        <v>267.41820026405543</v>
      </c>
      <c r="D7" s="720">
        <f>'CROSS PLAY- COMPS'!M32</f>
        <v>271.51714495952922</v>
      </c>
      <c r="E7" s="720">
        <f>'CROSS PLAY- COMPS'!V74</f>
        <v>347.54618985065679</v>
      </c>
      <c r="F7" s="721">
        <f>'CROSS PLAY- COMPS'!V45</f>
        <v>423.5752347417843</v>
      </c>
    </row>
    <row r="8" spans="1:6" x14ac:dyDescent="0.2">
      <c r="A8" s="277" t="s">
        <v>170</v>
      </c>
      <c r="B8" s="719">
        <f>'CROSS PLAY- COMPS'!V31</f>
        <v>4.3663355408388576</v>
      </c>
      <c r="C8" s="720">
        <f>'CROSS PLAY- COMPS'!W74</f>
        <v>8.0665717242100605</v>
      </c>
      <c r="D8" s="720">
        <f>'CROSS PLAY- COMPS'!N32</f>
        <v>6.3117819460726921</v>
      </c>
      <c r="E8" s="720">
        <f>'CROSS PLAY- COMPS'!W74</f>
        <v>8.0665717242100605</v>
      </c>
      <c r="F8" s="721">
        <f>'CROSS PLAY- COMPS'!W45</f>
        <v>9.8213615023474272</v>
      </c>
    </row>
    <row r="9" spans="1:6" x14ac:dyDescent="0.2">
      <c r="A9" s="277" t="s">
        <v>310</v>
      </c>
      <c r="B9" s="719"/>
      <c r="C9" s="720"/>
      <c r="D9" s="720"/>
      <c r="E9" s="720"/>
      <c r="F9" s="721"/>
    </row>
    <row r="10" spans="1:6" x14ac:dyDescent="0.2">
      <c r="A10" s="277" t="s">
        <v>309</v>
      </c>
      <c r="B10" s="719">
        <f>'CROSS PLAY - PRESCENT TRANSACTI'!F48</f>
        <v>139.12</v>
      </c>
      <c r="C10" s="720">
        <f>'CROSS PLAY - PRESCENT TRANSACTI'!F64</f>
        <v>174.92499999999998</v>
      </c>
      <c r="D10" s="720">
        <f>'CROSS PLAY - PRESCENT TRANSACTI'!F24</f>
        <v>210.73</v>
      </c>
      <c r="E10" s="720">
        <f>'CROSS PLAY - PRESCENT TRANSACTI'!F79</f>
        <v>222.66499999999999</v>
      </c>
      <c r="F10" s="721">
        <f>'CROSS PLAY - PRESCENT TRANSACTI'!F36</f>
        <v>234.6</v>
      </c>
    </row>
    <row r="11" spans="1:6" x14ac:dyDescent="0.2">
      <c r="A11" s="277" t="s">
        <v>167</v>
      </c>
      <c r="B11" s="719">
        <f>'CROSS PLAY - PRESCENT TRANSACTI'!G48</f>
        <v>149.44999999999982</v>
      </c>
      <c r="C11" s="720">
        <f>'CROSS PLAY - PRESCENT TRANSACTI'!G64</f>
        <v>163.32499999999979</v>
      </c>
      <c r="D11" s="720">
        <f>'CROSS PLAY - PRESCENT TRANSACTI'!G24</f>
        <v>177.19999999999976</v>
      </c>
      <c r="E11" s="720">
        <f>'CROSS PLAY - PRESCENT TRANSACTI'!G79</f>
        <v>207.72499999999971</v>
      </c>
      <c r="F11" s="721">
        <f>'CROSS PLAY - PRESCENT TRANSACTI'!G36</f>
        <v>238.24999999999969</v>
      </c>
    </row>
    <row r="12" spans="1:6" x14ac:dyDescent="0.2">
      <c r="A12" s="277" t="s">
        <v>311</v>
      </c>
      <c r="B12" s="719"/>
      <c r="C12" s="720"/>
      <c r="D12" s="720"/>
      <c r="E12" s="720"/>
      <c r="F12" s="721"/>
    </row>
    <row r="13" spans="1:6" ht="19" thickBot="1" x14ac:dyDescent="0.25">
      <c r="A13" s="278" t="s">
        <v>312</v>
      </c>
      <c r="B13" s="722">
        <f>'CROSS PLAY- DCF'!K58</f>
        <v>141.59455141718516</v>
      </c>
      <c r="C13" s="723">
        <f>'CROSS PLAY- DCF'!K62</f>
        <v>119.64100429810705</v>
      </c>
      <c r="D13" s="723">
        <f>'CROSS PLAY- DCF'!K60</f>
        <v>118.3679349179489</v>
      </c>
      <c r="E13" s="723">
        <f>'CROSS PLAY- DCF'!K59</f>
        <v>126.11504954630895</v>
      </c>
      <c r="F13" s="724">
        <f>'CROSS PLAY- DCF'!K58</f>
        <v>141.59455141718516</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BDB7-8EAF-2B48-A860-C7A5D3BA5BA7}">
  <dimension ref="A1:W277"/>
  <sheetViews>
    <sheetView topLeftCell="D77" zoomScale="65" workbookViewId="0">
      <selection activeCell="N124" sqref="N124"/>
    </sheetView>
  </sheetViews>
  <sheetFormatPr baseColWidth="10" defaultColWidth="11.5" defaultRowHeight="19" x14ac:dyDescent="0.25"/>
  <cols>
    <col min="1" max="1" width="11.5" style="188"/>
    <col min="2" max="2" width="65.5" style="188" customWidth="1"/>
    <col min="3" max="4" width="11.5" style="188"/>
    <col min="5" max="5" width="11.5" style="188" customWidth="1"/>
    <col min="6" max="6" width="14.83203125" style="188" customWidth="1"/>
    <col min="7" max="10" width="12.6640625" style="188" bestFit="1" customWidth="1"/>
    <col min="11" max="11" width="16.1640625" style="188" customWidth="1"/>
    <col min="12" max="12" width="45.5" style="188" customWidth="1"/>
    <col min="13" max="23" width="11.5" style="188"/>
    <col min="24" max="16384" width="11.5" style="319"/>
  </cols>
  <sheetData>
    <row r="1" spans="2:23" x14ac:dyDescent="0.25">
      <c r="B1" s="171" t="s">
        <v>244</v>
      </c>
      <c r="C1" s="172">
        <v>0.03</v>
      </c>
    </row>
    <row r="2" spans="2:23" ht="20" x14ac:dyDescent="0.25">
      <c r="B2" s="173" t="s">
        <v>295</v>
      </c>
      <c r="C2" s="174">
        <v>0.1</v>
      </c>
    </row>
    <row r="3" spans="2:23" x14ac:dyDescent="0.25">
      <c r="B3" s="175" t="s">
        <v>245</v>
      </c>
      <c r="C3" s="199">
        <v>3</v>
      </c>
      <c r="D3" s="176"/>
    </row>
    <row r="4" spans="2:23" x14ac:dyDescent="0.25">
      <c r="B4" s="175" t="s">
        <v>246</v>
      </c>
      <c r="C4" s="177">
        <v>0.06</v>
      </c>
      <c r="D4" s="176"/>
      <c r="E4" s="220"/>
      <c r="F4" s="220"/>
      <c r="G4" s="220"/>
      <c r="H4" s="220"/>
    </row>
    <row r="5" spans="2:23" x14ac:dyDescent="0.25">
      <c r="B5" s="175" t="s">
        <v>247</v>
      </c>
      <c r="C5" s="178">
        <v>6.7500000000000004E-2</v>
      </c>
      <c r="D5" s="179"/>
      <c r="E5" s="220"/>
      <c r="F5" s="221">
        <v>1.4999999999999999E-2</v>
      </c>
      <c r="G5" s="220"/>
      <c r="H5" s="220"/>
      <c r="K5" s="319"/>
      <c r="L5" s="319"/>
      <c r="M5" s="319"/>
      <c r="N5" s="319"/>
      <c r="O5" s="319"/>
      <c r="P5" s="319"/>
      <c r="Q5" s="319"/>
      <c r="R5" s="319"/>
      <c r="S5" s="319"/>
      <c r="T5" s="319"/>
      <c r="U5" s="319"/>
      <c r="V5" s="319"/>
      <c r="W5" s="319"/>
    </row>
    <row r="6" spans="2:23" x14ac:dyDescent="0.25">
      <c r="B6" s="175" t="s">
        <v>248</v>
      </c>
      <c r="C6" s="178">
        <v>0.14000000000000001</v>
      </c>
      <c r="D6" s="179"/>
      <c r="E6" s="220"/>
      <c r="F6" s="220"/>
      <c r="G6" s="220"/>
      <c r="H6" s="220"/>
      <c r="K6" s="319"/>
      <c r="L6" s="319"/>
      <c r="M6" s="319"/>
      <c r="N6" s="319"/>
      <c r="O6" s="319"/>
      <c r="P6" s="319"/>
      <c r="Q6" s="319"/>
      <c r="R6" s="319"/>
      <c r="S6" s="319"/>
      <c r="T6" s="319"/>
      <c r="U6" s="319"/>
      <c r="V6" s="319"/>
      <c r="W6" s="319"/>
    </row>
    <row r="7" spans="2:23" x14ac:dyDescent="0.25">
      <c r="B7" s="175" t="s">
        <v>249</v>
      </c>
      <c r="C7" s="178">
        <v>0.21</v>
      </c>
      <c r="D7" s="179"/>
      <c r="E7" s="220"/>
      <c r="F7" s="220"/>
      <c r="G7" s="220"/>
      <c r="H7" s="220"/>
      <c r="K7" s="319"/>
      <c r="L7" s="319"/>
      <c r="M7" s="319"/>
      <c r="N7" s="319"/>
      <c r="O7" s="319"/>
      <c r="P7" s="319"/>
      <c r="Q7" s="319"/>
      <c r="R7" s="319"/>
      <c r="S7" s="319"/>
      <c r="T7" s="319"/>
      <c r="U7" s="319"/>
      <c r="V7" s="319"/>
      <c r="W7" s="319"/>
    </row>
    <row r="8" spans="2:23" x14ac:dyDescent="0.25">
      <c r="B8" s="180" t="s">
        <v>297</v>
      </c>
      <c r="C8" s="181">
        <v>0.13</v>
      </c>
      <c r="D8" s="179"/>
      <c r="E8" s="220"/>
      <c r="F8" s="220"/>
      <c r="G8" s="220"/>
      <c r="H8" s="220"/>
      <c r="K8" s="319"/>
      <c r="L8" s="319"/>
      <c r="M8" s="319"/>
      <c r="N8" s="319"/>
      <c r="O8" s="319"/>
      <c r="P8" s="319"/>
      <c r="Q8" s="319"/>
      <c r="R8" s="319"/>
      <c r="S8" s="319"/>
      <c r="T8" s="319"/>
      <c r="U8" s="319"/>
      <c r="V8" s="319"/>
      <c r="W8" s="319"/>
    </row>
    <row r="9" spans="2:23" x14ac:dyDescent="0.25">
      <c r="B9" s="180" t="s">
        <v>298</v>
      </c>
      <c r="C9" s="181">
        <v>0.19500000000000001</v>
      </c>
      <c r="D9" s="179"/>
      <c r="E9" s="220"/>
      <c r="F9" s="221">
        <v>7.0000000000000007E-2</v>
      </c>
      <c r="G9" s="220"/>
      <c r="H9" s="220"/>
      <c r="K9" s="319"/>
      <c r="L9" s="319"/>
      <c r="M9" s="319"/>
      <c r="N9" s="319"/>
      <c r="O9" s="319"/>
      <c r="P9" s="319"/>
      <c r="Q9" s="319"/>
      <c r="R9" s="319"/>
      <c r="S9" s="319"/>
      <c r="T9" s="319"/>
      <c r="U9" s="319"/>
      <c r="V9" s="319"/>
      <c r="W9" s="319"/>
    </row>
    <row r="10" spans="2:23" x14ac:dyDescent="0.25">
      <c r="B10" s="180" t="s">
        <v>299</v>
      </c>
      <c r="C10" s="181">
        <v>9.5000000000000001E-2</v>
      </c>
      <c r="D10" s="179"/>
      <c r="E10" s="220"/>
      <c r="F10" s="220">
        <v>0.02</v>
      </c>
      <c r="G10" s="220"/>
      <c r="H10" s="220"/>
      <c r="K10" s="319"/>
      <c r="L10" s="319"/>
      <c r="M10" s="319"/>
      <c r="N10" s="319"/>
      <c r="O10" s="319"/>
      <c r="P10" s="319"/>
      <c r="Q10" s="319"/>
      <c r="R10" s="319"/>
      <c r="S10" s="319"/>
      <c r="T10" s="319"/>
      <c r="U10" s="319"/>
      <c r="V10" s="319"/>
      <c r="W10" s="319"/>
    </row>
    <row r="11" spans="2:23" x14ac:dyDescent="0.25">
      <c r="B11" s="180" t="s">
        <v>300</v>
      </c>
      <c r="C11" s="181">
        <v>7.4999999999999997E-3</v>
      </c>
      <c r="D11" s="179"/>
      <c r="E11" s="220"/>
      <c r="F11" s="220"/>
      <c r="G11" s="220"/>
      <c r="H11" s="220"/>
      <c r="K11" s="319"/>
      <c r="L11" s="319"/>
      <c r="M11" s="319"/>
      <c r="N11" s="319"/>
      <c r="O11" s="319"/>
      <c r="P11" s="319"/>
      <c r="Q11" s="319"/>
      <c r="R11" s="319"/>
      <c r="S11" s="319"/>
      <c r="T11" s="319"/>
      <c r="U11" s="319"/>
      <c r="V11" s="319"/>
      <c r="W11" s="319"/>
    </row>
    <row r="12" spans="2:23" x14ac:dyDescent="0.25">
      <c r="B12" s="180" t="s">
        <v>301</v>
      </c>
      <c r="C12" s="181">
        <v>0.1</v>
      </c>
      <c r="D12" s="179"/>
      <c r="E12" s="220"/>
      <c r="F12" s="221">
        <v>2.835E-2</v>
      </c>
      <c r="G12" s="220"/>
      <c r="H12" s="220"/>
      <c r="K12" s="319"/>
      <c r="L12" s="319"/>
      <c r="M12" s="319"/>
      <c r="N12" s="319"/>
      <c r="O12" s="319"/>
      <c r="P12" s="319"/>
      <c r="Q12" s="319"/>
      <c r="R12" s="319"/>
      <c r="S12" s="319"/>
      <c r="T12" s="319"/>
      <c r="U12" s="319"/>
      <c r="V12" s="319"/>
      <c r="W12" s="319"/>
    </row>
    <row r="13" spans="2:23" x14ac:dyDescent="0.25">
      <c r="B13" s="180" t="s">
        <v>296</v>
      </c>
      <c r="C13" s="181">
        <v>1.4999999999999999E-2</v>
      </c>
      <c r="D13" s="179"/>
      <c r="E13" s="220"/>
      <c r="F13" s="220"/>
      <c r="G13" s="220"/>
      <c r="H13" s="220"/>
      <c r="K13" s="319"/>
      <c r="L13" s="319"/>
      <c r="M13" s="319"/>
      <c r="N13" s="319"/>
      <c r="O13" s="319"/>
      <c r="P13" s="319"/>
      <c r="Q13" s="319"/>
      <c r="R13" s="319"/>
      <c r="S13" s="319"/>
      <c r="T13" s="319"/>
      <c r="U13" s="319"/>
      <c r="V13" s="319"/>
      <c r="W13" s="319"/>
    </row>
    <row r="14" spans="2:23" ht="20" thickBot="1" x14ac:dyDescent="0.3">
      <c r="B14" s="182" t="s">
        <v>250</v>
      </c>
      <c r="C14" s="183">
        <v>0.25</v>
      </c>
      <c r="E14" s="220"/>
      <c r="F14" s="220"/>
      <c r="G14" s="220"/>
      <c r="H14" s="221">
        <f>H21/H19</f>
        <v>1.394210877772962E-2</v>
      </c>
      <c r="K14" s="319"/>
      <c r="L14" s="319"/>
      <c r="M14" s="319"/>
      <c r="N14" s="319"/>
      <c r="O14" s="319"/>
      <c r="P14" s="319"/>
      <c r="Q14" s="319"/>
      <c r="R14" s="319"/>
      <c r="S14" s="319"/>
      <c r="T14" s="319"/>
      <c r="U14" s="319"/>
      <c r="V14" s="319"/>
      <c r="W14" s="319"/>
    </row>
    <row r="15" spans="2:23" x14ac:dyDescent="0.25">
      <c r="E15" s="220"/>
      <c r="F15" s="220"/>
      <c r="G15" s="220"/>
      <c r="H15" s="221">
        <f>H21/H19</f>
        <v>1.394210877772962E-2</v>
      </c>
      <c r="K15" s="319"/>
      <c r="L15" s="319"/>
      <c r="M15" s="319"/>
      <c r="N15" s="319"/>
      <c r="O15" s="319"/>
      <c r="P15" s="319"/>
      <c r="Q15" s="319"/>
      <c r="R15" s="319"/>
      <c r="S15" s="319"/>
      <c r="T15" s="319"/>
      <c r="U15" s="319"/>
      <c r="V15" s="319"/>
      <c r="W15" s="319"/>
    </row>
    <row r="16" spans="2:23" ht="20" thickBot="1" x14ac:dyDescent="0.3">
      <c r="F16" s="221"/>
      <c r="G16" s="220"/>
      <c r="H16" s="220"/>
      <c r="K16" s="319"/>
      <c r="L16" s="319"/>
      <c r="M16" s="319"/>
      <c r="N16" s="319"/>
      <c r="O16" s="319"/>
      <c r="P16" s="319"/>
      <c r="Q16" s="319"/>
      <c r="R16" s="319"/>
      <c r="S16" s="319"/>
      <c r="T16" s="319"/>
      <c r="U16" s="319"/>
      <c r="V16" s="319"/>
      <c r="W16" s="319"/>
    </row>
    <row r="17" spans="1:10" s="319" customFormat="1" x14ac:dyDescent="0.25">
      <c r="A17" s="188"/>
      <c r="B17" s="211"/>
      <c r="C17" s="296"/>
      <c r="D17" s="296"/>
      <c r="E17" s="247" t="s">
        <v>337</v>
      </c>
      <c r="F17" s="317"/>
      <c r="G17" s="318"/>
      <c r="H17" s="318" t="s">
        <v>336</v>
      </c>
      <c r="I17" s="318"/>
      <c r="J17" s="190"/>
    </row>
    <row r="18" spans="1:10" s="319" customFormat="1" x14ac:dyDescent="0.25">
      <c r="A18" s="188"/>
      <c r="B18" s="298"/>
      <c r="C18" s="309">
        <v>2022</v>
      </c>
      <c r="D18" s="288" t="s">
        <v>251</v>
      </c>
      <c r="E18" s="289">
        <f>'First Figher IS'!F4</f>
        <v>2023</v>
      </c>
      <c r="F18" s="299">
        <f>E18+1</f>
        <v>2024</v>
      </c>
      <c r="G18" s="290">
        <f>F18+1</f>
        <v>2025</v>
      </c>
      <c r="H18" s="290">
        <f t="shared" ref="H18:J18" si="0">G18+1</f>
        <v>2026</v>
      </c>
      <c r="I18" s="290">
        <f t="shared" si="0"/>
        <v>2027</v>
      </c>
      <c r="J18" s="299">
        <f t="shared" si="0"/>
        <v>2028</v>
      </c>
    </row>
    <row r="19" spans="1:10" s="319" customFormat="1" x14ac:dyDescent="0.25">
      <c r="A19" s="188"/>
      <c r="B19" s="300" t="s">
        <v>119</v>
      </c>
      <c r="C19" s="291">
        <f>'First Figher IS'!E6</f>
        <v>181.9</v>
      </c>
      <c r="D19" s="155"/>
      <c r="E19" s="156">
        <f>'First Figher IS'!F6</f>
        <v>194.5</v>
      </c>
      <c r="F19" s="301">
        <f>'First Figher IS'!G6</f>
        <v>212</v>
      </c>
      <c r="G19" s="156">
        <f>F19*(1+$F9)</f>
        <v>226.84</v>
      </c>
      <c r="H19" s="156">
        <f>G19*(1+$F9)</f>
        <v>242.71880000000002</v>
      </c>
      <c r="I19" s="156">
        <f>H19*(1+$F9)</f>
        <v>259.70911600000005</v>
      </c>
      <c r="J19" s="301">
        <f>I19*(1+$F9)</f>
        <v>277.88875412000004</v>
      </c>
    </row>
    <row r="20" spans="1:10" s="319" customFormat="1" x14ac:dyDescent="0.25">
      <c r="A20" s="188"/>
      <c r="B20" s="304" t="s">
        <v>120</v>
      </c>
      <c r="C20" s="292">
        <f>'First Figher IS'!E14+C21</f>
        <v>25.3</v>
      </c>
      <c r="D20" s="155"/>
      <c r="E20" s="196">
        <f>E22+E21</f>
        <v>28.2</v>
      </c>
      <c r="F20" s="197">
        <f t="shared" ref="F20:J20" si="1">F22+F21</f>
        <v>31.8</v>
      </c>
      <c r="G20" s="196">
        <f t="shared" si="1"/>
        <v>35.608719999999998</v>
      </c>
      <c r="H20" s="196">
        <f t="shared" si="1"/>
        <v>39.903351911999991</v>
      </c>
      <c r="I20" s="196">
        <f t="shared" si="1"/>
        <v>44.74680284970519</v>
      </c>
      <c r="J20" s="197">
        <f t="shared" si="1"/>
        <v>50.210150439924334</v>
      </c>
    </row>
    <row r="21" spans="1:10" s="319" customFormat="1" x14ac:dyDescent="0.25">
      <c r="A21" s="188"/>
      <c r="B21" s="300" t="s">
        <v>261</v>
      </c>
      <c r="C21" s="291">
        <f>'First Figher IS'!E12</f>
        <v>2.6</v>
      </c>
      <c r="D21" s="155"/>
      <c r="E21" s="293">
        <f>'First Figher IS'!F12</f>
        <v>2.9</v>
      </c>
      <c r="F21" s="302">
        <f>'First Figher IS'!G12</f>
        <v>3.2</v>
      </c>
      <c r="G21" s="293">
        <f>F21*(1+$F12)</f>
        <v>3.2907200000000003</v>
      </c>
      <c r="H21" s="293">
        <f>G21*(1+$F12)</f>
        <v>3.3840119120000005</v>
      </c>
      <c r="I21" s="293">
        <f>H21*(1+$F12)</f>
        <v>3.479948649705201</v>
      </c>
      <c r="J21" s="302">
        <f>I21*(1+$F12)</f>
        <v>3.5786051939243437</v>
      </c>
    </row>
    <row r="22" spans="1:10" s="319" customFormat="1" x14ac:dyDescent="0.25">
      <c r="A22" s="188"/>
      <c r="B22" s="300" t="s">
        <v>262</v>
      </c>
      <c r="C22" s="291">
        <f>'First Figher IS'!E14</f>
        <v>22.7</v>
      </c>
      <c r="D22" s="155"/>
      <c r="E22" s="156">
        <f>'First Figher IS'!F14</f>
        <v>25.3</v>
      </c>
      <c r="F22" s="301">
        <f>'First Figher IS'!G14</f>
        <v>28.6</v>
      </c>
      <c r="G22" s="156">
        <f>F22*(1+$C8)</f>
        <v>32.317999999999998</v>
      </c>
      <c r="H22" s="156">
        <f>G22*(1+$C8)</f>
        <v>36.519339999999993</v>
      </c>
      <c r="I22" s="156">
        <f>H22*(1+$C8)</f>
        <v>41.26685419999999</v>
      </c>
      <c r="J22" s="301">
        <f>I22*(1+$C8)</f>
        <v>46.631545245999988</v>
      </c>
    </row>
    <row r="23" spans="1:10" s="319" customFormat="1" x14ac:dyDescent="0.25">
      <c r="A23" s="188"/>
      <c r="B23" s="310" t="s">
        <v>252</v>
      </c>
      <c r="C23" s="291">
        <f>'First Figher IS'!E16</f>
        <v>1.8</v>
      </c>
      <c r="D23" s="155"/>
      <c r="E23" s="155">
        <f>'First Figher IS'!F16</f>
        <v>1.7</v>
      </c>
      <c r="F23" s="303">
        <f>'First Figher IS'!G16</f>
        <v>1.7</v>
      </c>
      <c r="G23" s="155">
        <f>F23</f>
        <v>1.7</v>
      </c>
      <c r="H23" s="155">
        <f t="shared" ref="H23:J23" si="2">G23</f>
        <v>1.7</v>
      </c>
      <c r="I23" s="155">
        <f t="shared" si="2"/>
        <v>1.7</v>
      </c>
      <c r="J23" s="303">
        <f t="shared" si="2"/>
        <v>1.7</v>
      </c>
    </row>
    <row r="24" spans="1:10" s="319" customFormat="1" x14ac:dyDescent="0.25">
      <c r="A24" s="188"/>
      <c r="B24" s="305" t="s">
        <v>253</v>
      </c>
      <c r="C24" s="291"/>
      <c r="D24" s="155"/>
      <c r="E24" s="156">
        <f t="shared" ref="E24:J24" si="3">E22-E23</f>
        <v>23.6</v>
      </c>
      <c r="F24" s="301">
        <f t="shared" si="3"/>
        <v>26.900000000000002</v>
      </c>
      <c r="G24" s="156">
        <f t="shared" si="3"/>
        <v>30.617999999999999</v>
      </c>
      <c r="H24" s="156">
        <f t="shared" si="3"/>
        <v>34.81933999999999</v>
      </c>
      <c r="I24" s="156">
        <f t="shared" si="3"/>
        <v>39.566854199999987</v>
      </c>
      <c r="J24" s="301">
        <f t="shared" si="3"/>
        <v>44.931545245999985</v>
      </c>
    </row>
    <row r="25" spans="1:10" s="319" customFormat="1" x14ac:dyDescent="0.25">
      <c r="A25" s="188"/>
      <c r="B25" s="300" t="s">
        <v>254</v>
      </c>
      <c r="C25" s="291"/>
      <c r="D25" s="155"/>
      <c r="E25" s="196">
        <f>'First Figher IS'!F18</f>
        <v>5</v>
      </c>
      <c r="F25" s="197">
        <f>'First Figher IS'!G18</f>
        <v>5.7</v>
      </c>
      <c r="G25" s="196">
        <f>F25*(1+$F10)</f>
        <v>5.8140000000000001</v>
      </c>
      <c r="H25" s="196">
        <f>G25*(1+$F10)</f>
        <v>5.9302799999999998</v>
      </c>
      <c r="I25" s="196">
        <f>H25*(1+$F10)</f>
        <v>6.0488856000000002</v>
      </c>
      <c r="J25" s="197">
        <f>I25*(1+$F10)</f>
        <v>6.1698633120000004</v>
      </c>
    </row>
    <row r="26" spans="1:10" s="319" customFormat="1" x14ac:dyDescent="0.25">
      <c r="A26" s="188"/>
      <c r="B26" s="300" t="s">
        <v>255</v>
      </c>
      <c r="C26" s="291"/>
      <c r="D26" s="155"/>
      <c r="E26" s="196">
        <f>E24-E25</f>
        <v>18.600000000000001</v>
      </c>
      <c r="F26" s="197">
        <f t="shared" ref="F26:J26" si="4">F24-F25</f>
        <v>21.200000000000003</v>
      </c>
      <c r="G26" s="196">
        <f t="shared" si="4"/>
        <v>24.803999999999998</v>
      </c>
      <c r="H26" s="196">
        <f t="shared" si="4"/>
        <v>28.88905999999999</v>
      </c>
      <c r="I26" s="196">
        <f t="shared" si="4"/>
        <v>33.517968599999989</v>
      </c>
      <c r="J26" s="197">
        <f t="shared" si="4"/>
        <v>38.761681933999981</v>
      </c>
    </row>
    <row r="27" spans="1:10" s="319" customFormat="1" x14ac:dyDescent="0.25">
      <c r="A27" s="188"/>
      <c r="B27" s="304" t="s">
        <v>256</v>
      </c>
      <c r="C27" s="191"/>
      <c r="D27" s="155"/>
      <c r="E27" s="293">
        <f t="shared" ref="E27:J27" si="5">E21</f>
        <v>2.9</v>
      </c>
      <c r="F27" s="302">
        <f t="shared" si="5"/>
        <v>3.2</v>
      </c>
      <c r="G27" s="293">
        <f t="shared" si="5"/>
        <v>3.2907200000000003</v>
      </c>
      <c r="H27" s="293">
        <f t="shared" si="5"/>
        <v>3.3840119120000005</v>
      </c>
      <c r="I27" s="293">
        <f t="shared" si="5"/>
        <v>3.479948649705201</v>
      </c>
      <c r="J27" s="302">
        <f t="shared" si="5"/>
        <v>3.5786051939243437</v>
      </c>
    </row>
    <row r="28" spans="1:10" s="319" customFormat="1" x14ac:dyDescent="0.25">
      <c r="A28" s="188"/>
      <c r="B28" s="304" t="s">
        <v>257</v>
      </c>
      <c r="C28" s="191"/>
      <c r="D28" s="155"/>
      <c r="E28" s="155">
        <f>'First Figher IS'!F21</f>
        <v>2.9</v>
      </c>
      <c r="F28" s="303">
        <f>'First Figher IS'!G21</f>
        <v>3.2</v>
      </c>
      <c r="G28" s="293">
        <f>G19*$C13</f>
        <v>3.4026000000000001</v>
      </c>
      <c r="H28" s="293">
        <f t="shared" ref="H28:J28" si="6">H19*$C13</f>
        <v>3.6407820000000002</v>
      </c>
      <c r="I28" s="293">
        <f t="shared" si="6"/>
        <v>3.8956367400000005</v>
      </c>
      <c r="J28" s="302">
        <f t="shared" si="6"/>
        <v>4.1683313118000003</v>
      </c>
    </row>
    <row r="29" spans="1:10" s="319" customFormat="1" x14ac:dyDescent="0.25">
      <c r="A29" s="188"/>
      <c r="B29" s="304" t="s">
        <v>258</v>
      </c>
      <c r="C29" s="191"/>
      <c r="D29" s="155"/>
      <c r="E29" s="196">
        <f>'First Figher IS'!F21</f>
        <v>2.9</v>
      </c>
      <c r="F29" s="301">
        <v>-1.2690000000000012</v>
      </c>
      <c r="G29" s="156">
        <v>-1.3324500000000015</v>
      </c>
      <c r="H29" s="156">
        <v>-1.3990725000000026</v>
      </c>
      <c r="I29" s="156">
        <v>-1.4690261250000005</v>
      </c>
      <c r="J29" s="301">
        <v>0</v>
      </c>
    </row>
    <row r="30" spans="1:10" s="319" customFormat="1" x14ac:dyDescent="0.25">
      <c r="A30" s="188"/>
      <c r="B30" s="305" t="s">
        <v>259</v>
      </c>
      <c r="C30" s="294"/>
      <c r="D30" s="155"/>
      <c r="E30" s="156">
        <f t="shared" ref="E30:J30" si="7">E26+E27+E28+E29</f>
        <v>27.299999999999997</v>
      </c>
      <c r="F30" s="301">
        <f t="shared" si="7"/>
        <v>26.331</v>
      </c>
      <c r="G30" s="156">
        <f t="shared" si="7"/>
        <v>30.164869999999997</v>
      </c>
      <c r="H30" s="156">
        <f t="shared" si="7"/>
        <v>34.514781411999991</v>
      </c>
      <c r="I30" s="156">
        <f t="shared" si="7"/>
        <v>39.42452786470519</v>
      </c>
      <c r="J30" s="301">
        <f t="shared" si="7"/>
        <v>46.50861843972433</v>
      </c>
    </row>
    <row r="31" spans="1:10" s="319" customFormat="1" x14ac:dyDescent="0.25">
      <c r="A31" s="188"/>
      <c r="B31" s="200" t="s">
        <v>215</v>
      </c>
      <c r="C31" s="295"/>
      <c r="D31" s="155"/>
      <c r="E31" s="155"/>
      <c r="F31" s="303"/>
      <c r="G31" s="155"/>
      <c r="H31" s="155"/>
      <c r="I31" s="156"/>
      <c r="J31" s="193">
        <f>J20*C3*(1+C1)</f>
        <v>155.14936485936619</v>
      </c>
    </row>
    <row r="32" spans="1:10" s="319" customFormat="1" ht="20" thickBot="1" x14ac:dyDescent="0.3">
      <c r="A32" s="188"/>
      <c r="B32" s="306" t="s">
        <v>260</v>
      </c>
      <c r="C32" s="311"/>
      <c r="D32" s="159"/>
      <c r="E32" s="307">
        <f>E30+E31</f>
        <v>27.299999999999997</v>
      </c>
      <c r="F32" s="308">
        <f t="shared" ref="F32:I32" si="8">F30+F31</f>
        <v>26.331</v>
      </c>
      <c r="G32" s="307">
        <f t="shared" si="8"/>
        <v>30.164869999999997</v>
      </c>
      <c r="H32" s="307">
        <f>H30+H31</f>
        <v>34.514781411999991</v>
      </c>
      <c r="I32" s="307">
        <f t="shared" si="8"/>
        <v>39.42452786470519</v>
      </c>
      <c r="J32" s="312">
        <f>SUM(J30:J31)</f>
        <v>201.65798329909052</v>
      </c>
    </row>
    <row r="33" spans="1:9" s="319" customFormat="1" x14ac:dyDescent="0.25">
      <c r="A33" s="188"/>
      <c r="B33" s="188"/>
      <c r="C33" s="188"/>
      <c r="D33" s="188"/>
      <c r="E33" s="188"/>
      <c r="F33" s="188"/>
      <c r="G33" s="188"/>
      <c r="H33" s="188"/>
    </row>
    <row r="34" spans="1:9" s="319" customFormat="1" x14ac:dyDescent="0.25">
      <c r="A34" s="188"/>
      <c r="B34" s="188"/>
      <c r="C34" s="188"/>
      <c r="D34" s="188"/>
      <c r="E34" s="188"/>
      <c r="F34" s="188"/>
      <c r="G34" s="188"/>
      <c r="H34" s="188"/>
    </row>
    <row r="35" spans="1:9" s="319" customFormat="1" ht="20" thickBot="1" x14ac:dyDescent="0.3">
      <c r="A35" s="188"/>
      <c r="B35" s="188"/>
      <c r="C35" s="188"/>
      <c r="D35" s="188"/>
      <c r="E35" s="188"/>
      <c r="F35" s="188"/>
      <c r="G35" s="188"/>
      <c r="H35" s="188"/>
    </row>
    <row r="36" spans="1:9" s="319" customFormat="1" x14ac:dyDescent="0.25">
      <c r="A36" s="188"/>
      <c r="B36" s="215" t="s">
        <v>183</v>
      </c>
      <c r="C36" s="206">
        <f>NPV(C6,E32:J32)</f>
        <v>197.35269610919761</v>
      </c>
      <c r="D36" s="151"/>
      <c r="E36" s="151"/>
      <c r="F36" s="151"/>
      <c r="G36" s="151"/>
      <c r="H36" s="151"/>
      <c r="I36" s="320"/>
    </row>
    <row r="37" spans="1:9" s="319" customFormat="1" x14ac:dyDescent="0.25">
      <c r="A37" s="188"/>
      <c r="B37" s="216" t="s">
        <v>302</v>
      </c>
      <c r="C37" s="154"/>
      <c r="D37" s="208">
        <f>E23*$C7</f>
        <v>0.35699999999999998</v>
      </c>
      <c r="E37" s="208">
        <f t="shared" ref="E37:I37" si="9">F23*$C7</f>
        <v>0.35699999999999998</v>
      </c>
      <c r="F37" s="208">
        <f t="shared" si="9"/>
        <v>0.35699999999999998</v>
      </c>
      <c r="G37" s="208">
        <f t="shared" si="9"/>
        <v>0.35699999999999998</v>
      </c>
      <c r="H37" s="208">
        <f t="shared" si="9"/>
        <v>0.35699999999999998</v>
      </c>
      <c r="I37" s="209">
        <f t="shared" si="9"/>
        <v>0.35699999999999998</v>
      </c>
    </row>
    <row r="38" spans="1:9" s="319" customFormat="1" ht="20" thickBot="1" x14ac:dyDescent="0.3">
      <c r="A38" s="188"/>
      <c r="B38" s="216" t="s">
        <v>303</v>
      </c>
      <c r="C38" s="208">
        <f>NPV(C12,E37:I37)</f>
        <v>1.3533108766788156</v>
      </c>
      <c r="D38" s="154"/>
      <c r="E38" s="154"/>
      <c r="F38" s="154"/>
      <c r="G38" s="154"/>
      <c r="H38" s="154"/>
      <c r="I38" s="321"/>
    </row>
    <row r="39" spans="1:9" s="319" customFormat="1" ht="20" thickBot="1" x14ac:dyDescent="0.3">
      <c r="A39" s="188"/>
      <c r="B39" s="217" t="s">
        <v>306</v>
      </c>
      <c r="C39" s="202">
        <f>SUM(C36:C38)</f>
        <v>198.70600698587643</v>
      </c>
      <c r="D39" s="154"/>
      <c r="E39" s="154"/>
      <c r="F39" s="154"/>
      <c r="G39" s="154"/>
      <c r="H39" s="154"/>
      <c r="I39" s="321"/>
    </row>
    <row r="40" spans="1:9" s="319" customFormat="1" x14ac:dyDescent="0.25">
      <c r="A40" s="188"/>
      <c r="B40" s="216" t="s">
        <v>304</v>
      </c>
      <c r="C40" s="154">
        <f>-'First Fighter BS'!F29</f>
        <v>-19.5</v>
      </c>
      <c r="D40" s="154"/>
      <c r="E40" s="154"/>
      <c r="F40" s="154"/>
      <c r="G40" s="154"/>
      <c r="H40" s="154"/>
      <c r="I40" s="321"/>
    </row>
    <row r="41" spans="1:9" s="319" customFormat="1" x14ac:dyDescent="0.25">
      <c r="A41" s="188"/>
      <c r="B41" s="216" t="s">
        <v>199</v>
      </c>
      <c r="C41" s="154">
        <f>'First Fighter BS'!F7</f>
        <v>8.5</v>
      </c>
      <c r="D41" s="154"/>
      <c r="E41" s="154"/>
      <c r="F41" s="154"/>
      <c r="G41" s="154"/>
      <c r="H41" s="154"/>
      <c r="I41" s="321"/>
    </row>
    <row r="42" spans="1:9" s="319" customFormat="1" x14ac:dyDescent="0.25">
      <c r="A42" s="188"/>
      <c r="B42" s="216" t="s">
        <v>305</v>
      </c>
      <c r="C42" s="208">
        <f>SUM(C39:C41)</f>
        <v>187.70600698587643</v>
      </c>
      <c r="D42" s="154"/>
      <c r="E42" s="154"/>
      <c r="F42" s="154"/>
      <c r="G42" s="154"/>
      <c r="H42" s="154"/>
      <c r="I42" s="321"/>
    </row>
    <row r="43" spans="1:9" s="319" customFormat="1" x14ac:dyDescent="0.25">
      <c r="A43" s="188"/>
      <c r="B43" s="216"/>
      <c r="C43" s="154"/>
      <c r="D43" s="154"/>
      <c r="E43" s="154"/>
      <c r="F43" s="154"/>
      <c r="G43" s="154"/>
      <c r="H43" s="154"/>
      <c r="I43" s="321"/>
    </row>
    <row r="44" spans="1:9" s="319" customFormat="1" ht="20" thickBot="1" x14ac:dyDescent="0.3">
      <c r="A44" s="188"/>
      <c r="B44" s="218"/>
      <c r="C44" s="158"/>
      <c r="D44" s="158"/>
      <c r="E44" s="158"/>
      <c r="F44" s="158"/>
      <c r="G44" s="158"/>
      <c r="H44" s="158"/>
      <c r="I44" s="322"/>
    </row>
    <row r="45" spans="1:9" s="319" customFormat="1" x14ac:dyDescent="0.25">
      <c r="A45" s="188"/>
      <c r="B45" s="188"/>
      <c r="C45" s="188"/>
      <c r="D45" s="188"/>
      <c r="E45" s="188"/>
      <c r="F45" s="188"/>
      <c r="G45" s="188"/>
      <c r="H45" s="188"/>
    </row>
    <row r="46" spans="1:9" s="319" customFormat="1" x14ac:dyDescent="0.25">
      <c r="A46" s="188"/>
      <c r="B46" s="188"/>
      <c r="C46" s="188"/>
      <c r="D46" s="188"/>
      <c r="E46" s="188"/>
      <c r="F46" s="188"/>
      <c r="G46" s="188"/>
      <c r="H46" s="188"/>
    </row>
    <row r="47" spans="1:9" s="319" customFormat="1" x14ac:dyDescent="0.25">
      <c r="A47" s="188"/>
      <c r="B47" s="188"/>
      <c r="C47" s="188"/>
      <c r="D47" s="188"/>
      <c r="E47" s="188"/>
      <c r="F47" s="188"/>
      <c r="G47" s="188"/>
      <c r="H47" s="188"/>
    </row>
    <row r="48" spans="1:9" s="319" customFormat="1" x14ac:dyDescent="0.25">
      <c r="A48" s="188"/>
      <c r="B48" s="188"/>
      <c r="C48" s="188"/>
      <c r="D48" s="188"/>
      <c r="E48" s="188"/>
      <c r="F48" s="188"/>
      <c r="G48" s="188"/>
      <c r="H48" s="188"/>
    </row>
    <row r="49" spans="1:9" s="319" customFormat="1" ht="20" thickBot="1" x14ac:dyDescent="0.3">
      <c r="A49" s="188"/>
      <c r="B49" s="188"/>
      <c r="C49" s="188"/>
      <c r="D49" s="188"/>
      <c r="E49" s="188"/>
      <c r="F49" s="188"/>
      <c r="G49" s="188"/>
      <c r="H49" s="188"/>
    </row>
    <row r="50" spans="1:9" s="319" customFormat="1" x14ac:dyDescent="0.25">
      <c r="A50" s="188"/>
      <c r="B50" s="188"/>
      <c r="C50" s="233">
        <f>C42</f>
        <v>187.70600698587643</v>
      </c>
      <c r="D50" s="234">
        <v>0.01</v>
      </c>
      <c r="E50" s="234">
        <v>0.02</v>
      </c>
      <c r="F50" s="234">
        <v>0.03</v>
      </c>
      <c r="G50" s="234">
        <v>0.04</v>
      </c>
      <c r="H50" s="234">
        <v>0.05</v>
      </c>
      <c r="I50" s="323">
        <v>0.06</v>
      </c>
    </row>
    <row r="51" spans="1:9" s="319" customFormat="1" x14ac:dyDescent="0.25">
      <c r="A51" s="188"/>
      <c r="B51" s="188"/>
      <c r="C51" s="235">
        <v>7.0000000000000007E-2</v>
      </c>
      <c r="D51" s="256">
        <f t="dataTable" ref="D51:I59" dt2D="1" dtr="1" r1="C1" r2="C12"/>
        <v>186.44396244797358</v>
      </c>
      <c r="E51" s="257">
        <v>187.13021452090223</v>
      </c>
      <c r="F51" s="257">
        <v>187.81646659383091</v>
      </c>
      <c r="G51" s="257">
        <v>188.50271866675953</v>
      </c>
      <c r="H51" s="257">
        <v>189.18897073968822</v>
      </c>
      <c r="I51" s="258">
        <v>189.87522281261684</v>
      </c>
    </row>
    <row r="52" spans="1:9" s="319" customFormat="1" ht="20" thickBot="1" x14ac:dyDescent="0.3">
      <c r="A52" s="188"/>
      <c r="B52" s="188"/>
      <c r="C52" s="235">
        <v>0.08</v>
      </c>
      <c r="D52" s="259">
        <v>186.40558944657715</v>
      </c>
      <c r="E52" s="260">
        <v>187.09184151950581</v>
      </c>
      <c r="F52" s="260">
        <v>187.77809359243449</v>
      </c>
      <c r="G52" s="260">
        <v>188.46434566536311</v>
      </c>
      <c r="H52" s="260">
        <v>189.15059773829179</v>
      </c>
      <c r="I52" s="261">
        <v>189.83684981122042</v>
      </c>
    </row>
    <row r="53" spans="1:9" s="319" customFormat="1" x14ac:dyDescent="0.25">
      <c r="A53" s="188"/>
      <c r="B53" s="188"/>
      <c r="C53" s="235">
        <v>0.09</v>
      </c>
      <c r="D53" s="259">
        <v>186.36879746435685</v>
      </c>
      <c r="E53" s="262">
        <v>187.0550495372855</v>
      </c>
      <c r="F53" s="263">
        <v>187.74130161021418</v>
      </c>
      <c r="G53" s="264">
        <v>188.4275536831428</v>
      </c>
      <c r="H53" s="260">
        <v>189.11380575607149</v>
      </c>
      <c r="I53" s="261">
        <v>189.80005782900011</v>
      </c>
    </row>
    <row r="54" spans="1:9" s="319" customFormat="1" x14ac:dyDescent="0.25">
      <c r="A54" s="188"/>
      <c r="B54" s="188"/>
      <c r="C54" s="235">
        <v>0.1</v>
      </c>
      <c r="D54" s="259">
        <v>186.33350284001909</v>
      </c>
      <c r="E54" s="265">
        <v>187.01975491294775</v>
      </c>
      <c r="F54" s="266">
        <v>187.70600698587643</v>
      </c>
      <c r="G54" s="267">
        <v>188.39225905880505</v>
      </c>
      <c r="H54" s="260">
        <v>189.07851113173373</v>
      </c>
      <c r="I54" s="261">
        <v>189.76476320466236</v>
      </c>
    </row>
    <row r="55" spans="1:9" s="319" customFormat="1" ht="20" thickBot="1" x14ac:dyDescent="0.3">
      <c r="A55" s="188"/>
      <c r="B55" s="188"/>
      <c r="C55" s="235">
        <v>0.11</v>
      </c>
      <c r="D55" s="259">
        <v>186.29962719864113</v>
      </c>
      <c r="E55" s="268">
        <v>186.98587927156979</v>
      </c>
      <c r="F55" s="269">
        <v>187.67213134449847</v>
      </c>
      <c r="G55" s="270">
        <v>188.35838341742709</v>
      </c>
      <c r="H55" s="260">
        <v>189.04463549035577</v>
      </c>
      <c r="I55" s="261">
        <v>189.7308875632844</v>
      </c>
    </row>
    <row r="56" spans="1:9" s="319" customFormat="1" x14ac:dyDescent="0.25">
      <c r="A56" s="188"/>
      <c r="B56" s="188"/>
      <c r="C56" s="235">
        <v>0.12</v>
      </c>
      <c r="D56" s="259">
        <v>186.26709706757745</v>
      </c>
      <c r="E56" s="260">
        <v>186.95334914050611</v>
      </c>
      <c r="F56" s="260">
        <v>187.63960121343479</v>
      </c>
      <c r="G56" s="260">
        <v>188.32585328636341</v>
      </c>
      <c r="H56" s="260">
        <v>189.01210535929209</v>
      </c>
      <c r="I56" s="261">
        <v>189.69835743222072</v>
      </c>
    </row>
    <row r="57" spans="1:9" s="319" customFormat="1" x14ac:dyDescent="0.25">
      <c r="A57" s="188"/>
      <c r="B57" s="188"/>
      <c r="C57" s="235">
        <v>0.13</v>
      </c>
      <c r="D57" s="259">
        <v>186.23584352371103</v>
      </c>
      <c r="E57" s="260">
        <v>186.92209559663968</v>
      </c>
      <c r="F57" s="260">
        <v>187.60834766956836</v>
      </c>
      <c r="G57" s="260">
        <v>188.29459974249698</v>
      </c>
      <c r="H57" s="260">
        <v>188.98085181542567</v>
      </c>
      <c r="I57" s="261">
        <v>189.66710388835429</v>
      </c>
    </row>
    <row r="58" spans="1:9" s="319" customFormat="1" x14ac:dyDescent="0.25">
      <c r="A58" s="188"/>
      <c r="B58" s="188"/>
      <c r="C58" s="235">
        <v>0.14000000000000001</v>
      </c>
      <c r="D58" s="259">
        <v>186.20580186922274</v>
      </c>
      <c r="E58" s="260">
        <v>186.89205394215139</v>
      </c>
      <c r="F58" s="260">
        <v>187.57830601508007</v>
      </c>
      <c r="G58" s="260">
        <v>188.2645580880087</v>
      </c>
      <c r="H58" s="260">
        <v>188.95081016093738</v>
      </c>
      <c r="I58" s="261">
        <v>189.637062233866</v>
      </c>
    </row>
    <row r="59" spans="1:9" s="319" customFormat="1" ht="20" thickBot="1" x14ac:dyDescent="0.3">
      <c r="A59" s="188"/>
      <c r="B59" s="188"/>
      <c r="C59" s="236">
        <v>0.15</v>
      </c>
      <c r="D59" s="271">
        <v>186.17691133333034</v>
      </c>
      <c r="E59" s="272">
        <v>186.86316340625899</v>
      </c>
      <c r="F59" s="272">
        <v>187.54941547918767</v>
      </c>
      <c r="G59" s="272">
        <v>188.2356675521163</v>
      </c>
      <c r="H59" s="272">
        <v>188.92191962504498</v>
      </c>
      <c r="I59" s="273">
        <v>189.6081716979736</v>
      </c>
    </row>
    <row r="60" spans="1:9" s="319" customFormat="1" x14ac:dyDescent="0.25">
      <c r="A60" s="188"/>
      <c r="B60" s="188"/>
      <c r="C60" s="189"/>
      <c r="D60" s="188"/>
      <c r="E60" s="188"/>
      <c r="F60" s="188"/>
      <c r="G60" s="188"/>
      <c r="H60" s="188"/>
    </row>
    <row r="61" spans="1:9" s="319" customFormat="1" x14ac:dyDescent="0.25">
      <c r="A61" s="188"/>
      <c r="B61" s="188"/>
      <c r="C61" s="189"/>
      <c r="D61" s="188"/>
      <c r="E61" s="188"/>
      <c r="F61" s="188"/>
      <c r="G61" s="188"/>
      <c r="H61" s="188"/>
    </row>
    <row r="62" spans="1:9" s="319" customFormat="1" x14ac:dyDescent="0.25">
      <c r="A62" s="188"/>
      <c r="B62" s="188"/>
      <c r="C62" s="188"/>
      <c r="D62" s="188"/>
      <c r="E62" s="188"/>
      <c r="F62" s="188"/>
      <c r="G62" s="188"/>
      <c r="H62" s="188"/>
    </row>
    <row r="63" spans="1:9" s="319" customFormat="1" x14ac:dyDescent="0.25">
      <c r="A63" s="188"/>
      <c r="B63" s="188"/>
      <c r="C63" s="188"/>
      <c r="D63" s="188"/>
      <c r="E63" s="188"/>
      <c r="F63" s="188"/>
      <c r="G63" s="188"/>
      <c r="H63" s="188"/>
    </row>
    <row r="64" spans="1:9" s="319" customFormat="1" ht="20" thickBot="1" x14ac:dyDescent="0.3">
      <c r="A64" s="188"/>
      <c r="B64" s="188"/>
      <c r="C64" s="188"/>
      <c r="D64" s="188"/>
      <c r="E64" s="188"/>
      <c r="F64" s="188"/>
      <c r="G64" s="188"/>
      <c r="H64" s="188"/>
    </row>
    <row r="65" spans="1:10" s="319" customFormat="1" x14ac:dyDescent="0.25">
      <c r="A65" s="188"/>
      <c r="B65" s="276" t="s">
        <v>240</v>
      </c>
      <c r="C65" s="280">
        <f>MIN(E53:G55)</f>
        <v>186.98587927156979</v>
      </c>
      <c r="D65" s="188"/>
      <c r="E65" s="188"/>
      <c r="F65" s="188"/>
      <c r="G65" s="188"/>
      <c r="H65" s="188"/>
    </row>
    <row r="66" spans="1:10" s="319" customFormat="1" x14ac:dyDescent="0.25">
      <c r="A66" s="188"/>
      <c r="B66" s="277" t="s">
        <v>195</v>
      </c>
      <c r="C66" s="281">
        <f>QUARTILE(E53:G55,1)</f>
        <v>187.0550495372855</v>
      </c>
      <c r="D66" s="188"/>
      <c r="E66" s="188"/>
      <c r="F66" s="188"/>
      <c r="G66" s="188"/>
      <c r="H66" s="188"/>
    </row>
    <row r="67" spans="1:10" s="319" customFormat="1" x14ac:dyDescent="0.25">
      <c r="A67" s="188"/>
      <c r="B67" s="277" t="s">
        <v>315</v>
      </c>
      <c r="C67" s="282">
        <f>AVERAGE(E53:G55)</f>
        <v>187.70647998019635</v>
      </c>
      <c r="D67" s="188"/>
      <c r="E67" s="188"/>
      <c r="F67" s="188"/>
      <c r="G67" s="188"/>
      <c r="H67" s="188"/>
    </row>
    <row r="68" spans="1:10" s="319" customFormat="1" x14ac:dyDescent="0.25">
      <c r="A68" s="188"/>
      <c r="B68" s="277" t="s">
        <v>334</v>
      </c>
      <c r="C68" s="281">
        <f>QUARTILE(E53:G55,3)</f>
        <v>188.35838341742709</v>
      </c>
      <c r="D68" s="188"/>
      <c r="E68" s="188"/>
      <c r="F68" s="188"/>
      <c r="G68" s="188"/>
      <c r="H68" s="188"/>
    </row>
    <row r="69" spans="1:10" s="319" customFormat="1" ht="20" thickBot="1" x14ac:dyDescent="0.3">
      <c r="A69" s="188"/>
      <c r="B69" s="278" t="s">
        <v>335</v>
      </c>
      <c r="C69" s="283">
        <f>MAX(E53:G55)</f>
        <v>188.4275536831428</v>
      </c>
      <c r="D69" s="188"/>
      <c r="E69" s="188"/>
      <c r="F69" s="188"/>
      <c r="G69" s="188"/>
      <c r="H69" s="188"/>
    </row>
    <row r="70" spans="1:10" s="319" customFormat="1" x14ac:dyDescent="0.25">
      <c r="A70" s="188"/>
      <c r="B70" s="188"/>
      <c r="C70" s="188"/>
      <c r="D70" s="188"/>
      <c r="E70" s="188"/>
      <c r="F70" s="188"/>
      <c r="G70" s="188"/>
      <c r="H70" s="188"/>
    </row>
    <row r="71" spans="1:10" s="319" customFormat="1" x14ac:dyDescent="0.25">
      <c r="A71" s="188"/>
      <c r="B71" s="188"/>
      <c r="C71" s="188"/>
      <c r="D71" s="188"/>
      <c r="E71" s="188"/>
      <c r="F71" s="188"/>
      <c r="G71" s="188"/>
      <c r="H71" s="188"/>
    </row>
    <row r="72" spans="1:10" s="319" customFormat="1" x14ac:dyDescent="0.25">
      <c r="A72" s="188"/>
      <c r="B72" s="188"/>
      <c r="C72" s="188"/>
      <c r="D72" s="188"/>
      <c r="E72" s="188"/>
      <c r="F72" s="188"/>
      <c r="G72" s="188"/>
      <c r="H72" s="188"/>
    </row>
    <row r="73" spans="1:10" s="319" customFormat="1" ht="20" thickBot="1" x14ac:dyDescent="0.3">
      <c r="A73" s="188"/>
      <c r="B73" s="188"/>
      <c r="C73" s="188"/>
      <c r="D73" s="188"/>
      <c r="E73" s="188"/>
      <c r="F73" s="188"/>
      <c r="G73" s="188"/>
      <c r="H73" s="188"/>
    </row>
    <row r="74" spans="1:10" s="319" customFormat="1" x14ac:dyDescent="0.25">
      <c r="A74" s="188"/>
      <c r="B74" s="276" t="s">
        <v>318</v>
      </c>
      <c r="C74" s="324"/>
      <c r="D74" s="325"/>
      <c r="E74" s="326"/>
      <c r="F74" s="325"/>
      <c r="G74" s="325"/>
      <c r="H74" s="325"/>
      <c r="I74" s="325"/>
      <c r="J74" s="326"/>
    </row>
    <row r="75" spans="1:10" s="319" customFormat="1" ht="20" thickBot="1" x14ac:dyDescent="0.3">
      <c r="A75" s="188"/>
      <c r="B75" s="277" t="s">
        <v>319</v>
      </c>
      <c r="C75" s="327">
        <f>C14</f>
        <v>0.25</v>
      </c>
      <c r="D75" s="328"/>
      <c r="E75" s="329"/>
      <c r="F75" s="328"/>
      <c r="G75" s="328"/>
      <c r="H75" s="328"/>
      <c r="I75" s="328"/>
      <c r="J75" s="329"/>
    </row>
    <row r="76" spans="1:10" s="319" customFormat="1" ht="20" thickBot="1" x14ac:dyDescent="0.3">
      <c r="A76" s="188"/>
      <c r="B76" s="277"/>
      <c r="C76" s="330"/>
      <c r="D76" s="331"/>
      <c r="E76" s="332"/>
      <c r="F76" s="333" t="s">
        <v>320</v>
      </c>
      <c r="G76" s="333" t="s">
        <v>321</v>
      </c>
      <c r="H76" s="333" t="s">
        <v>322</v>
      </c>
      <c r="I76" s="333" t="s">
        <v>323</v>
      </c>
      <c r="J76" s="334"/>
    </row>
    <row r="77" spans="1:10" s="319" customFormat="1" x14ac:dyDescent="0.25">
      <c r="A77" s="188"/>
      <c r="B77" s="277" t="s">
        <v>324</v>
      </c>
      <c r="C77" s="335"/>
      <c r="D77" s="328"/>
      <c r="E77" s="336"/>
      <c r="F77" s="337">
        <f>G30</f>
        <v>30.164869999999997</v>
      </c>
      <c r="G77" s="337">
        <f t="shared" ref="G77:I77" si="10">H30</f>
        <v>34.514781411999991</v>
      </c>
      <c r="H77" s="337">
        <f t="shared" si="10"/>
        <v>39.42452786470519</v>
      </c>
      <c r="I77" s="337">
        <f t="shared" si="10"/>
        <v>46.50861843972433</v>
      </c>
      <c r="J77" s="329"/>
    </row>
    <row r="78" spans="1:10" s="319" customFormat="1" x14ac:dyDescent="0.25">
      <c r="A78" s="188"/>
      <c r="B78" s="277" t="s">
        <v>325</v>
      </c>
      <c r="C78" s="335"/>
      <c r="D78" s="328"/>
      <c r="E78" s="329"/>
      <c r="F78" s="328"/>
      <c r="G78" s="328"/>
      <c r="H78" s="328"/>
      <c r="I78" s="337">
        <f>J31</f>
        <v>155.14936485936619</v>
      </c>
      <c r="J78" s="329"/>
    </row>
    <row r="79" spans="1:10" s="319" customFormat="1" ht="20" thickBot="1" x14ac:dyDescent="0.3">
      <c r="A79" s="188"/>
      <c r="B79" s="277" t="s">
        <v>116</v>
      </c>
      <c r="C79" s="335"/>
      <c r="D79" s="328"/>
      <c r="E79" s="329"/>
      <c r="F79" s="328"/>
      <c r="G79" s="328"/>
      <c r="H79" s="328"/>
      <c r="I79" s="328"/>
      <c r="J79" s="329"/>
    </row>
    <row r="80" spans="1:10" s="319" customFormat="1" x14ac:dyDescent="0.25">
      <c r="A80" s="188"/>
      <c r="B80" s="276" t="s">
        <v>326</v>
      </c>
      <c r="C80" s="324"/>
      <c r="D80" s="325"/>
      <c r="E80" s="338"/>
      <c r="F80" s="339">
        <f>SUM(F77:F78)</f>
        <v>30.164869999999997</v>
      </c>
      <c r="G80" s="339">
        <f>SUM(G77:G78)</f>
        <v>34.514781411999991</v>
      </c>
      <c r="H80" s="339">
        <f>SUM(H77:H78)</f>
        <v>39.42452786470519</v>
      </c>
      <c r="I80" s="339">
        <f>SUM(I77:I78)</f>
        <v>201.65798329909052</v>
      </c>
      <c r="J80" s="326"/>
    </row>
    <row r="81" spans="1:10" s="319" customFormat="1" x14ac:dyDescent="0.25">
      <c r="A81" s="188"/>
      <c r="B81" s="277"/>
      <c r="C81" s="335"/>
      <c r="D81" s="328"/>
      <c r="E81" s="329"/>
      <c r="F81" s="328"/>
      <c r="G81" s="328"/>
      <c r="H81" s="328"/>
      <c r="I81" s="328"/>
      <c r="J81" s="329"/>
    </row>
    <row r="82" spans="1:10" s="319" customFormat="1" ht="20" thickBot="1" x14ac:dyDescent="0.3">
      <c r="A82" s="188"/>
      <c r="B82" s="278" t="s">
        <v>327</v>
      </c>
      <c r="C82" s="340">
        <f>NPV($S$4,F80:I80)</f>
        <v>305.76216257579568</v>
      </c>
      <c r="D82" s="341"/>
      <c r="E82" s="342"/>
      <c r="F82" s="341"/>
      <c r="G82" s="341"/>
      <c r="H82" s="341"/>
      <c r="I82" s="341"/>
      <c r="J82" s="342"/>
    </row>
    <row r="83" spans="1:10" s="319" customFormat="1" x14ac:dyDescent="0.25">
      <c r="A83" s="188"/>
      <c r="B83" s="279"/>
      <c r="C83" s="188"/>
      <c r="D83" s="188"/>
      <c r="E83" s="188"/>
      <c r="F83" s="188"/>
      <c r="G83" s="188"/>
      <c r="H83" s="188"/>
    </row>
    <row r="84" spans="1:10" s="319" customFormat="1" x14ac:dyDescent="0.25">
      <c r="A84" s="188"/>
      <c r="B84" s="279"/>
      <c r="C84" s="188"/>
      <c r="D84" s="188"/>
      <c r="E84" s="188"/>
      <c r="F84" s="188"/>
      <c r="G84" s="188"/>
      <c r="H84" s="188"/>
    </row>
    <row r="85" spans="1:10" s="319" customFormat="1" ht="20" thickBot="1" x14ac:dyDescent="0.3">
      <c r="A85" s="188"/>
      <c r="B85" s="279"/>
      <c r="C85" s="188"/>
      <c r="D85" s="188"/>
      <c r="E85" s="188"/>
      <c r="F85" s="188"/>
      <c r="G85" s="188"/>
      <c r="H85" s="188"/>
    </row>
    <row r="86" spans="1:10" s="319" customFormat="1" ht="20" thickBot="1" x14ac:dyDescent="0.3">
      <c r="A86" s="188"/>
      <c r="B86" s="276" t="s">
        <v>328</v>
      </c>
      <c r="C86" s="324"/>
      <c r="D86" s="325"/>
      <c r="E86" s="326"/>
      <c r="F86" s="325"/>
      <c r="G86" s="325"/>
      <c r="H86" s="325"/>
      <c r="I86" s="325"/>
      <c r="J86" s="326"/>
    </row>
    <row r="87" spans="1:10" s="319" customFormat="1" ht="20" thickBot="1" x14ac:dyDescent="0.3">
      <c r="A87" s="188"/>
      <c r="B87" s="277"/>
      <c r="C87" s="330"/>
      <c r="D87" s="331"/>
      <c r="E87" s="332"/>
      <c r="F87" s="333" t="s">
        <v>320</v>
      </c>
      <c r="G87" s="333" t="s">
        <v>321</v>
      </c>
      <c r="H87" s="333" t="s">
        <v>322</v>
      </c>
      <c r="I87" s="333" t="s">
        <v>323</v>
      </c>
      <c r="J87" s="334"/>
    </row>
    <row r="88" spans="1:10" s="319" customFormat="1" x14ac:dyDescent="0.25">
      <c r="A88" s="188"/>
      <c r="B88" s="277" t="s">
        <v>324</v>
      </c>
      <c r="C88" s="335"/>
      <c r="D88" s="328"/>
      <c r="E88" s="343"/>
      <c r="F88" s="344">
        <v>0</v>
      </c>
      <c r="G88" s="344">
        <v>0</v>
      </c>
      <c r="H88" s="344">
        <v>0</v>
      </c>
      <c r="I88" s="344">
        <v>0</v>
      </c>
      <c r="J88" s="329"/>
    </row>
    <row r="89" spans="1:10" s="319" customFormat="1" x14ac:dyDescent="0.25">
      <c r="A89" s="188"/>
      <c r="B89" s="277" t="s">
        <v>325</v>
      </c>
      <c r="C89" s="335"/>
      <c r="D89" s="328"/>
      <c r="E89" s="343"/>
      <c r="F89" s="344"/>
      <c r="G89" s="344"/>
      <c r="H89" s="344"/>
      <c r="I89" s="344">
        <f>I78</f>
        <v>155.14936485936619</v>
      </c>
      <c r="J89" s="329"/>
    </row>
    <row r="90" spans="1:10" s="319" customFormat="1" ht="20" thickBot="1" x14ac:dyDescent="0.3">
      <c r="A90" s="188"/>
      <c r="B90" s="277" t="s">
        <v>116</v>
      </c>
      <c r="C90" s="335"/>
      <c r="D90" s="328"/>
      <c r="E90" s="343"/>
      <c r="F90" s="344"/>
      <c r="G90" s="344"/>
      <c r="H90" s="344"/>
      <c r="I90" s="344">
        <f>-'First Fighter BS'!C29</f>
        <v>-23.2</v>
      </c>
      <c r="J90" s="329"/>
    </row>
    <row r="91" spans="1:10" s="319" customFormat="1" x14ac:dyDescent="0.25">
      <c r="A91" s="188"/>
      <c r="B91" s="276" t="s">
        <v>326</v>
      </c>
      <c r="C91" s="324"/>
      <c r="D91" s="325"/>
      <c r="E91" s="345"/>
      <c r="F91" s="346">
        <f t="shared" ref="F91:H91" si="11">SUM(F88:F90)</f>
        <v>0</v>
      </c>
      <c r="G91" s="346">
        <f t="shared" si="11"/>
        <v>0</v>
      </c>
      <c r="H91" s="346">
        <f t="shared" si="11"/>
        <v>0</v>
      </c>
      <c r="I91" s="346">
        <f>SUM(I89:I90)</f>
        <v>131.9493648593662</v>
      </c>
      <c r="J91" s="326"/>
    </row>
    <row r="92" spans="1:10" s="319" customFormat="1" x14ac:dyDescent="0.25">
      <c r="A92" s="188"/>
      <c r="B92" s="277"/>
      <c r="C92" s="335"/>
      <c r="D92" s="328"/>
      <c r="E92" s="329"/>
      <c r="F92" s="328"/>
      <c r="G92" s="328"/>
      <c r="H92" s="328"/>
      <c r="I92" s="328"/>
      <c r="J92" s="329"/>
    </row>
    <row r="93" spans="1:10" s="319" customFormat="1" x14ac:dyDescent="0.25">
      <c r="A93" s="188"/>
      <c r="B93" s="277" t="s">
        <v>329</v>
      </c>
      <c r="C93" s="347">
        <f>NPV(C14,F91:I91)</f>
        <v>54.046459846396395</v>
      </c>
      <c r="D93" s="328"/>
      <c r="E93" s="329"/>
      <c r="F93" s="328"/>
      <c r="G93" s="328"/>
      <c r="H93" s="328"/>
      <c r="I93" s="328"/>
      <c r="J93" s="329"/>
    </row>
    <row r="94" spans="1:10" s="319" customFormat="1" x14ac:dyDescent="0.25">
      <c r="A94" s="188"/>
      <c r="B94" s="277" t="s">
        <v>116</v>
      </c>
      <c r="C94" s="348">
        <f>F20*C3</f>
        <v>95.4</v>
      </c>
      <c r="D94" s="328"/>
      <c r="E94" s="329"/>
      <c r="F94" s="328"/>
      <c r="G94" s="328"/>
      <c r="H94" s="328"/>
      <c r="I94" s="328"/>
      <c r="J94" s="329"/>
    </row>
    <row r="95" spans="1:10" s="319" customFormat="1" ht="20" thickBot="1" x14ac:dyDescent="0.3">
      <c r="A95" s="188"/>
      <c r="B95" s="278" t="s">
        <v>183</v>
      </c>
      <c r="C95" s="349">
        <f>SUM(C93:C94)</f>
        <v>149.44645984639641</v>
      </c>
      <c r="D95" s="341"/>
      <c r="E95" s="342"/>
      <c r="F95" s="341"/>
      <c r="G95" s="341"/>
      <c r="H95" s="341"/>
      <c r="I95" s="341"/>
      <c r="J95" s="342"/>
    </row>
    <row r="96" spans="1:10" s="319" customFormat="1" ht="20" thickBot="1" x14ac:dyDescent="0.3">
      <c r="A96" s="188"/>
      <c r="B96" s="279"/>
      <c r="C96" s="203"/>
      <c r="D96" s="204"/>
      <c r="E96" s="286"/>
      <c r="F96" s="188"/>
      <c r="G96" s="188"/>
      <c r="H96" s="188"/>
    </row>
    <row r="97" spans="1:10" s="319" customFormat="1" ht="20" thickBot="1" x14ac:dyDescent="0.3">
      <c r="A97" s="188"/>
      <c r="B97" s="350"/>
      <c r="C97" s="205"/>
      <c r="D97" s="151"/>
      <c r="E97" s="192"/>
      <c r="F97" s="151"/>
      <c r="G97" s="151"/>
      <c r="H97" s="151"/>
      <c r="I97" s="351"/>
      <c r="J97" s="320"/>
    </row>
    <row r="98" spans="1:10" s="319" customFormat="1" ht="20" thickBot="1" x14ac:dyDescent="0.3">
      <c r="A98" s="188"/>
      <c r="B98" s="249" t="s">
        <v>333</v>
      </c>
      <c r="C98" s="352"/>
      <c r="D98" s="353"/>
      <c r="E98" s="354"/>
      <c r="F98" s="355" t="s">
        <v>320</v>
      </c>
      <c r="G98" s="355" t="s">
        <v>321</v>
      </c>
      <c r="H98" s="355" t="s">
        <v>322</v>
      </c>
      <c r="I98" s="355" t="s">
        <v>323</v>
      </c>
      <c r="J98" s="356"/>
    </row>
    <row r="99" spans="1:10" s="319" customFormat="1" x14ac:dyDescent="0.25">
      <c r="A99" s="188"/>
      <c r="B99" s="305" t="s">
        <v>330</v>
      </c>
      <c r="C99" s="357"/>
      <c r="D99" s="358">
        <f>-C95</f>
        <v>-149.44645984639641</v>
      </c>
      <c r="E99" s="321"/>
      <c r="F99" s="359"/>
      <c r="G99" s="359"/>
      <c r="H99" s="359"/>
      <c r="I99" s="359"/>
      <c r="J99" s="321"/>
    </row>
    <row r="100" spans="1:10" s="319" customFormat="1" x14ac:dyDescent="0.25">
      <c r="A100" s="188"/>
      <c r="B100" s="249" t="s">
        <v>331</v>
      </c>
      <c r="C100" s="357"/>
      <c r="D100" s="359"/>
      <c r="E100" s="360"/>
      <c r="F100" s="361">
        <f>F57</f>
        <v>187.60834766956836</v>
      </c>
      <c r="G100" s="361">
        <f t="shared" ref="G100:I100" si="12">G57</f>
        <v>188.29459974249698</v>
      </c>
      <c r="H100" s="361">
        <f t="shared" si="12"/>
        <v>188.98085181542567</v>
      </c>
      <c r="I100" s="361">
        <f t="shared" si="12"/>
        <v>189.66710388835429</v>
      </c>
      <c r="J100" s="321"/>
    </row>
    <row r="101" spans="1:10" s="319" customFormat="1" ht="20" thickBot="1" x14ac:dyDescent="0.3">
      <c r="A101" s="188"/>
      <c r="B101" s="249" t="s">
        <v>338</v>
      </c>
      <c r="C101" s="362"/>
      <c r="D101" s="359"/>
      <c r="E101" s="321"/>
      <c r="F101" s="359"/>
      <c r="G101" s="359"/>
      <c r="H101" s="359"/>
      <c r="I101" s="363">
        <f>I89</f>
        <v>155.14936485936619</v>
      </c>
      <c r="J101" s="321"/>
    </row>
    <row r="102" spans="1:10" s="319" customFormat="1" x14ac:dyDescent="0.25">
      <c r="A102" s="188"/>
      <c r="B102" s="246" t="s">
        <v>326</v>
      </c>
      <c r="C102" s="364"/>
      <c r="D102" s="365">
        <f>SUM(D99:D101)</f>
        <v>-149.44645984639641</v>
      </c>
      <c r="E102" s="366"/>
      <c r="F102" s="367">
        <f t="shared" ref="F102:I102" si="13">SUM(F99:F101)</f>
        <v>187.60834766956836</v>
      </c>
      <c r="G102" s="367">
        <f t="shared" si="13"/>
        <v>188.29459974249698</v>
      </c>
      <c r="H102" s="367">
        <f t="shared" si="13"/>
        <v>188.98085181542567</v>
      </c>
      <c r="I102" s="367">
        <f t="shared" si="13"/>
        <v>344.81646874772048</v>
      </c>
      <c r="J102" s="320"/>
    </row>
    <row r="103" spans="1:10" s="319" customFormat="1" ht="20" thickBot="1" x14ac:dyDescent="0.3">
      <c r="A103" s="188"/>
      <c r="B103" s="252"/>
      <c r="C103" s="368"/>
      <c r="D103" s="369"/>
      <c r="E103" s="322"/>
      <c r="F103" s="369"/>
      <c r="G103" s="369"/>
      <c r="H103" s="369"/>
      <c r="I103" s="369"/>
      <c r="J103" s="322"/>
    </row>
    <row r="104" spans="1:10" s="319" customFormat="1" x14ac:dyDescent="0.25">
      <c r="A104" s="188"/>
      <c r="B104" s="246" t="s">
        <v>250</v>
      </c>
      <c r="C104" s="370">
        <f>IRR(D102:I102)</f>
        <v>1.2601830864332557</v>
      </c>
      <c r="D104" s="351"/>
      <c r="E104" s="320"/>
      <c r="F104" s="351"/>
      <c r="G104" s="351"/>
      <c r="H104" s="351"/>
      <c r="I104" s="351"/>
      <c r="J104" s="320"/>
    </row>
    <row r="105" spans="1:10" s="319" customFormat="1" ht="20" thickBot="1" x14ac:dyDescent="0.3">
      <c r="A105" s="188"/>
      <c r="B105" s="371"/>
      <c r="C105" s="210"/>
      <c r="D105" s="158"/>
      <c r="E105" s="194"/>
      <c r="F105" s="158"/>
      <c r="G105" s="158"/>
      <c r="H105" s="158"/>
      <c r="I105" s="369"/>
      <c r="J105" s="322"/>
    </row>
    <row r="106" spans="1:10" s="319" customFormat="1" x14ac:dyDescent="0.25">
      <c r="A106" s="188"/>
      <c r="B106" s="279"/>
      <c r="C106" s="188"/>
      <c r="D106" s="188"/>
      <c r="E106" s="188"/>
      <c r="F106" s="188"/>
      <c r="G106" s="188"/>
      <c r="H106" s="188"/>
    </row>
    <row r="107" spans="1:10" s="319" customFormat="1" x14ac:dyDescent="0.25">
      <c r="A107" s="188"/>
      <c r="B107" s="279"/>
      <c r="C107" s="188"/>
      <c r="D107" s="188"/>
      <c r="E107" s="188"/>
      <c r="F107" s="188"/>
      <c r="G107" s="188"/>
      <c r="H107" s="188"/>
    </row>
    <row r="108" spans="1:10" s="319" customFormat="1" ht="20" thickBot="1" x14ac:dyDescent="0.3">
      <c r="A108" s="188"/>
      <c r="B108" s="279"/>
      <c r="C108" s="188"/>
      <c r="D108" s="188"/>
      <c r="E108" s="188"/>
      <c r="F108" s="188"/>
      <c r="G108" s="188"/>
      <c r="H108" s="188"/>
    </row>
    <row r="109" spans="1:10" s="319" customFormat="1" ht="20" thickBot="1" x14ac:dyDescent="0.3">
      <c r="A109" s="188"/>
      <c r="B109" s="372"/>
      <c r="C109" s="151"/>
      <c r="D109" s="151"/>
      <c r="E109" s="151"/>
      <c r="F109" s="151"/>
      <c r="G109" s="151"/>
      <c r="H109" s="151"/>
      <c r="I109" s="351"/>
      <c r="J109" s="320"/>
    </row>
    <row r="110" spans="1:10" s="319" customFormat="1" ht="20" thickBot="1" x14ac:dyDescent="0.3">
      <c r="A110" s="188"/>
      <c r="B110" s="277" t="s">
        <v>250</v>
      </c>
      <c r="C110" s="373"/>
      <c r="D110" s="353"/>
      <c r="E110" s="355"/>
      <c r="F110" s="355" t="s">
        <v>320</v>
      </c>
      <c r="G110" s="355" t="s">
        <v>321</v>
      </c>
      <c r="H110" s="355" t="s">
        <v>322</v>
      </c>
      <c r="I110" s="355" t="s">
        <v>323</v>
      </c>
      <c r="J110" s="356"/>
    </row>
    <row r="111" spans="1:10" s="319" customFormat="1" x14ac:dyDescent="0.25">
      <c r="A111" s="188"/>
      <c r="B111" s="277"/>
      <c r="C111" s="359"/>
      <c r="D111" s="359"/>
      <c r="E111" s="359"/>
      <c r="F111" s="359"/>
      <c r="G111" s="359"/>
      <c r="H111" s="359"/>
      <c r="I111" s="359"/>
      <c r="J111" s="321"/>
    </row>
    <row r="112" spans="1:10" s="319" customFormat="1" x14ac:dyDescent="0.25">
      <c r="A112" s="188"/>
      <c r="B112" s="374" t="s">
        <v>330</v>
      </c>
      <c r="C112" s="359"/>
      <c r="D112" s="375">
        <f>-C93</f>
        <v>-54.046459846396395</v>
      </c>
      <c r="E112" s="359"/>
      <c r="F112" s="359"/>
      <c r="G112" s="359"/>
      <c r="H112" s="359"/>
      <c r="I112" s="359"/>
      <c r="J112" s="321"/>
    </row>
    <row r="113" spans="1:10" s="319" customFormat="1" x14ac:dyDescent="0.25">
      <c r="A113" s="188"/>
      <c r="B113" s="277" t="s">
        <v>331</v>
      </c>
      <c r="C113" s="359"/>
      <c r="D113" s="359"/>
      <c r="E113" s="376"/>
      <c r="F113" s="376">
        <v>0</v>
      </c>
      <c r="G113" s="376">
        <v>0</v>
      </c>
      <c r="H113" s="376">
        <v>0</v>
      </c>
      <c r="I113" s="376">
        <v>0</v>
      </c>
      <c r="J113" s="321"/>
    </row>
    <row r="114" spans="1:10" s="319" customFormat="1" ht="20" thickBot="1" x14ac:dyDescent="0.3">
      <c r="A114" s="188"/>
      <c r="B114" s="277" t="s">
        <v>332</v>
      </c>
      <c r="C114" s="359"/>
      <c r="D114" s="359"/>
      <c r="E114" s="359"/>
      <c r="F114" s="359"/>
      <c r="G114" s="359"/>
      <c r="H114" s="359"/>
      <c r="I114" s="377">
        <f>I91</f>
        <v>131.9493648593662</v>
      </c>
      <c r="J114" s="321"/>
    </row>
    <row r="115" spans="1:10" s="319" customFormat="1" x14ac:dyDescent="0.25">
      <c r="A115" s="188"/>
      <c r="B115" s="276" t="s">
        <v>326</v>
      </c>
      <c r="C115" s="351"/>
      <c r="D115" s="367">
        <f>SUM(D112:D114)</f>
        <v>-54.046459846396395</v>
      </c>
      <c r="E115" s="367"/>
      <c r="F115" s="367">
        <f t="shared" ref="F115:I115" si="14">SUM(F112:F114)</f>
        <v>0</v>
      </c>
      <c r="G115" s="367">
        <f t="shared" si="14"/>
        <v>0</v>
      </c>
      <c r="H115" s="367">
        <f t="shared" si="14"/>
        <v>0</v>
      </c>
      <c r="I115" s="367">
        <f t="shared" si="14"/>
        <v>131.9493648593662</v>
      </c>
      <c r="J115" s="320"/>
    </row>
    <row r="116" spans="1:10" s="319" customFormat="1" x14ac:dyDescent="0.25">
      <c r="A116" s="188"/>
      <c r="B116" s="277" t="s">
        <v>250</v>
      </c>
      <c r="C116" s="378">
        <f>IRR(D115:I115)</f>
        <v>0.24999999999999956</v>
      </c>
      <c r="D116" s="359"/>
      <c r="E116" s="359"/>
      <c r="F116" s="359"/>
      <c r="G116" s="359"/>
      <c r="H116" s="359"/>
      <c r="I116" s="359"/>
      <c r="J116" s="321"/>
    </row>
    <row r="117" spans="1:10" s="319" customFormat="1" ht="20" thickBot="1" x14ac:dyDescent="0.3">
      <c r="A117" s="188"/>
      <c r="B117" s="379"/>
      <c r="C117" s="158"/>
      <c r="D117" s="158"/>
      <c r="E117" s="158"/>
      <c r="F117" s="158"/>
      <c r="G117" s="158"/>
      <c r="H117" s="158"/>
      <c r="I117" s="369"/>
      <c r="J117" s="322"/>
    </row>
    <row r="118" spans="1:10" s="319" customFormat="1" x14ac:dyDescent="0.25">
      <c r="A118" s="188"/>
      <c r="B118" s="188"/>
      <c r="C118" s="188"/>
      <c r="D118" s="188"/>
      <c r="E118" s="188"/>
      <c r="F118" s="188"/>
      <c r="G118" s="188"/>
      <c r="H118" s="188"/>
    </row>
    <row r="119" spans="1:10" s="319" customFormat="1" x14ac:dyDescent="0.25">
      <c r="A119" s="188"/>
      <c r="B119" s="188"/>
      <c r="C119" s="188"/>
      <c r="D119" s="188"/>
      <c r="E119" s="188"/>
      <c r="F119" s="188"/>
      <c r="G119" s="188"/>
      <c r="H119" s="188"/>
    </row>
    <row r="120" spans="1:10" s="319" customFormat="1" x14ac:dyDescent="0.25">
      <c r="A120" s="188"/>
      <c r="B120" s="188"/>
      <c r="C120" s="188"/>
      <c r="D120" s="188"/>
      <c r="E120" s="188"/>
      <c r="F120" s="188"/>
      <c r="G120" s="188"/>
      <c r="H120" s="188"/>
    </row>
    <row r="121" spans="1:10" s="319" customFormat="1" x14ac:dyDescent="0.25">
      <c r="A121" s="188"/>
      <c r="B121" s="188"/>
      <c r="C121" s="188"/>
      <c r="D121" s="188"/>
      <c r="E121" s="188"/>
      <c r="F121" s="188"/>
      <c r="G121" s="188"/>
      <c r="H121" s="188"/>
    </row>
    <row r="122" spans="1:10" s="319" customFormat="1" x14ac:dyDescent="0.25">
      <c r="A122" s="188"/>
      <c r="B122" s="188"/>
      <c r="C122" s="188"/>
      <c r="D122" s="188"/>
      <c r="E122" s="188"/>
      <c r="F122" s="188"/>
      <c r="G122" s="188"/>
      <c r="H122" s="188"/>
    </row>
    <row r="123" spans="1:10" s="319" customFormat="1" x14ac:dyDescent="0.25">
      <c r="A123" s="188"/>
      <c r="B123" s="188"/>
      <c r="C123" s="188"/>
      <c r="D123" s="188"/>
      <c r="E123" s="188"/>
      <c r="F123" s="188"/>
      <c r="G123" s="188"/>
      <c r="H123" s="188"/>
    </row>
    <row r="124" spans="1:10" s="319" customFormat="1" x14ac:dyDescent="0.25">
      <c r="A124" s="188"/>
      <c r="B124" s="188"/>
      <c r="C124" s="188"/>
      <c r="D124" s="188"/>
      <c r="E124" s="188"/>
      <c r="F124" s="188"/>
      <c r="G124" s="188"/>
      <c r="H124" s="188"/>
    </row>
    <row r="125" spans="1:10" s="319" customFormat="1" x14ac:dyDescent="0.25">
      <c r="A125" s="188"/>
      <c r="B125" s="188"/>
      <c r="C125" s="188"/>
      <c r="D125" s="188"/>
      <c r="E125" s="188"/>
      <c r="F125" s="188"/>
      <c r="G125" s="188"/>
      <c r="H125" s="188"/>
    </row>
    <row r="126" spans="1:10" s="319" customFormat="1" x14ac:dyDescent="0.25">
      <c r="A126" s="188"/>
      <c r="B126" s="188"/>
      <c r="C126" s="188"/>
      <c r="D126" s="188"/>
      <c r="E126" s="188"/>
      <c r="F126" s="188"/>
      <c r="G126" s="188"/>
      <c r="H126" s="188"/>
    </row>
    <row r="127" spans="1:10" s="319" customFormat="1" x14ac:dyDescent="0.25">
      <c r="A127" s="188"/>
      <c r="B127" s="188"/>
      <c r="C127" s="188"/>
      <c r="D127" s="188"/>
      <c r="E127" s="188"/>
      <c r="F127" s="188"/>
      <c r="G127" s="188"/>
      <c r="H127" s="188"/>
    </row>
    <row r="128" spans="1:10" s="319" customFormat="1" x14ac:dyDescent="0.25">
      <c r="A128" s="188"/>
      <c r="B128" s="188"/>
      <c r="C128" s="188"/>
      <c r="D128" s="188"/>
      <c r="E128" s="188"/>
      <c r="F128" s="188"/>
      <c r="G128" s="188"/>
      <c r="H128" s="188"/>
    </row>
    <row r="129" spans="1:8" s="319" customFormat="1" x14ac:dyDescent="0.25">
      <c r="A129" s="188"/>
      <c r="B129" s="188"/>
      <c r="C129" s="188"/>
      <c r="D129" s="188"/>
      <c r="E129" s="188"/>
      <c r="F129" s="188"/>
      <c r="G129" s="188"/>
      <c r="H129" s="188"/>
    </row>
    <row r="130" spans="1:8" s="319" customFormat="1" x14ac:dyDescent="0.25">
      <c r="A130" s="188"/>
      <c r="B130" s="188"/>
      <c r="C130" s="188"/>
      <c r="D130" s="188"/>
      <c r="E130" s="188"/>
      <c r="F130" s="188"/>
      <c r="G130" s="188"/>
      <c r="H130" s="188"/>
    </row>
    <row r="131" spans="1:8" s="319" customFormat="1" x14ac:dyDescent="0.25">
      <c r="A131" s="188"/>
      <c r="B131" s="188"/>
      <c r="C131" s="188"/>
      <c r="D131" s="188"/>
      <c r="E131" s="188"/>
      <c r="F131" s="188"/>
      <c r="G131" s="188"/>
      <c r="H131" s="188"/>
    </row>
    <row r="132" spans="1:8" s="319" customFormat="1" x14ac:dyDescent="0.25">
      <c r="A132" s="188"/>
      <c r="B132" s="188"/>
      <c r="C132" s="188"/>
      <c r="D132" s="188"/>
      <c r="E132" s="188"/>
      <c r="F132" s="188"/>
      <c r="G132" s="188"/>
      <c r="H132" s="188"/>
    </row>
    <row r="133" spans="1:8" s="319" customFormat="1" x14ac:dyDescent="0.25">
      <c r="A133" s="188"/>
      <c r="B133" s="188"/>
      <c r="C133" s="188"/>
      <c r="D133" s="188"/>
      <c r="E133" s="188"/>
      <c r="F133" s="188"/>
      <c r="G133" s="188"/>
      <c r="H133" s="188"/>
    </row>
    <row r="134" spans="1:8" s="319" customFormat="1" x14ac:dyDescent="0.25">
      <c r="A134" s="188"/>
      <c r="B134" s="188"/>
      <c r="C134" s="188"/>
      <c r="D134" s="188"/>
      <c r="E134" s="188"/>
      <c r="F134" s="188"/>
      <c r="G134" s="188"/>
      <c r="H134" s="188"/>
    </row>
    <row r="135" spans="1:8" s="319" customFormat="1" x14ac:dyDescent="0.25">
      <c r="A135" s="188"/>
      <c r="B135" s="188"/>
      <c r="C135" s="188"/>
      <c r="D135" s="188"/>
      <c r="E135" s="188"/>
      <c r="F135" s="188"/>
      <c r="G135" s="188"/>
      <c r="H135" s="188"/>
    </row>
    <row r="136" spans="1:8" s="319" customFormat="1" x14ac:dyDescent="0.25">
      <c r="A136" s="188"/>
      <c r="B136" s="188"/>
      <c r="C136" s="188"/>
      <c r="D136" s="188"/>
      <c r="E136" s="188"/>
      <c r="F136" s="188"/>
      <c r="G136" s="188"/>
      <c r="H136" s="188"/>
    </row>
    <row r="137" spans="1:8" s="319" customFormat="1" x14ac:dyDescent="0.25">
      <c r="A137" s="188"/>
      <c r="B137" s="188"/>
      <c r="C137" s="188"/>
      <c r="D137" s="188"/>
      <c r="E137" s="188"/>
      <c r="F137" s="188"/>
      <c r="G137" s="188"/>
      <c r="H137" s="188"/>
    </row>
    <row r="138" spans="1:8" s="319" customFormat="1" x14ac:dyDescent="0.25">
      <c r="A138" s="188"/>
      <c r="B138" s="188"/>
      <c r="C138" s="188"/>
      <c r="D138" s="188"/>
      <c r="E138" s="188"/>
      <c r="F138" s="188"/>
      <c r="G138" s="188"/>
      <c r="H138" s="188"/>
    </row>
    <row r="139" spans="1:8" s="319" customFormat="1" x14ac:dyDescent="0.25">
      <c r="A139" s="188"/>
      <c r="B139" s="188"/>
      <c r="C139" s="188"/>
      <c r="D139" s="188"/>
      <c r="E139" s="188"/>
      <c r="F139" s="188"/>
      <c r="G139" s="188"/>
      <c r="H139" s="188"/>
    </row>
    <row r="140" spans="1:8" s="319" customFormat="1" x14ac:dyDescent="0.25">
      <c r="A140" s="188"/>
      <c r="B140" s="188"/>
      <c r="C140" s="188"/>
      <c r="D140" s="188"/>
      <c r="E140" s="188"/>
      <c r="F140" s="188"/>
      <c r="G140" s="188"/>
      <c r="H140" s="188"/>
    </row>
    <row r="141" spans="1:8" s="319" customFormat="1" x14ac:dyDescent="0.25">
      <c r="A141" s="188"/>
      <c r="B141" s="188"/>
      <c r="C141" s="188"/>
      <c r="D141" s="188"/>
      <c r="E141" s="188"/>
      <c r="F141" s="188"/>
      <c r="G141" s="188"/>
      <c r="H141" s="188"/>
    </row>
    <row r="142" spans="1:8" s="319" customFormat="1" x14ac:dyDescent="0.25">
      <c r="A142" s="188"/>
      <c r="B142" s="188"/>
      <c r="C142" s="188"/>
      <c r="D142" s="188"/>
      <c r="E142" s="188"/>
      <c r="F142" s="188"/>
      <c r="G142" s="188"/>
      <c r="H142" s="188"/>
    </row>
    <row r="143" spans="1:8" s="319" customFormat="1" x14ac:dyDescent="0.25">
      <c r="A143" s="188"/>
      <c r="B143" s="188"/>
      <c r="C143" s="188"/>
      <c r="D143" s="188"/>
      <c r="E143" s="188"/>
      <c r="F143" s="188"/>
      <c r="G143" s="188"/>
      <c r="H143" s="188"/>
    </row>
    <row r="144" spans="1:8" s="319" customFormat="1" x14ac:dyDescent="0.25">
      <c r="A144" s="188"/>
      <c r="B144" s="188"/>
      <c r="C144" s="188"/>
      <c r="D144" s="188"/>
      <c r="E144" s="188"/>
      <c r="F144" s="188"/>
      <c r="G144" s="188"/>
      <c r="H144" s="188"/>
    </row>
    <row r="145" spans="1:8" s="319" customFormat="1" x14ac:dyDescent="0.25">
      <c r="A145" s="188"/>
      <c r="B145" s="188"/>
      <c r="C145" s="188"/>
      <c r="D145" s="188"/>
      <c r="E145" s="188"/>
      <c r="F145" s="188"/>
      <c r="G145" s="188"/>
      <c r="H145" s="188"/>
    </row>
    <row r="146" spans="1:8" s="319" customFormat="1" x14ac:dyDescent="0.25">
      <c r="A146" s="188"/>
      <c r="B146" s="188"/>
      <c r="C146" s="188"/>
      <c r="D146" s="188"/>
      <c r="E146" s="188"/>
      <c r="F146" s="188"/>
      <c r="G146" s="188"/>
      <c r="H146" s="188"/>
    </row>
    <row r="147" spans="1:8" s="319" customFormat="1" x14ac:dyDescent="0.25">
      <c r="A147" s="188"/>
      <c r="B147" s="188"/>
      <c r="C147" s="188"/>
      <c r="D147" s="188"/>
      <c r="E147" s="188"/>
      <c r="F147" s="188"/>
      <c r="G147" s="188"/>
      <c r="H147" s="188"/>
    </row>
    <row r="148" spans="1:8" s="319" customFormat="1" x14ac:dyDescent="0.25">
      <c r="A148" s="188"/>
      <c r="B148" s="188"/>
      <c r="C148" s="188"/>
      <c r="D148" s="188"/>
      <c r="E148" s="188"/>
      <c r="F148" s="188"/>
      <c r="G148" s="188"/>
      <c r="H148" s="188"/>
    </row>
    <row r="149" spans="1:8" s="319" customFormat="1" x14ac:dyDescent="0.25">
      <c r="A149" s="188"/>
      <c r="B149" s="188"/>
      <c r="C149" s="188"/>
      <c r="D149" s="188"/>
      <c r="E149" s="188"/>
      <c r="F149" s="188"/>
      <c r="G149" s="188"/>
      <c r="H149" s="188"/>
    </row>
    <row r="150" spans="1:8" s="319" customFormat="1" x14ac:dyDescent="0.25">
      <c r="A150" s="188"/>
      <c r="B150" s="188"/>
      <c r="C150" s="188"/>
      <c r="D150" s="188"/>
      <c r="E150" s="188"/>
      <c r="F150" s="188"/>
      <c r="G150" s="188"/>
      <c r="H150" s="188"/>
    </row>
    <row r="151" spans="1:8" s="319" customFormat="1" x14ac:dyDescent="0.25">
      <c r="A151" s="188"/>
      <c r="B151" s="188"/>
      <c r="C151" s="188"/>
      <c r="D151" s="188"/>
      <c r="E151" s="188"/>
      <c r="F151" s="188"/>
      <c r="G151" s="188"/>
      <c r="H151" s="188"/>
    </row>
    <row r="152" spans="1:8" s="319" customFormat="1" x14ac:dyDescent="0.25">
      <c r="A152" s="188"/>
      <c r="B152" s="188"/>
      <c r="C152" s="188"/>
      <c r="D152" s="188"/>
      <c r="E152" s="188"/>
      <c r="F152" s="188"/>
      <c r="G152" s="188"/>
      <c r="H152" s="188"/>
    </row>
    <row r="153" spans="1:8" s="319" customFormat="1" x14ac:dyDescent="0.25">
      <c r="A153" s="188"/>
      <c r="B153" s="188"/>
      <c r="C153" s="188"/>
      <c r="D153" s="188"/>
      <c r="E153" s="188"/>
      <c r="F153" s="188"/>
      <c r="G153" s="188"/>
      <c r="H153" s="188"/>
    </row>
    <row r="154" spans="1:8" s="319" customFormat="1" x14ac:dyDescent="0.25">
      <c r="A154" s="188"/>
      <c r="B154" s="188"/>
      <c r="C154" s="188"/>
      <c r="D154" s="188"/>
      <c r="E154" s="188"/>
      <c r="F154" s="188"/>
      <c r="G154" s="188"/>
      <c r="H154" s="188"/>
    </row>
    <row r="155" spans="1:8" s="319" customFormat="1" x14ac:dyDescent="0.25">
      <c r="A155" s="188"/>
      <c r="B155" s="188"/>
      <c r="C155" s="188"/>
      <c r="D155" s="188"/>
      <c r="E155" s="188"/>
      <c r="F155" s="188"/>
      <c r="G155" s="188"/>
      <c r="H155" s="188"/>
    </row>
    <row r="156" spans="1:8" s="319" customFormat="1" x14ac:dyDescent="0.25">
      <c r="A156" s="188"/>
      <c r="B156" s="188"/>
      <c r="C156" s="188"/>
      <c r="D156" s="188"/>
      <c r="E156" s="188"/>
      <c r="F156" s="188"/>
      <c r="G156" s="188"/>
      <c r="H156" s="188"/>
    </row>
    <row r="157" spans="1:8" s="319" customFormat="1" x14ac:dyDescent="0.25">
      <c r="A157" s="188"/>
      <c r="B157" s="188"/>
      <c r="C157" s="188"/>
      <c r="D157" s="188"/>
      <c r="E157" s="188"/>
      <c r="F157" s="188"/>
      <c r="G157" s="188"/>
      <c r="H157" s="188"/>
    </row>
    <row r="158" spans="1:8" s="319" customFormat="1" x14ac:dyDescent="0.25">
      <c r="A158" s="188"/>
      <c r="B158" s="188"/>
      <c r="C158" s="188"/>
      <c r="D158" s="188"/>
      <c r="E158" s="188"/>
      <c r="F158" s="188"/>
      <c r="G158" s="188"/>
      <c r="H158" s="188"/>
    </row>
    <row r="159" spans="1:8" s="319" customFormat="1" x14ac:dyDescent="0.25">
      <c r="A159" s="188"/>
      <c r="B159" s="188"/>
      <c r="C159" s="188"/>
      <c r="D159" s="188"/>
      <c r="E159" s="188"/>
      <c r="F159" s="188"/>
      <c r="G159" s="188"/>
      <c r="H159" s="188"/>
    </row>
    <row r="160" spans="1:8" s="319" customFormat="1" x14ac:dyDescent="0.25">
      <c r="A160" s="188"/>
      <c r="B160" s="188"/>
      <c r="C160" s="188"/>
      <c r="D160" s="188"/>
      <c r="E160" s="188"/>
      <c r="F160" s="188"/>
      <c r="G160" s="188"/>
      <c r="H160" s="188"/>
    </row>
    <row r="161" spans="1:8" s="319" customFormat="1" x14ac:dyDescent="0.25">
      <c r="A161" s="188"/>
      <c r="B161" s="188"/>
      <c r="C161" s="188"/>
      <c r="D161" s="188"/>
      <c r="E161" s="188"/>
      <c r="F161" s="188"/>
      <c r="G161" s="188"/>
      <c r="H161" s="188"/>
    </row>
    <row r="162" spans="1:8" s="319" customFormat="1" x14ac:dyDescent="0.25">
      <c r="A162" s="188"/>
      <c r="B162" s="188"/>
      <c r="C162" s="188"/>
      <c r="D162" s="188"/>
      <c r="E162" s="188"/>
      <c r="F162" s="188"/>
      <c r="G162" s="188"/>
      <c r="H162" s="188"/>
    </row>
    <row r="163" spans="1:8" s="319" customFormat="1" x14ac:dyDescent="0.25">
      <c r="A163" s="188"/>
      <c r="B163" s="188"/>
      <c r="C163" s="188"/>
      <c r="D163" s="188"/>
      <c r="E163" s="188"/>
      <c r="F163" s="188"/>
      <c r="G163" s="188"/>
      <c r="H163" s="188"/>
    </row>
    <row r="164" spans="1:8" s="319" customFormat="1" x14ac:dyDescent="0.25">
      <c r="A164" s="188"/>
      <c r="B164" s="188"/>
      <c r="C164" s="188"/>
      <c r="D164" s="188"/>
      <c r="E164" s="188"/>
      <c r="F164" s="188"/>
      <c r="G164" s="188"/>
      <c r="H164" s="188"/>
    </row>
    <row r="165" spans="1:8" s="319" customFormat="1" x14ac:dyDescent="0.25">
      <c r="A165" s="188"/>
      <c r="B165" s="188"/>
      <c r="C165" s="188"/>
      <c r="D165" s="188"/>
      <c r="E165" s="188"/>
      <c r="F165" s="188"/>
      <c r="G165" s="188"/>
      <c r="H165" s="188"/>
    </row>
    <row r="166" spans="1:8" s="319" customFormat="1" x14ac:dyDescent="0.25">
      <c r="A166" s="188"/>
      <c r="B166" s="188"/>
      <c r="C166" s="188"/>
      <c r="D166" s="188"/>
      <c r="E166" s="188"/>
      <c r="F166" s="188"/>
      <c r="G166" s="188"/>
      <c r="H166" s="188"/>
    </row>
    <row r="167" spans="1:8" s="319" customFormat="1" x14ac:dyDescent="0.25">
      <c r="A167" s="188"/>
      <c r="B167" s="188"/>
      <c r="C167" s="188"/>
      <c r="D167" s="188"/>
      <c r="E167" s="188"/>
      <c r="F167" s="188"/>
      <c r="G167" s="188"/>
      <c r="H167" s="188"/>
    </row>
    <row r="168" spans="1:8" s="319" customFormat="1" x14ac:dyDescent="0.25">
      <c r="A168" s="188"/>
      <c r="B168" s="188"/>
      <c r="C168" s="188"/>
      <c r="D168" s="188"/>
      <c r="E168" s="188"/>
      <c r="F168" s="188"/>
      <c r="G168" s="188"/>
      <c r="H168" s="188"/>
    </row>
    <row r="169" spans="1:8" s="319" customFormat="1" x14ac:dyDescent="0.25">
      <c r="A169" s="188"/>
      <c r="B169" s="188"/>
      <c r="C169" s="188"/>
      <c r="D169" s="188"/>
      <c r="E169" s="188"/>
      <c r="F169" s="188"/>
      <c r="G169" s="188"/>
      <c r="H169" s="188"/>
    </row>
    <row r="170" spans="1:8" s="319" customFormat="1" x14ac:dyDescent="0.25">
      <c r="A170" s="188"/>
      <c r="B170" s="188"/>
      <c r="C170" s="188"/>
      <c r="D170" s="188"/>
      <c r="E170" s="188"/>
      <c r="F170" s="188"/>
      <c r="G170" s="188"/>
      <c r="H170" s="188"/>
    </row>
    <row r="171" spans="1:8" s="319" customFormat="1" x14ac:dyDescent="0.25">
      <c r="A171" s="188"/>
      <c r="B171" s="188"/>
      <c r="C171" s="188"/>
      <c r="D171" s="188"/>
      <c r="E171" s="188"/>
      <c r="F171" s="188"/>
      <c r="G171" s="188"/>
      <c r="H171" s="188"/>
    </row>
    <row r="172" spans="1:8" s="319" customFormat="1" x14ac:dyDescent="0.25">
      <c r="A172" s="188"/>
      <c r="B172" s="188"/>
      <c r="C172" s="188"/>
      <c r="D172" s="188"/>
      <c r="E172" s="188"/>
      <c r="F172" s="188"/>
      <c r="G172" s="188"/>
      <c r="H172" s="188"/>
    </row>
    <row r="173" spans="1:8" s="319" customFormat="1" x14ac:dyDescent="0.25">
      <c r="A173" s="188"/>
      <c r="B173" s="188"/>
      <c r="C173" s="188"/>
      <c r="D173" s="188"/>
      <c r="E173" s="188"/>
      <c r="F173" s="188"/>
      <c r="G173" s="188"/>
      <c r="H173" s="188"/>
    </row>
    <row r="174" spans="1:8" s="319" customFormat="1" x14ac:dyDescent="0.25">
      <c r="A174" s="188"/>
      <c r="B174" s="188"/>
      <c r="C174" s="188"/>
      <c r="D174" s="188"/>
      <c r="E174" s="188"/>
      <c r="F174" s="188"/>
      <c r="G174" s="188"/>
      <c r="H174" s="188"/>
    </row>
    <row r="175" spans="1:8" s="319" customFormat="1" x14ac:dyDescent="0.25">
      <c r="A175" s="188"/>
      <c r="B175" s="188"/>
      <c r="C175" s="188"/>
      <c r="D175" s="188"/>
      <c r="E175" s="188"/>
      <c r="F175" s="188"/>
      <c r="G175" s="188"/>
      <c r="H175" s="188"/>
    </row>
    <row r="176" spans="1:8" s="319" customFormat="1" x14ac:dyDescent="0.25">
      <c r="A176" s="188"/>
      <c r="B176" s="188"/>
      <c r="C176" s="188"/>
      <c r="D176" s="188"/>
      <c r="E176" s="188"/>
      <c r="F176" s="188"/>
      <c r="G176" s="188"/>
      <c r="H176" s="188"/>
    </row>
    <row r="177" spans="1:8" s="319" customFormat="1" x14ac:dyDescent="0.25">
      <c r="A177" s="188"/>
      <c r="B177" s="188"/>
      <c r="C177" s="188"/>
      <c r="D177" s="188"/>
      <c r="E177" s="188"/>
      <c r="F177" s="188"/>
      <c r="G177" s="188"/>
      <c r="H177" s="188"/>
    </row>
    <row r="178" spans="1:8" s="319" customFormat="1" x14ac:dyDescent="0.25">
      <c r="A178" s="188"/>
      <c r="B178" s="188"/>
      <c r="C178" s="188"/>
      <c r="D178" s="188"/>
      <c r="E178" s="188"/>
      <c r="F178" s="188"/>
      <c r="G178" s="188"/>
      <c r="H178" s="188"/>
    </row>
    <row r="179" spans="1:8" s="319" customFormat="1" x14ac:dyDescent="0.25">
      <c r="A179" s="188"/>
      <c r="B179" s="188"/>
      <c r="C179" s="188"/>
      <c r="D179" s="188"/>
      <c r="E179" s="188"/>
      <c r="F179" s="188"/>
      <c r="G179" s="188"/>
      <c r="H179" s="188"/>
    </row>
    <row r="180" spans="1:8" s="319" customFormat="1" x14ac:dyDescent="0.25">
      <c r="A180" s="188"/>
      <c r="B180" s="188"/>
      <c r="C180" s="188"/>
      <c r="D180" s="188"/>
      <c r="E180" s="188"/>
      <c r="F180" s="188"/>
      <c r="G180" s="188"/>
      <c r="H180" s="188"/>
    </row>
    <row r="181" spans="1:8" s="319" customFormat="1" x14ac:dyDescent="0.25">
      <c r="A181" s="188"/>
      <c r="B181" s="188"/>
      <c r="C181" s="188"/>
      <c r="D181" s="188"/>
      <c r="E181" s="188"/>
      <c r="F181" s="188"/>
      <c r="G181" s="188"/>
      <c r="H181" s="188"/>
    </row>
    <row r="182" spans="1:8" s="319" customFormat="1" x14ac:dyDescent="0.25">
      <c r="A182" s="188"/>
      <c r="B182" s="188"/>
      <c r="C182" s="188"/>
      <c r="D182" s="188"/>
      <c r="E182" s="188"/>
      <c r="F182" s="188"/>
      <c r="G182" s="188"/>
      <c r="H182" s="188"/>
    </row>
    <row r="183" spans="1:8" s="319" customFormat="1" x14ac:dyDescent="0.25">
      <c r="A183" s="188"/>
      <c r="B183" s="188"/>
      <c r="C183" s="188"/>
      <c r="D183" s="188"/>
      <c r="E183" s="188"/>
      <c r="F183" s="188"/>
      <c r="G183" s="188"/>
      <c r="H183" s="188"/>
    </row>
    <row r="184" spans="1:8" s="319" customFormat="1" x14ac:dyDescent="0.25">
      <c r="A184" s="188"/>
      <c r="B184" s="188"/>
      <c r="C184" s="188"/>
      <c r="D184" s="188"/>
      <c r="E184" s="188"/>
      <c r="F184" s="188"/>
      <c r="G184" s="188"/>
      <c r="H184" s="188"/>
    </row>
    <row r="185" spans="1:8" s="319" customFormat="1" x14ac:dyDescent="0.25">
      <c r="A185" s="188"/>
      <c r="B185" s="188"/>
      <c r="C185" s="188"/>
      <c r="D185" s="188"/>
      <c r="E185" s="188"/>
      <c r="F185" s="188"/>
      <c r="G185" s="188"/>
      <c r="H185" s="188"/>
    </row>
    <row r="186" spans="1:8" s="319" customFormat="1" x14ac:dyDescent="0.25">
      <c r="A186" s="188"/>
      <c r="B186" s="188"/>
      <c r="C186" s="188"/>
      <c r="D186" s="188"/>
      <c r="E186" s="188"/>
      <c r="F186" s="188"/>
      <c r="G186" s="188"/>
      <c r="H186" s="188"/>
    </row>
    <row r="187" spans="1:8" s="319" customFormat="1" x14ac:dyDescent="0.25">
      <c r="A187" s="188"/>
      <c r="B187" s="188"/>
      <c r="C187" s="188"/>
      <c r="D187" s="188"/>
      <c r="E187" s="188"/>
      <c r="F187" s="188"/>
      <c r="G187" s="188"/>
      <c r="H187" s="188"/>
    </row>
    <row r="188" spans="1:8" s="319" customFormat="1" x14ac:dyDescent="0.25">
      <c r="A188" s="188"/>
      <c r="B188" s="188"/>
      <c r="C188" s="188"/>
      <c r="D188" s="188"/>
      <c r="E188" s="188"/>
      <c r="F188" s="188"/>
      <c r="G188" s="188"/>
      <c r="H188" s="188"/>
    </row>
    <row r="189" spans="1:8" s="319" customFormat="1" x14ac:dyDescent="0.25">
      <c r="A189" s="188"/>
      <c r="B189" s="188"/>
      <c r="C189" s="188"/>
      <c r="D189" s="188"/>
      <c r="E189" s="188"/>
      <c r="F189" s="188"/>
      <c r="G189" s="188"/>
      <c r="H189" s="188"/>
    </row>
    <row r="190" spans="1:8" s="319" customFormat="1" x14ac:dyDescent="0.25">
      <c r="A190" s="188"/>
      <c r="B190" s="188"/>
      <c r="C190" s="188"/>
      <c r="D190" s="188"/>
      <c r="E190" s="188"/>
      <c r="F190" s="188"/>
      <c r="G190" s="188"/>
      <c r="H190" s="188"/>
    </row>
    <row r="191" spans="1:8" s="319" customFormat="1" x14ac:dyDescent="0.25">
      <c r="A191" s="188"/>
      <c r="B191" s="188"/>
      <c r="C191" s="188"/>
      <c r="D191" s="188"/>
      <c r="E191" s="188"/>
      <c r="F191" s="188"/>
      <c r="G191" s="188"/>
      <c r="H191" s="188"/>
    </row>
    <row r="192" spans="1:8" s="319" customFormat="1" x14ac:dyDescent="0.25">
      <c r="A192" s="188"/>
      <c r="B192" s="188"/>
      <c r="C192" s="188"/>
      <c r="D192" s="188"/>
      <c r="E192" s="188"/>
      <c r="F192" s="188"/>
      <c r="G192" s="188"/>
      <c r="H192" s="188"/>
    </row>
    <row r="193" spans="1:8" s="319" customFormat="1" x14ac:dyDescent="0.25">
      <c r="A193" s="188"/>
      <c r="B193" s="188"/>
      <c r="C193" s="188"/>
      <c r="D193" s="188"/>
      <c r="E193" s="188"/>
      <c r="F193" s="188"/>
      <c r="G193" s="188"/>
      <c r="H193" s="188"/>
    </row>
    <row r="194" spans="1:8" s="319" customFormat="1" x14ac:dyDescent="0.25">
      <c r="A194" s="188"/>
      <c r="B194" s="188"/>
      <c r="C194" s="188"/>
      <c r="D194" s="188"/>
      <c r="E194" s="188"/>
      <c r="F194" s="188"/>
      <c r="G194" s="188"/>
      <c r="H194" s="188"/>
    </row>
    <row r="195" spans="1:8" s="319" customFormat="1" x14ac:dyDescent="0.25">
      <c r="A195" s="188"/>
      <c r="B195" s="188"/>
      <c r="C195" s="188"/>
      <c r="D195" s="188"/>
      <c r="E195" s="188"/>
      <c r="F195" s="188"/>
      <c r="G195" s="188"/>
      <c r="H195" s="188"/>
    </row>
    <row r="196" spans="1:8" s="319" customFormat="1" x14ac:dyDescent="0.25">
      <c r="A196" s="188"/>
      <c r="B196" s="188"/>
      <c r="C196" s="188"/>
      <c r="D196" s="188"/>
      <c r="E196" s="188"/>
      <c r="F196" s="188"/>
      <c r="G196" s="188"/>
      <c r="H196" s="188"/>
    </row>
    <row r="197" spans="1:8" s="319" customFormat="1" x14ac:dyDescent="0.25">
      <c r="A197" s="188"/>
      <c r="B197" s="188"/>
      <c r="C197" s="188"/>
      <c r="D197" s="188"/>
      <c r="E197" s="188"/>
      <c r="F197" s="188"/>
      <c r="G197" s="188"/>
      <c r="H197" s="188"/>
    </row>
    <row r="198" spans="1:8" s="319" customFormat="1" x14ac:dyDescent="0.25">
      <c r="A198" s="188"/>
      <c r="B198" s="188"/>
      <c r="C198" s="188"/>
      <c r="D198" s="188"/>
      <c r="E198" s="188"/>
      <c r="F198" s="188"/>
      <c r="G198" s="188"/>
      <c r="H198" s="188"/>
    </row>
    <row r="199" spans="1:8" s="319" customFormat="1" x14ac:dyDescent="0.25">
      <c r="A199" s="188"/>
      <c r="B199" s="188"/>
      <c r="C199" s="188"/>
      <c r="D199" s="188"/>
      <c r="E199" s="188"/>
      <c r="F199" s="188"/>
      <c r="G199" s="188"/>
      <c r="H199" s="188"/>
    </row>
    <row r="200" spans="1:8" s="319" customFormat="1" x14ac:dyDescent="0.25">
      <c r="A200" s="188"/>
      <c r="B200" s="188"/>
      <c r="C200" s="188"/>
      <c r="D200" s="188"/>
      <c r="E200" s="188"/>
      <c r="F200" s="188"/>
      <c r="G200" s="188"/>
      <c r="H200" s="188"/>
    </row>
    <row r="201" spans="1:8" s="319" customFormat="1" x14ac:dyDescent="0.25">
      <c r="A201" s="188"/>
      <c r="B201" s="188"/>
      <c r="C201" s="188"/>
      <c r="D201" s="188"/>
      <c r="E201" s="188"/>
      <c r="F201" s="188"/>
      <c r="G201" s="188"/>
      <c r="H201" s="188"/>
    </row>
    <row r="202" spans="1:8" s="319" customFormat="1" x14ac:dyDescent="0.25">
      <c r="A202" s="188"/>
      <c r="B202" s="188"/>
      <c r="C202" s="188"/>
      <c r="D202" s="188"/>
      <c r="E202" s="188"/>
      <c r="F202" s="188"/>
      <c r="G202" s="188"/>
      <c r="H202" s="188"/>
    </row>
    <row r="203" spans="1:8" s="319" customFormat="1" x14ac:dyDescent="0.25">
      <c r="A203" s="188"/>
      <c r="B203" s="188"/>
      <c r="C203" s="188"/>
      <c r="D203" s="188"/>
      <c r="E203" s="188"/>
      <c r="F203" s="188"/>
      <c r="G203" s="188"/>
      <c r="H203" s="188"/>
    </row>
    <row r="204" spans="1:8" s="319" customFormat="1" x14ac:dyDescent="0.25">
      <c r="A204" s="188"/>
      <c r="B204" s="188"/>
      <c r="C204" s="188"/>
      <c r="D204" s="188"/>
      <c r="E204" s="188"/>
      <c r="F204" s="188"/>
      <c r="G204" s="188"/>
      <c r="H204" s="188"/>
    </row>
    <row r="205" spans="1:8" s="319" customFormat="1" x14ac:dyDescent="0.25">
      <c r="A205" s="188"/>
      <c r="B205" s="188"/>
      <c r="C205" s="188"/>
      <c r="D205" s="188"/>
      <c r="E205" s="188"/>
      <c r="F205" s="188"/>
      <c r="G205" s="188"/>
      <c r="H205" s="188"/>
    </row>
    <row r="206" spans="1:8" s="319" customFormat="1" x14ac:dyDescent="0.25">
      <c r="A206" s="188"/>
      <c r="B206" s="188"/>
      <c r="C206" s="188"/>
      <c r="D206" s="188"/>
      <c r="E206" s="188"/>
      <c r="F206" s="188"/>
      <c r="G206" s="188"/>
      <c r="H206" s="188"/>
    </row>
    <row r="207" spans="1:8" s="319" customFormat="1" x14ac:dyDescent="0.25">
      <c r="A207" s="188"/>
      <c r="B207" s="188"/>
      <c r="C207" s="188"/>
      <c r="D207" s="188"/>
      <c r="E207" s="188"/>
      <c r="F207" s="188"/>
      <c r="G207" s="188"/>
      <c r="H207" s="188"/>
    </row>
    <row r="208" spans="1:8" s="319" customFormat="1" x14ac:dyDescent="0.25">
      <c r="A208" s="188"/>
      <c r="B208" s="188"/>
      <c r="C208" s="188"/>
      <c r="D208" s="188"/>
      <c r="E208" s="188"/>
      <c r="F208" s="188"/>
      <c r="G208" s="188"/>
      <c r="H208" s="188"/>
    </row>
    <row r="209" spans="1:8" s="319" customFormat="1" x14ac:dyDescent="0.25">
      <c r="A209" s="188"/>
      <c r="B209" s="188"/>
      <c r="C209" s="188"/>
      <c r="D209" s="188"/>
      <c r="E209" s="188"/>
      <c r="F209" s="188"/>
      <c r="G209" s="188"/>
      <c r="H209" s="188"/>
    </row>
    <row r="210" spans="1:8" s="319" customFormat="1" x14ac:dyDescent="0.25">
      <c r="A210" s="188"/>
      <c r="B210" s="188"/>
      <c r="C210" s="188"/>
      <c r="D210" s="188"/>
      <c r="E210" s="188"/>
      <c r="F210" s="188"/>
      <c r="G210" s="188"/>
      <c r="H210" s="188"/>
    </row>
    <row r="211" spans="1:8" s="319" customFormat="1" x14ac:dyDescent="0.25">
      <c r="A211" s="188"/>
      <c r="B211" s="188"/>
      <c r="C211" s="188"/>
      <c r="D211" s="188"/>
      <c r="E211" s="188"/>
      <c r="F211" s="188"/>
      <c r="G211" s="188"/>
      <c r="H211" s="188"/>
    </row>
    <row r="212" spans="1:8" s="319" customFormat="1" x14ac:dyDescent="0.25">
      <c r="A212" s="188"/>
      <c r="B212" s="188"/>
      <c r="C212" s="188"/>
      <c r="D212" s="188"/>
      <c r="E212" s="188"/>
      <c r="F212" s="188"/>
      <c r="G212" s="188"/>
      <c r="H212" s="188"/>
    </row>
    <row r="213" spans="1:8" s="319" customFormat="1" x14ac:dyDescent="0.25">
      <c r="A213" s="188"/>
      <c r="B213" s="188"/>
      <c r="C213" s="188"/>
      <c r="D213" s="188"/>
      <c r="E213" s="188"/>
      <c r="F213" s="188"/>
      <c r="G213" s="188"/>
      <c r="H213" s="188"/>
    </row>
    <row r="214" spans="1:8" s="319" customFormat="1" x14ac:dyDescent="0.25">
      <c r="A214" s="188"/>
      <c r="B214" s="188"/>
      <c r="C214" s="188"/>
      <c r="D214" s="188"/>
      <c r="E214" s="188"/>
      <c r="F214" s="188"/>
      <c r="G214" s="188"/>
      <c r="H214" s="188"/>
    </row>
    <row r="215" spans="1:8" s="319" customFormat="1" x14ac:dyDescent="0.25">
      <c r="A215" s="188"/>
      <c r="B215" s="188"/>
      <c r="C215" s="188"/>
      <c r="D215" s="188"/>
      <c r="E215" s="188"/>
      <c r="F215" s="188"/>
      <c r="G215" s="188"/>
      <c r="H215" s="188"/>
    </row>
    <row r="216" spans="1:8" s="319" customFormat="1" x14ac:dyDescent="0.25">
      <c r="A216" s="188"/>
      <c r="B216" s="188"/>
      <c r="C216" s="188"/>
      <c r="D216" s="188"/>
      <c r="E216" s="188"/>
      <c r="F216" s="188"/>
      <c r="G216" s="188"/>
      <c r="H216" s="188"/>
    </row>
    <row r="217" spans="1:8" s="319" customFormat="1" x14ac:dyDescent="0.25">
      <c r="A217" s="188"/>
      <c r="B217" s="188"/>
      <c r="C217" s="188"/>
      <c r="D217" s="188"/>
      <c r="E217" s="188"/>
      <c r="F217" s="188"/>
      <c r="G217" s="188"/>
      <c r="H217" s="188"/>
    </row>
    <row r="218" spans="1:8" s="319" customFormat="1" x14ac:dyDescent="0.25">
      <c r="A218" s="188"/>
      <c r="B218" s="188"/>
      <c r="C218" s="188"/>
      <c r="D218" s="188"/>
      <c r="E218" s="188"/>
      <c r="F218" s="188"/>
      <c r="G218" s="188"/>
      <c r="H218" s="188"/>
    </row>
    <row r="219" spans="1:8" s="319" customFormat="1" x14ac:dyDescent="0.25">
      <c r="A219" s="188"/>
      <c r="B219" s="188"/>
      <c r="C219" s="188"/>
      <c r="D219" s="188"/>
      <c r="E219" s="188"/>
      <c r="F219" s="188"/>
      <c r="G219" s="188"/>
      <c r="H219" s="188"/>
    </row>
    <row r="220" spans="1:8" s="319" customFormat="1" x14ac:dyDescent="0.25">
      <c r="A220" s="188"/>
      <c r="B220" s="188"/>
      <c r="C220" s="188"/>
      <c r="D220" s="188"/>
      <c r="E220" s="188"/>
      <c r="F220" s="188"/>
      <c r="G220" s="188"/>
      <c r="H220" s="188"/>
    </row>
    <row r="221" spans="1:8" s="319" customFormat="1" x14ac:dyDescent="0.25">
      <c r="A221" s="188"/>
      <c r="B221" s="188"/>
      <c r="C221" s="188"/>
      <c r="D221" s="188"/>
      <c r="E221" s="188"/>
      <c r="F221" s="188"/>
      <c r="G221" s="188"/>
      <c r="H221" s="188"/>
    </row>
    <row r="222" spans="1:8" s="319" customFormat="1" x14ac:dyDescent="0.25">
      <c r="A222" s="188"/>
      <c r="B222" s="188"/>
      <c r="C222" s="188"/>
      <c r="D222" s="188"/>
      <c r="E222" s="188"/>
      <c r="F222" s="188"/>
      <c r="G222" s="188"/>
      <c r="H222" s="188"/>
    </row>
    <row r="223" spans="1:8" s="319" customFormat="1" x14ac:dyDescent="0.25">
      <c r="A223" s="188"/>
      <c r="B223" s="188"/>
      <c r="C223" s="188"/>
      <c r="D223" s="188"/>
      <c r="E223" s="188"/>
      <c r="F223" s="188"/>
      <c r="G223" s="188"/>
      <c r="H223" s="188"/>
    </row>
    <row r="224" spans="1:8" s="319" customFormat="1" x14ac:dyDescent="0.25">
      <c r="A224" s="188"/>
      <c r="B224" s="188"/>
      <c r="C224" s="188"/>
      <c r="D224" s="188"/>
      <c r="E224" s="188"/>
      <c r="F224" s="188"/>
      <c r="G224" s="188"/>
      <c r="H224" s="188"/>
    </row>
    <row r="225" spans="1:8" s="319" customFormat="1" x14ac:dyDescent="0.25">
      <c r="A225" s="188"/>
      <c r="B225" s="188"/>
      <c r="C225" s="188"/>
      <c r="D225" s="188"/>
      <c r="E225" s="188"/>
      <c r="F225" s="188"/>
      <c r="G225" s="188"/>
      <c r="H225" s="188"/>
    </row>
    <row r="226" spans="1:8" s="319" customFormat="1" x14ac:dyDescent="0.25">
      <c r="A226" s="188"/>
      <c r="B226" s="188"/>
      <c r="C226" s="188"/>
      <c r="D226" s="188"/>
      <c r="E226" s="188"/>
      <c r="F226" s="188"/>
      <c r="G226" s="188"/>
      <c r="H226" s="188"/>
    </row>
    <row r="227" spans="1:8" s="319" customFormat="1" x14ac:dyDescent="0.25">
      <c r="A227" s="188"/>
      <c r="B227" s="188"/>
      <c r="C227" s="188"/>
      <c r="D227" s="188"/>
      <c r="E227" s="188"/>
      <c r="F227" s="188"/>
      <c r="G227" s="188"/>
      <c r="H227" s="188"/>
    </row>
    <row r="228" spans="1:8" s="319" customFormat="1" x14ac:dyDescent="0.25">
      <c r="A228" s="188"/>
      <c r="B228" s="188"/>
      <c r="C228" s="188"/>
      <c r="D228" s="188"/>
      <c r="E228" s="188"/>
      <c r="F228" s="188"/>
      <c r="G228" s="188"/>
      <c r="H228" s="188"/>
    </row>
    <row r="229" spans="1:8" s="319" customFormat="1" x14ac:dyDescent="0.25">
      <c r="A229" s="188"/>
      <c r="B229" s="188"/>
      <c r="C229" s="188"/>
      <c r="D229" s="188"/>
      <c r="E229" s="188"/>
      <c r="F229" s="188"/>
      <c r="G229" s="188"/>
      <c r="H229" s="188"/>
    </row>
    <row r="230" spans="1:8" s="319" customFormat="1" x14ac:dyDescent="0.25">
      <c r="A230" s="188"/>
      <c r="B230" s="188"/>
      <c r="C230" s="188"/>
      <c r="D230" s="188"/>
      <c r="E230" s="188"/>
      <c r="F230" s="188"/>
      <c r="G230" s="188"/>
      <c r="H230" s="188"/>
    </row>
    <row r="231" spans="1:8" s="319" customFormat="1" x14ac:dyDescent="0.25">
      <c r="A231" s="188"/>
      <c r="B231" s="188"/>
      <c r="C231" s="188"/>
      <c r="D231" s="188"/>
      <c r="E231" s="188"/>
      <c r="F231" s="188"/>
      <c r="G231" s="188"/>
      <c r="H231" s="188"/>
    </row>
    <row r="232" spans="1:8" s="319" customFormat="1" x14ac:dyDescent="0.25">
      <c r="A232" s="188"/>
      <c r="B232" s="188"/>
      <c r="C232" s="188"/>
      <c r="D232" s="188"/>
      <c r="E232" s="188"/>
      <c r="F232" s="188"/>
      <c r="G232" s="188"/>
      <c r="H232" s="188"/>
    </row>
    <row r="233" spans="1:8" s="319" customFormat="1" x14ac:dyDescent="0.25">
      <c r="A233" s="188"/>
      <c r="B233" s="188"/>
      <c r="C233" s="188"/>
      <c r="D233" s="188"/>
      <c r="E233" s="188"/>
      <c r="F233" s="188"/>
      <c r="G233" s="188"/>
      <c r="H233" s="188"/>
    </row>
    <row r="234" spans="1:8" s="319" customFormat="1" x14ac:dyDescent="0.25">
      <c r="A234" s="188"/>
      <c r="B234" s="188"/>
      <c r="C234" s="188"/>
      <c r="D234" s="188"/>
      <c r="E234" s="188"/>
      <c r="F234" s="188"/>
      <c r="G234" s="188"/>
      <c r="H234" s="188"/>
    </row>
    <row r="235" spans="1:8" s="319" customFormat="1" x14ac:dyDescent="0.25">
      <c r="A235" s="188"/>
      <c r="B235" s="188"/>
      <c r="C235" s="188"/>
      <c r="D235" s="188"/>
      <c r="E235" s="188"/>
      <c r="F235" s="188"/>
      <c r="G235" s="188"/>
      <c r="H235" s="188"/>
    </row>
    <row r="236" spans="1:8" s="319" customFormat="1" x14ac:dyDescent="0.25">
      <c r="A236" s="188"/>
      <c r="B236" s="188"/>
      <c r="C236" s="188"/>
      <c r="D236" s="188"/>
      <c r="E236" s="188"/>
      <c r="F236" s="188"/>
      <c r="G236" s="188"/>
      <c r="H236" s="188"/>
    </row>
    <row r="237" spans="1:8" s="319" customFormat="1" x14ac:dyDescent="0.25">
      <c r="A237" s="188"/>
      <c r="B237" s="188"/>
      <c r="C237" s="188"/>
      <c r="D237" s="188"/>
      <c r="E237" s="188"/>
      <c r="F237" s="188"/>
      <c r="G237" s="188"/>
      <c r="H237" s="188"/>
    </row>
    <row r="238" spans="1:8" s="319" customFormat="1" x14ac:dyDescent="0.25">
      <c r="A238" s="188"/>
      <c r="B238" s="188"/>
      <c r="C238" s="188"/>
      <c r="D238" s="188"/>
      <c r="E238" s="188"/>
      <c r="F238" s="188"/>
      <c r="G238" s="188"/>
      <c r="H238" s="188"/>
    </row>
    <row r="239" spans="1:8" s="319" customFormat="1" x14ac:dyDescent="0.25">
      <c r="A239" s="188"/>
      <c r="B239" s="188"/>
      <c r="C239" s="188"/>
      <c r="D239" s="188"/>
      <c r="E239" s="188"/>
      <c r="F239" s="188"/>
      <c r="G239" s="188"/>
      <c r="H239" s="188"/>
    </row>
    <row r="240" spans="1:8" s="319" customFormat="1" x14ac:dyDescent="0.25">
      <c r="A240" s="188"/>
      <c r="B240" s="188"/>
      <c r="C240" s="188"/>
      <c r="D240" s="188"/>
      <c r="E240" s="188"/>
      <c r="F240" s="188"/>
      <c r="G240" s="188"/>
      <c r="H240" s="188"/>
    </row>
    <row r="241" spans="1:8" s="319" customFormat="1" x14ac:dyDescent="0.25">
      <c r="A241" s="188"/>
      <c r="B241" s="188"/>
      <c r="C241" s="188"/>
      <c r="D241" s="188"/>
      <c r="E241" s="188"/>
      <c r="F241" s="188"/>
      <c r="G241" s="188"/>
      <c r="H241" s="188"/>
    </row>
    <row r="242" spans="1:8" s="319" customFormat="1" x14ac:dyDescent="0.25">
      <c r="A242" s="188"/>
      <c r="B242" s="188"/>
      <c r="C242" s="188"/>
      <c r="D242" s="188"/>
      <c r="E242" s="188"/>
      <c r="F242" s="188"/>
      <c r="G242" s="188"/>
      <c r="H242" s="188"/>
    </row>
    <row r="243" spans="1:8" s="319" customFormat="1" x14ac:dyDescent="0.25">
      <c r="A243" s="188"/>
      <c r="B243" s="188"/>
      <c r="C243" s="188"/>
      <c r="D243" s="188"/>
      <c r="E243" s="188"/>
      <c r="F243" s="188"/>
      <c r="G243" s="188"/>
      <c r="H243" s="188"/>
    </row>
    <row r="244" spans="1:8" s="319" customFormat="1" x14ac:dyDescent="0.25">
      <c r="A244" s="188"/>
      <c r="B244" s="188"/>
      <c r="C244" s="188"/>
      <c r="D244" s="188"/>
      <c r="E244" s="188"/>
      <c r="F244" s="188"/>
      <c r="G244" s="188"/>
      <c r="H244" s="188"/>
    </row>
    <row r="245" spans="1:8" s="319" customFormat="1" x14ac:dyDescent="0.25">
      <c r="A245" s="188"/>
      <c r="B245" s="188"/>
      <c r="C245" s="188"/>
      <c r="D245" s="188"/>
      <c r="E245" s="188"/>
      <c r="F245" s="188"/>
      <c r="G245" s="188"/>
      <c r="H245" s="188"/>
    </row>
    <row r="246" spans="1:8" s="319" customFormat="1" x14ac:dyDescent="0.25">
      <c r="A246" s="188"/>
      <c r="B246" s="188"/>
      <c r="C246" s="188"/>
      <c r="D246" s="188"/>
      <c r="E246" s="188"/>
      <c r="F246" s="188"/>
      <c r="G246" s="188"/>
      <c r="H246" s="188"/>
    </row>
    <row r="247" spans="1:8" s="319" customFormat="1" x14ac:dyDescent="0.25">
      <c r="A247" s="188"/>
      <c r="B247" s="188"/>
      <c r="C247" s="188"/>
      <c r="D247" s="188"/>
      <c r="E247" s="188"/>
      <c r="F247" s="188"/>
      <c r="G247" s="188"/>
      <c r="H247" s="188"/>
    </row>
    <row r="248" spans="1:8" s="319" customFormat="1" x14ac:dyDescent="0.25">
      <c r="A248" s="188"/>
      <c r="B248" s="188"/>
      <c r="C248" s="188"/>
      <c r="D248" s="188"/>
      <c r="E248" s="188"/>
      <c r="F248" s="188"/>
      <c r="G248" s="188"/>
      <c r="H248" s="188"/>
    </row>
    <row r="249" spans="1:8" s="319" customFormat="1" x14ac:dyDescent="0.25">
      <c r="A249" s="188"/>
      <c r="B249" s="188"/>
      <c r="C249" s="188"/>
      <c r="D249" s="188"/>
      <c r="E249" s="188"/>
      <c r="F249" s="188"/>
      <c r="G249" s="188"/>
      <c r="H249" s="188"/>
    </row>
    <row r="250" spans="1:8" s="319" customFormat="1" x14ac:dyDescent="0.25">
      <c r="A250" s="188"/>
      <c r="B250" s="188"/>
      <c r="C250" s="188"/>
      <c r="D250" s="188"/>
      <c r="E250" s="188"/>
      <c r="F250" s="188"/>
      <c r="G250" s="188"/>
      <c r="H250" s="188"/>
    </row>
    <row r="251" spans="1:8" s="319" customFormat="1" x14ac:dyDescent="0.25">
      <c r="A251" s="188"/>
      <c r="B251" s="188"/>
      <c r="C251" s="188"/>
      <c r="D251" s="188"/>
      <c r="E251" s="188"/>
      <c r="F251" s="188"/>
      <c r="G251" s="188"/>
      <c r="H251" s="188"/>
    </row>
    <row r="252" spans="1:8" s="319" customFormat="1" x14ac:dyDescent="0.25">
      <c r="A252" s="188"/>
      <c r="B252" s="188"/>
      <c r="C252" s="188"/>
      <c r="D252" s="188"/>
      <c r="E252" s="188"/>
      <c r="F252" s="188"/>
      <c r="G252" s="188"/>
      <c r="H252" s="188"/>
    </row>
    <row r="253" spans="1:8" s="319" customFormat="1" x14ac:dyDescent="0.25">
      <c r="A253" s="188"/>
      <c r="B253" s="188"/>
      <c r="C253" s="188"/>
      <c r="D253" s="188"/>
      <c r="E253" s="188"/>
      <c r="F253" s="188"/>
      <c r="G253" s="188"/>
      <c r="H253" s="188"/>
    </row>
    <row r="254" spans="1:8" s="319" customFormat="1" x14ac:dyDescent="0.25">
      <c r="A254" s="188"/>
      <c r="B254" s="188"/>
      <c r="C254" s="188"/>
      <c r="D254" s="188"/>
      <c r="E254" s="188"/>
      <c r="F254" s="188"/>
      <c r="G254" s="188"/>
      <c r="H254" s="188"/>
    </row>
    <row r="255" spans="1:8" s="319" customFormat="1" x14ac:dyDescent="0.25">
      <c r="A255" s="188"/>
      <c r="B255" s="188"/>
      <c r="C255" s="188"/>
      <c r="D255" s="188"/>
      <c r="E255" s="188"/>
      <c r="F255" s="188"/>
      <c r="G255" s="188"/>
      <c r="H255" s="188"/>
    </row>
    <row r="256" spans="1:8" s="319" customFormat="1" x14ac:dyDescent="0.25">
      <c r="A256" s="188"/>
      <c r="B256" s="188"/>
      <c r="C256" s="188"/>
      <c r="D256" s="188"/>
      <c r="E256" s="188"/>
      <c r="F256" s="188"/>
      <c r="G256" s="188"/>
      <c r="H256" s="188"/>
    </row>
    <row r="257" spans="1:8" s="319" customFormat="1" x14ac:dyDescent="0.25">
      <c r="A257" s="188"/>
      <c r="B257" s="188"/>
      <c r="C257" s="188"/>
      <c r="D257" s="188"/>
      <c r="E257" s="188"/>
      <c r="F257" s="188"/>
      <c r="G257" s="188"/>
      <c r="H257" s="188"/>
    </row>
    <row r="258" spans="1:8" s="319" customFormat="1" x14ac:dyDescent="0.25">
      <c r="A258" s="188"/>
      <c r="B258" s="188"/>
      <c r="C258" s="188"/>
      <c r="D258" s="188"/>
      <c r="E258" s="188"/>
      <c r="F258" s="188"/>
      <c r="G258" s="188"/>
      <c r="H258" s="188"/>
    </row>
    <row r="259" spans="1:8" s="319" customFormat="1" x14ac:dyDescent="0.25">
      <c r="A259" s="188"/>
      <c r="B259" s="188"/>
      <c r="C259" s="188"/>
      <c r="D259" s="188"/>
      <c r="E259" s="188"/>
      <c r="F259" s="188"/>
      <c r="G259" s="188"/>
      <c r="H259" s="188"/>
    </row>
    <row r="260" spans="1:8" s="319" customFormat="1" x14ac:dyDescent="0.25">
      <c r="A260" s="188"/>
      <c r="B260" s="188"/>
      <c r="C260" s="188"/>
      <c r="D260" s="188"/>
      <c r="E260" s="188"/>
      <c r="F260" s="188"/>
      <c r="G260" s="188"/>
      <c r="H260" s="188"/>
    </row>
    <row r="261" spans="1:8" s="319" customFormat="1" x14ac:dyDescent="0.25">
      <c r="A261" s="188"/>
      <c r="B261" s="188"/>
      <c r="C261" s="188"/>
      <c r="D261" s="188"/>
      <c r="E261" s="188"/>
      <c r="F261" s="188"/>
      <c r="G261" s="188"/>
      <c r="H261" s="188"/>
    </row>
    <row r="262" spans="1:8" s="319" customFormat="1" x14ac:dyDescent="0.25">
      <c r="A262" s="188"/>
      <c r="B262" s="188"/>
      <c r="C262" s="188"/>
      <c r="D262" s="188"/>
      <c r="E262" s="188"/>
      <c r="F262" s="188"/>
      <c r="G262" s="188"/>
      <c r="H262" s="188"/>
    </row>
    <row r="263" spans="1:8" s="319" customFormat="1" x14ac:dyDescent="0.25">
      <c r="A263" s="188"/>
      <c r="B263" s="188"/>
      <c r="C263" s="188"/>
      <c r="D263" s="188"/>
      <c r="E263" s="188"/>
      <c r="F263" s="188"/>
      <c r="G263" s="188"/>
      <c r="H263" s="188"/>
    </row>
    <row r="264" spans="1:8" s="319" customFormat="1" x14ac:dyDescent="0.25">
      <c r="A264" s="188"/>
      <c r="B264" s="188"/>
      <c r="C264" s="188"/>
      <c r="D264" s="188"/>
      <c r="E264" s="188"/>
      <c r="F264" s="188"/>
      <c r="G264" s="188"/>
      <c r="H264" s="188"/>
    </row>
    <row r="265" spans="1:8" s="319" customFormat="1" x14ac:dyDescent="0.25">
      <c r="A265" s="188"/>
      <c r="B265" s="188"/>
      <c r="C265" s="188"/>
      <c r="D265" s="188"/>
      <c r="E265" s="188"/>
      <c r="F265" s="188"/>
      <c r="G265" s="188"/>
      <c r="H265" s="188"/>
    </row>
    <row r="266" spans="1:8" s="319" customFormat="1" x14ac:dyDescent="0.25">
      <c r="A266" s="188"/>
      <c r="B266" s="188"/>
      <c r="C266" s="188"/>
      <c r="D266" s="188"/>
      <c r="E266" s="188"/>
      <c r="F266" s="188"/>
      <c r="G266" s="188"/>
      <c r="H266" s="188"/>
    </row>
    <row r="267" spans="1:8" s="319" customFormat="1" x14ac:dyDescent="0.25">
      <c r="A267" s="188"/>
      <c r="B267" s="188"/>
      <c r="C267" s="188"/>
      <c r="D267" s="188"/>
      <c r="E267" s="188"/>
      <c r="F267" s="188"/>
      <c r="G267" s="188"/>
      <c r="H267" s="188"/>
    </row>
    <row r="268" spans="1:8" s="319" customFormat="1" x14ac:dyDescent="0.25">
      <c r="A268" s="188"/>
      <c r="B268" s="188"/>
      <c r="C268" s="188"/>
      <c r="D268" s="188"/>
      <c r="E268" s="188"/>
      <c r="F268" s="188"/>
      <c r="G268" s="188"/>
      <c r="H268" s="188"/>
    </row>
    <row r="269" spans="1:8" s="319" customFormat="1" x14ac:dyDescent="0.25">
      <c r="A269" s="188"/>
      <c r="B269" s="188"/>
      <c r="C269" s="188"/>
      <c r="D269" s="188"/>
      <c r="E269" s="188"/>
      <c r="F269" s="188"/>
      <c r="G269" s="188"/>
      <c r="H269" s="188"/>
    </row>
    <row r="270" spans="1:8" s="319" customFormat="1" x14ac:dyDescent="0.25">
      <c r="A270" s="188"/>
      <c r="B270" s="188"/>
      <c r="C270" s="188"/>
      <c r="D270" s="188"/>
      <c r="E270" s="188"/>
      <c r="F270" s="188"/>
      <c r="G270" s="188"/>
      <c r="H270" s="188"/>
    </row>
    <row r="271" spans="1:8" s="319" customFormat="1" x14ac:dyDescent="0.25">
      <c r="A271" s="188"/>
      <c r="B271" s="188"/>
      <c r="C271" s="188"/>
      <c r="D271" s="188"/>
      <c r="E271" s="188"/>
      <c r="F271" s="188"/>
      <c r="G271" s="188"/>
      <c r="H271" s="188"/>
    </row>
    <row r="272" spans="1:8" s="319" customFormat="1" x14ac:dyDescent="0.25">
      <c r="A272" s="188"/>
      <c r="B272" s="188"/>
      <c r="C272" s="188"/>
      <c r="D272" s="188"/>
      <c r="E272" s="188"/>
      <c r="F272" s="188"/>
      <c r="G272" s="188"/>
      <c r="H272" s="188"/>
    </row>
    <row r="273" spans="1:10" s="319" customFormat="1" x14ac:dyDescent="0.25">
      <c r="A273" s="188"/>
      <c r="B273" s="188"/>
      <c r="C273" s="188"/>
      <c r="D273" s="188"/>
      <c r="E273" s="188"/>
      <c r="F273" s="188"/>
      <c r="G273" s="188"/>
      <c r="H273" s="188"/>
    </row>
    <row r="274" spans="1:10" s="319" customFormat="1" x14ac:dyDescent="0.25">
      <c r="A274" s="188"/>
      <c r="B274" s="188"/>
      <c r="C274" s="188"/>
      <c r="D274" s="188"/>
      <c r="E274" s="188"/>
      <c r="F274" s="188"/>
      <c r="G274" s="188"/>
      <c r="H274" s="188"/>
    </row>
    <row r="275" spans="1:10" s="319" customFormat="1" x14ac:dyDescent="0.25">
      <c r="A275" s="188"/>
      <c r="B275" s="188"/>
      <c r="C275" s="188"/>
      <c r="D275" s="188"/>
      <c r="E275" s="188"/>
      <c r="F275" s="188"/>
      <c r="G275" s="188"/>
      <c r="H275" s="188"/>
      <c r="I275" s="188"/>
      <c r="J275" s="188"/>
    </row>
    <row r="276" spans="1:10" s="319" customFormat="1" x14ac:dyDescent="0.25">
      <c r="A276" s="188"/>
      <c r="B276" s="188"/>
      <c r="C276" s="188"/>
      <c r="D276" s="188"/>
      <c r="E276" s="188"/>
      <c r="F276" s="188"/>
      <c r="G276" s="188"/>
      <c r="H276" s="188"/>
      <c r="I276" s="188"/>
      <c r="J276" s="188"/>
    </row>
    <row r="277" spans="1:10" s="319" customFormat="1" x14ac:dyDescent="0.25">
      <c r="A277" s="188"/>
      <c r="B277" s="188"/>
      <c r="C277" s="188"/>
      <c r="D277" s="188"/>
      <c r="E277" s="188"/>
      <c r="F277" s="188"/>
      <c r="G277" s="188"/>
      <c r="H277" s="188"/>
      <c r="I277" s="188"/>
      <c r="J277" s="188"/>
    </row>
  </sheetData>
  <pageMargins left="0.7" right="0.7" top="0.75" bottom="0.75" header="0.3" footer="0.3"/>
  <ignoredErrors>
    <ignoredError sqref="E25:J25" formula="1"/>
  </ignoredErrors>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D9818-1F3B-A146-A579-167B0FE13C5B}">
  <dimension ref="A1"/>
  <sheetViews>
    <sheetView topLeftCell="E3" workbookViewId="0">
      <selection activeCell="O41" sqref="O41"/>
    </sheetView>
  </sheetViews>
  <sheetFormatPr baseColWidth="10" defaultColWidth="11.5" defaultRowHeight="15" x14ac:dyDescent="0.2"/>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98B7C-7F19-A746-B91F-86CE94A41B5A}">
  <dimension ref="A1"/>
  <sheetViews>
    <sheetView topLeftCell="C1" zoomScale="87" workbookViewId="0">
      <selection activeCell="G2" sqref="G2"/>
    </sheetView>
  </sheetViews>
  <sheetFormatPr baseColWidth="10" defaultColWidth="11.5" defaultRowHeight="15" x14ac:dyDescent="0.2"/>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75F8D-A60B-1B43-BB8F-1BCEC70127C5}">
  <dimension ref="A1"/>
  <sheetViews>
    <sheetView topLeftCell="I8" zoomScale="115" workbookViewId="0">
      <selection activeCell="N41" sqref="N41"/>
    </sheetView>
  </sheetViews>
  <sheetFormatPr baseColWidth="10" defaultColWidth="11.5"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Cross Health IS</vt:lpstr>
      <vt:lpstr>Cross Health BS</vt:lpstr>
      <vt:lpstr>Cross Play IS</vt:lpstr>
      <vt:lpstr>Cross Play BS</vt:lpstr>
      <vt:lpstr>First Figher IS</vt:lpstr>
      <vt:lpstr>First Fighter BS</vt:lpstr>
      <vt:lpstr>Public Comps</vt:lpstr>
      <vt:lpstr>M&amp;A Comps</vt:lpstr>
      <vt:lpstr>CROSS HEALTH- COMPS</vt:lpstr>
      <vt:lpstr>CROSS HEALTH - Precedent Trans</vt:lpstr>
      <vt:lpstr>CROSS HEALTH - DCF </vt:lpstr>
      <vt:lpstr>CROSS HEALTH - FOOTBALL FIELD </vt:lpstr>
      <vt:lpstr>CROSS PLAY- COMPS</vt:lpstr>
      <vt:lpstr>CROSS PLAY - PRESCENT TRANSACTI</vt:lpstr>
      <vt:lpstr>CROSS PLAY- DCF</vt:lpstr>
      <vt:lpstr> CROSS PLAY - FOOT BALL FIELD </vt:lpstr>
      <vt:lpstr>CROSS FIRE  - LBO- DEBT </vt:lpstr>
      <vt:lpstr>OVERVIEW OF IMPACT TO EQ.HOLDER</vt:lpstr>
      <vt:lpstr>QUALITATIVE OUTLINE - ALT</vt:lpstr>
      <vt:lpstr>Decision Strategy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Waller</dc:creator>
  <cp:lastModifiedBy>Vairavan Arunachalam</cp:lastModifiedBy>
  <dcterms:created xsi:type="dcterms:W3CDTF">2023-12-02T14:13:30Z</dcterms:created>
  <dcterms:modified xsi:type="dcterms:W3CDTF">2023-12-13T22:48:55Z</dcterms:modified>
</cp:coreProperties>
</file>