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ein\Desktop\"/>
    </mc:Choice>
  </mc:AlternateContent>
  <bookViews>
    <workbookView xWindow="0" yWindow="0" windowWidth="19200" windowHeight="7190"/>
  </bookViews>
  <sheets>
    <sheet name="سخنرانی رئیس‌جمهور-سازمان ملل"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E2" i="1"/>
  <c r="I2" i="1"/>
  <c r="S2" i="1"/>
  <c r="B3" i="1"/>
  <c r="E3" i="1"/>
  <c r="I3" i="1"/>
  <c r="S3" i="1"/>
  <c r="B4" i="1"/>
  <c r="E4" i="1"/>
  <c r="I4" i="1"/>
  <c r="S4" i="1"/>
  <c r="B5" i="1"/>
  <c r="E5" i="1"/>
  <c r="I5" i="1"/>
  <c r="S5" i="1"/>
  <c r="B6" i="1"/>
  <c r="E6" i="1"/>
  <c r="I6" i="1"/>
  <c r="S6" i="1"/>
  <c r="B7" i="1"/>
  <c r="E7" i="1"/>
  <c r="I7" i="1"/>
  <c r="S7" i="1"/>
  <c r="B8" i="1"/>
  <c r="E8" i="1"/>
  <c r="I8" i="1"/>
  <c r="S8" i="1"/>
  <c r="B9" i="1"/>
  <c r="E9" i="1"/>
  <c r="I9" i="1"/>
  <c r="S9" i="1"/>
  <c r="B10" i="1"/>
  <c r="E10" i="1"/>
  <c r="I10" i="1"/>
  <c r="S10" i="1"/>
  <c r="B11" i="1"/>
  <c r="E11" i="1"/>
  <c r="I11" i="1"/>
  <c r="S11" i="1"/>
  <c r="B12" i="1"/>
  <c r="E12" i="1"/>
  <c r="I12" i="1"/>
  <c r="S12" i="1"/>
  <c r="B13" i="1"/>
  <c r="E13" i="1"/>
  <c r="I13" i="1"/>
  <c r="S13" i="1"/>
  <c r="B14" i="1"/>
  <c r="E14" i="1"/>
  <c r="I14" i="1"/>
  <c r="S14" i="1"/>
  <c r="B15" i="1"/>
  <c r="E15" i="1"/>
  <c r="I15" i="1"/>
  <c r="S15" i="1"/>
  <c r="B16" i="1"/>
  <c r="E16" i="1"/>
  <c r="I16" i="1"/>
  <c r="S16" i="1"/>
  <c r="B17" i="1"/>
  <c r="E17" i="1"/>
  <c r="I17" i="1"/>
  <c r="S17" i="1"/>
  <c r="B18" i="1"/>
  <c r="E18" i="1"/>
  <c r="I18" i="1"/>
  <c r="S18" i="1"/>
  <c r="B19" i="1"/>
  <c r="E19" i="1"/>
  <c r="I19" i="1"/>
  <c r="S19" i="1"/>
  <c r="B20" i="1"/>
  <c r="E20" i="1"/>
  <c r="I20" i="1"/>
  <c r="S20" i="1"/>
  <c r="B21" i="1"/>
  <c r="E21" i="1"/>
  <c r="I21" i="1"/>
  <c r="S21" i="1"/>
  <c r="B22" i="1"/>
  <c r="E22" i="1"/>
  <c r="I22" i="1"/>
  <c r="S22" i="1"/>
  <c r="B23" i="1"/>
  <c r="E23" i="1"/>
  <c r="I23" i="1"/>
  <c r="S23" i="1"/>
  <c r="B24" i="1"/>
  <c r="E24" i="1"/>
  <c r="I24" i="1"/>
  <c r="S24" i="1"/>
  <c r="B25" i="1"/>
  <c r="E25" i="1"/>
  <c r="I25" i="1"/>
  <c r="S25" i="1"/>
  <c r="B26" i="1"/>
  <c r="E26" i="1"/>
  <c r="I26" i="1"/>
  <c r="B27" i="1"/>
  <c r="E27" i="1"/>
  <c r="I27" i="1"/>
  <c r="S27" i="1"/>
  <c r="B28" i="1"/>
  <c r="E28" i="1"/>
  <c r="I28" i="1"/>
  <c r="S28" i="1"/>
  <c r="B29" i="1"/>
  <c r="E29" i="1"/>
  <c r="I29" i="1"/>
  <c r="S29" i="1"/>
  <c r="B30" i="1"/>
  <c r="E30" i="1"/>
  <c r="I30" i="1"/>
  <c r="S30" i="1"/>
  <c r="B31" i="1"/>
  <c r="E31" i="1"/>
  <c r="I31" i="1"/>
  <c r="S31" i="1"/>
  <c r="B32" i="1"/>
  <c r="E32" i="1"/>
  <c r="I32" i="1"/>
  <c r="S32" i="1"/>
  <c r="B33" i="1"/>
  <c r="E33" i="1"/>
  <c r="I33" i="1"/>
  <c r="S33" i="1"/>
  <c r="B34" i="1"/>
  <c r="E34" i="1"/>
  <c r="I34" i="1"/>
  <c r="S34" i="1"/>
  <c r="B35" i="1"/>
  <c r="E35" i="1"/>
  <c r="I35" i="1"/>
  <c r="S35" i="1"/>
  <c r="B36" i="1"/>
  <c r="E36" i="1"/>
  <c r="I36" i="1"/>
  <c r="S36" i="1"/>
  <c r="B37" i="1"/>
  <c r="E37" i="1"/>
  <c r="I37" i="1"/>
  <c r="S37" i="1"/>
  <c r="B38" i="1"/>
  <c r="E38" i="1"/>
  <c r="I38" i="1"/>
  <c r="S38" i="1"/>
  <c r="B39" i="1"/>
  <c r="E39" i="1"/>
  <c r="I39" i="1"/>
  <c r="S39" i="1"/>
  <c r="B40" i="1"/>
  <c r="E40" i="1"/>
  <c r="I40" i="1"/>
  <c r="S40" i="1"/>
  <c r="B41" i="1"/>
  <c r="E41" i="1"/>
  <c r="I41" i="1"/>
  <c r="S41" i="1"/>
  <c r="B42" i="1"/>
  <c r="E42" i="1"/>
  <c r="I42" i="1"/>
  <c r="S42" i="1"/>
  <c r="B43" i="1"/>
  <c r="E43" i="1"/>
  <c r="I43" i="1"/>
  <c r="S43" i="1"/>
  <c r="B44" i="1"/>
  <c r="E44" i="1"/>
  <c r="I44" i="1"/>
  <c r="S44" i="1"/>
  <c r="B45" i="1"/>
  <c r="E45" i="1"/>
  <c r="I45" i="1"/>
  <c r="S45" i="1"/>
  <c r="B46" i="1"/>
  <c r="E46" i="1"/>
  <c r="I46" i="1"/>
  <c r="S46" i="1"/>
  <c r="B47" i="1"/>
  <c r="E47" i="1"/>
  <c r="I47" i="1"/>
  <c r="S47" i="1"/>
  <c r="B48" i="1"/>
  <c r="E48" i="1"/>
  <c r="I48" i="1"/>
  <c r="B49" i="1"/>
  <c r="E49" i="1"/>
  <c r="I49" i="1"/>
  <c r="S49" i="1"/>
  <c r="B50" i="1"/>
  <c r="E50" i="1"/>
  <c r="I50" i="1"/>
  <c r="S50" i="1"/>
  <c r="B51" i="1"/>
  <c r="E51" i="1"/>
  <c r="I51" i="1"/>
  <c r="S51" i="1"/>
  <c r="B52" i="1"/>
  <c r="E52" i="1"/>
  <c r="I52" i="1"/>
  <c r="S52" i="1"/>
  <c r="B53" i="1"/>
  <c r="E53" i="1"/>
  <c r="I53" i="1"/>
  <c r="S53" i="1"/>
  <c r="B54" i="1"/>
  <c r="E54" i="1"/>
  <c r="I54" i="1"/>
  <c r="S54" i="1"/>
  <c r="B55" i="1"/>
  <c r="E55" i="1"/>
  <c r="I55" i="1"/>
  <c r="S55" i="1"/>
  <c r="B56" i="1"/>
  <c r="E56" i="1"/>
  <c r="I56" i="1"/>
  <c r="S56" i="1"/>
  <c r="B57" i="1"/>
  <c r="E57" i="1"/>
  <c r="I57" i="1"/>
  <c r="S57" i="1"/>
  <c r="B58" i="1"/>
  <c r="E58" i="1"/>
  <c r="I58" i="1"/>
  <c r="S58" i="1"/>
  <c r="B59" i="1"/>
  <c r="E59" i="1"/>
  <c r="I59" i="1"/>
  <c r="S59" i="1"/>
  <c r="B60" i="1"/>
  <c r="E60" i="1"/>
  <c r="I60" i="1"/>
  <c r="S60" i="1"/>
  <c r="B61" i="1"/>
  <c r="E61" i="1"/>
  <c r="I61" i="1"/>
  <c r="S61" i="1"/>
  <c r="B62" i="1"/>
  <c r="E62" i="1"/>
  <c r="I62" i="1"/>
  <c r="S62" i="1"/>
  <c r="B63" i="1"/>
  <c r="E63" i="1"/>
  <c r="I63" i="1"/>
  <c r="S63" i="1"/>
  <c r="B64" i="1"/>
  <c r="E64" i="1"/>
  <c r="I64" i="1"/>
  <c r="B65" i="1"/>
  <c r="E65" i="1"/>
  <c r="I65" i="1"/>
  <c r="S65" i="1"/>
  <c r="B66" i="1"/>
  <c r="E66" i="1"/>
  <c r="I66" i="1"/>
  <c r="S66" i="1"/>
  <c r="B67" i="1"/>
  <c r="E67" i="1"/>
  <c r="I67" i="1"/>
  <c r="S67" i="1"/>
  <c r="B68" i="1"/>
  <c r="E68" i="1"/>
  <c r="I68" i="1"/>
  <c r="B69" i="1"/>
  <c r="E69" i="1"/>
  <c r="I69" i="1"/>
  <c r="S69" i="1"/>
  <c r="B70" i="1"/>
  <c r="E70" i="1"/>
  <c r="I70" i="1"/>
  <c r="S70" i="1"/>
  <c r="B71" i="1"/>
  <c r="E71" i="1"/>
  <c r="I71" i="1"/>
  <c r="S71" i="1"/>
  <c r="B72" i="1"/>
  <c r="E72" i="1"/>
  <c r="I72" i="1"/>
  <c r="S72" i="1"/>
  <c r="B73" i="1"/>
  <c r="E73" i="1"/>
  <c r="I73" i="1"/>
  <c r="S73" i="1"/>
  <c r="B74" i="1"/>
  <c r="E74" i="1"/>
  <c r="I74" i="1"/>
  <c r="S74" i="1"/>
  <c r="B75" i="1"/>
  <c r="E75" i="1"/>
  <c r="I75" i="1"/>
  <c r="S75" i="1"/>
  <c r="B76" i="1"/>
  <c r="E76" i="1"/>
  <c r="I76" i="1"/>
  <c r="S76" i="1"/>
  <c r="B77" i="1"/>
  <c r="E77" i="1"/>
  <c r="I77" i="1"/>
  <c r="S77" i="1"/>
  <c r="B78" i="1"/>
  <c r="E78" i="1"/>
  <c r="I78" i="1"/>
  <c r="S78" i="1"/>
  <c r="B79" i="1"/>
  <c r="E79" i="1"/>
  <c r="I79" i="1"/>
  <c r="S79" i="1"/>
  <c r="B80" i="1"/>
  <c r="E80" i="1"/>
  <c r="I80" i="1"/>
  <c r="S80" i="1"/>
  <c r="B81" i="1"/>
  <c r="E81" i="1"/>
  <c r="I81" i="1"/>
  <c r="S81" i="1"/>
  <c r="B82" i="1"/>
  <c r="E82" i="1"/>
  <c r="I82" i="1"/>
  <c r="S82" i="1"/>
  <c r="B83" i="1"/>
  <c r="E83" i="1"/>
  <c r="I83" i="1"/>
  <c r="S83" i="1"/>
  <c r="B84" i="1"/>
  <c r="E84" i="1"/>
  <c r="I84" i="1"/>
  <c r="S84" i="1"/>
  <c r="B85" i="1"/>
  <c r="E85" i="1"/>
  <c r="I85" i="1"/>
  <c r="S85" i="1"/>
  <c r="B86" i="1"/>
  <c r="E86" i="1"/>
  <c r="I86" i="1"/>
  <c r="S86" i="1"/>
  <c r="B87" i="1"/>
  <c r="E87" i="1"/>
  <c r="I87" i="1"/>
  <c r="S87" i="1"/>
  <c r="B88" i="1"/>
  <c r="E88" i="1"/>
  <c r="I88" i="1"/>
  <c r="S88" i="1"/>
  <c r="B89" i="1"/>
  <c r="E89" i="1"/>
  <c r="I89" i="1"/>
  <c r="S89" i="1"/>
  <c r="B90" i="1"/>
  <c r="E90" i="1"/>
  <c r="I90" i="1"/>
  <c r="B91" i="1"/>
  <c r="E91" i="1"/>
  <c r="I91" i="1"/>
  <c r="S91" i="1"/>
  <c r="B92" i="1"/>
  <c r="E92" i="1"/>
  <c r="I92" i="1"/>
  <c r="S92" i="1"/>
  <c r="B93" i="1"/>
  <c r="E93" i="1"/>
  <c r="I93" i="1"/>
  <c r="S93" i="1"/>
  <c r="B94" i="1"/>
  <c r="E94" i="1"/>
  <c r="I94" i="1"/>
  <c r="S94" i="1"/>
  <c r="B95" i="1"/>
  <c r="E95" i="1"/>
  <c r="I95" i="1"/>
  <c r="S95" i="1"/>
  <c r="B96" i="1"/>
  <c r="E96" i="1"/>
  <c r="I96" i="1"/>
  <c r="S96" i="1"/>
  <c r="B97" i="1"/>
  <c r="E97" i="1"/>
  <c r="I97" i="1"/>
  <c r="S97" i="1"/>
  <c r="B98" i="1"/>
  <c r="E98" i="1"/>
  <c r="I98" i="1"/>
  <c r="S98" i="1"/>
  <c r="B99" i="1"/>
  <c r="E99" i="1"/>
  <c r="I99" i="1"/>
  <c r="S99" i="1"/>
  <c r="B100" i="1"/>
  <c r="E100" i="1"/>
  <c r="I100" i="1"/>
  <c r="S100" i="1"/>
  <c r="B101" i="1"/>
  <c r="E101" i="1"/>
  <c r="I101" i="1"/>
  <c r="S101" i="1"/>
  <c r="B102" i="1"/>
  <c r="E102" i="1"/>
  <c r="I102" i="1"/>
  <c r="S102" i="1"/>
  <c r="B103" i="1"/>
  <c r="E103" i="1"/>
  <c r="I103" i="1"/>
  <c r="S103" i="1"/>
  <c r="B104" i="1"/>
  <c r="E104" i="1"/>
  <c r="I104" i="1"/>
  <c r="S104" i="1"/>
  <c r="B105" i="1"/>
  <c r="E105" i="1"/>
  <c r="I105" i="1"/>
  <c r="S105" i="1"/>
  <c r="B106" i="1"/>
  <c r="E106" i="1"/>
  <c r="I106" i="1"/>
  <c r="S106" i="1"/>
  <c r="B107" i="1"/>
  <c r="E107" i="1"/>
  <c r="I107" i="1"/>
  <c r="S107" i="1"/>
  <c r="B108" i="1"/>
  <c r="E108" i="1"/>
  <c r="I108" i="1"/>
  <c r="S108" i="1"/>
  <c r="B109" i="1"/>
  <c r="E109" i="1"/>
  <c r="I109" i="1"/>
  <c r="S109" i="1"/>
  <c r="B110" i="1"/>
  <c r="E110" i="1"/>
  <c r="I110" i="1"/>
  <c r="S110" i="1"/>
  <c r="B111" i="1"/>
  <c r="E111" i="1"/>
  <c r="I111" i="1"/>
  <c r="S111" i="1"/>
  <c r="B112" i="1"/>
  <c r="E112" i="1"/>
  <c r="I112" i="1"/>
  <c r="S112" i="1"/>
  <c r="B113" i="1"/>
  <c r="E113" i="1"/>
  <c r="I113" i="1"/>
  <c r="S113" i="1"/>
  <c r="B114" i="1"/>
  <c r="E114" i="1"/>
  <c r="I114" i="1"/>
  <c r="S114" i="1"/>
  <c r="B115" i="1"/>
  <c r="E115" i="1"/>
  <c r="I115" i="1"/>
  <c r="S115" i="1"/>
  <c r="B116" i="1"/>
  <c r="E116" i="1"/>
  <c r="I116" i="1"/>
  <c r="S116" i="1"/>
  <c r="B117" i="1"/>
  <c r="E117" i="1"/>
  <c r="I117" i="1"/>
  <c r="S117" i="1"/>
  <c r="B118" i="1"/>
  <c r="E118" i="1"/>
  <c r="I118" i="1"/>
  <c r="S118" i="1"/>
  <c r="B119" i="1"/>
  <c r="E119" i="1"/>
  <c r="I119" i="1"/>
  <c r="S119" i="1"/>
  <c r="B120" i="1"/>
  <c r="E120" i="1"/>
  <c r="I120" i="1"/>
  <c r="S120" i="1"/>
  <c r="B121" i="1"/>
  <c r="E121" i="1"/>
  <c r="I121" i="1"/>
  <c r="S121" i="1"/>
  <c r="B122" i="1"/>
  <c r="E122" i="1"/>
  <c r="I122" i="1"/>
  <c r="B123" i="1"/>
  <c r="E123" i="1"/>
  <c r="I123" i="1"/>
  <c r="S123" i="1"/>
  <c r="B124" i="1"/>
  <c r="E124" i="1"/>
  <c r="I124" i="1"/>
  <c r="S124" i="1"/>
  <c r="B125" i="1"/>
  <c r="E125" i="1"/>
  <c r="I125" i="1"/>
  <c r="S125" i="1"/>
  <c r="B126" i="1"/>
  <c r="E126" i="1"/>
  <c r="I126" i="1"/>
  <c r="S126" i="1"/>
  <c r="B127" i="1"/>
  <c r="E127" i="1"/>
  <c r="I127" i="1"/>
  <c r="S127" i="1"/>
  <c r="B128" i="1"/>
  <c r="E128" i="1"/>
  <c r="I128" i="1"/>
  <c r="S128" i="1"/>
  <c r="B129" i="1"/>
  <c r="E129" i="1"/>
  <c r="I129" i="1"/>
  <c r="S129" i="1"/>
  <c r="B130" i="1"/>
  <c r="E130" i="1"/>
  <c r="I130" i="1"/>
  <c r="S130" i="1"/>
  <c r="B131" i="1"/>
  <c r="E131" i="1"/>
  <c r="I131" i="1"/>
  <c r="S131" i="1"/>
  <c r="B132" i="1"/>
  <c r="E132" i="1"/>
  <c r="I132" i="1"/>
  <c r="S132" i="1"/>
  <c r="B133" i="1"/>
  <c r="E133" i="1"/>
  <c r="I133" i="1"/>
  <c r="S133" i="1"/>
  <c r="B134" i="1"/>
  <c r="E134" i="1"/>
  <c r="I134" i="1"/>
  <c r="S134" i="1"/>
  <c r="B135" i="1"/>
  <c r="E135" i="1"/>
  <c r="I135" i="1"/>
  <c r="S135" i="1"/>
  <c r="B136" i="1"/>
  <c r="E136" i="1"/>
  <c r="I136" i="1"/>
  <c r="S136" i="1"/>
  <c r="B137" i="1"/>
  <c r="E137" i="1"/>
  <c r="I137" i="1"/>
  <c r="S137" i="1"/>
  <c r="B138" i="1"/>
  <c r="E138" i="1"/>
  <c r="I138" i="1"/>
  <c r="S138" i="1"/>
  <c r="B139" i="1"/>
  <c r="E139" i="1"/>
  <c r="I139" i="1"/>
  <c r="S139" i="1"/>
  <c r="B140" i="1"/>
  <c r="E140" i="1"/>
  <c r="I140" i="1"/>
  <c r="S140" i="1"/>
  <c r="B141" i="1"/>
  <c r="E141" i="1"/>
  <c r="I141" i="1"/>
  <c r="S141" i="1"/>
  <c r="B142" i="1"/>
  <c r="E142" i="1"/>
  <c r="I142" i="1"/>
  <c r="S142" i="1"/>
  <c r="B143" i="1"/>
  <c r="E143" i="1"/>
  <c r="I143" i="1"/>
  <c r="S143" i="1"/>
  <c r="B144" i="1"/>
  <c r="E144" i="1"/>
  <c r="I144" i="1"/>
  <c r="S144" i="1"/>
  <c r="B145" i="1"/>
  <c r="E145" i="1"/>
  <c r="I145" i="1"/>
  <c r="S145" i="1"/>
  <c r="B146" i="1"/>
  <c r="E146" i="1"/>
  <c r="I146" i="1"/>
  <c r="S146" i="1"/>
  <c r="B147" i="1"/>
  <c r="E147" i="1"/>
  <c r="I147" i="1"/>
  <c r="S147" i="1"/>
  <c r="B148" i="1"/>
  <c r="E148" i="1"/>
  <c r="I148" i="1"/>
  <c r="S148" i="1"/>
  <c r="B149" i="1"/>
  <c r="E149" i="1"/>
  <c r="I149" i="1"/>
  <c r="S149" i="1"/>
  <c r="B150" i="1"/>
  <c r="E150" i="1"/>
  <c r="I150" i="1"/>
  <c r="S150" i="1"/>
  <c r="B151" i="1"/>
  <c r="E151" i="1"/>
  <c r="I151" i="1"/>
  <c r="S151" i="1"/>
  <c r="B152" i="1"/>
  <c r="E152" i="1"/>
  <c r="I152" i="1"/>
  <c r="S152" i="1"/>
  <c r="B153" i="1"/>
  <c r="E153" i="1"/>
  <c r="I153" i="1"/>
  <c r="S153" i="1"/>
  <c r="B154" i="1"/>
  <c r="E154" i="1"/>
  <c r="I154" i="1"/>
  <c r="S154" i="1"/>
  <c r="B155" i="1"/>
  <c r="E155" i="1"/>
  <c r="I155" i="1"/>
  <c r="S155" i="1"/>
  <c r="B156" i="1"/>
  <c r="E156" i="1"/>
  <c r="I156" i="1"/>
  <c r="S156" i="1"/>
  <c r="B157" i="1"/>
  <c r="E157" i="1"/>
  <c r="I157" i="1"/>
  <c r="S157" i="1"/>
  <c r="B158" i="1"/>
  <c r="E158" i="1"/>
  <c r="I158" i="1"/>
  <c r="S158" i="1"/>
  <c r="B159" i="1"/>
  <c r="E159" i="1"/>
  <c r="I159" i="1"/>
  <c r="B160" i="1"/>
  <c r="E160" i="1"/>
  <c r="I160" i="1"/>
  <c r="S160" i="1"/>
  <c r="B161" i="1"/>
  <c r="E161" i="1"/>
  <c r="I161" i="1"/>
  <c r="S161" i="1"/>
  <c r="B162" i="1"/>
  <c r="E162" i="1"/>
  <c r="I162" i="1"/>
  <c r="S162" i="1"/>
  <c r="B163" i="1"/>
  <c r="E163" i="1"/>
  <c r="I163" i="1"/>
  <c r="S163" i="1"/>
  <c r="B164" i="1"/>
  <c r="E164" i="1"/>
  <c r="I164" i="1"/>
  <c r="S164" i="1"/>
  <c r="B165" i="1"/>
  <c r="E165" i="1"/>
  <c r="I165" i="1"/>
  <c r="S165" i="1"/>
  <c r="B166" i="1"/>
  <c r="E166" i="1"/>
  <c r="I166" i="1"/>
  <c r="S166" i="1"/>
  <c r="B167" i="1"/>
  <c r="E167" i="1"/>
  <c r="I167" i="1"/>
  <c r="S167" i="1"/>
  <c r="B168" i="1"/>
  <c r="E168" i="1"/>
  <c r="I168" i="1"/>
  <c r="S168" i="1"/>
  <c r="B169" i="1"/>
  <c r="E169" i="1"/>
  <c r="I169" i="1"/>
  <c r="S169" i="1"/>
  <c r="B170" i="1"/>
  <c r="E170" i="1"/>
  <c r="I170" i="1"/>
  <c r="S170" i="1"/>
  <c r="B171" i="1"/>
  <c r="E171" i="1"/>
  <c r="I171" i="1"/>
  <c r="S171" i="1"/>
  <c r="B172" i="1"/>
  <c r="E172" i="1"/>
  <c r="I172" i="1"/>
  <c r="S172" i="1"/>
  <c r="B173" i="1"/>
  <c r="E173" i="1"/>
  <c r="I173" i="1"/>
  <c r="S173" i="1"/>
  <c r="B174" i="1"/>
  <c r="E174" i="1"/>
  <c r="I174" i="1"/>
  <c r="S174" i="1"/>
  <c r="B175" i="1"/>
  <c r="E175" i="1"/>
  <c r="I175" i="1"/>
  <c r="S175" i="1"/>
  <c r="B176" i="1"/>
  <c r="E176" i="1"/>
  <c r="I176" i="1"/>
  <c r="S176" i="1"/>
  <c r="B177" i="1"/>
  <c r="E177" i="1"/>
  <c r="I177" i="1"/>
  <c r="S177" i="1"/>
  <c r="B178" i="1"/>
  <c r="E178" i="1"/>
  <c r="I178" i="1"/>
  <c r="S178" i="1"/>
  <c r="B179" i="1"/>
  <c r="E179" i="1"/>
  <c r="I179" i="1"/>
  <c r="S179" i="1"/>
  <c r="B180" i="1"/>
  <c r="E180" i="1"/>
  <c r="I180" i="1"/>
  <c r="S180" i="1"/>
  <c r="B181" i="1"/>
  <c r="E181" i="1"/>
  <c r="I181" i="1"/>
  <c r="S181" i="1"/>
  <c r="B182" i="1"/>
  <c r="E182" i="1"/>
  <c r="I182" i="1"/>
  <c r="S182" i="1"/>
  <c r="B183" i="1"/>
  <c r="E183" i="1"/>
  <c r="I183" i="1"/>
  <c r="S183" i="1"/>
  <c r="B184" i="1"/>
  <c r="E184" i="1"/>
  <c r="I184" i="1"/>
  <c r="S184" i="1"/>
  <c r="B185" i="1"/>
  <c r="E185" i="1"/>
  <c r="I185" i="1"/>
  <c r="S185" i="1"/>
  <c r="B186" i="1"/>
  <c r="E186" i="1"/>
  <c r="I186" i="1"/>
  <c r="B187" i="1"/>
  <c r="E187" i="1"/>
  <c r="I187" i="1"/>
  <c r="S187" i="1"/>
  <c r="B188" i="1"/>
  <c r="E188" i="1"/>
  <c r="I188" i="1"/>
  <c r="S188" i="1"/>
  <c r="B189" i="1"/>
  <c r="E189" i="1"/>
  <c r="I189" i="1"/>
  <c r="S189" i="1"/>
  <c r="B190" i="1"/>
  <c r="E190" i="1"/>
  <c r="I190" i="1"/>
  <c r="S190" i="1"/>
  <c r="B191" i="1"/>
  <c r="E191" i="1"/>
  <c r="I191" i="1"/>
  <c r="S191" i="1"/>
  <c r="B192" i="1"/>
  <c r="E192" i="1"/>
  <c r="I192" i="1"/>
  <c r="S192" i="1"/>
  <c r="B193" i="1"/>
  <c r="E193" i="1"/>
  <c r="I193" i="1"/>
  <c r="S193" i="1"/>
  <c r="B194" i="1"/>
  <c r="E194" i="1"/>
  <c r="I194" i="1"/>
  <c r="S194" i="1"/>
  <c r="B195" i="1"/>
  <c r="E195" i="1"/>
  <c r="I195" i="1"/>
  <c r="S195" i="1"/>
  <c r="B196" i="1"/>
  <c r="E196" i="1"/>
  <c r="I196" i="1"/>
  <c r="S196" i="1"/>
  <c r="B197" i="1"/>
  <c r="E197" i="1"/>
  <c r="I197" i="1"/>
  <c r="S197" i="1"/>
  <c r="B198" i="1"/>
  <c r="E198" i="1"/>
  <c r="I198" i="1"/>
  <c r="S198" i="1"/>
  <c r="B199" i="1"/>
  <c r="E199" i="1"/>
  <c r="I199" i="1"/>
  <c r="S199" i="1"/>
  <c r="B200" i="1"/>
  <c r="E200" i="1"/>
  <c r="I200" i="1"/>
  <c r="S200" i="1"/>
  <c r="B201" i="1"/>
  <c r="E201" i="1"/>
  <c r="I201" i="1"/>
  <c r="S201" i="1"/>
  <c r="B202" i="1"/>
  <c r="E202" i="1"/>
  <c r="I202" i="1"/>
  <c r="S202" i="1"/>
  <c r="B203" i="1"/>
  <c r="E203" i="1"/>
  <c r="I203" i="1"/>
  <c r="B204" i="1"/>
  <c r="E204" i="1"/>
  <c r="I204" i="1"/>
  <c r="S204" i="1"/>
  <c r="B205" i="1"/>
  <c r="E205" i="1"/>
  <c r="I205" i="1"/>
  <c r="S205" i="1"/>
  <c r="B206" i="1"/>
  <c r="E206" i="1"/>
  <c r="I206" i="1"/>
  <c r="S206" i="1"/>
  <c r="B207" i="1"/>
  <c r="E207" i="1"/>
  <c r="I207" i="1"/>
  <c r="S207" i="1"/>
  <c r="B208" i="1"/>
  <c r="E208" i="1"/>
  <c r="I208" i="1"/>
  <c r="S208" i="1"/>
  <c r="B209" i="1"/>
  <c r="E209" i="1"/>
  <c r="I209" i="1"/>
  <c r="S209" i="1"/>
  <c r="B210" i="1"/>
  <c r="E210" i="1"/>
  <c r="I210" i="1"/>
  <c r="S210" i="1"/>
  <c r="B211" i="1"/>
  <c r="E211" i="1"/>
  <c r="I211" i="1"/>
  <c r="S211" i="1"/>
  <c r="B212" i="1"/>
  <c r="E212" i="1"/>
  <c r="I212" i="1"/>
  <c r="S212" i="1"/>
  <c r="B213" i="1"/>
  <c r="E213" i="1"/>
  <c r="I213" i="1"/>
  <c r="S213" i="1"/>
  <c r="B214" i="1"/>
  <c r="E214" i="1"/>
  <c r="I214" i="1"/>
  <c r="S214" i="1"/>
  <c r="B215" i="1"/>
  <c r="E215" i="1"/>
  <c r="I215" i="1"/>
  <c r="S215" i="1"/>
  <c r="B216" i="1"/>
  <c r="E216" i="1"/>
  <c r="I216" i="1"/>
  <c r="S216" i="1"/>
  <c r="B217" i="1"/>
  <c r="E217" i="1"/>
  <c r="I217" i="1"/>
  <c r="S217" i="1"/>
  <c r="B218" i="1"/>
  <c r="E218" i="1"/>
  <c r="I218" i="1"/>
  <c r="S218" i="1"/>
  <c r="B219" i="1"/>
  <c r="E219" i="1"/>
  <c r="I219" i="1"/>
  <c r="S219" i="1"/>
  <c r="B220" i="1"/>
  <c r="E220" i="1"/>
  <c r="I220" i="1"/>
  <c r="S220" i="1"/>
  <c r="B221" i="1"/>
  <c r="E221" i="1"/>
  <c r="I221" i="1"/>
  <c r="B222" i="1"/>
  <c r="E222" i="1"/>
  <c r="I222" i="1"/>
  <c r="S222" i="1"/>
  <c r="B223" i="1"/>
  <c r="E223" i="1"/>
  <c r="I223" i="1"/>
  <c r="S223" i="1"/>
  <c r="B224" i="1"/>
  <c r="E224" i="1"/>
  <c r="I224" i="1"/>
  <c r="S224" i="1"/>
  <c r="B225" i="1"/>
  <c r="E225" i="1"/>
  <c r="I225" i="1"/>
  <c r="S225" i="1"/>
  <c r="B226" i="1"/>
  <c r="E226" i="1"/>
  <c r="I226" i="1"/>
  <c r="S226" i="1"/>
  <c r="B227" i="1"/>
  <c r="E227" i="1"/>
  <c r="I227" i="1"/>
  <c r="S227" i="1"/>
  <c r="B228" i="1"/>
  <c r="E228" i="1"/>
  <c r="I228" i="1"/>
  <c r="S228" i="1"/>
  <c r="B229" i="1"/>
  <c r="E229" i="1"/>
  <c r="I229" i="1"/>
  <c r="S229" i="1"/>
  <c r="B230" i="1"/>
  <c r="E230" i="1"/>
  <c r="I230" i="1"/>
  <c r="S230" i="1"/>
  <c r="B231" i="1"/>
  <c r="E231" i="1"/>
  <c r="I231" i="1"/>
  <c r="S231" i="1"/>
  <c r="B232" i="1"/>
  <c r="E232" i="1"/>
  <c r="I232" i="1"/>
  <c r="S232" i="1"/>
  <c r="B233" i="1"/>
  <c r="E233" i="1"/>
  <c r="I233" i="1"/>
  <c r="S233" i="1"/>
  <c r="B234" i="1"/>
  <c r="E234" i="1"/>
  <c r="I234" i="1"/>
  <c r="S234" i="1"/>
  <c r="B235" i="1"/>
  <c r="E235" i="1"/>
  <c r="I235" i="1"/>
  <c r="S235" i="1"/>
  <c r="B236" i="1"/>
  <c r="E236" i="1"/>
  <c r="I236" i="1"/>
  <c r="S236" i="1"/>
  <c r="B237" i="1"/>
  <c r="E237" i="1"/>
  <c r="I237" i="1"/>
  <c r="S237" i="1"/>
  <c r="B238" i="1"/>
  <c r="E238" i="1"/>
  <c r="I238" i="1"/>
  <c r="S238" i="1"/>
  <c r="B239" i="1"/>
  <c r="E239" i="1"/>
  <c r="I239" i="1"/>
  <c r="S239" i="1"/>
  <c r="B240" i="1"/>
  <c r="E240" i="1"/>
  <c r="I240" i="1"/>
  <c r="S240" i="1"/>
  <c r="B241" i="1"/>
  <c r="E241" i="1"/>
  <c r="I241" i="1"/>
  <c r="S241" i="1"/>
  <c r="B242" i="1"/>
  <c r="E242" i="1"/>
  <c r="I242" i="1"/>
  <c r="S242" i="1"/>
  <c r="B243" i="1"/>
  <c r="E243" i="1"/>
  <c r="I243" i="1"/>
  <c r="S243" i="1"/>
  <c r="B244" i="1"/>
  <c r="E244" i="1"/>
  <c r="I244" i="1"/>
  <c r="S244" i="1"/>
  <c r="B245" i="1"/>
  <c r="E245" i="1"/>
  <c r="I245" i="1"/>
  <c r="S245" i="1"/>
  <c r="B246" i="1"/>
  <c r="E246" i="1"/>
  <c r="I246" i="1"/>
  <c r="S246" i="1"/>
  <c r="B247" i="1"/>
  <c r="E247" i="1"/>
  <c r="I247" i="1"/>
  <c r="S247" i="1"/>
  <c r="B248" i="1"/>
  <c r="E248" i="1"/>
  <c r="I248" i="1"/>
  <c r="S248" i="1"/>
  <c r="B249" i="1"/>
  <c r="E249" i="1"/>
  <c r="I249" i="1"/>
  <c r="S249" i="1"/>
  <c r="B250" i="1"/>
  <c r="E250" i="1"/>
  <c r="I250" i="1"/>
  <c r="S250" i="1"/>
  <c r="B251" i="1"/>
  <c r="E251" i="1"/>
  <c r="I251" i="1"/>
  <c r="S251" i="1"/>
  <c r="B252" i="1"/>
  <c r="E252" i="1"/>
  <c r="I252" i="1"/>
  <c r="S252" i="1"/>
  <c r="B253" i="1"/>
  <c r="E253" i="1"/>
  <c r="I253" i="1"/>
  <c r="S253" i="1"/>
  <c r="B254" i="1"/>
  <c r="E254" i="1"/>
  <c r="I254" i="1"/>
  <c r="S254" i="1"/>
  <c r="B255" i="1"/>
  <c r="E255" i="1"/>
  <c r="I255" i="1"/>
  <c r="S255" i="1"/>
  <c r="B256" i="1"/>
  <c r="E256" i="1"/>
  <c r="I256" i="1"/>
  <c r="S256" i="1"/>
  <c r="B257" i="1"/>
  <c r="E257" i="1"/>
  <c r="I257" i="1"/>
  <c r="S257" i="1"/>
  <c r="B258" i="1"/>
  <c r="E258" i="1"/>
  <c r="I258" i="1"/>
  <c r="S258" i="1"/>
  <c r="B259" i="1"/>
  <c r="E259" i="1"/>
  <c r="I259" i="1"/>
  <c r="S259" i="1"/>
  <c r="B260" i="1"/>
  <c r="E260" i="1"/>
  <c r="I260" i="1"/>
  <c r="S260" i="1"/>
  <c r="B261" i="1"/>
  <c r="E261" i="1"/>
  <c r="I261" i="1"/>
  <c r="S261" i="1"/>
  <c r="B262" i="1"/>
  <c r="E262" i="1"/>
  <c r="I262" i="1"/>
  <c r="S262" i="1"/>
  <c r="B263" i="1"/>
  <c r="E263" i="1"/>
  <c r="I263" i="1"/>
  <c r="S263" i="1"/>
  <c r="B264" i="1"/>
  <c r="E264" i="1"/>
  <c r="I264" i="1"/>
  <c r="S264" i="1"/>
  <c r="B265" i="1"/>
  <c r="E265" i="1"/>
  <c r="I265" i="1"/>
  <c r="S265" i="1"/>
  <c r="B266" i="1"/>
  <c r="E266" i="1"/>
  <c r="I266" i="1"/>
  <c r="B267" i="1"/>
  <c r="E267" i="1"/>
  <c r="I267" i="1"/>
  <c r="S267" i="1"/>
  <c r="B268" i="1"/>
  <c r="E268" i="1"/>
  <c r="I268" i="1"/>
  <c r="S268" i="1"/>
  <c r="B269" i="1"/>
  <c r="E269" i="1"/>
  <c r="I269" i="1"/>
  <c r="S269" i="1"/>
  <c r="B270" i="1"/>
  <c r="E270" i="1"/>
  <c r="I270" i="1"/>
  <c r="S270" i="1"/>
  <c r="B271" i="1"/>
  <c r="E271" i="1"/>
  <c r="I271" i="1"/>
  <c r="S271" i="1"/>
  <c r="B272" i="1"/>
  <c r="E272" i="1"/>
  <c r="I272" i="1"/>
  <c r="S272" i="1"/>
  <c r="B273" i="1"/>
  <c r="E273" i="1"/>
  <c r="I273" i="1"/>
  <c r="S273" i="1"/>
  <c r="B274" i="1"/>
  <c r="E274" i="1"/>
  <c r="I274" i="1"/>
  <c r="S274" i="1"/>
  <c r="B275" i="1"/>
  <c r="E275" i="1"/>
  <c r="I275" i="1"/>
  <c r="S275" i="1"/>
  <c r="B276" i="1"/>
  <c r="E276" i="1"/>
  <c r="I276" i="1"/>
  <c r="S276" i="1"/>
  <c r="B277" i="1"/>
  <c r="E277" i="1"/>
  <c r="I277" i="1"/>
  <c r="S277" i="1"/>
  <c r="B278" i="1"/>
  <c r="E278" i="1"/>
  <c r="I278" i="1"/>
  <c r="S278" i="1"/>
  <c r="B279" i="1"/>
  <c r="E279" i="1"/>
  <c r="I279" i="1"/>
  <c r="S279" i="1"/>
  <c r="B280" i="1"/>
  <c r="E280" i="1"/>
  <c r="I280" i="1"/>
  <c r="B281" i="1"/>
  <c r="E281" i="1"/>
  <c r="I281" i="1"/>
  <c r="S281" i="1"/>
  <c r="B282" i="1"/>
  <c r="E282" i="1"/>
  <c r="I282" i="1"/>
  <c r="B283" i="1"/>
  <c r="E283" i="1"/>
  <c r="I283" i="1"/>
  <c r="S283" i="1"/>
  <c r="B284" i="1"/>
  <c r="E284" i="1"/>
  <c r="I284" i="1"/>
  <c r="S284" i="1"/>
  <c r="B285" i="1"/>
  <c r="E285" i="1"/>
  <c r="I285" i="1"/>
  <c r="S285" i="1"/>
  <c r="B286" i="1"/>
  <c r="E286" i="1"/>
  <c r="I286" i="1"/>
  <c r="S286" i="1"/>
  <c r="B287" i="1"/>
  <c r="E287" i="1"/>
  <c r="I287" i="1"/>
  <c r="S287" i="1"/>
  <c r="B288" i="1"/>
  <c r="E288" i="1"/>
  <c r="I288" i="1"/>
  <c r="S288" i="1"/>
  <c r="B289" i="1"/>
  <c r="E289" i="1"/>
  <c r="I289" i="1"/>
  <c r="S289" i="1"/>
  <c r="B290" i="1"/>
  <c r="E290" i="1"/>
  <c r="I290" i="1"/>
  <c r="S290" i="1"/>
  <c r="B291" i="1"/>
  <c r="E291" i="1"/>
  <c r="I291" i="1"/>
  <c r="S291" i="1"/>
  <c r="B292" i="1"/>
  <c r="E292" i="1"/>
  <c r="I292" i="1"/>
  <c r="S292" i="1"/>
  <c r="B293" i="1"/>
  <c r="E293" i="1"/>
  <c r="I293" i="1"/>
  <c r="S293" i="1"/>
  <c r="B294" i="1"/>
  <c r="E294" i="1"/>
  <c r="I294" i="1"/>
  <c r="S294" i="1"/>
  <c r="B295" i="1"/>
  <c r="E295" i="1"/>
  <c r="I295" i="1"/>
  <c r="S295" i="1"/>
  <c r="B296" i="1"/>
  <c r="E296" i="1"/>
  <c r="I296" i="1"/>
  <c r="S296" i="1"/>
  <c r="B297" i="1"/>
  <c r="E297" i="1"/>
  <c r="I297" i="1"/>
  <c r="S297" i="1"/>
  <c r="B298" i="1"/>
  <c r="E298" i="1"/>
  <c r="I298" i="1"/>
  <c r="S298" i="1"/>
  <c r="B299" i="1"/>
  <c r="E299" i="1"/>
  <c r="I299" i="1"/>
  <c r="S299" i="1"/>
  <c r="B300" i="1"/>
  <c r="E300" i="1"/>
  <c r="I300" i="1"/>
  <c r="S300" i="1"/>
  <c r="B301" i="1"/>
  <c r="E301" i="1"/>
  <c r="I301" i="1"/>
  <c r="S301" i="1"/>
  <c r="B302" i="1"/>
  <c r="E302" i="1"/>
  <c r="I302" i="1"/>
  <c r="S302" i="1"/>
  <c r="B303" i="1"/>
  <c r="E303" i="1"/>
  <c r="I303" i="1"/>
  <c r="B304" i="1"/>
  <c r="E304" i="1"/>
  <c r="I304" i="1"/>
  <c r="S304" i="1"/>
  <c r="B305" i="1"/>
  <c r="E305" i="1"/>
  <c r="I305" i="1"/>
  <c r="S305" i="1"/>
  <c r="B306" i="1"/>
  <c r="E306" i="1"/>
  <c r="I306" i="1"/>
  <c r="S306" i="1"/>
  <c r="B307" i="1"/>
  <c r="E307" i="1"/>
  <c r="I307" i="1"/>
  <c r="S307" i="1"/>
  <c r="B308" i="1"/>
  <c r="E308" i="1"/>
  <c r="I308" i="1"/>
  <c r="S308" i="1"/>
  <c r="B309" i="1"/>
  <c r="E309" i="1"/>
  <c r="I309" i="1"/>
  <c r="S309" i="1"/>
  <c r="B310" i="1"/>
  <c r="E310" i="1"/>
  <c r="I310" i="1"/>
  <c r="S310" i="1"/>
  <c r="B311" i="1"/>
  <c r="E311" i="1"/>
  <c r="I311" i="1"/>
  <c r="S311" i="1"/>
  <c r="B312" i="1"/>
  <c r="E312" i="1"/>
  <c r="I312" i="1"/>
  <c r="S312" i="1"/>
  <c r="B313" i="1"/>
  <c r="E313" i="1"/>
  <c r="I313" i="1"/>
  <c r="S313" i="1"/>
  <c r="B314" i="1"/>
  <c r="E314" i="1"/>
  <c r="I314" i="1"/>
  <c r="S314" i="1"/>
  <c r="B315" i="1"/>
  <c r="E315" i="1"/>
  <c r="I315" i="1"/>
  <c r="S315" i="1"/>
  <c r="B316" i="1"/>
  <c r="E316" i="1"/>
  <c r="I316" i="1"/>
  <c r="S316" i="1"/>
  <c r="B317" i="1"/>
  <c r="E317" i="1"/>
  <c r="I317" i="1"/>
  <c r="S317" i="1"/>
  <c r="B318" i="1"/>
  <c r="E318" i="1"/>
  <c r="I318" i="1"/>
  <c r="S318" i="1"/>
  <c r="B319" i="1"/>
  <c r="E319" i="1"/>
  <c r="I319" i="1"/>
  <c r="S319" i="1"/>
  <c r="B320" i="1"/>
  <c r="E320" i="1"/>
  <c r="I320" i="1"/>
  <c r="S320" i="1"/>
  <c r="B321" i="1"/>
  <c r="E321" i="1"/>
  <c r="I321" i="1"/>
  <c r="S321" i="1"/>
  <c r="B322" i="1"/>
  <c r="E322" i="1"/>
  <c r="I322" i="1"/>
  <c r="S322" i="1"/>
  <c r="B323" i="1"/>
  <c r="E323" i="1"/>
  <c r="I323" i="1"/>
  <c r="S323" i="1"/>
  <c r="B324" i="1"/>
  <c r="E324" i="1"/>
  <c r="I324" i="1"/>
  <c r="S324" i="1"/>
  <c r="B325" i="1"/>
  <c r="E325" i="1"/>
  <c r="I325" i="1"/>
  <c r="S325" i="1"/>
  <c r="B326" i="1"/>
  <c r="E326" i="1"/>
  <c r="I326" i="1"/>
  <c r="S326" i="1"/>
  <c r="B327" i="1"/>
  <c r="E327" i="1"/>
  <c r="I327" i="1"/>
  <c r="S327" i="1"/>
  <c r="B328" i="1"/>
  <c r="E328" i="1"/>
  <c r="I328" i="1"/>
  <c r="S328" i="1"/>
  <c r="B329" i="1"/>
  <c r="E329" i="1"/>
  <c r="I329" i="1"/>
  <c r="S329" i="1"/>
  <c r="B330" i="1"/>
  <c r="E330" i="1"/>
  <c r="I330" i="1"/>
  <c r="S330" i="1"/>
  <c r="B331" i="1"/>
  <c r="E331" i="1"/>
  <c r="I331" i="1"/>
  <c r="S331" i="1"/>
  <c r="B332" i="1"/>
  <c r="E332" i="1"/>
  <c r="I332" i="1"/>
  <c r="S332" i="1"/>
  <c r="B333" i="1"/>
  <c r="E333" i="1"/>
  <c r="I333" i="1"/>
  <c r="S333" i="1"/>
  <c r="B334" i="1"/>
  <c r="E334" i="1"/>
  <c r="I334" i="1"/>
  <c r="S334" i="1"/>
  <c r="B335" i="1"/>
  <c r="E335" i="1"/>
  <c r="I335" i="1"/>
  <c r="S335" i="1"/>
  <c r="B336" i="1"/>
  <c r="E336" i="1"/>
  <c r="I336" i="1"/>
  <c r="S336" i="1"/>
  <c r="B337" i="1"/>
  <c r="E337" i="1"/>
  <c r="I337" i="1"/>
  <c r="B338" i="1"/>
  <c r="E338" i="1"/>
  <c r="I338" i="1"/>
  <c r="S338" i="1"/>
  <c r="B339" i="1"/>
  <c r="E339" i="1"/>
  <c r="I339" i="1"/>
  <c r="S339" i="1"/>
  <c r="B340" i="1"/>
  <c r="E340" i="1"/>
  <c r="I340" i="1"/>
  <c r="S340" i="1"/>
  <c r="B341" i="1"/>
  <c r="E341" i="1"/>
  <c r="I341" i="1"/>
  <c r="S341" i="1"/>
  <c r="B342" i="1"/>
  <c r="E342" i="1"/>
  <c r="I342" i="1"/>
  <c r="S342" i="1"/>
  <c r="B343" i="1"/>
  <c r="E343" i="1"/>
  <c r="I343" i="1"/>
  <c r="S343" i="1"/>
  <c r="B344" i="1"/>
  <c r="E344" i="1"/>
  <c r="I344" i="1"/>
  <c r="S344" i="1"/>
  <c r="B345" i="1"/>
  <c r="E345" i="1"/>
  <c r="I345" i="1"/>
  <c r="S345" i="1"/>
  <c r="B346" i="1"/>
  <c r="E346" i="1"/>
  <c r="I346" i="1"/>
  <c r="S346" i="1"/>
  <c r="B347" i="1"/>
  <c r="E347" i="1"/>
  <c r="I347" i="1"/>
  <c r="S347" i="1"/>
  <c r="B348" i="1"/>
  <c r="E348" i="1"/>
  <c r="I348" i="1"/>
  <c r="S348" i="1"/>
  <c r="B349" i="1"/>
  <c r="E349" i="1"/>
  <c r="I349" i="1"/>
  <c r="S349" i="1"/>
  <c r="B350" i="1"/>
  <c r="E350" i="1"/>
  <c r="I350" i="1"/>
  <c r="S350" i="1"/>
  <c r="B351" i="1"/>
  <c r="E351" i="1"/>
  <c r="I351" i="1"/>
  <c r="S351" i="1"/>
  <c r="B352" i="1"/>
  <c r="E352" i="1"/>
  <c r="I352" i="1"/>
  <c r="S352" i="1"/>
  <c r="B353" i="1"/>
  <c r="E353" i="1"/>
  <c r="I353" i="1"/>
  <c r="S353" i="1"/>
  <c r="B354" i="1"/>
  <c r="E354" i="1"/>
  <c r="I354" i="1"/>
  <c r="S354" i="1"/>
  <c r="B355" i="1"/>
  <c r="E355" i="1"/>
  <c r="I355" i="1"/>
  <c r="S355" i="1"/>
  <c r="B356" i="1"/>
  <c r="E356" i="1"/>
  <c r="I356" i="1"/>
  <c r="S356" i="1"/>
  <c r="B357" i="1"/>
  <c r="E357" i="1"/>
  <c r="I357" i="1"/>
  <c r="S357" i="1"/>
  <c r="B358" i="1"/>
  <c r="E358" i="1"/>
  <c r="I358" i="1"/>
  <c r="S358" i="1"/>
  <c r="B359" i="1"/>
  <c r="E359" i="1"/>
  <c r="I359" i="1"/>
  <c r="S359" i="1"/>
  <c r="B360" i="1"/>
  <c r="E360" i="1"/>
  <c r="I360" i="1"/>
  <c r="S360" i="1"/>
  <c r="B361" i="1"/>
  <c r="E361" i="1"/>
  <c r="I361" i="1"/>
  <c r="S361" i="1"/>
  <c r="B362" i="1"/>
  <c r="E362" i="1"/>
  <c r="I362" i="1"/>
  <c r="S362" i="1"/>
  <c r="B363" i="1"/>
  <c r="E363" i="1"/>
  <c r="I363" i="1"/>
  <c r="S363" i="1"/>
  <c r="B364" i="1"/>
  <c r="E364" i="1"/>
  <c r="I364" i="1"/>
  <c r="S364" i="1"/>
  <c r="B365" i="1"/>
  <c r="E365" i="1"/>
  <c r="I365" i="1"/>
  <c r="S365" i="1"/>
  <c r="B366" i="1"/>
  <c r="E366" i="1"/>
  <c r="I366" i="1"/>
  <c r="S366" i="1"/>
  <c r="B367" i="1"/>
  <c r="E367" i="1"/>
  <c r="I367" i="1"/>
  <c r="S367" i="1"/>
  <c r="B368" i="1"/>
  <c r="E368" i="1"/>
  <c r="I368" i="1"/>
  <c r="S368" i="1"/>
  <c r="B369" i="1"/>
  <c r="E369" i="1"/>
  <c r="I369" i="1"/>
  <c r="S369" i="1"/>
  <c r="B370" i="1"/>
  <c r="E370" i="1"/>
  <c r="I370" i="1"/>
  <c r="S370" i="1"/>
  <c r="B371" i="1"/>
  <c r="E371" i="1"/>
  <c r="I371" i="1"/>
  <c r="S371" i="1"/>
  <c r="B372" i="1"/>
  <c r="E372" i="1"/>
  <c r="I372" i="1"/>
  <c r="S372" i="1"/>
  <c r="B373" i="1"/>
  <c r="E373" i="1"/>
  <c r="I373" i="1"/>
  <c r="S373" i="1"/>
  <c r="B374" i="1"/>
  <c r="E374" i="1"/>
  <c r="I374" i="1"/>
  <c r="S374" i="1"/>
  <c r="B375" i="1"/>
  <c r="E375" i="1"/>
  <c r="I375" i="1"/>
  <c r="S375" i="1"/>
  <c r="B376" i="1"/>
  <c r="E376" i="1"/>
  <c r="I376" i="1"/>
  <c r="S376" i="1"/>
  <c r="B377" i="1"/>
  <c r="E377" i="1"/>
  <c r="I377" i="1"/>
  <c r="S377" i="1"/>
  <c r="B378" i="1"/>
  <c r="E378" i="1"/>
  <c r="I378" i="1"/>
  <c r="S378" i="1"/>
  <c r="B379" i="1"/>
  <c r="E379" i="1"/>
  <c r="I379" i="1"/>
  <c r="S379" i="1"/>
  <c r="B380" i="1"/>
  <c r="E380" i="1"/>
  <c r="I380" i="1"/>
  <c r="S380" i="1"/>
  <c r="B381" i="1"/>
  <c r="E381" i="1"/>
  <c r="I381" i="1"/>
  <c r="S381" i="1"/>
  <c r="B382" i="1"/>
  <c r="E382" i="1"/>
  <c r="I382" i="1"/>
  <c r="S382" i="1"/>
  <c r="B383" i="1"/>
  <c r="E383" i="1"/>
  <c r="I383" i="1"/>
  <c r="S383" i="1"/>
  <c r="B384" i="1"/>
  <c r="E384" i="1"/>
  <c r="I384" i="1"/>
  <c r="S384" i="1"/>
  <c r="B385" i="1"/>
  <c r="E385" i="1"/>
  <c r="I385" i="1"/>
  <c r="S385" i="1"/>
  <c r="B386" i="1"/>
  <c r="E386" i="1"/>
  <c r="I386" i="1"/>
  <c r="S386" i="1"/>
  <c r="B387" i="1"/>
  <c r="E387" i="1"/>
  <c r="I387" i="1"/>
  <c r="S387" i="1"/>
  <c r="B388" i="1"/>
  <c r="E388" i="1"/>
  <c r="I388" i="1"/>
  <c r="S388" i="1"/>
  <c r="B389" i="1"/>
  <c r="E389" i="1"/>
  <c r="I389" i="1"/>
  <c r="S389" i="1"/>
  <c r="B390" i="1"/>
  <c r="E390" i="1"/>
  <c r="I390" i="1"/>
  <c r="B391" i="1"/>
  <c r="E391" i="1"/>
  <c r="I391" i="1"/>
  <c r="S391" i="1"/>
  <c r="B392" i="1"/>
  <c r="E392" i="1"/>
  <c r="I392" i="1"/>
  <c r="S392" i="1"/>
  <c r="B393" i="1"/>
  <c r="E393" i="1"/>
  <c r="I393" i="1"/>
  <c r="S393" i="1"/>
  <c r="B394" i="1"/>
  <c r="E394" i="1"/>
  <c r="I394" i="1"/>
  <c r="S394" i="1"/>
  <c r="B395" i="1"/>
  <c r="E395" i="1"/>
  <c r="I395" i="1"/>
  <c r="S395" i="1"/>
  <c r="B396" i="1"/>
  <c r="E396" i="1"/>
  <c r="I396" i="1"/>
  <c r="S396" i="1"/>
  <c r="B397" i="1"/>
  <c r="E397" i="1"/>
  <c r="I397" i="1"/>
  <c r="S397" i="1"/>
  <c r="B398" i="1"/>
  <c r="E398" i="1"/>
  <c r="I398" i="1"/>
  <c r="S398" i="1"/>
  <c r="B399" i="1"/>
  <c r="E399" i="1"/>
  <c r="I399" i="1"/>
  <c r="S399" i="1"/>
  <c r="B400" i="1"/>
  <c r="E400" i="1"/>
  <c r="I400" i="1"/>
  <c r="S400" i="1"/>
  <c r="B401" i="1"/>
  <c r="E401" i="1"/>
  <c r="I401" i="1"/>
  <c r="S401" i="1"/>
  <c r="B402" i="1"/>
  <c r="E402" i="1"/>
  <c r="I402" i="1"/>
  <c r="S402" i="1"/>
  <c r="B403" i="1"/>
  <c r="E403" i="1"/>
  <c r="I403" i="1"/>
  <c r="B404" i="1"/>
  <c r="E404" i="1"/>
  <c r="I404" i="1"/>
  <c r="S404" i="1"/>
  <c r="B405" i="1"/>
  <c r="E405" i="1"/>
  <c r="I405" i="1"/>
  <c r="S405" i="1"/>
  <c r="B406" i="1"/>
  <c r="E406" i="1"/>
  <c r="I406" i="1"/>
  <c r="S406" i="1"/>
  <c r="B407" i="1"/>
  <c r="E407" i="1"/>
  <c r="I407" i="1"/>
  <c r="S407" i="1"/>
  <c r="B408" i="1"/>
  <c r="E408" i="1"/>
  <c r="I408" i="1"/>
  <c r="S408" i="1"/>
  <c r="B409" i="1"/>
  <c r="E409" i="1"/>
  <c r="I409" i="1"/>
  <c r="S409" i="1"/>
  <c r="B410" i="1"/>
  <c r="E410" i="1"/>
  <c r="I410" i="1"/>
  <c r="S410" i="1"/>
  <c r="B411" i="1"/>
  <c r="E411" i="1"/>
  <c r="I411" i="1"/>
  <c r="S411" i="1"/>
  <c r="B412" i="1"/>
  <c r="E412" i="1"/>
  <c r="I412" i="1"/>
  <c r="S412" i="1"/>
  <c r="B413" i="1"/>
  <c r="E413" i="1"/>
  <c r="I413" i="1"/>
  <c r="S413" i="1"/>
  <c r="B414" i="1"/>
  <c r="E414" i="1"/>
  <c r="I414" i="1"/>
  <c r="S414" i="1"/>
  <c r="B415" i="1"/>
  <c r="E415" i="1"/>
  <c r="I415" i="1"/>
  <c r="S415" i="1"/>
  <c r="B416" i="1"/>
  <c r="E416" i="1"/>
  <c r="I416" i="1"/>
  <c r="S416" i="1"/>
  <c r="B417" i="1"/>
  <c r="E417" i="1"/>
  <c r="I417" i="1"/>
  <c r="S417" i="1"/>
  <c r="B418" i="1"/>
  <c r="E418" i="1"/>
  <c r="I418" i="1"/>
  <c r="S418" i="1"/>
  <c r="B419" i="1"/>
  <c r="E419" i="1"/>
  <c r="I419" i="1"/>
  <c r="S419" i="1"/>
  <c r="B420" i="1"/>
  <c r="E420" i="1"/>
  <c r="I420" i="1"/>
  <c r="S420" i="1"/>
  <c r="B421" i="1"/>
  <c r="E421" i="1"/>
  <c r="I421" i="1"/>
  <c r="S421" i="1"/>
  <c r="B422" i="1"/>
  <c r="E422" i="1"/>
  <c r="I422" i="1"/>
  <c r="S422" i="1"/>
  <c r="B423" i="1"/>
  <c r="E423" i="1"/>
  <c r="I423" i="1"/>
  <c r="S423" i="1"/>
  <c r="B424" i="1"/>
  <c r="E424" i="1"/>
  <c r="I424" i="1"/>
  <c r="S424" i="1"/>
  <c r="B425" i="1"/>
  <c r="E425" i="1"/>
  <c r="I425" i="1"/>
  <c r="S425" i="1"/>
  <c r="B426" i="1"/>
  <c r="E426" i="1"/>
  <c r="I426" i="1"/>
  <c r="S426" i="1"/>
  <c r="B427" i="1"/>
  <c r="E427" i="1"/>
  <c r="I427" i="1"/>
  <c r="S427" i="1"/>
  <c r="B428" i="1"/>
  <c r="E428" i="1"/>
  <c r="I428" i="1"/>
  <c r="S428" i="1"/>
  <c r="B429" i="1"/>
  <c r="E429" i="1"/>
  <c r="I429" i="1"/>
  <c r="S429" i="1"/>
  <c r="B430" i="1"/>
  <c r="E430" i="1"/>
  <c r="I430" i="1"/>
  <c r="S430" i="1"/>
  <c r="B431" i="1"/>
  <c r="E431" i="1"/>
  <c r="I431" i="1"/>
  <c r="S431" i="1"/>
  <c r="B432" i="1"/>
  <c r="E432" i="1"/>
  <c r="I432" i="1"/>
  <c r="S432" i="1"/>
  <c r="B433" i="1"/>
  <c r="E433" i="1"/>
  <c r="I433" i="1"/>
  <c r="S433" i="1"/>
  <c r="B434" i="1"/>
  <c r="E434" i="1"/>
  <c r="I434" i="1"/>
  <c r="S434" i="1"/>
  <c r="B435" i="1"/>
  <c r="E435" i="1"/>
  <c r="I435" i="1"/>
  <c r="S435" i="1"/>
  <c r="B436" i="1"/>
  <c r="E436" i="1"/>
  <c r="I436" i="1"/>
  <c r="S436" i="1"/>
  <c r="B437" i="1"/>
  <c r="E437" i="1"/>
  <c r="I437" i="1"/>
  <c r="S437" i="1"/>
  <c r="B438" i="1"/>
  <c r="E438" i="1"/>
  <c r="I438" i="1"/>
  <c r="S438" i="1"/>
  <c r="B439" i="1"/>
  <c r="E439" i="1"/>
  <c r="I439" i="1"/>
  <c r="S439" i="1"/>
  <c r="B440" i="1"/>
  <c r="E440" i="1"/>
  <c r="I440" i="1"/>
  <c r="S440" i="1"/>
  <c r="B441" i="1"/>
  <c r="E441" i="1"/>
  <c r="I441" i="1"/>
  <c r="S441" i="1"/>
  <c r="B442" i="1"/>
  <c r="E442" i="1"/>
  <c r="I442" i="1"/>
  <c r="S442" i="1"/>
  <c r="B443" i="1"/>
  <c r="E443" i="1"/>
  <c r="I443" i="1"/>
  <c r="S443" i="1"/>
  <c r="B444" i="1"/>
  <c r="E444" i="1"/>
  <c r="I444" i="1"/>
  <c r="S444" i="1"/>
  <c r="B445" i="1"/>
  <c r="E445" i="1"/>
  <c r="I445" i="1"/>
  <c r="S445" i="1"/>
  <c r="B446" i="1"/>
  <c r="E446" i="1"/>
  <c r="I446" i="1"/>
  <c r="S446" i="1"/>
  <c r="B447" i="1"/>
  <c r="E447" i="1"/>
  <c r="I447" i="1"/>
  <c r="S447" i="1"/>
  <c r="B448" i="1"/>
  <c r="E448" i="1"/>
  <c r="I448" i="1"/>
  <c r="S448" i="1"/>
  <c r="B449" i="1"/>
  <c r="E449" i="1"/>
  <c r="I449" i="1"/>
  <c r="S449" i="1"/>
  <c r="B450" i="1"/>
  <c r="E450" i="1"/>
  <c r="I450" i="1"/>
  <c r="S450" i="1"/>
  <c r="B451" i="1"/>
  <c r="E451" i="1"/>
  <c r="I451" i="1"/>
  <c r="S451" i="1"/>
  <c r="B452" i="1"/>
  <c r="E452" i="1"/>
  <c r="I452" i="1"/>
  <c r="S452" i="1"/>
  <c r="B453" i="1"/>
  <c r="E453" i="1"/>
  <c r="I453" i="1"/>
  <c r="S453" i="1"/>
  <c r="B454" i="1"/>
  <c r="E454" i="1"/>
  <c r="I454" i="1"/>
  <c r="S454" i="1"/>
  <c r="B455" i="1"/>
  <c r="E455" i="1"/>
  <c r="I455" i="1"/>
  <c r="S455" i="1"/>
  <c r="B456" i="1"/>
  <c r="E456" i="1"/>
  <c r="I456" i="1"/>
  <c r="S456" i="1"/>
  <c r="B457" i="1"/>
  <c r="E457" i="1"/>
  <c r="I457" i="1"/>
  <c r="S457" i="1"/>
  <c r="B458" i="1"/>
  <c r="E458" i="1"/>
  <c r="I458" i="1"/>
  <c r="S458" i="1"/>
  <c r="B459" i="1"/>
  <c r="E459" i="1"/>
  <c r="I459" i="1"/>
  <c r="S459" i="1"/>
  <c r="B460" i="1"/>
  <c r="E460" i="1"/>
  <c r="I460" i="1"/>
  <c r="S460" i="1"/>
  <c r="B461" i="1"/>
  <c r="E461" i="1"/>
  <c r="I461" i="1"/>
  <c r="S461" i="1"/>
  <c r="B462" i="1"/>
  <c r="E462" i="1"/>
  <c r="I462" i="1"/>
  <c r="S462" i="1"/>
  <c r="B463" i="1"/>
  <c r="E463" i="1"/>
  <c r="I463" i="1"/>
  <c r="S463" i="1"/>
  <c r="B464" i="1"/>
  <c r="E464" i="1"/>
  <c r="I464" i="1"/>
  <c r="S464" i="1"/>
  <c r="B465" i="1"/>
  <c r="E465" i="1"/>
  <c r="I465" i="1"/>
  <c r="S465" i="1"/>
  <c r="B466" i="1"/>
  <c r="E466" i="1"/>
  <c r="I466" i="1"/>
  <c r="S466" i="1"/>
  <c r="B467" i="1"/>
  <c r="E467" i="1"/>
  <c r="I467" i="1"/>
  <c r="S467" i="1"/>
  <c r="B468" i="1"/>
  <c r="E468" i="1"/>
  <c r="I468" i="1"/>
  <c r="S468" i="1"/>
  <c r="B469" i="1"/>
  <c r="E469" i="1"/>
  <c r="I469" i="1"/>
  <c r="S469" i="1"/>
  <c r="B470" i="1"/>
  <c r="E470" i="1"/>
  <c r="I470" i="1"/>
  <c r="S470" i="1"/>
  <c r="B471" i="1"/>
  <c r="E471" i="1"/>
  <c r="I471" i="1"/>
  <c r="S471" i="1"/>
  <c r="B472" i="1"/>
  <c r="E472" i="1"/>
  <c r="I472" i="1"/>
  <c r="S472" i="1"/>
  <c r="B473" i="1"/>
  <c r="E473" i="1"/>
  <c r="I473" i="1"/>
  <c r="S473" i="1"/>
  <c r="B474" i="1"/>
  <c r="E474" i="1"/>
  <c r="I474" i="1"/>
  <c r="S474" i="1"/>
  <c r="B475" i="1"/>
  <c r="E475" i="1"/>
  <c r="I475" i="1"/>
  <c r="S475" i="1"/>
  <c r="B476" i="1"/>
  <c r="E476" i="1"/>
  <c r="I476" i="1"/>
  <c r="S476" i="1"/>
  <c r="B477" i="1"/>
  <c r="E477" i="1"/>
  <c r="I477" i="1"/>
  <c r="S477" i="1"/>
  <c r="B478" i="1"/>
  <c r="E478" i="1"/>
  <c r="I478" i="1"/>
  <c r="S478" i="1"/>
  <c r="B479" i="1"/>
  <c r="E479" i="1"/>
  <c r="I479" i="1"/>
  <c r="S479" i="1"/>
  <c r="B480" i="1"/>
  <c r="E480" i="1"/>
  <c r="I480" i="1"/>
  <c r="S480" i="1"/>
  <c r="B481" i="1"/>
  <c r="E481" i="1"/>
  <c r="I481" i="1"/>
  <c r="S481" i="1"/>
  <c r="B482" i="1"/>
  <c r="E482" i="1"/>
  <c r="I482" i="1"/>
  <c r="S482" i="1"/>
  <c r="B483" i="1"/>
  <c r="E483" i="1"/>
  <c r="I483" i="1"/>
  <c r="S483" i="1"/>
  <c r="B484" i="1"/>
  <c r="E484" i="1"/>
  <c r="I484" i="1"/>
  <c r="S484" i="1"/>
  <c r="B485" i="1"/>
  <c r="E485" i="1"/>
  <c r="I485" i="1"/>
  <c r="S485" i="1"/>
  <c r="B486" i="1"/>
  <c r="E486" i="1"/>
  <c r="I486" i="1"/>
  <c r="S486" i="1"/>
  <c r="B487" i="1"/>
  <c r="E487" i="1"/>
  <c r="I487" i="1"/>
  <c r="S487" i="1"/>
  <c r="B488" i="1"/>
  <c r="E488" i="1"/>
  <c r="I488" i="1"/>
  <c r="S488" i="1"/>
  <c r="B489" i="1"/>
  <c r="E489" i="1"/>
  <c r="I489" i="1"/>
  <c r="S489" i="1"/>
  <c r="B490" i="1"/>
  <c r="E490" i="1"/>
  <c r="I490" i="1"/>
  <c r="S490" i="1"/>
  <c r="B491" i="1"/>
  <c r="E491" i="1"/>
  <c r="I491" i="1"/>
  <c r="S491" i="1"/>
  <c r="B492" i="1"/>
  <c r="E492" i="1"/>
  <c r="I492" i="1"/>
  <c r="S492" i="1"/>
  <c r="B493" i="1"/>
  <c r="E493" i="1"/>
  <c r="I493" i="1"/>
  <c r="S493" i="1"/>
  <c r="B494" i="1"/>
  <c r="E494" i="1"/>
  <c r="I494" i="1"/>
  <c r="S494" i="1"/>
  <c r="B495" i="1"/>
  <c r="E495" i="1"/>
  <c r="I495" i="1"/>
  <c r="S495" i="1"/>
  <c r="B496" i="1"/>
  <c r="E496" i="1"/>
  <c r="I496" i="1"/>
  <c r="S496" i="1"/>
  <c r="B497" i="1"/>
  <c r="E497" i="1"/>
  <c r="I497" i="1"/>
  <c r="S497" i="1"/>
  <c r="B498" i="1"/>
  <c r="E498" i="1"/>
  <c r="I498" i="1"/>
  <c r="S498" i="1"/>
  <c r="B499" i="1"/>
  <c r="E499" i="1"/>
  <c r="I499" i="1"/>
  <c r="S499" i="1"/>
  <c r="B500" i="1"/>
  <c r="E500" i="1"/>
  <c r="I500" i="1"/>
  <c r="S500" i="1"/>
  <c r="B501" i="1"/>
  <c r="E501" i="1"/>
  <c r="I501" i="1"/>
  <c r="S501" i="1"/>
  <c r="B502" i="1"/>
  <c r="E502" i="1"/>
  <c r="I502" i="1"/>
  <c r="S502" i="1"/>
  <c r="B503" i="1"/>
  <c r="E503" i="1"/>
  <c r="I503" i="1"/>
  <c r="S503" i="1"/>
  <c r="B504" i="1"/>
  <c r="E504" i="1"/>
  <c r="I504" i="1"/>
  <c r="S504" i="1"/>
  <c r="B505" i="1"/>
  <c r="E505" i="1"/>
  <c r="I505" i="1"/>
  <c r="S505" i="1"/>
  <c r="B506" i="1"/>
  <c r="E506" i="1"/>
  <c r="I506" i="1"/>
  <c r="S506" i="1"/>
  <c r="B507" i="1"/>
  <c r="E507" i="1"/>
  <c r="I507" i="1"/>
  <c r="S507" i="1"/>
  <c r="B508" i="1"/>
  <c r="E508" i="1"/>
  <c r="I508" i="1"/>
  <c r="S508" i="1"/>
  <c r="B509" i="1"/>
  <c r="E509" i="1"/>
  <c r="I509" i="1"/>
  <c r="S509" i="1"/>
  <c r="B510" i="1"/>
  <c r="E510" i="1"/>
  <c r="I510" i="1"/>
  <c r="S510" i="1"/>
  <c r="B511" i="1"/>
  <c r="E511" i="1"/>
  <c r="I511" i="1"/>
  <c r="S511" i="1"/>
  <c r="B512" i="1"/>
  <c r="E512" i="1"/>
  <c r="I512" i="1"/>
  <c r="S512" i="1"/>
  <c r="B513" i="1"/>
  <c r="E513" i="1"/>
  <c r="I513" i="1"/>
  <c r="S513" i="1"/>
  <c r="B514" i="1"/>
  <c r="E514" i="1"/>
  <c r="I514" i="1"/>
  <c r="S514" i="1"/>
  <c r="B515" i="1"/>
  <c r="E515" i="1"/>
  <c r="I515" i="1"/>
  <c r="S515" i="1"/>
  <c r="B516" i="1"/>
  <c r="E516" i="1"/>
  <c r="I516" i="1"/>
  <c r="S516" i="1"/>
  <c r="B517" i="1"/>
  <c r="E517" i="1"/>
  <c r="I517" i="1"/>
  <c r="S517" i="1"/>
  <c r="B518" i="1"/>
  <c r="E518" i="1"/>
  <c r="I518" i="1"/>
  <c r="S518" i="1"/>
  <c r="B519" i="1"/>
  <c r="E519" i="1"/>
  <c r="I519" i="1"/>
  <c r="S519" i="1"/>
  <c r="B520" i="1"/>
  <c r="E520" i="1"/>
  <c r="I520" i="1"/>
  <c r="S520" i="1"/>
  <c r="B521" i="1"/>
  <c r="E521" i="1"/>
  <c r="I521" i="1"/>
  <c r="S521" i="1"/>
  <c r="B522" i="1"/>
  <c r="E522" i="1"/>
  <c r="I522" i="1"/>
  <c r="S522" i="1"/>
  <c r="B523" i="1"/>
  <c r="E523" i="1"/>
  <c r="I523" i="1"/>
  <c r="S523" i="1"/>
  <c r="B524" i="1"/>
  <c r="E524" i="1"/>
  <c r="I524" i="1"/>
  <c r="S524" i="1"/>
  <c r="B525" i="1"/>
  <c r="E525" i="1"/>
  <c r="I525" i="1"/>
  <c r="S525" i="1"/>
  <c r="B526" i="1"/>
  <c r="E526" i="1"/>
  <c r="I526" i="1"/>
  <c r="S526" i="1"/>
  <c r="B527" i="1"/>
  <c r="E527" i="1"/>
  <c r="I527" i="1"/>
  <c r="S527" i="1"/>
  <c r="B528" i="1"/>
  <c r="E528" i="1"/>
  <c r="I528" i="1"/>
  <c r="S528" i="1"/>
  <c r="B529" i="1"/>
  <c r="E529" i="1"/>
  <c r="I529" i="1"/>
  <c r="B530" i="1"/>
  <c r="E530" i="1"/>
  <c r="I530" i="1"/>
  <c r="S530" i="1"/>
  <c r="B531" i="1"/>
  <c r="E531" i="1"/>
  <c r="I531" i="1"/>
  <c r="S531" i="1"/>
  <c r="B532" i="1"/>
  <c r="E532" i="1"/>
  <c r="I532" i="1"/>
  <c r="S532" i="1"/>
  <c r="B533" i="1"/>
  <c r="E533" i="1"/>
  <c r="I533" i="1"/>
  <c r="S533" i="1"/>
  <c r="B534" i="1"/>
  <c r="E534" i="1"/>
  <c r="I534" i="1"/>
  <c r="S534" i="1"/>
  <c r="B535" i="1"/>
  <c r="E535" i="1"/>
  <c r="I535" i="1"/>
  <c r="S535" i="1"/>
  <c r="B536" i="1"/>
  <c r="E536" i="1"/>
  <c r="I536" i="1"/>
  <c r="B537" i="1"/>
  <c r="E537" i="1"/>
  <c r="I537" i="1"/>
  <c r="S537" i="1"/>
  <c r="B538" i="1"/>
  <c r="E538" i="1"/>
  <c r="I538" i="1"/>
  <c r="S538" i="1"/>
  <c r="B539" i="1"/>
  <c r="E539" i="1"/>
  <c r="I539" i="1"/>
  <c r="S539" i="1"/>
  <c r="B540" i="1"/>
  <c r="E540" i="1"/>
  <c r="I540" i="1"/>
  <c r="S540" i="1"/>
  <c r="B541" i="1"/>
  <c r="E541" i="1"/>
  <c r="I541" i="1"/>
  <c r="S541" i="1"/>
  <c r="B542" i="1"/>
  <c r="E542" i="1"/>
  <c r="I542" i="1"/>
  <c r="S542" i="1"/>
  <c r="B543" i="1"/>
  <c r="E543" i="1"/>
  <c r="I543" i="1"/>
  <c r="S543" i="1"/>
  <c r="B544" i="1"/>
  <c r="E544" i="1"/>
  <c r="I544" i="1"/>
  <c r="S544" i="1"/>
  <c r="B545" i="1"/>
  <c r="E545" i="1"/>
  <c r="I545" i="1"/>
  <c r="S545" i="1"/>
  <c r="B546" i="1"/>
  <c r="E546" i="1"/>
  <c r="I546" i="1"/>
  <c r="S546" i="1"/>
  <c r="B547" i="1"/>
  <c r="E547" i="1"/>
  <c r="I547" i="1"/>
  <c r="S547" i="1"/>
  <c r="B548" i="1"/>
  <c r="E548" i="1"/>
  <c r="I548" i="1"/>
  <c r="B549" i="1"/>
  <c r="E549" i="1"/>
  <c r="I549" i="1"/>
  <c r="S549" i="1"/>
  <c r="B550" i="1"/>
  <c r="E550" i="1"/>
  <c r="I550" i="1"/>
  <c r="S550" i="1"/>
  <c r="B551" i="1"/>
  <c r="E551" i="1"/>
  <c r="I551" i="1"/>
  <c r="S551" i="1"/>
  <c r="B552" i="1"/>
  <c r="E552" i="1"/>
  <c r="I552" i="1"/>
  <c r="S552" i="1"/>
  <c r="B553" i="1"/>
  <c r="E553" i="1"/>
  <c r="I553" i="1"/>
  <c r="S553" i="1"/>
  <c r="B554" i="1"/>
  <c r="E554" i="1"/>
  <c r="I554" i="1"/>
  <c r="S554" i="1"/>
  <c r="B555" i="1"/>
  <c r="E555" i="1"/>
  <c r="I555" i="1"/>
  <c r="B556" i="1"/>
  <c r="E556" i="1"/>
  <c r="I556" i="1"/>
  <c r="S556" i="1"/>
  <c r="B557" i="1"/>
  <c r="E557" i="1"/>
  <c r="I557" i="1"/>
  <c r="S557" i="1"/>
  <c r="B558" i="1"/>
  <c r="E558" i="1"/>
  <c r="I558" i="1"/>
  <c r="S558" i="1"/>
  <c r="B559" i="1"/>
  <c r="E559" i="1"/>
  <c r="I559" i="1"/>
  <c r="S559" i="1"/>
  <c r="B560" i="1"/>
  <c r="E560" i="1"/>
  <c r="I560" i="1"/>
  <c r="S560" i="1"/>
  <c r="B561" i="1"/>
  <c r="E561" i="1"/>
  <c r="I561" i="1"/>
  <c r="S561" i="1"/>
  <c r="B562" i="1"/>
  <c r="E562" i="1"/>
  <c r="I562" i="1"/>
  <c r="S562" i="1"/>
  <c r="B563" i="1"/>
  <c r="E563" i="1"/>
  <c r="I563" i="1"/>
  <c r="S563" i="1"/>
  <c r="B564" i="1"/>
  <c r="E564" i="1"/>
  <c r="I564" i="1"/>
  <c r="S564" i="1"/>
  <c r="B565" i="1"/>
  <c r="E565" i="1"/>
  <c r="I565" i="1"/>
  <c r="S565" i="1"/>
  <c r="B566" i="1"/>
  <c r="E566" i="1"/>
  <c r="I566" i="1"/>
  <c r="S566" i="1"/>
  <c r="B567" i="1"/>
  <c r="E567" i="1"/>
  <c r="I567" i="1"/>
  <c r="S567" i="1"/>
  <c r="B568" i="1"/>
  <c r="E568" i="1"/>
  <c r="I568" i="1"/>
  <c r="S568" i="1"/>
  <c r="B569" i="1"/>
  <c r="E569" i="1"/>
  <c r="I569" i="1"/>
  <c r="S569" i="1"/>
  <c r="B570" i="1"/>
  <c r="E570" i="1"/>
  <c r="I570" i="1"/>
  <c r="S570" i="1"/>
  <c r="B571" i="1"/>
  <c r="E571" i="1"/>
  <c r="I571" i="1"/>
  <c r="S571" i="1"/>
  <c r="B572" i="1"/>
  <c r="E572" i="1"/>
  <c r="I572" i="1"/>
  <c r="S572" i="1"/>
  <c r="B573" i="1"/>
  <c r="E573" i="1"/>
  <c r="I573" i="1"/>
  <c r="S573" i="1"/>
  <c r="B574" i="1"/>
  <c r="E574" i="1"/>
  <c r="I574" i="1"/>
  <c r="S574" i="1"/>
  <c r="B575" i="1"/>
  <c r="E575" i="1"/>
  <c r="I575" i="1"/>
  <c r="S575" i="1"/>
  <c r="B576" i="1"/>
  <c r="E576" i="1"/>
  <c r="I576" i="1"/>
  <c r="S576" i="1"/>
  <c r="B577" i="1"/>
  <c r="E577" i="1"/>
  <c r="I577" i="1"/>
  <c r="S577" i="1"/>
  <c r="B578" i="1"/>
  <c r="E578" i="1"/>
  <c r="I578" i="1"/>
  <c r="S578" i="1"/>
  <c r="B579" i="1"/>
  <c r="E579" i="1"/>
  <c r="I579" i="1"/>
  <c r="S579" i="1"/>
  <c r="B580" i="1"/>
  <c r="E580" i="1"/>
  <c r="I580" i="1"/>
  <c r="S580" i="1"/>
  <c r="B581" i="1"/>
  <c r="E581" i="1"/>
  <c r="I581" i="1"/>
  <c r="S581" i="1"/>
  <c r="B582" i="1"/>
  <c r="E582" i="1"/>
  <c r="I582" i="1"/>
  <c r="S582" i="1"/>
  <c r="B583" i="1"/>
  <c r="E583" i="1"/>
  <c r="I583" i="1"/>
  <c r="S583" i="1"/>
  <c r="B584" i="1"/>
  <c r="E584" i="1"/>
  <c r="I584" i="1"/>
  <c r="S584" i="1"/>
  <c r="B585" i="1"/>
  <c r="E585" i="1"/>
  <c r="I585" i="1"/>
  <c r="S585" i="1"/>
  <c r="B586" i="1"/>
  <c r="E586" i="1"/>
  <c r="I586" i="1"/>
  <c r="S586" i="1"/>
  <c r="B587" i="1"/>
  <c r="E587" i="1"/>
  <c r="I587" i="1"/>
  <c r="S587" i="1"/>
  <c r="B588" i="1"/>
  <c r="E588" i="1"/>
  <c r="I588" i="1"/>
  <c r="S588" i="1"/>
  <c r="B589" i="1"/>
  <c r="E589" i="1"/>
  <c r="I589" i="1"/>
  <c r="S589" i="1"/>
  <c r="B590" i="1"/>
  <c r="E590" i="1"/>
  <c r="I590" i="1"/>
  <c r="S590" i="1"/>
  <c r="B591" i="1"/>
  <c r="E591" i="1"/>
  <c r="I591" i="1"/>
  <c r="S591" i="1"/>
  <c r="B592" i="1"/>
  <c r="E592" i="1"/>
  <c r="I592" i="1"/>
  <c r="S592" i="1"/>
  <c r="B593" i="1"/>
  <c r="E593" i="1"/>
  <c r="I593" i="1"/>
  <c r="S593" i="1"/>
  <c r="B594" i="1"/>
  <c r="E594" i="1"/>
  <c r="I594" i="1"/>
  <c r="S594" i="1"/>
  <c r="B595" i="1"/>
  <c r="E595" i="1"/>
  <c r="I595" i="1"/>
  <c r="S595" i="1"/>
  <c r="B596" i="1"/>
  <c r="E596" i="1"/>
  <c r="I596" i="1"/>
  <c r="S596" i="1"/>
  <c r="B597" i="1"/>
  <c r="E597" i="1"/>
  <c r="I597" i="1"/>
  <c r="S597" i="1"/>
  <c r="B598" i="1"/>
  <c r="E598" i="1"/>
  <c r="I598" i="1"/>
  <c r="S598" i="1"/>
  <c r="B599" i="1"/>
  <c r="E599" i="1"/>
  <c r="I599" i="1"/>
  <c r="S599" i="1"/>
  <c r="B600" i="1"/>
  <c r="E600" i="1"/>
  <c r="I600" i="1"/>
  <c r="S600" i="1"/>
  <c r="B601" i="1"/>
  <c r="E601" i="1"/>
  <c r="I601" i="1"/>
  <c r="S601" i="1"/>
  <c r="B602" i="1"/>
  <c r="E602" i="1"/>
  <c r="I602" i="1"/>
  <c r="S602" i="1"/>
  <c r="B603" i="1"/>
  <c r="E603" i="1"/>
  <c r="I603" i="1"/>
  <c r="S603" i="1"/>
  <c r="B604" i="1"/>
  <c r="E604" i="1"/>
  <c r="I604" i="1"/>
  <c r="S604" i="1"/>
  <c r="B605" i="1"/>
  <c r="E605" i="1"/>
  <c r="I605" i="1"/>
  <c r="S605" i="1"/>
  <c r="B606" i="1"/>
  <c r="E606" i="1"/>
  <c r="I606" i="1"/>
  <c r="S606" i="1"/>
  <c r="B607" i="1"/>
  <c r="E607" i="1"/>
  <c r="I607" i="1"/>
  <c r="S607" i="1"/>
  <c r="B608" i="1"/>
  <c r="E608" i="1"/>
  <c r="I608" i="1"/>
  <c r="S608" i="1"/>
  <c r="B609" i="1"/>
  <c r="E609" i="1"/>
  <c r="I609" i="1"/>
  <c r="S609" i="1"/>
  <c r="B610" i="1"/>
  <c r="E610" i="1"/>
  <c r="I610" i="1"/>
  <c r="S610" i="1"/>
  <c r="B611" i="1"/>
  <c r="E611" i="1"/>
  <c r="I611" i="1"/>
  <c r="S611" i="1"/>
  <c r="B612" i="1"/>
  <c r="E612" i="1"/>
  <c r="I612" i="1"/>
  <c r="S612" i="1"/>
  <c r="B613" i="1"/>
  <c r="E613" i="1"/>
  <c r="I613" i="1"/>
  <c r="S613" i="1"/>
  <c r="B614" i="1"/>
  <c r="E614" i="1"/>
  <c r="I614" i="1"/>
  <c r="S614" i="1"/>
  <c r="B615" i="1"/>
  <c r="E615" i="1"/>
  <c r="I615" i="1"/>
  <c r="S615" i="1"/>
  <c r="B616" i="1"/>
  <c r="E616" i="1"/>
  <c r="I616" i="1"/>
  <c r="S616" i="1"/>
  <c r="B617" i="1"/>
  <c r="E617" i="1"/>
  <c r="I617" i="1"/>
  <c r="S617" i="1"/>
  <c r="B618" i="1"/>
  <c r="E618" i="1"/>
  <c r="I618" i="1"/>
  <c r="S618" i="1"/>
  <c r="B619" i="1"/>
  <c r="E619" i="1"/>
  <c r="I619" i="1"/>
  <c r="S619" i="1"/>
  <c r="B620" i="1"/>
  <c r="E620" i="1"/>
  <c r="I620" i="1"/>
  <c r="S620" i="1"/>
  <c r="B621" i="1"/>
  <c r="E621" i="1"/>
  <c r="I621" i="1"/>
  <c r="S621" i="1"/>
  <c r="B622" i="1"/>
  <c r="E622" i="1"/>
  <c r="I622" i="1"/>
  <c r="S622" i="1"/>
  <c r="B623" i="1"/>
  <c r="E623" i="1"/>
  <c r="I623" i="1"/>
  <c r="S623" i="1"/>
  <c r="B624" i="1"/>
  <c r="E624" i="1"/>
  <c r="I624" i="1"/>
  <c r="S624" i="1"/>
  <c r="B625" i="1"/>
  <c r="E625" i="1"/>
  <c r="I625" i="1"/>
  <c r="S625" i="1"/>
  <c r="B626" i="1"/>
  <c r="E626" i="1"/>
  <c r="I626" i="1"/>
  <c r="S626" i="1"/>
  <c r="B627" i="1"/>
  <c r="E627" i="1"/>
  <c r="I627" i="1"/>
  <c r="S627" i="1"/>
  <c r="B628" i="1"/>
  <c r="E628" i="1"/>
  <c r="I628" i="1"/>
  <c r="S628" i="1"/>
  <c r="B629" i="1"/>
  <c r="E629" i="1"/>
  <c r="I629" i="1"/>
  <c r="S629" i="1"/>
  <c r="B630" i="1"/>
  <c r="E630" i="1"/>
  <c r="I630" i="1"/>
  <c r="S630" i="1"/>
  <c r="B631" i="1"/>
  <c r="E631" i="1"/>
  <c r="I631" i="1"/>
  <c r="S631" i="1"/>
  <c r="B632" i="1"/>
  <c r="E632" i="1"/>
  <c r="I632" i="1"/>
  <c r="S632" i="1"/>
  <c r="B633" i="1"/>
  <c r="E633" i="1"/>
  <c r="I633" i="1"/>
  <c r="S633" i="1"/>
  <c r="B634" i="1"/>
  <c r="E634" i="1"/>
  <c r="I634" i="1"/>
  <c r="S634" i="1"/>
  <c r="B635" i="1"/>
  <c r="E635" i="1"/>
  <c r="I635" i="1"/>
  <c r="S635" i="1"/>
  <c r="B636" i="1"/>
  <c r="E636" i="1"/>
  <c r="I636" i="1"/>
  <c r="S636" i="1"/>
  <c r="B637" i="1"/>
  <c r="E637" i="1"/>
  <c r="I637" i="1"/>
  <c r="S637" i="1"/>
  <c r="B638" i="1"/>
  <c r="E638" i="1"/>
  <c r="I638" i="1"/>
  <c r="S638" i="1"/>
  <c r="B639" i="1"/>
  <c r="E639" i="1"/>
  <c r="I639" i="1"/>
  <c r="S639" i="1"/>
  <c r="B640" i="1"/>
  <c r="E640" i="1"/>
  <c r="I640" i="1"/>
  <c r="S640" i="1"/>
  <c r="B641" i="1"/>
  <c r="E641" i="1"/>
  <c r="I641" i="1"/>
  <c r="S641" i="1"/>
  <c r="B642" i="1"/>
  <c r="E642" i="1"/>
  <c r="I642" i="1"/>
  <c r="S642" i="1"/>
  <c r="B643" i="1"/>
  <c r="E643" i="1"/>
  <c r="I643" i="1"/>
  <c r="S643" i="1"/>
  <c r="B644" i="1"/>
  <c r="E644" i="1"/>
  <c r="I644" i="1"/>
  <c r="S644" i="1"/>
  <c r="B645" i="1"/>
  <c r="E645" i="1"/>
  <c r="I645" i="1"/>
  <c r="S645" i="1"/>
  <c r="B646" i="1"/>
  <c r="E646" i="1"/>
  <c r="I646" i="1"/>
  <c r="S646" i="1"/>
  <c r="B647" i="1"/>
  <c r="E647" i="1"/>
  <c r="I647" i="1"/>
  <c r="S647" i="1"/>
  <c r="B648" i="1"/>
  <c r="E648" i="1"/>
  <c r="I648" i="1"/>
  <c r="S648" i="1"/>
  <c r="B649" i="1"/>
  <c r="E649" i="1"/>
  <c r="I649" i="1"/>
  <c r="S649" i="1"/>
  <c r="B650" i="1"/>
  <c r="E650" i="1"/>
  <c r="I650" i="1"/>
  <c r="S650" i="1"/>
  <c r="B651" i="1"/>
  <c r="E651" i="1"/>
  <c r="I651" i="1"/>
  <c r="S651" i="1"/>
  <c r="B652" i="1"/>
  <c r="E652" i="1"/>
  <c r="I652" i="1"/>
  <c r="S652" i="1"/>
  <c r="B653" i="1"/>
  <c r="E653" i="1"/>
  <c r="I653" i="1"/>
  <c r="S653" i="1"/>
  <c r="B654" i="1"/>
  <c r="E654" i="1"/>
  <c r="I654" i="1"/>
  <c r="S654" i="1"/>
  <c r="B655" i="1"/>
  <c r="E655" i="1"/>
  <c r="I655" i="1"/>
  <c r="S655" i="1"/>
  <c r="B656" i="1"/>
  <c r="E656" i="1"/>
  <c r="I656" i="1"/>
  <c r="S656" i="1"/>
  <c r="B657" i="1"/>
  <c r="E657" i="1"/>
  <c r="I657" i="1"/>
  <c r="S657" i="1"/>
  <c r="B658" i="1"/>
  <c r="E658" i="1"/>
  <c r="I658" i="1"/>
  <c r="S658" i="1"/>
  <c r="B659" i="1"/>
  <c r="E659" i="1"/>
  <c r="I659" i="1"/>
  <c r="S659" i="1"/>
  <c r="B660" i="1"/>
  <c r="E660" i="1"/>
  <c r="I660" i="1"/>
  <c r="S660" i="1"/>
  <c r="B661" i="1"/>
  <c r="E661" i="1"/>
  <c r="I661" i="1"/>
  <c r="S661" i="1"/>
  <c r="B662" i="1"/>
  <c r="E662" i="1"/>
  <c r="I662" i="1"/>
  <c r="S662" i="1"/>
  <c r="B663" i="1"/>
  <c r="E663" i="1"/>
  <c r="I663" i="1"/>
  <c r="S663" i="1"/>
  <c r="B664" i="1"/>
  <c r="E664" i="1"/>
  <c r="I664" i="1"/>
  <c r="S664" i="1"/>
  <c r="B665" i="1"/>
  <c r="E665" i="1"/>
  <c r="I665" i="1"/>
  <c r="S665" i="1"/>
  <c r="B666" i="1"/>
  <c r="E666" i="1"/>
  <c r="I666" i="1"/>
  <c r="S666" i="1"/>
  <c r="B667" i="1"/>
  <c r="E667" i="1"/>
  <c r="I667" i="1"/>
  <c r="S667" i="1"/>
  <c r="B668" i="1"/>
  <c r="E668" i="1"/>
  <c r="I668" i="1"/>
  <c r="S668" i="1"/>
  <c r="B669" i="1"/>
  <c r="E669" i="1"/>
  <c r="I669" i="1"/>
  <c r="S669" i="1"/>
  <c r="B670" i="1"/>
  <c r="E670" i="1"/>
  <c r="I670" i="1"/>
  <c r="S670" i="1"/>
  <c r="B671" i="1"/>
  <c r="E671" i="1"/>
  <c r="I671" i="1"/>
  <c r="S671" i="1"/>
  <c r="B672" i="1"/>
  <c r="E672" i="1"/>
  <c r="I672" i="1"/>
  <c r="S672" i="1"/>
  <c r="B673" i="1"/>
  <c r="E673" i="1"/>
  <c r="I673" i="1"/>
  <c r="S673" i="1"/>
  <c r="B674" i="1"/>
  <c r="E674" i="1"/>
  <c r="I674" i="1"/>
  <c r="S674" i="1"/>
  <c r="B675" i="1"/>
  <c r="E675" i="1"/>
  <c r="I675" i="1"/>
  <c r="S675" i="1"/>
  <c r="B676" i="1"/>
  <c r="E676" i="1"/>
  <c r="I676" i="1"/>
  <c r="S676" i="1"/>
  <c r="B677" i="1"/>
  <c r="E677" i="1"/>
  <c r="I677" i="1"/>
  <c r="S677" i="1"/>
  <c r="B678" i="1"/>
  <c r="E678" i="1"/>
  <c r="I678" i="1"/>
  <c r="S678" i="1"/>
  <c r="B679" i="1"/>
  <c r="E679" i="1"/>
  <c r="I679" i="1"/>
  <c r="S679" i="1"/>
  <c r="B680" i="1"/>
  <c r="E680" i="1"/>
  <c r="I680" i="1"/>
  <c r="S680" i="1"/>
  <c r="B681" i="1"/>
  <c r="E681" i="1"/>
  <c r="I681" i="1"/>
  <c r="S681" i="1"/>
  <c r="B682" i="1"/>
  <c r="E682" i="1"/>
  <c r="I682" i="1"/>
  <c r="S682" i="1"/>
  <c r="B683" i="1"/>
  <c r="E683" i="1"/>
  <c r="I683" i="1"/>
  <c r="S683" i="1"/>
  <c r="B684" i="1"/>
  <c r="E684" i="1"/>
  <c r="I684" i="1"/>
  <c r="S684" i="1"/>
  <c r="B685" i="1"/>
  <c r="E685" i="1"/>
  <c r="I685" i="1"/>
  <c r="S685" i="1"/>
  <c r="B686" i="1"/>
  <c r="E686" i="1"/>
  <c r="I686" i="1"/>
  <c r="S686" i="1"/>
  <c r="B687" i="1"/>
  <c r="E687" i="1"/>
  <c r="I687" i="1"/>
  <c r="S687" i="1"/>
  <c r="B688" i="1"/>
  <c r="E688" i="1"/>
  <c r="I688" i="1"/>
  <c r="S688" i="1"/>
  <c r="B689" i="1"/>
  <c r="E689" i="1"/>
  <c r="I689" i="1"/>
  <c r="S689" i="1"/>
  <c r="B690" i="1"/>
  <c r="E690" i="1"/>
  <c r="I690" i="1"/>
  <c r="S690" i="1"/>
  <c r="B691" i="1"/>
  <c r="E691" i="1"/>
  <c r="I691" i="1"/>
  <c r="S691" i="1"/>
  <c r="B692" i="1"/>
  <c r="E692" i="1"/>
  <c r="I692" i="1"/>
  <c r="S692" i="1"/>
  <c r="B693" i="1"/>
  <c r="E693" i="1"/>
  <c r="I693" i="1"/>
  <c r="S693" i="1"/>
  <c r="B694" i="1"/>
  <c r="E694" i="1"/>
  <c r="I694" i="1"/>
  <c r="S694" i="1"/>
  <c r="B695" i="1"/>
  <c r="E695" i="1"/>
  <c r="I695" i="1"/>
  <c r="S695" i="1"/>
  <c r="B696" i="1"/>
  <c r="E696" i="1"/>
  <c r="I696" i="1"/>
  <c r="S696" i="1"/>
  <c r="B697" i="1"/>
  <c r="E697" i="1"/>
  <c r="I697" i="1"/>
  <c r="S697" i="1"/>
  <c r="B698" i="1"/>
  <c r="E698" i="1"/>
  <c r="I698" i="1"/>
  <c r="S698" i="1"/>
  <c r="B699" i="1"/>
  <c r="E699" i="1"/>
  <c r="I699" i="1"/>
  <c r="S699" i="1"/>
  <c r="B700" i="1"/>
  <c r="E700" i="1"/>
  <c r="I700" i="1"/>
  <c r="S700" i="1"/>
  <c r="B701" i="1"/>
  <c r="E701" i="1"/>
  <c r="I701" i="1"/>
  <c r="S701" i="1"/>
  <c r="B702" i="1"/>
  <c r="E702" i="1"/>
  <c r="I702" i="1"/>
  <c r="S702" i="1"/>
  <c r="B703" i="1"/>
  <c r="E703" i="1"/>
  <c r="I703" i="1"/>
  <c r="S703" i="1"/>
  <c r="B704" i="1"/>
  <c r="E704" i="1"/>
  <c r="I704" i="1"/>
  <c r="S704" i="1"/>
  <c r="B705" i="1"/>
  <c r="E705" i="1"/>
  <c r="I705" i="1"/>
  <c r="S705" i="1"/>
  <c r="B706" i="1"/>
  <c r="E706" i="1"/>
  <c r="I706" i="1"/>
  <c r="S706" i="1"/>
  <c r="B707" i="1"/>
  <c r="E707" i="1"/>
  <c r="I707" i="1"/>
  <c r="S707" i="1"/>
  <c r="B708" i="1"/>
  <c r="E708" i="1"/>
  <c r="I708" i="1"/>
  <c r="S708" i="1"/>
  <c r="B709" i="1"/>
  <c r="E709" i="1"/>
  <c r="I709" i="1"/>
  <c r="S709" i="1"/>
  <c r="B710" i="1"/>
  <c r="E710" i="1"/>
  <c r="I710" i="1"/>
  <c r="S710" i="1"/>
  <c r="B711" i="1"/>
  <c r="E711" i="1"/>
  <c r="I711" i="1"/>
  <c r="S711" i="1"/>
  <c r="B712" i="1"/>
  <c r="E712" i="1"/>
  <c r="I712" i="1"/>
  <c r="S712" i="1"/>
  <c r="B713" i="1"/>
  <c r="E713" i="1"/>
  <c r="I713" i="1"/>
  <c r="S713" i="1"/>
  <c r="B714" i="1"/>
  <c r="E714" i="1"/>
  <c r="I714" i="1"/>
  <c r="S714" i="1"/>
  <c r="B715" i="1"/>
  <c r="E715" i="1"/>
  <c r="I715" i="1"/>
  <c r="S715" i="1"/>
  <c r="B716" i="1"/>
  <c r="E716" i="1"/>
  <c r="I716" i="1"/>
  <c r="S716" i="1"/>
  <c r="B717" i="1"/>
  <c r="E717" i="1"/>
  <c r="I717" i="1"/>
  <c r="S717" i="1"/>
  <c r="B718" i="1"/>
  <c r="E718" i="1"/>
  <c r="I718" i="1"/>
  <c r="S718" i="1"/>
  <c r="B719" i="1"/>
  <c r="E719" i="1"/>
  <c r="I719" i="1"/>
  <c r="S719" i="1"/>
  <c r="B720" i="1"/>
  <c r="E720" i="1"/>
  <c r="I720" i="1"/>
  <c r="S720" i="1"/>
  <c r="B721" i="1"/>
  <c r="E721" i="1"/>
  <c r="I721" i="1"/>
  <c r="S721" i="1"/>
  <c r="B722" i="1"/>
  <c r="E722" i="1"/>
  <c r="I722" i="1"/>
  <c r="S722" i="1"/>
  <c r="B723" i="1"/>
  <c r="E723" i="1"/>
  <c r="I723" i="1"/>
  <c r="S723" i="1"/>
  <c r="B724" i="1"/>
  <c r="E724" i="1"/>
  <c r="I724" i="1"/>
  <c r="S724" i="1"/>
  <c r="B725" i="1"/>
  <c r="E725" i="1"/>
  <c r="I725" i="1"/>
  <c r="S725" i="1"/>
  <c r="B726" i="1"/>
  <c r="E726" i="1"/>
  <c r="I726" i="1"/>
  <c r="S726" i="1"/>
  <c r="B727" i="1"/>
  <c r="E727" i="1"/>
  <c r="I727" i="1"/>
  <c r="S727" i="1"/>
  <c r="B728" i="1"/>
  <c r="E728" i="1"/>
  <c r="I728" i="1"/>
  <c r="S728" i="1"/>
  <c r="B729" i="1"/>
  <c r="E729" i="1"/>
  <c r="I729" i="1"/>
  <c r="S729" i="1"/>
  <c r="B730" i="1"/>
  <c r="E730" i="1"/>
  <c r="I730" i="1"/>
  <c r="S730" i="1"/>
  <c r="B731" i="1"/>
  <c r="E731" i="1"/>
  <c r="I731" i="1"/>
  <c r="S731" i="1"/>
  <c r="B732" i="1"/>
  <c r="E732" i="1"/>
  <c r="I732" i="1"/>
  <c r="S732" i="1"/>
  <c r="B733" i="1"/>
  <c r="E733" i="1"/>
  <c r="I733" i="1"/>
  <c r="S733" i="1"/>
  <c r="B734" i="1"/>
  <c r="E734" i="1"/>
  <c r="I734" i="1"/>
  <c r="S734" i="1"/>
  <c r="B735" i="1"/>
  <c r="E735" i="1"/>
  <c r="I735" i="1"/>
  <c r="B736" i="1"/>
  <c r="E736" i="1"/>
  <c r="I736" i="1"/>
  <c r="S736" i="1"/>
  <c r="B737" i="1"/>
  <c r="E737" i="1"/>
  <c r="I737" i="1"/>
  <c r="S737" i="1"/>
  <c r="B738" i="1"/>
  <c r="E738" i="1"/>
  <c r="I738" i="1"/>
  <c r="S738" i="1"/>
  <c r="B739" i="1"/>
  <c r="E739" i="1"/>
  <c r="I739" i="1"/>
  <c r="S739" i="1"/>
  <c r="B740" i="1"/>
  <c r="E740" i="1"/>
  <c r="I740" i="1"/>
  <c r="S740" i="1"/>
  <c r="B741" i="1"/>
  <c r="E741" i="1"/>
  <c r="I741" i="1"/>
  <c r="S741" i="1"/>
  <c r="B742" i="1"/>
  <c r="E742" i="1"/>
  <c r="I742" i="1"/>
  <c r="S742" i="1"/>
  <c r="B743" i="1"/>
  <c r="E743" i="1"/>
  <c r="I743" i="1"/>
  <c r="S743" i="1"/>
  <c r="B744" i="1"/>
  <c r="E744" i="1"/>
  <c r="I744" i="1"/>
  <c r="S744" i="1"/>
  <c r="B745" i="1"/>
  <c r="E745" i="1"/>
  <c r="I745" i="1"/>
  <c r="S745" i="1"/>
  <c r="B746" i="1"/>
  <c r="E746" i="1"/>
  <c r="I746" i="1"/>
  <c r="S746" i="1"/>
  <c r="B747" i="1"/>
  <c r="E747" i="1"/>
  <c r="I747" i="1"/>
  <c r="S747" i="1"/>
  <c r="B748" i="1"/>
  <c r="E748" i="1"/>
  <c r="I748" i="1"/>
  <c r="S748" i="1"/>
  <c r="B749" i="1"/>
  <c r="E749" i="1"/>
  <c r="I749" i="1"/>
  <c r="S749" i="1"/>
  <c r="B750" i="1"/>
  <c r="E750" i="1"/>
  <c r="I750" i="1"/>
  <c r="S750" i="1"/>
  <c r="B751" i="1"/>
  <c r="E751" i="1"/>
  <c r="I751" i="1"/>
  <c r="S751" i="1"/>
  <c r="B752" i="1"/>
  <c r="E752" i="1"/>
  <c r="I752" i="1"/>
  <c r="S752" i="1"/>
  <c r="B753" i="1"/>
  <c r="E753" i="1"/>
  <c r="I753" i="1"/>
  <c r="S753" i="1"/>
  <c r="B754" i="1"/>
  <c r="E754" i="1"/>
  <c r="I754" i="1"/>
  <c r="S754" i="1"/>
  <c r="B755" i="1"/>
  <c r="E755" i="1"/>
  <c r="I755" i="1"/>
  <c r="S755" i="1"/>
  <c r="B756" i="1"/>
  <c r="E756" i="1"/>
  <c r="I756" i="1"/>
  <c r="S756" i="1"/>
  <c r="B757" i="1"/>
  <c r="E757" i="1"/>
  <c r="I757" i="1"/>
  <c r="B758" i="1"/>
  <c r="E758" i="1"/>
  <c r="I758" i="1"/>
  <c r="S758" i="1"/>
  <c r="B759" i="1"/>
  <c r="E759" i="1"/>
  <c r="I759" i="1"/>
  <c r="B760" i="1"/>
  <c r="E760" i="1"/>
  <c r="I760" i="1"/>
  <c r="S760" i="1"/>
  <c r="B761" i="1"/>
  <c r="E761" i="1"/>
  <c r="I761" i="1"/>
  <c r="S761" i="1"/>
  <c r="B762" i="1"/>
  <c r="E762" i="1"/>
  <c r="I762" i="1"/>
  <c r="S762" i="1"/>
  <c r="B763" i="1"/>
  <c r="E763" i="1"/>
  <c r="I763" i="1"/>
  <c r="S763" i="1"/>
  <c r="B764" i="1"/>
  <c r="E764" i="1"/>
  <c r="I764" i="1"/>
  <c r="S764" i="1"/>
  <c r="B765" i="1"/>
  <c r="E765" i="1"/>
  <c r="I765" i="1"/>
  <c r="S765" i="1"/>
  <c r="B766" i="1"/>
  <c r="E766" i="1"/>
  <c r="I766" i="1"/>
  <c r="S766" i="1"/>
  <c r="B767" i="1"/>
  <c r="E767" i="1"/>
  <c r="I767" i="1"/>
  <c r="S767" i="1"/>
  <c r="B768" i="1"/>
  <c r="E768" i="1"/>
  <c r="I768" i="1"/>
  <c r="B769" i="1"/>
  <c r="E769" i="1"/>
  <c r="I769" i="1"/>
  <c r="S769" i="1"/>
  <c r="B770" i="1"/>
  <c r="E770" i="1"/>
  <c r="I770" i="1"/>
  <c r="S770" i="1"/>
  <c r="B771" i="1"/>
  <c r="E771" i="1"/>
  <c r="I771" i="1"/>
  <c r="S771" i="1"/>
  <c r="B772" i="1"/>
  <c r="E772" i="1"/>
  <c r="I772" i="1"/>
  <c r="S772" i="1"/>
  <c r="B773" i="1"/>
  <c r="E773" i="1"/>
  <c r="I773" i="1"/>
  <c r="S773" i="1"/>
  <c r="B774" i="1"/>
  <c r="E774" i="1"/>
  <c r="I774" i="1"/>
  <c r="S774" i="1"/>
  <c r="B775" i="1"/>
  <c r="E775" i="1"/>
  <c r="I775" i="1"/>
  <c r="S775" i="1"/>
  <c r="B776" i="1"/>
  <c r="E776" i="1"/>
  <c r="I776" i="1"/>
  <c r="S776" i="1"/>
  <c r="B777" i="1"/>
  <c r="E777" i="1"/>
  <c r="I777" i="1"/>
  <c r="S777" i="1"/>
  <c r="B778" i="1"/>
  <c r="E778" i="1"/>
  <c r="I778" i="1"/>
  <c r="S778" i="1"/>
  <c r="B779" i="1"/>
  <c r="E779" i="1"/>
  <c r="I779" i="1"/>
  <c r="S779" i="1"/>
  <c r="B780" i="1"/>
  <c r="E780" i="1"/>
  <c r="I780" i="1"/>
  <c r="S780" i="1"/>
  <c r="B781" i="1"/>
  <c r="E781" i="1"/>
  <c r="I781" i="1"/>
  <c r="B782" i="1"/>
  <c r="E782" i="1"/>
  <c r="I782" i="1"/>
  <c r="B783" i="1"/>
  <c r="E783" i="1"/>
  <c r="I783" i="1"/>
  <c r="S783" i="1"/>
  <c r="B784" i="1"/>
  <c r="E784" i="1"/>
  <c r="I784" i="1"/>
  <c r="S784" i="1"/>
  <c r="B785" i="1"/>
  <c r="E785" i="1"/>
  <c r="I785" i="1"/>
  <c r="S785" i="1"/>
  <c r="B786" i="1"/>
  <c r="E786" i="1"/>
  <c r="I786" i="1"/>
  <c r="S786" i="1"/>
  <c r="B787" i="1"/>
  <c r="E787" i="1"/>
  <c r="I787" i="1"/>
  <c r="S787" i="1"/>
  <c r="B788" i="1"/>
  <c r="E788" i="1"/>
  <c r="I788" i="1"/>
  <c r="S788" i="1"/>
  <c r="B789" i="1"/>
  <c r="E789" i="1"/>
  <c r="I789" i="1"/>
  <c r="S789" i="1"/>
  <c r="B790" i="1"/>
  <c r="E790" i="1"/>
  <c r="I790" i="1"/>
  <c r="S790" i="1"/>
  <c r="B791" i="1"/>
  <c r="E791" i="1"/>
  <c r="I791" i="1"/>
  <c r="S791" i="1"/>
  <c r="B792" i="1"/>
  <c r="E792" i="1"/>
  <c r="I792" i="1"/>
  <c r="S792" i="1"/>
  <c r="B793" i="1"/>
  <c r="E793" i="1"/>
  <c r="I793" i="1"/>
  <c r="S793" i="1"/>
  <c r="B794" i="1"/>
  <c r="E794" i="1"/>
  <c r="I794" i="1"/>
  <c r="S794" i="1"/>
  <c r="B795" i="1"/>
  <c r="E795" i="1"/>
  <c r="I795" i="1"/>
  <c r="S795" i="1"/>
  <c r="B796" i="1"/>
  <c r="E796" i="1"/>
  <c r="I796" i="1"/>
  <c r="S796" i="1"/>
  <c r="B797" i="1"/>
  <c r="E797" i="1"/>
  <c r="I797" i="1"/>
  <c r="S797" i="1"/>
  <c r="B798" i="1"/>
  <c r="E798" i="1"/>
  <c r="I798" i="1"/>
  <c r="S798" i="1"/>
  <c r="B799" i="1"/>
  <c r="E799" i="1"/>
  <c r="I799" i="1"/>
  <c r="S799" i="1"/>
  <c r="B800" i="1"/>
  <c r="E800" i="1"/>
  <c r="I800" i="1"/>
  <c r="S800" i="1"/>
  <c r="B801" i="1"/>
  <c r="E801" i="1"/>
  <c r="I801" i="1"/>
  <c r="S801" i="1"/>
  <c r="B802" i="1"/>
  <c r="E802" i="1"/>
  <c r="I802" i="1"/>
  <c r="S802" i="1"/>
  <c r="B803" i="1"/>
  <c r="E803" i="1"/>
  <c r="I803" i="1"/>
  <c r="S803" i="1"/>
  <c r="B804" i="1"/>
  <c r="E804" i="1"/>
  <c r="I804" i="1"/>
  <c r="S804" i="1"/>
  <c r="B805" i="1"/>
  <c r="E805" i="1"/>
  <c r="I805" i="1"/>
  <c r="B806" i="1"/>
  <c r="E806" i="1"/>
  <c r="I806" i="1"/>
  <c r="S806" i="1"/>
  <c r="B807" i="1"/>
  <c r="E807" i="1"/>
  <c r="I807" i="1"/>
  <c r="S807" i="1"/>
  <c r="B808" i="1"/>
  <c r="E808" i="1"/>
  <c r="I808" i="1"/>
  <c r="S808" i="1"/>
  <c r="B809" i="1"/>
  <c r="E809" i="1"/>
  <c r="I809" i="1"/>
  <c r="S809" i="1"/>
  <c r="B810" i="1"/>
  <c r="E810" i="1"/>
  <c r="I810" i="1"/>
  <c r="S810" i="1"/>
  <c r="B811" i="1"/>
  <c r="E811" i="1"/>
  <c r="I811" i="1"/>
  <c r="S811" i="1"/>
  <c r="B812" i="1"/>
  <c r="E812" i="1"/>
  <c r="I812" i="1"/>
  <c r="B813" i="1"/>
  <c r="E813" i="1"/>
  <c r="I813" i="1"/>
  <c r="S813" i="1"/>
  <c r="B814" i="1"/>
  <c r="E814" i="1"/>
  <c r="I814" i="1"/>
  <c r="S814" i="1"/>
  <c r="B815" i="1"/>
  <c r="E815" i="1"/>
  <c r="I815" i="1"/>
  <c r="S815" i="1"/>
  <c r="B816" i="1"/>
  <c r="E816" i="1"/>
  <c r="I816" i="1"/>
  <c r="S816" i="1"/>
  <c r="B817" i="1"/>
  <c r="E817" i="1"/>
  <c r="I817" i="1"/>
  <c r="S817" i="1"/>
  <c r="B818" i="1"/>
  <c r="E818" i="1"/>
  <c r="I818" i="1"/>
  <c r="S818" i="1"/>
  <c r="B819" i="1"/>
  <c r="E819" i="1"/>
  <c r="I819" i="1"/>
  <c r="B820" i="1"/>
  <c r="E820" i="1"/>
  <c r="I820" i="1"/>
  <c r="S820" i="1"/>
  <c r="B821" i="1"/>
  <c r="E821" i="1"/>
  <c r="I821" i="1"/>
  <c r="S821" i="1"/>
  <c r="B822" i="1"/>
  <c r="E822" i="1"/>
  <c r="I822" i="1"/>
  <c r="S822" i="1"/>
  <c r="B823" i="1"/>
  <c r="E823" i="1"/>
  <c r="I823" i="1"/>
  <c r="S823" i="1"/>
  <c r="B824" i="1"/>
  <c r="E824" i="1"/>
  <c r="I824" i="1"/>
  <c r="S824" i="1"/>
  <c r="B825" i="1"/>
  <c r="E825" i="1"/>
  <c r="I825" i="1"/>
  <c r="S825" i="1"/>
  <c r="B826" i="1"/>
  <c r="E826" i="1"/>
  <c r="I826" i="1"/>
  <c r="S826" i="1"/>
  <c r="B827" i="1"/>
  <c r="E827" i="1"/>
  <c r="I827" i="1"/>
  <c r="S827" i="1"/>
  <c r="B828" i="1"/>
  <c r="E828" i="1"/>
  <c r="I828" i="1"/>
  <c r="S828" i="1"/>
  <c r="B829" i="1"/>
  <c r="E829" i="1"/>
  <c r="I829" i="1"/>
  <c r="S829" i="1"/>
  <c r="B830" i="1"/>
  <c r="E830" i="1"/>
  <c r="I830" i="1"/>
  <c r="S830" i="1"/>
  <c r="B831" i="1"/>
  <c r="E831" i="1"/>
  <c r="I831" i="1"/>
  <c r="B832" i="1"/>
  <c r="E832" i="1"/>
  <c r="I832" i="1"/>
  <c r="S832" i="1"/>
  <c r="B833" i="1"/>
  <c r="E833" i="1"/>
  <c r="I833" i="1"/>
  <c r="S833" i="1"/>
  <c r="B834" i="1"/>
  <c r="E834" i="1"/>
  <c r="I834" i="1"/>
  <c r="S834" i="1"/>
  <c r="B835" i="1"/>
  <c r="E835" i="1"/>
  <c r="I835" i="1"/>
  <c r="S835" i="1"/>
  <c r="B836" i="1"/>
  <c r="E836" i="1"/>
  <c r="I836" i="1"/>
  <c r="S836" i="1"/>
  <c r="B837" i="1"/>
  <c r="E837" i="1"/>
  <c r="I837" i="1"/>
  <c r="S837" i="1"/>
  <c r="B838" i="1"/>
  <c r="E838" i="1"/>
  <c r="I838" i="1"/>
  <c r="B839" i="1"/>
  <c r="E839" i="1"/>
  <c r="I839" i="1"/>
  <c r="S839" i="1"/>
  <c r="B840" i="1"/>
  <c r="E840" i="1"/>
  <c r="I840" i="1"/>
  <c r="S840" i="1"/>
  <c r="B841" i="1"/>
  <c r="E841" i="1"/>
  <c r="I841" i="1"/>
  <c r="S841" i="1"/>
  <c r="B842" i="1"/>
  <c r="E842" i="1"/>
  <c r="I842" i="1"/>
  <c r="S842" i="1"/>
  <c r="B843" i="1"/>
  <c r="E843" i="1"/>
  <c r="I843" i="1"/>
  <c r="S843" i="1"/>
  <c r="B844" i="1"/>
  <c r="E844" i="1"/>
  <c r="I844" i="1"/>
  <c r="S844" i="1"/>
  <c r="B845" i="1"/>
  <c r="E845" i="1"/>
  <c r="I845" i="1"/>
  <c r="S845" i="1"/>
  <c r="B846" i="1"/>
  <c r="E846" i="1"/>
  <c r="I846" i="1"/>
  <c r="S846" i="1"/>
  <c r="B847" i="1"/>
  <c r="E847" i="1"/>
  <c r="I847" i="1"/>
  <c r="S847" i="1"/>
  <c r="B848" i="1"/>
  <c r="E848" i="1"/>
  <c r="I848" i="1"/>
  <c r="S848" i="1"/>
  <c r="B849" i="1"/>
  <c r="E849" i="1"/>
  <c r="I849" i="1"/>
  <c r="S849" i="1"/>
  <c r="B850" i="1"/>
  <c r="E850" i="1"/>
  <c r="I850" i="1"/>
  <c r="S850" i="1"/>
  <c r="B851" i="1"/>
  <c r="E851" i="1"/>
  <c r="I851" i="1"/>
  <c r="S851" i="1"/>
  <c r="B852" i="1"/>
  <c r="E852" i="1"/>
  <c r="I852" i="1"/>
  <c r="S852" i="1"/>
  <c r="B853" i="1"/>
  <c r="E853" i="1"/>
  <c r="I853" i="1"/>
  <c r="S853" i="1"/>
  <c r="B854" i="1"/>
  <c r="E854" i="1"/>
  <c r="I854" i="1"/>
  <c r="S854" i="1"/>
  <c r="B855" i="1"/>
  <c r="E855" i="1"/>
  <c r="I855" i="1"/>
  <c r="S855" i="1"/>
  <c r="B856" i="1"/>
  <c r="E856" i="1"/>
  <c r="I856" i="1"/>
  <c r="S856" i="1"/>
  <c r="B857" i="1"/>
  <c r="E857" i="1"/>
  <c r="I857" i="1"/>
  <c r="S857" i="1"/>
  <c r="B858" i="1"/>
  <c r="E858" i="1"/>
  <c r="I858" i="1"/>
  <c r="S858" i="1"/>
  <c r="B859" i="1"/>
  <c r="E859" i="1"/>
  <c r="I859" i="1"/>
  <c r="S859" i="1"/>
  <c r="B860" i="1"/>
  <c r="E860" i="1"/>
  <c r="I860" i="1"/>
  <c r="S860" i="1"/>
  <c r="B861" i="1"/>
  <c r="E861" i="1"/>
  <c r="I861" i="1"/>
  <c r="S861" i="1"/>
  <c r="B862" i="1"/>
  <c r="E862" i="1"/>
  <c r="I862" i="1"/>
  <c r="S862" i="1"/>
  <c r="B863" i="1"/>
  <c r="E863" i="1"/>
  <c r="I863" i="1"/>
  <c r="S863" i="1"/>
  <c r="B864" i="1"/>
  <c r="E864" i="1"/>
  <c r="I864" i="1"/>
  <c r="S864" i="1"/>
  <c r="B865" i="1"/>
  <c r="E865" i="1"/>
  <c r="I865" i="1"/>
  <c r="S865" i="1"/>
  <c r="B866" i="1"/>
  <c r="E866" i="1"/>
  <c r="I866" i="1"/>
  <c r="B867" i="1"/>
  <c r="E867" i="1"/>
  <c r="I867" i="1"/>
  <c r="S867" i="1"/>
  <c r="B868" i="1"/>
  <c r="E868" i="1"/>
  <c r="I868" i="1"/>
  <c r="S868" i="1"/>
  <c r="B869" i="1"/>
  <c r="E869" i="1"/>
  <c r="I869" i="1"/>
  <c r="S869" i="1"/>
  <c r="B870" i="1"/>
  <c r="E870" i="1"/>
  <c r="I870" i="1"/>
  <c r="S870" i="1"/>
  <c r="B871" i="1"/>
  <c r="E871" i="1"/>
  <c r="I871" i="1"/>
  <c r="S871" i="1"/>
  <c r="B872" i="1"/>
  <c r="E872" i="1"/>
  <c r="I872" i="1"/>
  <c r="S872" i="1"/>
  <c r="B873" i="1"/>
  <c r="E873" i="1"/>
  <c r="I873" i="1"/>
  <c r="S873" i="1"/>
  <c r="B874" i="1"/>
  <c r="E874" i="1"/>
  <c r="I874" i="1"/>
  <c r="S874" i="1"/>
  <c r="B875" i="1"/>
  <c r="E875" i="1"/>
  <c r="I875" i="1"/>
  <c r="S875" i="1"/>
  <c r="B876" i="1"/>
  <c r="E876" i="1"/>
  <c r="I876" i="1"/>
  <c r="S876" i="1"/>
  <c r="B877" i="1"/>
  <c r="E877" i="1"/>
  <c r="I877" i="1"/>
  <c r="S877" i="1"/>
  <c r="B878" i="1"/>
  <c r="E878" i="1"/>
  <c r="I878" i="1"/>
  <c r="S878" i="1"/>
  <c r="B879" i="1"/>
  <c r="E879" i="1"/>
  <c r="I879" i="1"/>
  <c r="S879" i="1"/>
  <c r="B880" i="1"/>
  <c r="E880" i="1"/>
  <c r="I880" i="1"/>
  <c r="S880" i="1"/>
  <c r="B881" i="1"/>
  <c r="E881" i="1"/>
  <c r="I881" i="1"/>
  <c r="S881" i="1"/>
  <c r="B882" i="1"/>
  <c r="E882" i="1"/>
  <c r="I882" i="1"/>
  <c r="S882" i="1"/>
  <c r="B883" i="1"/>
  <c r="E883" i="1"/>
  <c r="I883" i="1"/>
  <c r="S883" i="1"/>
  <c r="B884" i="1"/>
  <c r="E884" i="1"/>
  <c r="I884" i="1"/>
  <c r="S884" i="1"/>
  <c r="B885" i="1"/>
  <c r="E885" i="1"/>
  <c r="I885" i="1"/>
  <c r="S885" i="1"/>
  <c r="B886" i="1"/>
  <c r="E886" i="1"/>
  <c r="I886" i="1"/>
  <c r="S886" i="1"/>
  <c r="B887" i="1"/>
  <c r="E887" i="1"/>
  <c r="I887" i="1"/>
  <c r="S887" i="1"/>
  <c r="B888" i="1"/>
  <c r="E888" i="1"/>
  <c r="I888" i="1"/>
  <c r="S888" i="1"/>
  <c r="B889" i="1"/>
  <c r="E889" i="1"/>
  <c r="I889" i="1"/>
  <c r="S889" i="1"/>
  <c r="B890" i="1"/>
  <c r="E890" i="1"/>
  <c r="I890" i="1"/>
  <c r="S890" i="1"/>
  <c r="B891" i="1"/>
  <c r="E891" i="1"/>
  <c r="I891" i="1"/>
  <c r="S891" i="1"/>
  <c r="B892" i="1"/>
  <c r="E892" i="1"/>
  <c r="I892" i="1"/>
  <c r="S892" i="1"/>
  <c r="B893" i="1"/>
  <c r="E893" i="1"/>
  <c r="I893" i="1"/>
  <c r="S893" i="1"/>
  <c r="B894" i="1"/>
  <c r="E894" i="1"/>
  <c r="I894" i="1"/>
  <c r="S894" i="1"/>
  <c r="B895" i="1"/>
  <c r="E895" i="1"/>
  <c r="I895" i="1"/>
  <c r="S895" i="1"/>
  <c r="B896" i="1"/>
  <c r="E896" i="1"/>
  <c r="I896" i="1"/>
  <c r="S896" i="1"/>
  <c r="B897" i="1"/>
  <c r="E897" i="1"/>
  <c r="I897" i="1"/>
  <c r="S897" i="1"/>
  <c r="B898" i="1"/>
  <c r="E898" i="1"/>
  <c r="I898" i="1"/>
  <c r="S898" i="1"/>
  <c r="B899" i="1"/>
  <c r="E899" i="1"/>
  <c r="I899" i="1"/>
  <c r="S899" i="1"/>
  <c r="B900" i="1"/>
  <c r="E900" i="1"/>
  <c r="I900" i="1"/>
  <c r="S900" i="1"/>
  <c r="B901" i="1"/>
  <c r="E901" i="1"/>
  <c r="I901" i="1"/>
  <c r="S901" i="1"/>
  <c r="B902" i="1"/>
  <c r="E902" i="1"/>
  <c r="I902" i="1"/>
  <c r="S902" i="1"/>
  <c r="B903" i="1"/>
  <c r="E903" i="1"/>
  <c r="I903" i="1"/>
  <c r="S903" i="1"/>
  <c r="B904" i="1"/>
  <c r="E904" i="1"/>
  <c r="I904" i="1"/>
  <c r="S904" i="1"/>
  <c r="B905" i="1"/>
  <c r="E905" i="1"/>
  <c r="I905" i="1"/>
  <c r="S905" i="1"/>
  <c r="B906" i="1"/>
  <c r="E906" i="1"/>
  <c r="I906" i="1"/>
  <c r="S906" i="1"/>
  <c r="B907" i="1"/>
  <c r="E907" i="1"/>
  <c r="I907" i="1"/>
  <c r="S907" i="1"/>
  <c r="B908" i="1"/>
  <c r="E908" i="1"/>
  <c r="I908" i="1"/>
  <c r="S908" i="1"/>
  <c r="B909" i="1"/>
  <c r="E909" i="1"/>
  <c r="I909" i="1"/>
  <c r="S909" i="1"/>
  <c r="B910" i="1"/>
  <c r="E910" i="1"/>
  <c r="I910" i="1"/>
  <c r="S910" i="1"/>
  <c r="B911" i="1"/>
  <c r="E911" i="1"/>
  <c r="I911" i="1"/>
  <c r="S911" i="1"/>
  <c r="B912" i="1"/>
  <c r="E912" i="1"/>
  <c r="I912" i="1"/>
  <c r="S912" i="1"/>
  <c r="B913" i="1"/>
  <c r="E913" i="1"/>
  <c r="I913" i="1"/>
  <c r="S913" i="1"/>
  <c r="B914" i="1"/>
  <c r="E914" i="1"/>
  <c r="I914" i="1"/>
  <c r="S914" i="1"/>
  <c r="B915" i="1"/>
  <c r="E915" i="1"/>
  <c r="I915" i="1"/>
  <c r="S915" i="1"/>
  <c r="B916" i="1"/>
  <c r="E916" i="1"/>
  <c r="I916" i="1"/>
  <c r="S916" i="1"/>
  <c r="B917" i="1"/>
  <c r="E917" i="1"/>
  <c r="I917" i="1"/>
  <c r="S917" i="1"/>
  <c r="B918" i="1"/>
  <c r="E918" i="1"/>
  <c r="I918" i="1"/>
  <c r="S918" i="1"/>
  <c r="B919" i="1"/>
  <c r="E919" i="1"/>
  <c r="I919" i="1"/>
  <c r="S919" i="1"/>
  <c r="B920" i="1"/>
  <c r="E920" i="1"/>
  <c r="I920" i="1"/>
  <c r="B921" i="1"/>
  <c r="E921" i="1"/>
  <c r="I921" i="1"/>
  <c r="S921" i="1"/>
  <c r="B922" i="1"/>
  <c r="E922" i="1"/>
  <c r="I922" i="1"/>
  <c r="S922" i="1"/>
  <c r="B923" i="1"/>
  <c r="E923" i="1"/>
  <c r="I923" i="1"/>
  <c r="S923" i="1"/>
  <c r="B924" i="1"/>
  <c r="E924" i="1"/>
  <c r="I924" i="1"/>
  <c r="S924" i="1"/>
  <c r="B925" i="1"/>
  <c r="E925" i="1"/>
  <c r="I925" i="1"/>
  <c r="B926" i="1"/>
  <c r="E926" i="1"/>
  <c r="I926" i="1"/>
  <c r="S926" i="1"/>
  <c r="B927" i="1"/>
  <c r="E927" i="1"/>
  <c r="I927" i="1"/>
  <c r="S927" i="1"/>
  <c r="B928" i="1"/>
  <c r="E928" i="1"/>
  <c r="I928" i="1"/>
  <c r="S928" i="1"/>
  <c r="B929" i="1"/>
  <c r="E929" i="1"/>
  <c r="I929" i="1"/>
  <c r="S929" i="1"/>
  <c r="B930" i="1"/>
  <c r="E930" i="1"/>
  <c r="I930" i="1"/>
  <c r="S930" i="1"/>
  <c r="B931" i="1"/>
  <c r="E931" i="1"/>
  <c r="I931" i="1"/>
  <c r="S931" i="1"/>
  <c r="B932" i="1"/>
  <c r="E932" i="1"/>
  <c r="I932" i="1"/>
  <c r="B933" i="1"/>
  <c r="E933" i="1"/>
  <c r="I933" i="1"/>
  <c r="S933" i="1"/>
  <c r="B934" i="1"/>
  <c r="E934" i="1"/>
  <c r="I934" i="1"/>
  <c r="S934" i="1"/>
  <c r="B935" i="1"/>
  <c r="E935" i="1"/>
  <c r="I935" i="1"/>
  <c r="S935" i="1"/>
  <c r="B936" i="1"/>
  <c r="E936" i="1"/>
  <c r="I936" i="1"/>
  <c r="S936" i="1"/>
  <c r="B937" i="1"/>
  <c r="E937" i="1"/>
  <c r="I937" i="1"/>
  <c r="S937" i="1"/>
  <c r="B938" i="1"/>
  <c r="E938" i="1"/>
  <c r="I938" i="1"/>
  <c r="S938" i="1"/>
  <c r="B939" i="1"/>
  <c r="E939" i="1"/>
  <c r="I939" i="1"/>
  <c r="S939" i="1"/>
  <c r="B940" i="1"/>
  <c r="E940" i="1"/>
  <c r="I940" i="1"/>
  <c r="S940" i="1"/>
  <c r="B941" i="1"/>
  <c r="E941" i="1"/>
  <c r="I941" i="1"/>
  <c r="S941" i="1"/>
  <c r="B942" i="1"/>
  <c r="E942" i="1"/>
  <c r="I942" i="1"/>
  <c r="S942" i="1"/>
  <c r="B943" i="1"/>
  <c r="E943" i="1"/>
  <c r="I943" i="1"/>
  <c r="S943" i="1"/>
  <c r="B944" i="1"/>
  <c r="E944" i="1"/>
  <c r="I944" i="1"/>
  <c r="S944" i="1"/>
  <c r="B945" i="1"/>
  <c r="E945" i="1"/>
  <c r="I945" i="1"/>
  <c r="S945" i="1"/>
  <c r="B946" i="1"/>
  <c r="E946" i="1"/>
  <c r="I946" i="1"/>
  <c r="S946" i="1"/>
  <c r="B947" i="1"/>
  <c r="E947" i="1"/>
  <c r="I947" i="1"/>
  <c r="S947" i="1"/>
  <c r="B948" i="1"/>
  <c r="E948" i="1"/>
  <c r="I948" i="1"/>
  <c r="B949" i="1"/>
  <c r="E949" i="1"/>
  <c r="I949" i="1"/>
  <c r="S949" i="1"/>
  <c r="B950" i="1"/>
  <c r="E950" i="1"/>
  <c r="I950" i="1"/>
  <c r="S950" i="1"/>
  <c r="B951" i="1"/>
  <c r="E951" i="1"/>
  <c r="I951" i="1"/>
  <c r="S951" i="1"/>
  <c r="B952" i="1"/>
  <c r="E952" i="1"/>
  <c r="I952" i="1"/>
  <c r="S952" i="1"/>
  <c r="B953" i="1"/>
  <c r="E953" i="1"/>
  <c r="I953" i="1"/>
  <c r="S953" i="1"/>
  <c r="B954" i="1"/>
  <c r="E954" i="1"/>
  <c r="I954" i="1"/>
  <c r="S954" i="1"/>
  <c r="B955" i="1"/>
  <c r="E955" i="1"/>
  <c r="I955" i="1"/>
  <c r="S955" i="1"/>
  <c r="B956" i="1"/>
  <c r="E956" i="1"/>
  <c r="I956" i="1"/>
  <c r="B957" i="1"/>
  <c r="E957" i="1"/>
  <c r="I957" i="1"/>
  <c r="S957" i="1"/>
  <c r="B958" i="1"/>
  <c r="E958" i="1"/>
  <c r="I958" i="1"/>
  <c r="S958" i="1"/>
  <c r="B959" i="1"/>
  <c r="E959" i="1"/>
  <c r="I959" i="1"/>
  <c r="S959" i="1"/>
  <c r="B960" i="1"/>
  <c r="E960" i="1"/>
  <c r="I960" i="1"/>
  <c r="S960" i="1"/>
  <c r="B961" i="1"/>
  <c r="E961" i="1"/>
  <c r="I961" i="1"/>
  <c r="S961" i="1"/>
  <c r="B962" i="1"/>
  <c r="E962" i="1"/>
  <c r="I962" i="1"/>
  <c r="S962" i="1"/>
  <c r="B963" i="1"/>
  <c r="E963" i="1"/>
  <c r="I963" i="1"/>
  <c r="S963" i="1"/>
  <c r="B964" i="1"/>
  <c r="E964" i="1"/>
  <c r="I964" i="1"/>
  <c r="S964" i="1"/>
  <c r="B965" i="1"/>
  <c r="E965" i="1"/>
  <c r="I965" i="1"/>
  <c r="S965" i="1"/>
  <c r="B966" i="1"/>
  <c r="E966" i="1"/>
  <c r="I966" i="1"/>
  <c r="S966" i="1"/>
  <c r="B967" i="1"/>
  <c r="E967" i="1"/>
  <c r="I967" i="1"/>
  <c r="S967" i="1"/>
  <c r="B968" i="1"/>
  <c r="E968" i="1"/>
  <c r="I968" i="1"/>
  <c r="S968" i="1"/>
  <c r="B969" i="1"/>
  <c r="E969" i="1"/>
  <c r="I969" i="1"/>
  <c r="S969" i="1"/>
  <c r="B970" i="1"/>
  <c r="E970" i="1"/>
  <c r="I970" i="1"/>
  <c r="S970" i="1"/>
  <c r="B971" i="1"/>
  <c r="E971" i="1"/>
  <c r="I971" i="1"/>
  <c r="S971" i="1"/>
  <c r="B972" i="1"/>
  <c r="E972" i="1"/>
  <c r="I972" i="1"/>
  <c r="B973" i="1"/>
  <c r="E973" i="1"/>
  <c r="I973" i="1"/>
  <c r="B974" i="1"/>
  <c r="E974" i="1"/>
  <c r="I974" i="1"/>
  <c r="S974" i="1"/>
  <c r="B975" i="1"/>
  <c r="E975" i="1"/>
  <c r="I975" i="1"/>
  <c r="B976" i="1"/>
  <c r="E976" i="1"/>
  <c r="I976" i="1"/>
  <c r="S976" i="1"/>
  <c r="B977" i="1"/>
  <c r="E977" i="1"/>
  <c r="I977" i="1"/>
  <c r="S977" i="1"/>
  <c r="B978" i="1"/>
  <c r="E978" i="1"/>
  <c r="I978" i="1"/>
  <c r="S978" i="1"/>
  <c r="B979" i="1"/>
  <c r="E979" i="1"/>
  <c r="I979" i="1"/>
  <c r="S979" i="1"/>
  <c r="B980" i="1"/>
  <c r="E980" i="1"/>
  <c r="I980" i="1"/>
  <c r="S980" i="1"/>
  <c r="B981" i="1"/>
  <c r="E981" i="1"/>
  <c r="I981" i="1"/>
  <c r="B982" i="1"/>
  <c r="E982" i="1"/>
  <c r="I982" i="1"/>
  <c r="S982" i="1"/>
  <c r="B983" i="1"/>
  <c r="E983" i="1"/>
  <c r="I983" i="1"/>
  <c r="S983" i="1"/>
  <c r="B984" i="1"/>
  <c r="E984" i="1"/>
  <c r="I984" i="1"/>
  <c r="S984" i="1"/>
  <c r="B985" i="1"/>
  <c r="E985" i="1"/>
  <c r="I985" i="1"/>
  <c r="S985" i="1"/>
  <c r="B986" i="1"/>
  <c r="E986" i="1"/>
  <c r="I986" i="1"/>
  <c r="S986" i="1"/>
  <c r="B987" i="1"/>
  <c r="E987" i="1"/>
  <c r="I987" i="1"/>
  <c r="S987" i="1"/>
  <c r="B988" i="1"/>
  <c r="E988" i="1"/>
  <c r="I988" i="1"/>
  <c r="S988" i="1"/>
  <c r="B989" i="1"/>
  <c r="E989" i="1"/>
  <c r="I989" i="1"/>
  <c r="S989" i="1"/>
  <c r="B990" i="1"/>
  <c r="E990" i="1"/>
  <c r="I990" i="1"/>
  <c r="S990" i="1"/>
  <c r="B991" i="1"/>
  <c r="E991" i="1"/>
  <c r="I991" i="1"/>
  <c r="S991" i="1"/>
  <c r="B992" i="1"/>
  <c r="E992" i="1"/>
  <c r="I992" i="1"/>
  <c r="S992" i="1"/>
  <c r="B993" i="1"/>
  <c r="E993" i="1"/>
  <c r="I993" i="1"/>
  <c r="S993" i="1"/>
  <c r="B994" i="1"/>
  <c r="E994" i="1"/>
  <c r="I994" i="1"/>
  <c r="S994" i="1"/>
  <c r="B995" i="1"/>
  <c r="E995" i="1"/>
  <c r="I995" i="1"/>
  <c r="S995" i="1"/>
  <c r="B996" i="1"/>
  <c r="E996" i="1"/>
  <c r="I996" i="1"/>
  <c r="S996" i="1"/>
  <c r="B997" i="1"/>
  <c r="E997" i="1"/>
  <c r="I997" i="1"/>
  <c r="S997" i="1"/>
  <c r="B998" i="1"/>
  <c r="E998" i="1"/>
  <c r="I998" i="1"/>
  <c r="S998" i="1"/>
  <c r="B999" i="1"/>
  <c r="E999" i="1"/>
  <c r="I999" i="1"/>
  <c r="S999" i="1"/>
  <c r="B1000" i="1"/>
  <c r="E1000" i="1"/>
  <c r="I1000" i="1"/>
  <c r="S1000" i="1"/>
  <c r="B1001" i="1"/>
  <c r="E1001" i="1"/>
  <c r="I1001" i="1"/>
  <c r="B1002" i="1"/>
  <c r="E1002" i="1"/>
  <c r="I1002" i="1"/>
  <c r="S1002" i="1"/>
  <c r="B1003" i="1"/>
  <c r="E1003" i="1"/>
  <c r="I1003" i="1"/>
  <c r="S1003" i="1"/>
  <c r="B1004" i="1"/>
  <c r="E1004" i="1"/>
  <c r="I1004" i="1"/>
  <c r="S1004" i="1"/>
  <c r="B1005" i="1"/>
  <c r="E1005" i="1"/>
  <c r="I1005" i="1"/>
  <c r="S1005" i="1"/>
  <c r="B1006" i="1"/>
  <c r="E1006" i="1"/>
  <c r="I1006" i="1"/>
  <c r="S1006" i="1"/>
  <c r="B1007" i="1"/>
  <c r="E1007" i="1"/>
  <c r="I1007" i="1"/>
  <c r="S1007" i="1"/>
  <c r="B1008" i="1"/>
  <c r="E1008" i="1"/>
  <c r="I1008" i="1"/>
  <c r="S1008" i="1"/>
  <c r="B1009" i="1"/>
  <c r="E1009" i="1"/>
  <c r="I1009" i="1"/>
  <c r="S1009" i="1"/>
  <c r="B1010" i="1"/>
  <c r="E1010" i="1"/>
  <c r="I1010" i="1"/>
  <c r="S1010" i="1"/>
  <c r="B1011" i="1"/>
  <c r="E1011" i="1"/>
  <c r="I1011" i="1"/>
  <c r="S1011" i="1"/>
  <c r="B1012" i="1"/>
  <c r="E1012" i="1"/>
  <c r="I1012" i="1"/>
  <c r="S1012" i="1"/>
  <c r="B1013" i="1"/>
  <c r="E1013" i="1"/>
  <c r="I1013" i="1"/>
  <c r="S1013" i="1"/>
  <c r="B1014" i="1"/>
  <c r="E1014" i="1"/>
  <c r="I1014" i="1"/>
  <c r="S1014" i="1"/>
  <c r="B1015" i="1"/>
  <c r="E1015" i="1"/>
  <c r="I1015" i="1"/>
  <c r="S1015" i="1"/>
  <c r="B1016" i="1"/>
  <c r="E1016" i="1"/>
  <c r="I1016" i="1"/>
  <c r="S1016" i="1"/>
  <c r="B1017" i="1"/>
  <c r="E1017" i="1"/>
  <c r="I1017" i="1"/>
  <c r="S1017" i="1"/>
  <c r="B1018" i="1"/>
  <c r="E1018" i="1"/>
  <c r="I1018" i="1"/>
  <c r="S1018" i="1"/>
  <c r="B1019" i="1"/>
  <c r="E1019" i="1"/>
  <c r="I1019" i="1"/>
  <c r="S1019" i="1"/>
  <c r="B1020" i="1"/>
  <c r="E1020" i="1"/>
  <c r="I1020" i="1"/>
  <c r="S1020" i="1"/>
  <c r="B1021" i="1"/>
  <c r="E1021" i="1"/>
  <c r="I1021" i="1"/>
  <c r="B1022" i="1"/>
  <c r="E1022" i="1"/>
  <c r="I1022" i="1"/>
  <c r="S1022" i="1"/>
  <c r="B1023" i="1"/>
  <c r="E1023" i="1"/>
  <c r="I1023" i="1"/>
  <c r="S1023" i="1"/>
  <c r="B1024" i="1"/>
  <c r="E1024" i="1"/>
  <c r="I1024" i="1"/>
  <c r="S1024" i="1"/>
  <c r="B1025" i="1"/>
  <c r="E1025" i="1"/>
  <c r="I1025" i="1"/>
  <c r="S1025" i="1"/>
  <c r="B1026" i="1"/>
  <c r="E1026" i="1"/>
  <c r="I1026" i="1"/>
  <c r="S1026" i="1"/>
  <c r="B1027" i="1"/>
  <c r="E1027" i="1"/>
  <c r="I1027" i="1"/>
  <c r="S1027" i="1"/>
  <c r="B1028" i="1"/>
  <c r="E1028" i="1"/>
  <c r="I1028" i="1"/>
  <c r="S1028" i="1"/>
  <c r="B1029" i="1"/>
  <c r="E1029" i="1"/>
  <c r="I1029" i="1"/>
  <c r="S1029" i="1"/>
  <c r="B1030" i="1"/>
  <c r="E1030" i="1"/>
  <c r="I1030" i="1"/>
  <c r="S1030" i="1"/>
  <c r="B1031" i="1"/>
  <c r="E1031" i="1"/>
  <c r="I1031" i="1"/>
  <c r="S1031" i="1"/>
  <c r="B1032" i="1"/>
  <c r="E1032" i="1"/>
  <c r="I1032" i="1"/>
  <c r="S1032" i="1"/>
  <c r="B1033" i="1"/>
  <c r="E1033" i="1"/>
  <c r="I1033" i="1"/>
  <c r="S1033" i="1"/>
  <c r="B1034" i="1"/>
  <c r="E1034" i="1"/>
  <c r="I1034" i="1"/>
  <c r="S1034" i="1"/>
  <c r="B1035" i="1"/>
  <c r="E1035" i="1"/>
  <c r="I1035" i="1"/>
  <c r="S1035" i="1"/>
  <c r="B1036" i="1"/>
  <c r="E1036" i="1"/>
  <c r="I1036" i="1"/>
  <c r="S1036" i="1"/>
  <c r="B1037" i="1"/>
  <c r="E1037" i="1"/>
  <c r="I1037" i="1"/>
  <c r="S1037" i="1"/>
  <c r="B1038" i="1"/>
  <c r="E1038" i="1"/>
  <c r="I1038" i="1"/>
  <c r="S1038" i="1"/>
  <c r="B1039" i="1"/>
  <c r="E1039" i="1"/>
  <c r="I1039" i="1"/>
  <c r="S1039" i="1"/>
  <c r="B1040" i="1"/>
  <c r="E1040" i="1"/>
  <c r="I1040" i="1"/>
  <c r="S1040" i="1"/>
  <c r="B1041" i="1"/>
  <c r="E1041" i="1"/>
  <c r="I1041" i="1"/>
  <c r="B1042" i="1"/>
  <c r="E1042" i="1"/>
  <c r="I1042" i="1"/>
  <c r="S1042" i="1"/>
  <c r="B1043" i="1"/>
  <c r="E1043" i="1"/>
  <c r="I1043" i="1"/>
  <c r="S1043" i="1"/>
  <c r="B1044" i="1"/>
  <c r="E1044" i="1"/>
  <c r="I1044" i="1"/>
  <c r="S1044" i="1"/>
  <c r="B1045" i="1"/>
  <c r="E1045" i="1"/>
  <c r="I1045" i="1"/>
  <c r="B1046" i="1"/>
  <c r="E1046" i="1"/>
  <c r="I1046" i="1"/>
  <c r="B1047" i="1"/>
  <c r="E1047" i="1"/>
  <c r="I1047" i="1"/>
  <c r="S1047" i="1"/>
  <c r="B1048" i="1"/>
  <c r="E1048" i="1"/>
  <c r="I1048" i="1"/>
  <c r="S1048" i="1"/>
  <c r="B1049" i="1"/>
  <c r="E1049" i="1"/>
  <c r="I1049" i="1"/>
  <c r="S1049" i="1"/>
  <c r="B1050" i="1"/>
  <c r="E1050" i="1"/>
  <c r="I1050" i="1"/>
  <c r="S1050" i="1"/>
  <c r="B1051" i="1"/>
  <c r="E1051" i="1"/>
  <c r="I1051" i="1"/>
  <c r="S1051" i="1"/>
  <c r="B1052" i="1"/>
  <c r="E1052" i="1"/>
  <c r="I1052" i="1"/>
  <c r="S1052" i="1"/>
  <c r="B1053" i="1"/>
  <c r="E1053" i="1"/>
  <c r="I1053" i="1"/>
  <c r="S1053" i="1"/>
  <c r="B1054" i="1"/>
  <c r="E1054" i="1"/>
  <c r="I1054" i="1"/>
  <c r="S1054" i="1"/>
  <c r="B1055" i="1"/>
  <c r="E1055" i="1"/>
  <c r="I1055" i="1"/>
  <c r="S1055" i="1"/>
  <c r="B1056" i="1"/>
  <c r="E1056" i="1"/>
  <c r="I1056" i="1"/>
  <c r="S1056" i="1"/>
  <c r="B1057" i="1"/>
  <c r="E1057" i="1"/>
  <c r="I1057" i="1"/>
  <c r="S1057" i="1"/>
  <c r="B1058" i="1"/>
  <c r="E1058" i="1"/>
  <c r="I1058" i="1"/>
  <c r="S1058" i="1"/>
  <c r="B1059" i="1"/>
  <c r="E1059" i="1"/>
  <c r="I1059" i="1"/>
  <c r="S1059" i="1"/>
  <c r="B1060" i="1"/>
  <c r="E1060" i="1"/>
  <c r="I1060" i="1"/>
  <c r="S1060" i="1"/>
  <c r="B1061" i="1"/>
  <c r="E1061" i="1"/>
  <c r="I1061" i="1"/>
  <c r="S1061" i="1"/>
  <c r="B1062" i="1"/>
  <c r="E1062" i="1"/>
  <c r="I1062" i="1"/>
  <c r="S1062" i="1"/>
  <c r="B1063" i="1"/>
  <c r="E1063" i="1"/>
  <c r="I1063" i="1"/>
  <c r="S1063" i="1"/>
  <c r="B1064" i="1"/>
  <c r="E1064" i="1"/>
  <c r="I1064" i="1"/>
  <c r="S1064" i="1"/>
  <c r="B1065" i="1"/>
  <c r="E1065" i="1"/>
  <c r="I1065" i="1"/>
  <c r="B1066" i="1"/>
  <c r="E1066" i="1"/>
  <c r="I1066" i="1"/>
  <c r="S1066" i="1"/>
  <c r="B1067" i="1"/>
  <c r="E1067" i="1"/>
  <c r="I1067" i="1"/>
  <c r="S1067" i="1"/>
  <c r="B1068" i="1"/>
  <c r="E1068" i="1"/>
  <c r="I1068" i="1"/>
  <c r="S1068" i="1"/>
  <c r="B1069" i="1"/>
  <c r="E1069" i="1"/>
  <c r="I1069" i="1"/>
  <c r="S1069" i="1"/>
  <c r="B1070" i="1"/>
  <c r="E1070" i="1"/>
  <c r="I1070" i="1"/>
  <c r="S1070" i="1"/>
  <c r="B1071" i="1"/>
  <c r="E1071" i="1"/>
  <c r="I1071" i="1"/>
  <c r="S1071" i="1"/>
  <c r="B1072" i="1"/>
  <c r="E1072" i="1"/>
  <c r="I1072" i="1"/>
  <c r="S1072" i="1"/>
  <c r="B1073" i="1"/>
  <c r="E1073" i="1"/>
  <c r="I1073" i="1"/>
  <c r="S1073" i="1"/>
  <c r="B1074" i="1"/>
  <c r="E1074" i="1"/>
  <c r="I1074" i="1"/>
  <c r="S1074" i="1"/>
  <c r="B1075" i="1"/>
  <c r="E1075" i="1"/>
  <c r="I1075" i="1"/>
  <c r="B1076" i="1"/>
  <c r="E1076" i="1"/>
  <c r="I1076" i="1"/>
  <c r="S1076" i="1"/>
  <c r="B1077" i="1"/>
  <c r="E1077" i="1"/>
  <c r="I1077" i="1"/>
  <c r="S1077" i="1"/>
  <c r="B1078" i="1"/>
  <c r="E1078" i="1"/>
  <c r="I1078" i="1"/>
  <c r="S1078" i="1"/>
  <c r="B1079" i="1"/>
  <c r="E1079" i="1"/>
  <c r="I1079" i="1"/>
  <c r="S1079" i="1"/>
  <c r="B1080" i="1"/>
  <c r="E1080" i="1"/>
  <c r="I1080" i="1"/>
  <c r="S1080" i="1"/>
  <c r="B1081" i="1"/>
  <c r="E1081" i="1"/>
  <c r="I1081" i="1"/>
  <c r="S1081" i="1"/>
  <c r="B1082" i="1"/>
  <c r="E1082" i="1"/>
  <c r="I1082" i="1"/>
  <c r="S1082" i="1"/>
  <c r="B1083" i="1"/>
  <c r="E1083" i="1"/>
  <c r="I1083" i="1"/>
  <c r="S1083" i="1"/>
  <c r="B1084" i="1"/>
  <c r="E1084" i="1"/>
  <c r="I1084" i="1"/>
  <c r="B1085" i="1"/>
  <c r="E1085" i="1"/>
  <c r="I1085" i="1"/>
  <c r="S1085" i="1"/>
  <c r="B1086" i="1"/>
  <c r="E1086" i="1"/>
  <c r="I1086" i="1"/>
  <c r="S1086" i="1"/>
  <c r="B1087" i="1"/>
  <c r="E1087" i="1"/>
  <c r="I1087" i="1"/>
  <c r="S1087" i="1"/>
  <c r="B1088" i="1"/>
  <c r="E1088" i="1"/>
  <c r="I1088" i="1"/>
  <c r="S1088" i="1"/>
  <c r="B1089" i="1"/>
  <c r="E1089" i="1"/>
  <c r="I1089" i="1"/>
  <c r="S1089" i="1"/>
  <c r="B1090" i="1"/>
  <c r="E1090" i="1"/>
  <c r="I1090" i="1"/>
  <c r="S1090" i="1"/>
  <c r="B1091" i="1"/>
  <c r="E1091" i="1"/>
  <c r="I1091" i="1"/>
  <c r="S1091" i="1"/>
  <c r="B1092" i="1"/>
  <c r="E1092" i="1"/>
  <c r="I1092" i="1"/>
  <c r="S1092" i="1"/>
  <c r="B1093" i="1"/>
  <c r="E1093" i="1"/>
  <c r="I1093" i="1"/>
  <c r="S1093" i="1"/>
  <c r="B1094" i="1"/>
  <c r="E1094" i="1"/>
  <c r="I1094" i="1"/>
  <c r="S1094" i="1"/>
  <c r="B1095" i="1"/>
  <c r="E1095" i="1"/>
  <c r="I1095" i="1"/>
  <c r="S1095" i="1"/>
  <c r="B1096" i="1"/>
  <c r="E1096" i="1"/>
  <c r="I1096" i="1"/>
  <c r="S1096" i="1"/>
  <c r="B1097" i="1"/>
  <c r="E1097" i="1"/>
  <c r="I1097" i="1"/>
  <c r="S1097" i="1"/>
  <c r="B1098" i="1"/>
  <c r="E1098" i="1"/>
  <c r="I1098" i="1"/>
  <c r="S1098" i="1"/>
  <c r="B1099" i="1"/>
  <c r="E1099" i="1"/>
  <c r="I1099" i="1"/>
  <c r="S1099" i="1"/>
  <c r="B1100" i="1"/>
  <c r="E1100" i="1"/>
  <c r="I1100" i="1"/>
  <c r="S1100" i="1"/>
  <c r="B1101" i="1"/>
  <c r="E1101" i="1"/>
  <c r="I1101" i="1"/>
  <c r="S1101" i="1"/>
  <c r="B1102" i="1"/>
  <c r="E1102" i="1"/>
  <c r="I1102" i="1"/>
  <c r="S1102" i="1"/>
  <c r="B1103" i="1"/>
  <c r="E1103" i="1"/>
  <c r="I1103" i="1"/>
  <c r="S1103" i="1"/>
  <c r="B1104" i="1"/>
  <c r="E1104" i="1"/>
  <c r="I1104" i="1"/>
  <c r="S1104" i="1"/>
  <c r="B1105" i="1"/>
  <c r="E1105" i="1"/>
  <c r="I1105" i="1"/>
  <c r="S1105" i="1"/>
  <c r="B1106" i="1"/>
  <c r="E1106" i="1"/>
  <c r="I1106" i="1"/>
  <c r="S1106" i="1"/>
  <c r="B1107" i="1"/>
  <c r="E1107" i="1"/>
  <c r="I1107" i="1"/>
  <c r="S1107" i="1"/>
  <c r="B1108" i="1"/>
  <c r="E1108" i="1"/>
  <c r="I1108" i="1"/>
  <c r="S1108" i="1"/>
  <c r="B1109" i="1"/>
  <c r="E1109" i="1"/>
  <c r="I1109" i="1"/>
  <c r="S1109" i="1"/>
  <c r="B1110" i="1"/>
  <c r="E1110" i="1"/>
  <c r="I1110" i="1"/>
  <c r="S1110" i="1"/>
  <c r="B1111" i="1"/>
  <c r="E1111" i="1"/>
  <c r="I1111" i="1"/>
  <c r="S1111" i="1"/>
  <c r="B1112" i="1"/>
  <c r="E1112" i="1"/>
  <c r="I1112" i="1"/>
  <c r="S1112" i="1"/>
  <c r="B1113" i="1"/>
  <c r="E1113" i="1"/>
  <c r="I1113" i="1"/>
  <c r="S1113" i="1"/>
  <c r="B1114" i="1"/>
  <c r="E1114" i="1"/>
  <c r="I1114" i="1"/>
  <c r="S1114" i="1"/>
  <c r="B1115" i="1"/>
  <c r="E1115" i="1"/>
  <c r="I1115" i="1"/>
  <c r="S1115" i="1"/>
  <c r="B1116" i="1"/>
  <c r="E1116" i="1"/>
  <c r="I1116" i="1"/>
  <c r="S1116" i="1"/>
  <c r="B1117" i="1"/>
  <c r="E1117" i="1"/>
  <c r="I1117" i="1"/>
  <c r="S1117" i="1"/>
  <c r="B1118" i="1"/>
  <c r="E1118" i="1"/>
  <c r="I1118" i="1"/>
  <c r="S1118" i="1"/>
  <c r="B1119" i="1"/>
  <c r="E1119" i="1"/>
  <c r="I1119" i="1"/>
  <c r="S1119" i="1"/>
  <c r="B1120" i="1"/>
  <c r="E1120" i="1"/>
  <c r="I1120" i="1"/>
  <c r="S1120" i="1"/>
  <c r="B1121" i="1"/>
  <c r="E1121" i="1"/>
  <c r="I1121" i="1"/>
  <c r="S1121" i="1"/>
  <c r="B1122" i="1"/>
  <c r="E1122" i="1"/>
  <c r="I1122" i="1"/>
  <c r="S1122" i="1"/>
  <c r="B1123" i="1"/>
  <c r="E1123" i="1"/>
  <c r="I1123" i="1"/>
  <c r="S1123" i="1"/>
  <c r="B1124" i="1"/>
  <c r="E1124" i="1"/>
  <c r="I1124" i="1"/>
  <c r="S1124" i="1"/>
  <c r="B1125" i="1"/>
  <c r="E1125" i="1"/>
  <c r="I1125" i="1"/>
  <c r="S1125" i="1"/>
  <c r="B1126" i="1"/>
  <c r="E1126" i="1"/>
  <c r="I1126" i="1"/>
  <c r="S1126" i="1"/>
  <c r="B1127" i="1"/>
  <c r="E1127" i="1"/>
  <c r="I1127" i="1"/>
  <c r="S1127" i="1"/>
  <c r="B1128" i="1"/>
  <c r="E1128" i="1"/>
  <c r="I1128" i="1"/>
  <c r="S1128" i="1"/>
  <c r="B1129" i="1"/>
  <c r="E1129" i="1"/>
  <c r="I1129" i="1"/>
  <c r="S1129" i="1"/>
  <c r="B1130" i="1"/>
  <c r="E1130" i="1"/>
  <c r="I1130" i="1"/>
  <c r="S1130" i="1"/>
  <c r="B1131" i="1"/>
  <c r="E1131" i="1"/>
  <c r="I1131" i="1"/>
  <c r="S1131" i="1"/>
  <c r="B1132" i="1"/>
  <c r="E1132" i="1"/>
  <c r="I1132" i="1"/>
  <c r="S1132" i="1"/>
  <c r="B1133" i="1"/>
  <c r="E1133" i="1"/>
  <c r="I1133" i="1"/>
  <c r="S1133" i="1"/>
  <c r="B1134" i="1"/>
  <c r="E1134" i="1"/>
  <c r="I1134" i="1"/>
  <c r="S1134" i="1"/>
  <c r="B1135" i="1"/>
  <c r="E1135" i="1"/>
  <c r="I1135" i="1"/>
  <c r="S1135" i="1"/>
  <c r="B1136" i="1"/>
  <c r="E1136" i="1"/>
  <c r="I1136" i="1"/>
  <c r="S1136" i="1"/>
  <c r="B1137" i="1"/>
  <c r="E1137" i="1"/>
  <c r="I1137" i="1"/>
  <c r="S1137" i="1"/>
  <c r="B1138" i="1"/>
  <c r="E1138" i="1"/>
  <c r="I1138" i="1"/>
  <c r="S1138" i="1"/>
  <c r="B1139" i="1"/>
  <c r="E1139" i="1"/>
  <c r="I1139" i="1"/>
  <c r="S1139" i="1"/>
  <c r="B1140" i="1"/>
  <c r="E1140" i="1"/>
  <c r="I1140" i="1"/>
  <c r="S1140" i="1"/>
  <c r="B1141" i="1"/>
  <c r="E1141" i="1"/>
  <c r="I1141" i="1"/>
  <c r="S1141" i="1"/>
  <c r="B1142" i="1"/>
  <c r="E1142" i="1"/>
  <c r="I1142" i="1"/>
  <c r="S1142" i="1"/>
  <c r="B1143" i="1"/>
  <c r="E1143" i="1"/>
  <c r="I1143" i="1"/>
  <c r="S1143" i="1"/>
  <c r="B1144" i="1"/>
  <c r="E1144" i="1"/>
  <c r="I1144" i="1"/>
  <c r="S1144" i="1"/>
  <c r="B1145" i="1"/>
  <c r="E1145" i="1"/>
  <c r="I1145" i="1"/>
  <c r="S1145" i="1"/>
  <c r="B1146" i="1"/>
  <c r="E1146" i="1"/>
  <c r="I1146" i="1"/>
  <c r="S1146" i="1"/>
  <c r="B1147" i="1"/>
  <c r="E1147" i="1"/>
  <c r="I1147" i="1"/>
  <c r="S1147" i="1"/>
  <c r="B1148" i="1"/>
  <c r="E1148" i="1"/>
  <c r="I1148" i="1"/>
  <c r="S1148" i="1"/>
  <c r="B1149" i="1"/>
  <c r="E1149" i="1"/>
  <c r="I1149" i="1"/>
  <c r="S1149" i="1"/>
  <c r="B1150" i="1"/>
  <c r="E1150" i="1"/>
  <c r="I1150" i="1"/>
  <c r="S1150" i="1"/>
  <c r="B1151" i="1"/>
  <c r="E1151" i="1"/>
  <c r="I1151" i="1"/>
  <c r="S1151" i="1"/>
  <c r="B1152" i="1"/>
  <c r="E1152" i="1"/>
  <c r="I1152" i="1"/>
  <c r="S1152" i="1"/>
  <c r="B1153" i="1"/>
  <c r="E1153" i="1"/>
  <c r="I1153" i="1"/>
  <c r="S1153" i="1"/>
  <c r="B1154" i="1"/>
  <c r="E1154" i="1"/>
  <c r="I1154" i="1"/>
  <c r="S1154" i="1"/>
  <c r="B1155" i="1"/>
  <c r="E1155" i="1"/>
  <c r="I1155" i="1"/>
  <c r="S1155" i="1"/>
  <c r="B1156" i="1"/>
  <c r="E1156" i="1"/>
  <c r="I1156" i="1"/>
  <c r="S1156" i="1"/>
  <c r="B1157" i="1"/>
  <c r="E1157" i="1"/>
  <c r="I1157" i="1"/>
  <c r="S1157" i="1"/>
  <c r="B1158" i="1"/>
  <c r="E1158" i="1"/>
  <c r="I1158" i="1"/>
  <c r="S1158" i="1"/>
  <c r="B1159" i="1"/>
  <c r="E1159" i="1"/>
  <c r="I1159" i="1"/>
  <c r="S1159" i="1"/>
  <c r="B1160" i="1"/>
  <c r="E1160" i="1"/>
  <c r="I1160" i="1"/>
  <c r="S1160" i="1"/>
  <c r="B1161" i="1"/>
  <c r="E1161" i="1"/>
  <c r="I1161" i="1"/>
  <c r="S1161" i="1"/>
  <c r="B1162" i="1"/>
  <c r="E1162" i="1"/>
  <c r="I1162" i="1"/>
  <c r="S1162" i="1"/>
  <c r="B1163" i="1"/>
  <c r="E1163" i="1"/>
  <c r="I1163" i="1"/>
  <c r="S1163" i="1"/>
  <c r="B1164" i="1"/>
  <c r="E1164" i="1"/>
  <c r="I1164" i="1"/>
  <c r="S1164" i="1"/>
  <c r="B1165" i="1"/>
  <c r="E1165" i="1"/>
  <c r="I1165" i="1"/>
  <c r="S1165" i="1"/>
  <c r="B1166" i="1"/>
  <c r="E1166" i="1"/>
  <c r="I1166" i="1"/>
  <c r="S1166" i="1"/>
  <c r="B1167" i="1"/>
  <c r="E1167" i="1"/>
  <c r="I1167" i="1"/>
  <c r="S1167" i="1"/>
  <c r="B1168" i="1"/>
  <c r="E1168" i="1"/>
  <c r="I1168" i="1"/>
  <c r="S1168" i="1"/>
  <c r="B1169" i="1"/>
  <c r="E1169" i="1"/>
  <c r="I1169" i="1"/>
  <c r="S1169" i="1"/>
  <c r="B1170" i="1"/>
  <c r="E1170" i="1"/>
  <c r="I1170" i="1"/>
  <c r="S1170" i="1"/>
  <c r="B1171" i="1"/>
  <c r="E1171" i="1"/>
  <c r="I1171" i="1"/>
  <c r="S1171" i="1"/>
  <c r="B1172" i="1"/>
  <c r="E1172" i="1"/>
  <c r="I1172" i="1"/>
  <c r="S1172" i="1"/>
  <c r="B1173" i="1"/>
  <c r="E1173" i="1"/>
  <c r="I1173" i="1"/>
  <c r="S1173" i="1"/>
  <c r="B1174" i="1"/>
  <c r="E1174" i="1"/>
  <c r="I1174" i="1"/>
  <c r="S1174" i="1"/>
  <c r="B1175" i="1"/>
  <c r="E1175" i="1"/>
  <c r="I1175" i="1"/>
  <c r="S1175" i="1"/>
  <c r="B1176" i="1"/>
  <c r="E1176" i="1"/>
  <c r="I1176" i="1"/>
  <c r="S1176" i="1"/>
  <c r="B1177" i="1"/>
  <c r="E1177" i="1"/>
  <c r="I1177" i="1"/>
  <c r="S1177" i="1"/>
  <c r="B1178" i="1"/>
  <c r="E1178" i="1"/>
  <c r="I1178" i="1"/>
  <c r="S1178" i="1"/>
  <c r="B1179" i="1"/>
  <c r="E1179" i="1"/>
  <c r="I1179" i="1"/>
  <c r="S1179" i="1"/>
  <c r="B1180" i="1"/>
  <c r="E1180" i="1"/>
  <c r="I1180" i="1"/>
  <c r="S1180" i="1"/>
  <c r="B1181" i="1"/>
  <c r="E1181" i="1"/>
  <c r="I1181" i="1"/>
  <c r="B1182" i="1"/>
  <c r="E1182" i="1"/>
  <c r="I1182" i="1"/>
  <c r="S1182" i="1"/>
  <c r="B1183" i="1"/>
  <c r="E1183" i="1"/>
  <c r="I1183" i="1"/>
  <c r="S1183" i="1"/>
  <c r="B1184" i="1"/>
  <c r="E1184" i="1"/>
  <c r="I1184" i="1"/>
  <c r="S1184" i="1"/>
  <c r="B1185" i="1"/>
  <c r="E1185" i="1"/>
  <c r="I1185" i="1"/>
  <c r="S1185" i="1"/>
  <c r="B1186" i="1"/>
  <c r="E1186" i="1"/>
  <c r="I1186" i="1"/>
  <c r="S1186" i="1"/>
  <c r="B1187" i="1"/>
  <c r="E1187" i="1"/>
  <c r="I1187" i="1"/>
  <c r="S1187" i="1"/>
  <c r="B1188" i="1"/>
  <c r="E1188" i="1"/>
  <c r="I1188" i="1"/>
  <c r="S1188" i="1"/>
  <c r="B1189" i="1"/>
  <c r="E1189" i="1"/>
  <c r="I1189" i="1"/>
  <c r="S1189" i="1"/>
  <c r="B1190" i="1"/>
  <c r="E1190" i="1"/>
  <c r="I1190" i="1"/>
  <c r="S1190" i="1"/>
  <c r="B1191" i="1"/>
  <c r="E1191" i="1"/>
  <c r="I1191" i="1"/>
  <c r="S1191" i="1"/>
  <c r="B1192" i="1"/>
  <c r="E1192" i="1"/>
  <c r="I1192" i="1"/>
  <c r="S1192" i="1"/>
  <c r="B1193" i="1"/>
  <c r="E1193" i="1"/>
  <c r="I1193" i="1"/>
  <c r="S1193" i="1"/>
  <c r="B1194" i="1"/>
  <c r="E1194" i="1"/>
  <c r="I1194" i="1"/>
  <c r="S1194" i="1"/>
  <c r="B1195" i="1"/>
  <c r="E1195" i="1"/>
  <c r="I1195" i="1"/>
  <c r="S1195" i="1"/>
  <c r="B1196" i="1"/>
  <c r="E1196" i="1"/>
  <c r="I1196" i="1"/>
  <c r="S1196" i="1"/>
  <c r="B1197" i="1"/>
  <c r="E1197" i="1"/>
  <c r="I1197" i="1"/>
  <c r="S1197" i="1"/>
  <c r="B1198" i="1"/>
  <c r="E1198" i="1"/>
  <c r="I1198" i="1"/>
  <c r="S1198" i="1"/>
  <c r="B1199" i="1"/>
  <c r="E1199" i="1"/>
  <c r="I1199" i="1"/>
  <c r="S1199" i="1"/>
  <c r="B1200" i="1"/>
  <c r="E1200" i="1"/>
  <c r="I1200" i="1"/>
  <c r="S1200" i="1"/>
  <c r="B1201" i="1"/>
  <c r="E1201" i="1"/>
  <c r="I1201" i="1"/>
  <c r="S1201" i="1"/>
  <c r="B1202" i="1"/>
  <c r="E1202" i="1"/>
  <c r="I1202" i="1"/>
  <c r="S1202" i="1"/>
  <c r="B1203" i="1"/>
  <c r="E1203" i="1"/>
  <c r="I1203" i="1"/>
  <c r="S1203" i="1"/>
  <c r="B1204" i="1"/>
  <c r="E1204" i="1"/>
  <c r="I1204" i="1"/>
  <c r="S1204" i="1"/>
  <c r="B1205" i="1"/>
  <c r="E1205" i="1"/>
  <c r="I1205" i="1"/>
  <c r="S1205" i="1"/>
  <c r="B1206" i="1"/>
  <c r="E1206" i="1"/>
  <c r="I1206" i="1"/>
  <c r="S1206" i="1"/>
  <c r="B1207" i="1"/>
  <c r="E1207" i="1"/>
  <c r="I1207" i="1"/>
  <c r="S1207" i="1"/>
  <c r="B1208" i="1"/>
  <c r="E1208" i="1"/>
  <c r="I1208" i="1"/>
  <c r="S1208" i="1"/>
  <c r="B1209" i="1"/>
  <c r="E1209" i="1"/>
  <c r="I1209" i="1"/>
  <c r="S1209" i="1"/>
  <c r="B1210" i="1"/>
  <c r="E1210" i="1"/>
  <c r="I1210" i="1"/>
  <c r="S1210" i="1"/>
  <c r="B1211" i="1"/>
  <c r="E1211" i="1"/>
  <c r="I1211" i="1"/>
  <c r="S1211" i="1"/>
  <c r="B1212" i="1"/>
  <c r="E1212" i="1"/>
  <c r="I1212" i="1"/>
  <c r="S1212" i="1"/>
  <c r="B1213" i="1"/>
  <c r="E1213" i="1"/>
  <c r="I1213" i="1"/>
  <c r="S1213" i="1"/>
  <c r="B1214" i="1"/>
  <c r="E1214" i="1"/>
  <c r="I1214" i="1"/>
  <c r="S1214" i="1"/>
  <c r="B1215" i="1"/>
  <c r="E1215" i="1"/>
  <c r="I1215" i="1"/>
  <c r="S1215" i="1"/>
  <c r="B1216" i="1"/>
  <c r="E1216" i="1"/>
  <c r="I1216" i="1"/>
  <c r="S1216" i="1"/>
  <c r="B1217" i="1"/>
  <c r="E1217" i="1"/>
  <c r="I1217" i="1"/>
  <c r="S1217" i="1"/>
  <c r="B1218" i="1"/>
  <c r="E1218" i="1"/>
  <c r="I1218" i="1"/>
  <c r="S1218" i="1"/>
  <c r="B1219" i="1"/>
  <c r="E1219" i="1"/>
  <c r="I1219" i="1"/>
  <c r="S1219" i="1"/>
  <c r="B1220" i="1"/>
  <c r="E1220" i="1"/>
  <c r="I1220" i="1"/>
  <c r="S1220" i="1"/>
  <c r="B1221" i="1"/>
  <c r="E1221" i="1"/>
  <c r="I1221" i="1"/>
  <c r="S1221" i="1"/>
  <c r="B1222" i="1"/>
  <c r="E1222" i="1"/>
  <c r="I1222" i="1"/>
  <c r="S1222" i="1"/>
  <c r="B1223" i="1"/>
  <c r="E1223" i="1"/>
  <c r="I1223" i="1"/>
  <c r="S1223" i="1"/>
  <c r="B1224" i="1"/>
  <c r="E1224" i="1"/>
  <c r="I1224" i="1"/>
  <c r="S1224" i="1"/>
  <c r="B1225" i="1"/>
  <c r="E1225" i="1"/>
  <c r="I1225" i="1"/>
  <c r="S1225" i="1"/>
  <c r="B1226" i="1"/>
  <c r="E1226" i="1"/>
  <c r="I1226" i="1"/>
  <c r="S1226" i="1"/>
  <c r="B1227" i="1"/>
  <c r="E1227" i="1"/>
  <c r="I1227" i="1"/>
  <c r="S1227" i="1"/>
  <c r="B1228" i="1"/>
  <c r="E1228" i="1"/>
  <c r="I1228" i="1"/>
  <c r="S1228" i="1"/>
  <c r="B1229" i="1"/>
  <c r="E1229" i="1"/>
  <c r="I1229" i="1"/>
  <c r="S1229" i="1"/>
  <c r="B1230" i="1"/>
  <c r="E1230" i="1"/>
  <c r="I1230" i="1"/>
  <c r="S1230" i="1"/>
  <c r="B1231" i="1"/>
  <c r="E1231" i="1"/>
  <c r="I1231" i="1"/>
  <c r="S1231" i="1"/>
  <c r="B1232" i="1"/>
  <c r="E1232" i="1"/>
  <c r="I1232" i="1"/>
  <c r="S1232" i="1"/>
  <c r="B1233" i="1"/>
  <c r="E1233" i="1"/>
  <c r="I1233" i="1"/>
  <c r="S1233" i="1"/>
  <c r="B1234" i="1"/>
  <c r="E1234" i="1"/>
  <c r="I1234" i="1"/>
  <c r="B1235" i="1"/>
  <c r="E1235" i="1"/>
  <c r="I1235" i="1"/>
  <c r="S1235" i="1"/>
  <c r="B1236" i="1"/>
  <c r="E1236" i="1"/>
  <c r="I1236" i="1"/>
  <c r="S1236" i="1"/>
  <c r="B1237" i="1"/>
  <c r="E1237" i="1"/>
  <c r="I1237" i="1"/>
  <c r="B1238" i="1"/>
  <c r="E1238" i="1"/>
  <c r="I1238" i="1"/>
  <c r="S1238" i="1"/>
  <c r="B1239" i="1"/>
  <c r="E1239" i="1"/>
  <c r="I1239" i="1"/>
  <c r="S1239" i="1"/>
  <c r="B1240" i="1"/>
  <c r="E1240" i="1"/>
  <c r="I1240" i="1"/>
  <c r="S1240" i="1"/>
  <c r="B1241" i="1"/>
  <c r="E1241" i="1"/>
  <c r="I1241" i="1"/>
  <c r="S1241" i="1"/>
  <c r="B1242" i="1"/>
  <c r="E1242" i="1"/>
  <c r="I1242" i="1"/>
  <c r="S1242" i="1"/>
  <c r="B1243" i="1"/>
  <c r="E1243" i="1"/>
  <c r="I1243" i="1"/>
  <c r="S1243" i="1"/>
  <c r="B1244" i="1"/>
  <c r="E1244" i="1"/>
  <c r="I1244" i="1"/>
  <c r="S1244" i="1"/>
  <c r="B1245" i="1"/>
  <c r="E1245" i="1"/>
  <c r="I1245" i="1"/>
  <c r="S1245" i="1"/>
  <c r="B1246" i="1"/>
  <c r="E1246" i="1"/>
  <c r="I1246" i="1"/>
  <c r="S1246" i="1"/>
  <c r="B1247" i="1"/>
  <c r="E1247" i="1"/>
  <c r="I1247" i="1"/>
  <c r="S1247" i="1"/>
  <c r="B1248" i="1"/>
  <c r="E1248" i="1"/>
  <c r="I1248" i="1"/>
  <c r="S1248" i="1"/>
  <c r="B1249" i="1"/>
  <c r="E1249" i="1"/>
  <c r="I1249" i="1"/>
  <c r="S1249" i="1"/>
  <c r="B1250" i="1"/>
  <c r="E1250" i="1"/>
  <c r="I1250" i="1"/>
  <c r="S1250" i="1"/>
  <c r="B1251" i="1"/>
  <c r="E1251" i="1"/>
  <c r="I1251" i="1"/>
  <c r="S1251" i="1"/>
  <c r="B1252" i="1"/>
  <c r="E1252" i="1"/>
  <c r="I1252" i="1"/>
  <c r="S1252" i="1"/>
  <c r="B1253" i="1"/>
  <c r="E1253" i="1"/>
  <c r="I1253" i="1"/>
  <c r="S1253" i="1"/>
  <c r="B1254" i="1"/>
  <c r="E1254" i="1"/>
  <c r="I1254" i="1"/>
  <c r="S1254" i="1"/>
  <c r="B1255" i="1"/>
  <c r="E1255" i="1"/>
  <c r="I1255" i="1"/>
  <c r="S1255" i="1"/>
  <c r="B1256" i="1"/>
  <c r="E1256" i="1"/>
  <c r="I1256" i="1"/>
  <c r="S1256" i="1"/>
  <c r="B1257" i="1"/>
  <c r="E1257" i="1"/>
  <c r="I1257" i="1"/>
  <c r="B1258" i="1"/>
  <c r="E1258" i="1"/>
  <c r="I1258" i="1"/>
  <c r="S1258" i="1"/>
  <c r="B1259" i="1"/>
  <c r="E1259" i="1"/>
  <c r="I1259" i="1"/>
  <c r="S1259" i="1"/>
  <c r="B1260" i="1"/>
  <c r="E1260" i="1"/>
  <c r="I1260" i="1"/>
  <c r="S1260" i="1"/>
  <c r="B1261" i="1"/>
  <c r="E1261" i="1"/>
  <c r="I1261" i="1"/>
  <c r="S1261" i="1"/>
  <c r="B1262" i="1"/>
  <c r="E1262" i="1"/>
  <c r="I1262" i="1"/>
  <c r="S1262" i="1"/>
  <c r="B1263" i="1"/>
  <c r="E1263" i="1"/>
  <c r="I1263" i="1"/>
  <c r="S1263" i="1"/>
  <c r="B1264" i="1"/>
  <c r="E1264" i="1"/>
  <c r="I1264" i="1"/>
  <c r="S1264" i="1"/>
  <c r="B1265" i="1"/>
  <c r="E1265" i="1"/>
  <c r="I1265" i="1"/>
  <c r="S1265" i="1"/>
  <c r="B1266" i="1"/>
  <c r="E1266" i="1"/>
  <c r="I1266" i="1"/>
  <c r="S1266" i="1"/>
  <c r="B1267" i="1"/>
  <c r="E1267" i="1"/>
  <c r="I1267" i="1"/>
  <c r="S1267" i="1"/>
  <c r="B1268" i="1"/>
  <c r="E1268" i="1"/>
  <c r="I1268" i="1"/>
  <c r="S1268" i="1"/>
  <c r="B1269" i="1"/>
  <c r="E1269" i="1"/>
  <c r="I1269" i="1"/>
  <c r="S1269" i="1"/>
  <c r="B1270" i="1"/>
  <c r="E1270" i="1"/>
  <c r="I1270" i="1"/>
  <c r="S1270" i="1"/>
  <c r="B1271" i="1"/>
  <c r="E1271" i="1"/>
  <c r="I1271" i="1"/>
  <c r="S1271" i="1"/>
  <c r="B1272" i="1"/>
  <c r="E1272" i="1"/>
  <c r="I1272" i="1"/>
  <c r="S1272" i="1"/>
  <c r="B1273" i="1"/>
  <c r="E1273" i="1"/>
  <c r="I1273" i="1"/>
  <c r="S1273" i="1"/>
  <c r="B1274" i="1"/>
  <c r="E1274" i="1"/>
  <c r="I1274" i="1"/>
  <c r="S1274" i="1"/>
  <c r="B1275" i="1"/>
  <c r="E1275" i="1"/>
  <c r="I1275" i="1"/>
  <c r="S1275" i="1"/>
  <c r="B1276" i="1"/>
  <c r="E1276" i="1"/>
  <c r="I1276" i="1"/>
  <c r="S1276" i="1"/>
  <c r="B1277" i="1"/>
  <c r="E1277" i="1"/>
  <c r="I1277" i="1"/>
  <c r="S1277" i="1"/>
  <c r="B1278" i="1"/>
  <c r="E1278" i="1"/>
  <c r="I1278" i="1"/>
  <c r="S1278" i="1"/>
  <c r="B1279" i="1"/>
  <c r="E1279" i="1"/>
  <c r="I1279" i="1"/>
  <c r="S1279" i="1"/>
  <c r="B1280" i="1"/>
  <c r="E1280" i="1"/>
  <c r="I1280" i="1"/>
  <c r="S1280" i="1"/>
  <c r="B1281" i="1"/>
  <c r="E1281" i="1"/>
  <c r="I1281" i="1"/>
  <c r="S1281" i="1"/>
  <c r="B1282" i="1"/>
  <c r="E1282" i="1"/>
  <c r="I1282" i="1"/>
  <c r="S1282" i="1"/>
  <c r="B1283" i="1"/>
  <c r="E1283" i="1"/>
  <c r="I1283" i="1"/>
  <c r="S1283" i="1"/>
  <c r="B1284" i="1"/>
  <c r="E1284" i="1"/>
  <c r="I1284" i="1"/>
  <c r="S1284" i="1"/>
  <c r="B1285" i="1"/>
  <c r="E1285" i="1"/>
  <c r="I1285" i="1"/>
  <c r="S1285" i="1"/>
  <c r="B1286" i="1"/>
  <c r="E1286" i="1"/>
  <c r="I1286" i="1"/>
  <c r="S1286" i="1"/>
  <c r="B1287" i="1"/>
  <c r="E1287" i="1"/>
  <c r="I1287" i="1"/>
  <c r="S1287" i="1"/>
  <c r="B1288" i="1"/>
  <c r="E1288" i="1"/>
  <c r="I1288" i="1"/>
  <c r="S1288" i="1"/>
  <c r="B1289" i="1"/>
  <c r="E1289" i="1"/>
  <c r="I1289" i="1"/>
  <c r="S1289" i="1"/>
  <c r="B1290" i="1"/>
  <c r="E1290" i="1"/>
  <c r="I1290" i="1"/>
  <c r="S1290" i="1"/>
  <c r="B1291" i="1"/>
  <c r="E1291" i="1"/>
  <c r="I1291" i="1"/>
  <c r="S1291" i="1"/>
  <c r="B1292" i="1"/>
  <c r="E1292" i="1"/>
  <c r="I1292" i="1"/>
  <c r="S1292" i="1"/>
  <c r="B1293" i="1"/>
  <c r="E1293" i="1"/>
  <c r="I1293" i="1"/>
  <c r="S1293" i="1"/>
  <c r="B1294" i="1"/>
  <c r="E1294" i="1"/>
  <c r="I1294" i="1"/>
  <c r="S1294" i="1"/>
  <c r="B1295" i="1"/>
  <c r="E1295" i="1"/>
  <c r="I1295" i="1"/>
  <c r="S1295" i="1"/>
  <c r="B1296" i="1"/>
  <c r="E1296" i="1"/>
  <c r="I1296" i="1"/>
  <c r="S1296" i="1"/>
  <c r="B1297" i="1"/>
  <c r="E1297" i="1"/>
  <c r="I1297" i="1"/>
  <c r="S1297" i="1"/>
  <c r="B1298" i="1"/>
  <c r="E1298" i="1"/>
  <c r="I1298" i="1"/>
  <c r="S1298" i="1"/>
  <c r="B1299" i="1"/>
  <c r="E1299" i="1"/>
  <c r="I1299" i="1"/>
  <c r="S1299" i="1"/>
  <c r="B1300" i="1"/>
  <c r="E1300" i="1"/>
  <c r="I1300" i="1"/>
  <c r="S1300" i="1"/>
  <c r="B1301" i="1"/>
  <c r="E1301" i="1"/>
  <c r="I1301" i="1"/>
  <c r="S1301" i="1"/>
  <c r="B1302" i="1"/>
  <c r="E1302" i="1"/>
  <c r="I1302" i="1"/>
  <c r="S1302" i="1"/>
  <c r="B1303" i="1"/>
  <c r="E1303" i="1"/>
  <c r="I1303" i="1"/>
  <c r="S1303" i="1"/>
  <c r="B1304" i="1"/>
  <c r="E1304" i="1"/>
  <c r="I1304" i="1"/>
  <c r="S1304" i="1"/>
  <c r="B1305" i="1"/>
  <c r="E1305" i="1"/>
  <c r="I1305" i="1"/>
  <c r="S1305" i="1"/>
  <c r="B1306" i="1"/>
  <c r="E1306" i="1"/>
  <c r="I1306" i="1"/>
  <c r="S1306" i="1"/>
  <c r="B1307" i="1"/>
  <c r="E1307" i="1"/>
  <c r="I1307" i="1"/>
  <c r="S1307" i="1"/>
  <c r="B1308" i="1"/>
  <c r="E1308" i="1"/>
  <c r="I1308" i="1"/>
  <c r="S1308" i="1"/>
  <c r="B1309" i="1"/>
  <c r="E1309" i="1"/>
  <c r="I1309" i="1"/>
  <c r="S1309" i="1"/>
  <c r="B1310" i="1"/>
  <c r="E1310" i="1"/>
  <c r="I1310" i="1"/>
  <c r="S1310" i="1"/>
  <c r="B1311" i="1"/>
  <c r="E1311" i="1"/>
  <c r="I1311" i="1"/>
  <c r="S1311" i="1"/>
  <c r="B1312" i="1"/>
  <c r="E1312" i="1"/>
  <c r="I1312" i="1"/>
  <c r="S1312" i="1"/>
  <c r="B1313" i="1"/>
  <c r="E1313" i="1"/>
  <c r="I1313" i="1"/>
  <c r="S1313" i="1"/>
  <c r="B1314" i="1"/>
  <c r="E1314" i="1"/>
  <c r="I1314" i="1"/>
  <c r="S1314" i="1"/>
  <c r="B1315" i="1"/>
  <c r="E1315" i="1"/>
  <c r="I1315" i="1"/>
  <c r="S1315" i="1"/>
  <c r="B1316" i="1"/>
  <c r="E1316" i="1"/>
  <c r="I1316" i="1"/>
  <c r="S1316" i="1"/>
  <c r="B1317" i="1"/>
  <c r="E1317" i="1"/>
  <c r="I1317" i="1"/>
  <c r="S1317" i="1"/>
  <c r="B1318" i="1"/>
  <c r="E1318" i="1"/>
  <c r="I1318" i="1"/>
  <c r="S1318" i="1"/>
  <c r="B1319" i="1"/>
  <c r="E1319" i="1"/>
  <c r="I1319" i="1"/>
  <c r="S1319" i="1"/>
  <c r="B1320" i="1"/>
  <c r="E1320" i="1"/>
  <c r="I1320" i="1"/>
  <c r="S1320" i="1"/>
  <c r="B1321" i="1"/>
  <c r="E1321" i="1"/>
  <c r="I1321" i="1"/>
  <c r="S1321" i="1"/>
  <c r="B1322" i="1"/>
  <c r="E1322" i="1"/>
  <c r="I1322" i="1"/>
  <c r="S1322" i="1"/>
  <c r="B1323" i="1"/>
  <c r="E1323" i="1"/>
  <c r="I1323" i="1"/>
  <c r="S1323" i="1"/>
  <c r="B1324" i="1"/>
  <c r="E1324" i="1"/>
  <c r="I1324" i="1"/>
  <c r="S1324" i="1"/>
  <c r="B1325" i="1"/>
  <c r="E1325" i="1"/>
  <c r="I1325" i="1"/>
  <c r="S1325" i="1"/>
  <c r="B1326" i="1"/>
  <c r="E1326" i="1"/>
  <c r="I1326" i="1"/>
  <c r="S1326" i="1"/>
  <c r="B1327" i="1"/>
  <c r="E1327" i="1"/>
  <c r="I1327" i="1"/>
  <c r="S1327" i="1"/>
  <c r="B1328" i="1"/>
  <c r="E1328" i="1"/>
  <c r="I1328" i="1"/>
  <c r="S1328" i="1"/>
  <c r="B1329" i="1"/>
  <c r="E1329" i="1"/>
  <c r="I1329" i="1"/>
  <c r="S1329" i="1"/>
  <c r="B1330" i="1"/>
  <c r="E1330" i="1"/>
  <c r="I1330" i="1"/>
  <c r="S1330" i="1"/>
  <c r="B1331" i="1"/>
  <c r="E1331" i="1"/>
  <c r="I1331" i="1"/>
  <c r="S1331" i="1"/>
  <c r="B1332" i="1"/>
  <c r="E1332" i="1"/>
  <c r="I1332" i="1"/>
  <c r="S1332" i="1"/>
  <c r="B1333" i="1"/>
  <c r="E1333" i="1"/>
  <c r="I1333" i="1"/>
  <c r="S1333" i="1"/>
  <c r="B1334" i="1"/>
  <c r="E1334" i="1"/>
  <c r="I1334" i="1"/>
  <c r="S1334" i="1"/>
  <c r="B1335" i="1"/>
  <c r="E1335" i="1"/>
  <c r="I1335" i="1"/>
  <c r="S1335" i="1"/>
  <c r="B1336" i="1"/>
  <c r="E1336" i="1"/>
  <c r="I1336" i="1"/>
  <c r="S1336" i="1"/>
  <c r="B1337" i="1"/>
  <c r="E1337" i="1"/>
  <c r="I1337" i="1"/>
  <c r="S1337" i="1"/>
  <c r="B1338" i="1"/>
  <c r="E1338" i="1"/>
  <c r="I1338" i="1"/>
  <c r="S1338" i="1"/>
  <c r="B1339" i="1"/>
  <c r="E1339" i="1"/>
  <c r="I1339" i="1"/>
  <c r="S1339" i="1"/>
  <c r="B1340" i="1"/>
  <c r="E1340" i="1"/>
  <c r="I1340" i="1"/>
  <c r="S1340" i="1"/>
  <c r="B1341" i="1"/>
  <c r="E1341" i="1"/>
  <c r="I1341" i="1"/>
  <c r="S1341" i="1"/>
  <c r="B1342" i="1"/>
  <c r="E1342" i="1"/>
  <c r="I1342" i="1"/>
  <c r="S1342" i="1"/>
  <c r="B1343" i="1"/>
  <c r="E1343" i="1"/>
  <c r="I1343" i="1"/>
  <c r="S1343" i="1"/>
  <c r="B1344" i="1"/>
  <c r="E1344" i="1"/>
  <c r="I1344" i="1"/>
  <c r="S1344" i="1"/>
  <c r="B1345" i="1"/>
  <c r="E1345" i="1"/>
  <c r="I1345" i="1"/>
  <c r="S1345" i="1"/>
  <c r="B1346" i="1"/>
  <c r="E1346" i="1"/>
  <c r="I1346" i="1"/>
  <c r="S1346" i="1"/>
  <c r="B1347" i="1"/>
  <c r="E1347" i="1"/>
  <c r="I1347" i="1"/>
  <c r="S1347" i="1"/>
  <c r="B1348" i="1"/>
  <c r="E1348" i="1"/>
  <c r="I1348" i="1"/>
  <c r="S1348" i="1"/>
  <c r="B1349" i="1"/>
  <c r="E1349" i="1"/>
  <c r="I1349" i="1"/>
  <c r="S1349" i="1"/>
  <c r="B1350" i="1"/>
  <c r="E1350" i="1"/>
  <c r="I1350" i="1"/>
  <c r="S1350" i="1"/>
  <c r="B1351" i="1"/>
  <c r="E1351" i="1"/>
  <c r="I1351" i="1"/>
  <c r="S1351" i="1"/>
  <c r="B1352" i="1"/>
  <c r="E1352" i="1"/>
  <c r="I1352" i="1"/>
  <c r="S1352" i="1"/>
  <c r="B1353" i="1"/>
  <c r="E1353" i="1"/>
  <c r="I1353" i="1"/>
  <c r="S1353" i="1"/>
  <c r="B1354" i="1"/>
  <c r="E1354" i="1"/>
  <c r="I1354" i="1"/>
  <c r="B1355" i="1"/>
  <c r="E1355" i="1"/>
  <c r="I1355" i="1"/>
  <c r="S1355" i="1"/>
  <c r="B1356" i="1"/>
  <c r="E1356" i="1"/>
  <c r="I1356" i="1"/>
  <c r="S1356" i="1"/>
  <c r="B1357" i="1"/>
  <c r="E1357" i="1"/>
  <c r="I1357" i="1"/>
  <c r="S1357" i="1"/>
  <c r="B1358" i="1"/>
  <c r="E1358" i="1"/>
  <c r="I1358" i="1"/>
  <c r="S1358" i="1"/>
  <c r="B1359" i="1"/>
  <c r="E1359" i="1"/>
  <c r="I1359" i="1"/>
  <c r="S1359" i="1"/>
  <c r="B1360" i="1"/>
  <c r="E1360" i="1"/>
  <c r="I1360" i="1"/>
  <c r="S1360" i="1"/>
  <c r="B1361" i="1"/>
  <c r="E1361" i="1"/>
  <c r="I1361" i="1"/>
  <c r="S1361" i="1"/>
  <c r="B1362" i="1"/>
  <c r="E1362" i="1"/>
  <c r="I1362" i="1"/>
  <c r="S1362" i="1"/>
  <c r="B1363" i="1"/>
  <c r="E1363" i="1"/>
  <c r="I1363" i="1"/>
  <c r="S1363" i="1"/>
  <c r="B1364" i="1"/>
  <c r="E1364" i="1"/>
  <c r="I1364" i="1"/>
  <c r="S1364" i="1"/>
  <c r="B1365" i="1"/>
  <c r="E1365" i="1"/>
  <c r="I1365" i="1"/>
  <c r="S1365" i="1"/>
  <c r="B1366" i="1"/>
  <c r="E1366" i="1"/>
  <c r="I1366" i="1"/>
  <c r="S1366" i="1"/>
  <c r="B1367" i="1"/>
  <c r="E1367" i="1"/>
  <c r="I1367" i="1"/>
  <c r="S1367" i="1"/>
  <c r="B1368" i="1"/>
  <c r="E1368" i="1"/>
  <c r="I1368" i="1"/>
  <c r="S1368" i="1"/>
  <c r="B1369" i="1"/>
  <c r="E1369" i="1"/>
  <c r="I1369" i="1"/>
  <c r="S1369" i="1"/>
  <c r="B1370" i="1"/>
  <c r="E1370" i="1"/>
  <c r="I1370" i="1"/>
  <c r="S1370" i="1"/>
  <c r="B1371" i="1"/>
  <c r="E1371" i="1"/>
  <c r="I1371" i="1"/>
  <c r="S1371" i="1"/>
  <c r="B1372" i="1"/>
  <c r="E1372" i="1"/>
  <c r="I1372" i="1"/>
  <c r="S1372" i="1"/>
  <c r="B1373" i="1"/>
  <c r="E1373" i="1"/>
  <c r="I1373" i="1"/>
  <c r="S1373" i="1"/>
  <c r="B1374" i="1"/>
  <c r="E1374" i="1"/>
  <c r="I1374" i="1"/>
  <c r="S1374" i="1"/>
  <c r="B1375" i="1"/>
  <c r="E1375" i="1"/>
  <c r="I1375" i="1"/>
  <c r="S1375" i="1"/>
  <c r="B1376" i="1"/>
  <c r="E1376" i="1"/>
  <c r="I1376" i="1"/>
  <c r="S1376" i="1"/>
  <c r="B1377" i="1"/>
  <c r="E1377" i="1"/>
  <c r="I1377" i="1"/>
  <c r="S1377" i="1"/>
  <c r="B1378" i="1"/>
  <c r="E1378" i="1"/>
  <c r="I1378" i="1"/>
  <c r="S1378" i="1"/>
  <c r="B1379" i="1"/>
  <c r="E1379" i="1"/>
  <c r="I1379" i="1"/>
  <c r="S1379" i="1"/>
  <c r="B1380" i="1"/>
  <c r="E1380" i="1"/>
  <c r="I1380" i="1"/>
  <c r="S1380" i="1"/>
  <c r="B1381" i="1"/>
  <c r="E1381" i="1"/>
  <c r="I1381" i="1"/>
  <c r="S1381" i="1"/>
  <c r="B1382" i="1"/>
  <c r="E1382" i="1"/>
  <c r="I1382" i="1"/>
  <c r="S1382" i="1"/>
  <c r="B1383" i="1"/>
  <c r="E1383" i="1"/>
  <c r="I1383" i="1"/>
  <c r="S1383" i="1"/>
  <c r="B1384" i="1"/>
  <c r="E1384" i="1"/>
  <c r="I1384" i="1"/>
  <c r="S1384" i="1"/>
  <c r="B1385" i="1"/>
  <c r="E1385" i="1"/>
  <c r="I1385" i="1"/>
  <c r="S1385" i="1"/>
  <c r="B1386" i="1"/>
  <c r="E1386" i="1"/>
  <c r="I1386" i="1"/>
  <c r="S1386" i="1"/>
  <c r="B1387" i="1"/>
  <c r="E1387" i="1"/>
  <c r="I1387" i="1"/>
  <c r="S1387" i="1"/>
  <c r="B1388" i="1"/>
  <c r="E1388" i="1"/>
  <c r="I1388" i="1"/>
  <c r="S1388" i="1"/>
  <c r="B1389" i="1"/>
  <c r="E1389" i="1"/>
  <c r="I1389" i="1"/>
  <c r="S1389" i="1"/>
  <c r="B1390" i="1"/>
  <c r="E1390" i="1"/>
  <c r="I1390" i="1"/>
  <c r="S1390" i="1"/>
  <c r="B1391" i="1"/>
  <c r="E1391" i="1"/>
  <c r="I1391" i="1"/>
  <c r="S1391" i="1"/>
  <c r="B1392" i="1"/>
  <c r="E1392" i="1"/>
  <c r="I1392" i="1"/>
  <c r="S1392" i="1"/>
  <c r="B1393" i="1"/>
  <c r="E1393" i="1"/>
  <c r="I1393" i="1"/>
  <c r="S1393" i="1"/>
  <c r="B1394" i="1"/>
  <c r="E1394" i="1"/>
  <c r="I1394" i="1"/>
  <c r="S1394" i="1"/>
  <c r="B1395" i="1"/>
  <c r="E1395" i="1"/>
  <c r="I1395" i="1"/>
  <c r="S1395" i="1"/>
  <c r="B1396" i="1"/>
  <c r="E1396" i="1"/>
  <c r="I1396" i="1"/>
  <c r="S1396" i="1"/>
  <c r="B1397" i="1"/>
  <c r="E1397" i="1"/>
  <c r="I1397" i="1"/>
  <c r="S1397" i="1"/>
  <c r="B1398" i="1"/>
  <c r="E1398" i="1"/>
  <c r="I1398" i="1"/>
  <c r="B1399" i="1"/>
  <c r="E1399" i="1"/>
  <c r="I1399" i="1"/>
  <c r="B1400" i="1"/>
  <c r="E1400" i="1"/>
  <c r="I1400" i="1"/>
  <c r="B1401" i="1"/>
  <c r="E1401" i="1"/>
  <c r="I1401" i="1"/>
  <c r="S1401" i="1"/>
  <c r="B1402" i="1"/>
  <c r="E1402" i="1"/>
  <c r="I1402" i="1"/>
  <c r="S1402" i="1"/>
  <c r="B1403" i="1"/>
  <c r="E1403" i="1"/>
  <c r="I1403" i="1"/>
  <c r="S1403" i="1"/>
  <c r="B1404" i="1"/>
  <c r="E1404" i="1"/>
  <c r="I1404" i="1"/>
  <c r="S1404" i="1"/>
  <c r="B1405" i="1"/>
  <c r="E1405" i="1"/>
  <c r="I1405" i="1"/>
  <c r="S1405" i="1"/>
  <c r="B1406" i="1"/>
  <c r="E1406" i="1"/>
  <c r="I1406" i="1"/>
  <c r="S1406" i="1"/>
  <c r="B1407" i="1"/>
  <c r="E1407" i="1"/>
  <c r="I1407" i="1"/>
  <c r="S1407" i="1"/>
  <c r="B1408" i="1"/>
  <c r="E1408" i="1"/>
  <c r="I1408" i="1"/>
  <c r="B1409" i="1"/>
  <c r="E1409" i="1"/>
  <c r="I1409" i="1"/>
  <c r="S1409" i="1"/>
  <c r="B1410" i="1"/>
  <c r="E1410" i="1"/>
  <c r="I1410" i="1"/>
  <c r="S1410" i="1"/>
  <c r="B1411" i="1"/>
  <c r="E1411" i="1"/>
  <c r="I1411" i="1"/>
  <c r="S1411" i="1"/>
  <c r="B1412" i="1"/>
  <c r="E1412" i="1"/>
  <c r="I1412" i="1"/>
  <c r="S1412" i="1"/>
  <c r="B1413" i="1"/>
  <c r="E1413" i="1"/>
  <c r="I1413" i="1"/>
  <c r="B1414" i="1"/>
  <c r="E1414" i="1"/>
  <c r="I1414" i="1"/>
  <c r="S1414" i="1"/>
  <c r="B1415" i="1"/>
  <c r="E1415" i="1"/>
  <c r="I1415" i="1"/>
  <c r="S1415" i="1"/>
  <c r="B1416" i="1"/>
  <c r="E1416" i="1"/>
  <c r="I1416" i="1"/>
  <c r="S1416" i="1"/>
  <c r="B1417" i="1"/>
  <c r="E1417" i="1"/>
  <c r="I1417" i="1"/>
  <c r="S1417" i="1"/>
  <c r="B1418" i="1"/>
  <c r="E1418" i="1"/>
  <c r="I1418" i="1"/>
  <c r="S1418" i="1"/>
  <c r="B1419" i="1"/>
  <c r="E1419" i="1"/>
  <c r="I1419" i="1"/>
  <c r="S1419" i="1"/>
  <c r="B1420" i="1"/>
  <c r="E1420" i="1"/>
  <c r="I1420" i="1"/>
  <c r="S1420" i="1"/>
  <c r="B1421" i="1"/>
  <c r="E1421" i="1"/>
  <c r="I1421" i="1"/>
  <c r="S1421" i="1"/>
  <c r="B1422" i="1"/>
  <c r="E1422" i="1"/>
  <c r="I1422" i="1"/>
  <c r="S1422" i="1"/>
  <c r="B1423" i="1"/>
  <c r="E1423" i="1"/>
  <c r="I1423" i="1"/>
  <c r="S1423" i="1"/>
  <c r="B1424" i="1"/>
  <c r="E1424" i="1"/>
  <c r="I1424" i="1"/>
  <c r="S1424" i="1"/>
  <c r="B1425" i="1"/>
  <c r="E1425" i="1"/>
  <c r="I1425" i="1"/>
  <c r="S1425" i="1"/>
  <c r="B1426" i="1"/>
  <c r="E1426" i="1"/>
  <c r="I1426" i="1"/>
  <c r="B1427" i="1"/>
  <c r="E1427" i="1"/>
  <c r="I1427" i="1"/>
  <c r="S1427" i="1"/>
  <c r="B1428" i="1"/>
  <c r="E1428" i="1"/>
  <c r="I1428" i="1"/>
  <c r="S1428" i="1"/>
  <c r="B1429" i="1"/>
  <c r="E1429" i="1"/>
  <c r="I1429" i="1"/>
  <c r="S1429" i="1"/>
  <c r="B1430" i="1"/>
  <c r="E1430" i="1"/>
  <c r="I1430" i="1"/>
  <c r="S1430" i="1"/>
  <c r="B1431" i="1"/>
  <c r="E1431" i="1"/>
  <c r="I1431" i="1"/>
  <c r="S1431" i="1"/>
  <c r="B1432" i="1"/>
  <c r="E1432" i="1"/>
  <c r="I1432" i="1"/>
  <c r="S1432" i="1"/>
  <c r="B1433" i="1"/>
  <c r="E1433" i="1"/>
  <c r="I1433" i="1"/>
  <c r="S1433" i="1"/>
  <c r="B1434" i="1"/>
  <c r="E1434" i="1"/>
  <c r="I1434" i="1"/>
  <c r="S1434" i="1"/>
  <c r="B1435" i="1"/>
  <c r="E1435" i="1"/>
  <c r="I1435" i="1"/>
  <c r="S1435" i="1"/>
  <c r="B1436" i="1"/>
  <c r="E1436" i="1"/>
  <c r="I1436" i="1"/>
  <c r="S1436" i="1"/>
  <c r="B1437" i="1"/>
  <c r="E1437" i="1"/>
  <c r="I1437" i="1"/>
  <c r="B1438" i="1"/>
  <c r="E1438" i="1"/>
  <c r="I1438" i="1"/>
  <c r="S1438" i="1"/>
  <c r="B1439" i="1"/>
  <c r="E1439" i="1"/>
  <c r="I1439" i="1"/>
  <c r="S1439" i="1"/>
  <c r="B1440" i="1"/>
  <c r="E1440" i="1"/>
  <c r="I1440" i="1"/>
  <c r="S1440" i="1"/>
  <c r="B1441" i="1"/>
  <c r="E1441" i="1"/>
  <c r="I1441" i="1"/>
  <c r="S1441" i="1"/>
  <c r="B1442" i="1"/>
  <c r="E1442" i="1"/>
  <c r="I1442" i="1"/>
  <c r="S1442" i="1"/>
  <c r="B1443" i="1"/>
  <c r="E1443" i="1"/>
  <c r="I1443" i="1"/>
  <c r="S1443" i="1"/>
  <c r="B1444" i="1"/>
  <c r="E1444" i="1"/>
  <c r="I1444" i="1"/>
  <c r="B1445" i="1"/>
  <c r="E1445" i="1"/>
  <c r="I1445" i="1"/>
  <c r="S1445" i="1"/>
  <c r="B1446" i="1"/>
  <c r="E1446" i="1"/>
  <c r="I1446" i="1"/>
  <c r="S1446" i="1"/>
  <c r="B1447" i="1"/>
  <c r="E1447" i="1"/>
  <c r="I1447" i="1"/>
  <c r="B1448" i="1"/>
  <c r="E1448" i="1"/>
  <c r="I1448" i="1"/>
  <c r="S1448" i="1"/>
  <c r="B1449" i="1"/>
  <c r="E1449" i="1"/>
  <c r="I1449" i="1"/>
  <c r="S1449" i="1"/>
  <c r="B1450" i="1"/>
  <c r="E1450" i="1"/>
  <c r="I1450" i="1"/>
  <c r="S1450" i="1"/>
  <c r="B1451" i="1"/>
  <c r="E1451" i="1"/>
  <c r="I1451" i="1"/>
  <c r="S1451" i="1"/>
  <c r="B1452" i="1"/>
  <c r="E1452" i="1"/>
  <c r="I1452" i="1"/>
  <c r="S1452" i="1"/>
  <c r="B1453" i="1"/>
  <c r="E1453" i="1"/>
  <c r="I1453" i="1"/>
  <c r="S1453" i="1"/>
  <c r="B1454" i="1"/>
  <c r="E1454" i="1"/>
  <c r="I1454" i="1"/>
  <c r="S1454" i="1"/>
  <c r="B1455" i="1"/>
  <c r="E1455" i="1"/>
  <c r="I1455" i="1"/>
  <c r="S1455" i="1"/>
  <c r="B1456" i="1"/>
  <c r="E1456" i="1"/>
  <c r="I1456" i="1"/>
  <c r="S1456" i="1"/>
  <c r="B1457" i="1"/>
  <c r="E1457" i="1"/>
  <c r="I1457" i="1"/>
  <c r="S1457" i="1"/>
  <c r="B1458" i="1"/>
  <c r="E1458" i="1"/>
  <c r="I1458" i="1"/>
  <c r="S1458" i="1"/>
  <c r="B1459" i="1"/>
  <c r="E1459" i="1"/>
  <c r="I1459" i="1"/>
  <c r="S1459" i="1"/>
  <c r="B1460" i="1"/>
  <c r="E1460" i="1"/>
  <c r="I1460" i="1"/>
  <c r="S1460" i="1"/>
  <c r="B1461" i="1"/>
  <c r="E1461" i="1"/>
  <c r="I1461" i="1"/>
  <c r="S1461" i="1"/>
  <c r="B1462" i="1"/>
  <c r="E1462" i="1"/>
  <c r="I1462" i="1"/>
  <c r="S1462" i="1"/>
  <c r="B1463" i="1"/>
  <c r="E1463" i="1"/>
  <c r="I1463" i="1"/>
  <c r="S1463" i="1"/>
  <c r="B1464" i="1"/>
  <c r="E1464" i="1"/>
  <c r="I1464" i="1"/>
  <c r="S1464" i="1"/>
  <c r="B1465" i="1"/>
  <c r="E1465" i="1"/>
  <c r="I1465" i="1"/>
  <c r="S1465" i="1"/>
  <c r="B1466" i="1"/>
  <c r="E1466" i="1"/>
  <c r="I1466" i="1"/>
  <c r="S1466" i="1"/>
  <c r="B1467" i="1"/>
  <c r="E1467" i="1"/>
  <c r="I1467" i="1"/>
  <c r="S1467" i="1"/>
  <c r="B1468" i="1"/>
  <c r="E1468" i="1"/>
  <c r="I1468" i="1"/>
  <c r="S1468" i="1"/>
  <c r="B1469" i="1"/>
  <c r="E1469" i="1"/>
  <c r="I1469" i="1"/>
  <c r="S1469" i="1"/>
  <c r="B1470" i="1"/>
  <c r="E1470" i="1"/>
  <c r="I1470" i="1"/>
  <c r="S1470" i="1"/>
  <c r="B1471" i="1"/>
  <c r="E1471" i="1"/>
  <c r="I1471" i="1"/>
  <c r="S1471" i="1"/>
  <c r="B1472" i="1"/>
  <c r="E1472" i="1"/>
  <c r="I1472" i="1"/>
  <c r="S1472" i="1"/>
  <c r="B1473" i="1"/>
  <c r="E1473" i="1"/>
  <c r="I1473" i="1"/>
  <c r="S1473" i="1"/>
  <c r="B1474" i="1"/>
  <c r="E1474" i="1"/>
  <c r="I1474" i="1"/>
  <c r="S1474" i="1"/>
  <c r="B1475" i="1"/>
  <c r="E1475" i="1"/>
  <c r="I1475" i="1"/>
  <c r="S1475" i="1"/>
  <c r="B1476" i="1"/>
  <c r="E1476" i="1"/>
  <c r="I1476" i="1"/>
  <c r="S1476" i="1"/>
  <c r="B1477" i="1"/>
  <c r="E1477" i="1"/>
  <c r="I1477" i="1"/>
  <c r="S1477" i="1"/>
  <c r="B1478" i="1"/>
  <c r="E1478" i="1"/>
  <c r="I1478" i="1"/>
  <c r="S1478" i="1"/>
  <c r="B1479" i="1"/>
  <c r="E1479" i="1"/>
  <c r="I1479" i="1"/>
  <c r="S1479" i="1"/>
  <c r="B1480" i="1"/>
  <c r="E1480" i="1"/>
  <c r="I1480" i="1"/>
  <c r="S1480" i="1"/>
  <c r="B1481" i="1"/>
  <c r="E1481" i="1"/>
  <c r="I1481" i="1"/>
  <c r="S1481" i="1"/>
  <c r="B1482" i="1"/>
  <c r="E1482" i="1"/>
  <c r="I1482" i="1"/>
  <c r="B1483" i="1"/>
  <c r="E1483" i="1"/>
  <c r="I1483" i="1"/>
  <c r="S1483" i="1"/>
  <c r="B1484" i="1"/>
  <c r="E1484" i="1"/>
  <c r="I1484" i="1"/>
  <c r="S1484" i="1"/>
  <c r="B1485" i="1"/>
  <c r="E1485" i="1"/>
  <c r="I1485" i="1"/>
  <c r="S1485" i="1"/>
  <c r="B1486" i="1"/>
  <c r="E1486" i="1"/>
  <c r="I1486" i="1"/>
  <c r="S1486" i="1"/>
  <c r="B1487" i="1"/>
  <c r="E1487" i="1"/>
  <c r="I1487" i="1"/>
  <c r="S1487" i="1"/>
  <c r="B1488" i="1"/>
  <c r="E1488" i="1"/>
  <c r="I1488" i="1"/>
  <c r="S1488" i="1"/>
  <c r="B1489" i="1"/>
  <c r="E1489" i="1"/>
  <c r="I1489" i="1"/>
  <c r="S1489" i="1"/>
  <c r="B1490" i="1"/>
  <c r="E1490" i="1"/>
  <c r="I1490" i="1"/>
  <c r="S1490" i="1"/>
  <c r="B1491" i="1"/>
  <c r="E1491" i="1"/>
  <c r="I1491" i="1"/>
  <c r="S1491" i="1"/>
  <c r="B1492" i="1"/>
  <c r="E1492" i="1"/>
  <c r="I1492" i="1"/>
  <c r="S1492" i="1"/>
  <c r="B1493" i="1"/>
  <c r="E1493" i="1"/>
  <c r="I1493" i="1"/>
  <c r="S1493" i="1"/>
  <c r="B1494" i="1"/>
  <c r="E1494" i="1"/>
  <c r="I1494" i="1"/>
  <c r="S1494" i="1"/>
  <c r="B1495" i="1"/>
  <c r="E1495" i="1"/>
  <c r="I1495" i="1"/>
  <c r="S1495" i="1"/>
  <c r="B1496" i="1"/>
  <c r="E1496" i="1"/>
  <c r="I1496" i="1"/>
  <c r="S1496" i="1"/>
  <c r="B1497" i="1"/>
  <c r="E1497" i="1"/>
  <c r="I1497" i="1"/>
  <c r="S1497" i="1"/>
  <c r="B1498" i="1"/>
  <c r="E1498" i="1"/>
  <c r="I1498" i="1"/>
  <c r="S1498" i="1"/>
  <c r="B1499" i="1"/>
  <c r="E1499" i="1"/>
  <c r="I1499" i="1"/>
  <c r="S1499" i="1"/>
</calcChain>
</file>

<file path=xl/sharedStrings.xml><?xml version="1.0" encoding="utf-8"?>
<sst xmlns="http://schemas.openxmlformats.org/spreadsheetml/2006/main" count="5793" uniqueCount="3279">
  <si>
    <t>خیلی دوست داشتم لباس سبز پاسداری بر تن کنم ولی سرنوشت لباس شخصیم کرد</t>
  </si>
  <si>
    <t>جمهوری اسلامی ایران</t>
  </si>
  <si>
    <t>حمیدرضا عبدالمنافی</t>
  </si>
  <si>
    <t>http://www.jamejamonline.ir/</t>
  </si>
  <si>
    <t>این حساب رسمی جام جم آنلاين است..... عضو کانال جام جم آنلاين شويد : http://sapp.ir/jamejam</t>
  </si>
  <si>
    <t>Tehran, I.R.IRAN</t>
  </si>
  <si>
    <t>جام جم آنلاین</t>
  </si>
  <si>
    <t>Islamic Republic of Iran</t>
  </si>
  <si>
    <t>tehran</t>
  </si>
  <si>
    <t>RT @sadeq_hosseini: #روحانی: سخن ما روشن است؛ تعهد در برابر تعهد، تهدید در برابر تهدید ، نقض در برابر نقض/ تحریم و تکفیر؛ ۲ روی یک سکه است. / چرا با حامیان داعش و النصره و القاعده برخورد نمی شود./ قطعنامه ۲۲۳۱ سازمان ملل متحد ورق پاره نیست، به قطعنامه برگردید، به میز مذاکره برگردید. #weStand4Iran</t>
  </si>
  <si>
    <t>RT @Mahanmehrabi1: برجا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م............. کل سخنرانی #روحانی در #سازمان_ملل</t>
  </si>
  <si>
    <t>RT @1400_majd: همه رفتن غیر از آمریکایی ها ... منافق بدتر از مخالف است ... #روحانی #سازمان_ملل</t>
  </si>
  <si>
    <t>‏شبکه آزادی یک شبکهٔ تلویزیونی ماهواره‌ای فارسی‌زبان با تمرکز بر برنامه‌های سیاسی است که با آغاز جنبش مردمی اخیر ایران در دی ماه ۱۳۹۶ شروع به کار کرد.</t>
  </si>
  <si>
    <t>United States</t>
  </si>
  <si>
    <t>tvazadi</t>
  </si>
  <si>
    <t>RT @sp_hos: ان‌شاءالله کلیدواژه سخنرانی امشب #روحانی در سازمان ملل این باشد: #جنگ_نمیشود_مذاکره_نمیکنیم</t>
  </si>
  <si>
    <t>Iran</t>
  </si>
  <si>
    <t>«‏‏‏‏کامو، کافکا، هدایت، سارتر، نیچه» عصیان واقعیت تاریخی ماست و باید ارزش های خود را در آن بجوییم مگر اینکه از واقعیت بگریزیم. آلبر کامو</t>
  </si>
  <si>
    <t>🌞 انسان طاغی 🦁</t>
  </si>
  <si>
    <t>a free legendary man</t>
  </si>
  <si>
    <t>مرد مشرقي</t>
  </si>
  <si>
    <t>👤</t>
  </si>
  <si>
    <t>Tehran, Iran</t>
  </si>
  <si>
    <t>http://www.tasnimnews.com</t>
  </si>
  <si>
    <t>Tasnim News Agency</t>
  </si>
  <si>
    <t>Tehran</t>
  </si>
  <si>
    <t>✅</t>
  </si>
  <si>
    <t>خبرگزاری تسنیم 🇮🇷</t>
  </si>
  <si>
    <t>RT @Nazanin_kamali: با تصویب #خیانت_fatf در مجلس ،الان #دلار و ارز چند هزار تومان کاهش پیدا میکنه،بعد روحانی امشب در سازمان ملل صحبت از صلح و ..میکنه دوباره چند هزار تومان کاهش پیدا میکنه،حالا شما ببینید اگر مذاکره یا دیدار باترامپ کنیم دلار چند میشه؟ این یعنی گروگان گیری اقتصادی برای فشار به مردم!</t>
  </si>
  <si>
    <t>Île-de-France, France</t>
  </si>
  <si>
    <t>Iran_Tehran</t>
  </si>
  <si>
    <t>بی نام</t>
  </si>
  <si>
    <t>Mashhad</t>
  </si>
  <si>
    <t>iran</t>
  </si>
  <si>
    <t>‏عاشق ‎#ایران ‏‏‏‏‏‏‏‏در هر شرایطی معتقد به ‎#اصلاحات چرا که برای رسیدن به ‎#دمکراسی باید از مسیر اصلاحات گذشت به ‎#جنبش_سبز وفادار</t>
  </si>
  <si>
    <t>lran.Tehran</t>
  </si>
  <si>
    <t>🇮🇷 Farhad</t>
  </si>
  <si>
    <t>‏‏گروه رسانه‌ای ایران- در «گرا» خبرها را تصويرى بخوانيد/ شناسه کاربری گرا در دیگر شبکه‌های اجتماعی: ‎‎@GeraaMedia</t>
  </si>
  <si>
    <t>گِرا</t>
  </si>
  <si>
    <t>.</t>
  </si>
  <si>
    <t>‏‏‏‏‏‏‏‏‏‏‏‏‏‏‏‏‏‏معرفت در گرانیست که به هر کس ندهند به توییتر آمدم چون شنیدم همه جوان و همدردیم اگه قراره فالو کنی بک بدم بعدش آنفالو کنی فالو نکن</t>
  </si>
  <si>
    <t xml:space="preserve">شیراز  خونه ی در زردو </t>
  </si>
  <si>
    <t>کیان.لیام</t>
  </si>
  <si>
    <t>RT @Ali_Yari66: #روحانی اگر میخواد با صلابت در مجمع عمومی سازمان ملل سخنرانی کنه باید هر لحظه سخنان رهبری در خصوص #جنگ_نمیشود_مذاکره_نمیکنیم را در ذهنش مرور کنه</t>
  </si>
  <si>
    <t>‏‏‎‎#میرحسین امروز برایم نماد یک ‎‎‎#مبارز هست! نه شخص‌پرستی....</t>
  </si>
  <si>
    <t>world wide</t>
  </si>
  <si>
    <t>میرحسینی‌ام ⁦🇮🇷⁩ 🌿</t>
  </si>
  <si>
    <t>مشهد</t>
  </si>
  <si>
    <t>ایران</t>
  </si>
  <si>
    <t>RT @haghnegar: در پی سخنان #روحانی در سازمان ملل که گفت : "ما از صلح و دموکراسی در خاورمیانه حمایت می‌کنیم"، سنگ پای قزوین رسماً از سِمَت خود کناره‌گیری کرد!😉😄😎 #IraniansWantRegimeChange</t>
  </si>
  <si>
    <t>بسیار ریتوئیت کننده ؛)</t>
  </si>
  <si>
    <t>🏳️...🏳️</t>
  </si>
  <si>
    <t>Paris, France</t>
  </si>
  <si>
    <t>RT @SiamakGhassemi: صحبت هاى امشب #روحانى در #سازمان_ملل به نظر من يكى از مقتدرترين و دقيق ترين سخنرانى يك رييس جمهورى ايران در سازمان ملل در طى چند دهه گذشته بود !</t>
  </si>
  <si>
    <t>‏‏‏رهبر معنوی جبهه ناپایداری</t>
  </si>
  <si>
    <t>ایران اِشغالی</t>
  </si>
  <si>
    <t>شاسوسا _ Shasvsa</t>
  </si>
  <si>
    <t>pic.twitter.com/ReSFQ60YJP</t>
  </si>
  <si>
    <t>RT @iranazadi1395: هموطنان آزاده در میان طوفان و باران شدید اما پرشور علیه سفر #روحانی در مقابل سازمان ملل میخروشند؛ شعار هر ایرانی / مرگ بر خامنه ای روحانی #IraniansWantRegimeChange #IStandWithMaryamRajavi #No2Rouhani</t>
  </si>
  <si>
    <t>‏‏‏‏با افتخار تا پای جان ‎‎‎‎#براندازم ، فالو و رییت تایید تمام مواضع هیچ شخصی نیست.</t>
  </si>
  <si>
    <t>فهمیدی زنگ بزن 911</t>
  </si>
  <si>
    <t>جیگساو 👺</t>
  </si>
  <si>
    <t>Toronto, Ontario</t>
  </si>
  <si>
    <t>RT @hesam_ghm: حسن روحانی از تریبون مجمع عمومی سازمان ملل، آمریکا را دعوت به مذاکره کرد. به همین صراحت و سادگی #روحانی #WeStand4Iran</t>
  </si>
  <si>
    <t>pic.twitter.com/lfIvHahhjl</t>
  </si>
  <si>
    <t>RT @GeraaMedia: #روحانی در مجمع عمومی سازمان ملل: سازمان ملل متحد نباید اجازه دهد مصوباتش گروگان بازی های انتخاباتی و تبلیغاتی برخی از اعضا گردد #UNGA</t>
  </si>
  <si>
    <t>https://pbs.twimg.com/media/Dn9dDG0X0AA86fD.jpg</t>
  </si>
  <si>
    <t>https://www.radiozamaneh.com/413511</t>
  </si>
  <si>
    <t>RT @radiozamaneh: #روحانی در مجمع عمومی #سازمان_ملل: امنیت #خلیج _فارس و تنگه هرمز برای ما مهم است. با اخلال در این آب‌راه حیاتی مقابله خواهیم کرد -</t>
  </si>
  <si>
    <t>تا ‏توانی به خرابی من ای عشق بکوش، من نه آنم که ازین پس دگر آباد شوم... !!</t>
  </si>
  <si>
    <t>Persian</t>
  </si>
  <si>
    <t>ستاره🌠</t>
  </si>
  <si>
    <t>RT @sabeti_twt: روحانی در نطقش #سازمان_ملل ابتدا به #ترامپ تاخت وگفت او به هیچ توافقی پایبند نیست وهیچ قاعده ای را رعایت نمیکند، اما آخر حرف دلش را زد گفت: برای مذاکره حتما نباید کنار هم عکس بگیریم، میشود از همینجا گفتگو را آغاز کرد! حالا انتظار دارید دنیا سایر حرفهای #روحانی راهم جدی بگیرد؟</t>
  </si>
  <si>
    <t>Europe</t>
  </si>
  <si>
    <t>RT @in_taraf: #روحاني در سازمان ملل در یک کلام: جون مادرتون ما رو تحریم نکنید! داریم می افتیم.... #IraniansWantRegimeChange</t>
  </si>
  <si>
    <t>RT @kazeruni: حسن #روحانی یکی از بهترین سخنرانی‌های رؤسای جمهوری اسلامی را در سازمان ملل ایراد کرد. متن روان و پر جاذبه و استدلال، با منطقی جهان فهم. انقلابی و واقع‌نگرانه #WeStand4Iran #NOWAR_NONEGOTIATION</t>
  </si>
  <si>
    <t>#براندازم</t>
  </si>
  <si>
    <t>زیر آسمان خدا</t>
  </si>
  <si>
    <t>RT @mvahidimani: در سازمان ملل شاهد حضور #حسن_روحانی با اندیشه و روحیهء انقلابی سالهای اویل انقلابیم. #سازمان_ملل #UNGA18</t>
  </si>
  <si>
    <t>RT @Nader_nakhai64: ان‌شاءالله کلیدواژه سخنرانی امشب #روحانی در سازمان ملل این باشد: #جنگ_نمیشود_مذاکره_نمیکنیم</t>
  </si>
  <si>
    <t>ARMAn</t>
  </si>
  <si>
    <t>hamid</t>
  </si>
  <si>
    <t>‏‏‏‏‏‏‏‏‏‏‏‏‏‏‏‏دنیا به درک رفتو ده بی سروسامان شد سهم من وتو از آن یک سفره بی نان شد</t>
  </si>
  <si>
    <t>🏳 جد آخا🏳</t>
  </si>
  <si>
    <t>اهواز</t>
  </si>
  <si>
    <t>RT @Kolahkaj_1988: سخنراني رئيس جمهور روحاني در سازمان ملل صريح، محكم، شفاف، محترمانه، مبتني بر قوانين بين الملل و گوياي مواضع اكثريت ملت ايران بود. #روحانی #NoSancationNoWar #westand4iran</t>
  </si>
  <si>
    <t>nixmix</t>
  </si>
  <si>
    <t>https://pbs.twimg.com/media/Dn9gfXBWsAIKjmb.jpg</t>
  </si>
  <si>
    <t>Hamid</t>
  </si>
  <si>
    <t>Em</t>
  </si>
  <si>
    <t>pic.twitter.com/da0Rg2pdNN</t>
  </si>
  <si>
    <t>RT @fardaemaINTV: 🔶 تظاهرات هواداران #مجاهدین جلو سازمان ملل #نه_به_روحانی شعار هر ایرانی: مرگ بر خامنه ای، #روحاني #no2rouhani #FreeIran2018 #IranRegimeChange</t>
  </si>
  <si>
    <t>‏‏‏‏‏‏من تورکم ولی پان نه / وطن پرستم /پرسپولیس❤ /پسر پاییزی البته آذر ماهی /کم حرف کم توقع منطقی/عرزشی و لرزشی بر نمی تابم /مزاحم نشو، مزاحم خلق</t>
  </si>
  <si>
    <t>همه جای ایران</t>
  </si>
  <si>
    <t>RT @Fuck2realla: وقتی روحانی برگرده با خط کش چنتا میزنن کف دستش میگن" لاقل از روی متن چند بار میخوندی،تپق نزنی! خیر سرت فارسی نوشته بودیم"❕ #سازمان_ملل #IraniansWantRegimeChange</t>
  </si>
  <si>
    <t>متولد آذر</t>
  </si>
  <si>
    <t>England, United Kingdom</t>
  </si>
  <si>
    <t>RT @m_azizi1512: #روحانی در سازمان ملل : جهان، دوستی بهتر از ایران نخواهد داشت، اگر صلح، آرمان شماست. #NoSactionNoWar</t>
  </si>
  <si>
    <t xml:space="preserve">ایران </t>
  </si>
  <si>
    <t>مقایسه تعداد حاضرین در جلسه سازمان ملل هنگام سخنرانی #ترامپ و #روحانی</t>
  </si>
  <si>
    <t>RT @zohoor313: سخنرانی آقای #رئیس_جمهور #روحانی در سازمان ملل را چطور ارزیابی کردید؟ #ريتوييت_لطفا</t>
  </si>
  <si>
    <t>تهران</t>
  </si>
  <si>
    <t>RT @sp_hos: اگر دیدید از فردا قیمت دلار سقوط کرد و بلافاصله شنیدید اثرات سخنرانی #روحانی در مجمع عمومی سازمان ملل بوده، تعجب نکنید!</t>
  </si>
  <si>
    <t>ان‌شاءالله کلیدواژه سخنرانی امشب #روحانی در سازمان ملل این باشد: #جنگ_نمیشود_مذاکره_نمیکنیم</t>
  </si>
  <si>
    <t xml:space="preserve">سراسر وطن </t>
  </si>
  <si>
    <t>pic.twitter.com/08Wiq2eIO2</t>
  </si>
  <si>
    <t>RT @ManotoNews: حسن #روحانی در مجمع عمومی #سازمان_ملل : ملت ایران در ۴۰ ساله گذشته علی‌رغم تحریم‌ها همچنان مقاوم بوده و سر خم نکرده #تحریم #سقوط_ریال #ورشکستگی_اقتصادی</t>
  </si>
  <si>
    <t>Sasar🏳️</t>
  </si>
  <si>
    <t>#روحانی در سازمان ملل ‌ سخن ما روشن است، تعهد در برابر تعهد، نقض در برابر نقض،تهدید در برابر تهدید. و گام در برابر گام، به جای حرف در برابر حرف دانش هسته‌ای را واجب و سلاح هسته‌ای را حرام می‌دانیم. ‌ ‌ #جنگ_نمیشود_مذاکره_نمیکنیم</t>
  </si>
  <si>
    <t>RT @Badamchi_Media: سخنرانی ارزنده و هوشمندانه‌ی #روحانی در صحن #سازمان_ملل جای تقدیر دارد. همان‌طور که رییس‌جمهور گفت،دنیا باید واقعیات تاریخی درباره ایران را بپذیرد، از #تحریم دست بردارد و به #تکفیر پایان دهد. جهان،دوستی بهتر از #ایران نخواهد داشت، اگر #صلح، آرمان همگان است. #NoSanctionNoWar #iran</t>
  </si>
  <si>
    <t>‏‏‏‏‏‏‏‏‏‏‏‏‏‏‏‏‏‏‏‏كَانَ لِي فِيمَا مَضَى «أَخٌ فِي اللَّه»ِ وَكَانَ يُعْظِمُهُ فِي عَيْنِي صِغَرُ الدُّنْيَا فِي عَيْنِهِ وَكَانَ خَارِجاً مِنْ سُلْطَانِ بَطْ</t>
  </si>
  <si>
    <t>أخٌ‌في‌الله🏴</t>
  </si>
  <si>
    <t>Reza</t>
  </si>
  <si>
    <t>‏حزب مجازی،‏‏‏‏‏‏‏‏‏‏‏‏‏‏‏‏Athiest عاشق خانواده پهلوی وطن پرست(جاوید شاه)فقط شاهزاده رضا پهلوی،پادشاهی، ورود این افراد ممنوع👈🚫جدایی طلب🚫عرزشی🚫مجاهد</t>
  </si>
  <si>
    <t xml:space="preserve">ایران اشغالی </t>
  </si>
  <si>
    <t>🏳👑➰fiცhtპΓ➰👑</t>
  </si>
  <si>
    <t>مادر،همسر،عاشق مطالعه ، معتقد به اصلِ : سياست ما عين ديانت ماست،جان بر كف حضرت آقا</t>
  </si>
  <si>
    <t>Qom</t>
  </si>
  <si>
    <t>fahimeh kazemi</t>
  </si>
  <si>
    <t>وای به روزی که مسلح شویم</t>
  </si>
  <si>
    <t xml:space="preserve"> دارالمؤنین ایران اشغالی</t>
  </si>
  <si>
    <t>بنیاد دعبل خزاعی🏳️</t>
  </si>
  <si>
    <t>http://www.instagram.com/mahmoodakbarikia</t>
  </si>
  <si>
    <t>‏‏‏محمود اکبری کیا(‏‏‏‏‏خبرنگار)</t>
  </si>
  <si>
    <t>mahmoodakbarikia</t>
  </si>
  <si>
    <t>Planet Earth</t>
  </si>
  <si>
    <t>آسمان رو نگاه کن . ‏‏عاشق راک . کتاب و ایران و تتو</t>
  </si>
  <si>
    <t>دور و بر تهرون</t>
  </si>
  <si>
    <t>RT @mortezagolpoor: در پایان سخنرانی #روحانی در سازمان ملل، #بي_بي_سي اعلام کرد #دلار 17 هزار تومان شد. فقط بی زحمت، آدرس این بازار بدین که بدونیم این وقت شب، کجای تهران صرافی و بازار ارز باز هست که اونا از لندن دیدند، ما اینجا در تهران ندیدیم؟!! @bbcpersian</t>
  </si>
  <si>
    <t>mahbobdj</t>
  </si>
  <si>
    <t>S.M.Masoodi.N</t>
  </si>
  <si>
    <t>Khashayar Bahrami 🇮🇷</t>
  </si>
  <si>
    <t>RT @CaptainDPR: هر کلمه‌ای که #روحانی تو #سازمان_ملل میگه یه جون از من کم میشه!</t>
  </si>
  <si>
    <t>https://pbs.twimg.com/media/Dn9l1EbWsAEaPtN.jpg</t>
  </si>
  <si>
    <t>RT @kurdmezzo: مقایسه تعداد حاضرین در جلسه سازمان ملل هنگام سخنرانی #ترامپ و #روحانی #IraniansWantRegimeChange</t>
  </si>
  <si>
    <t>Ich habe einen Plan für ganzen Welt</t>
  </si>
  <si>
    <t>Essen, Deutschland</t>
  </si>
  <si>
    <t>Pezhman</t>
  </si>
  <si>
    <t>‏‏‏دیگر آزاد کنید این پرنده محبوس در قفس را....</t>
  </si>
  <si>
    <t>فریاد سکوت</t>
  </si>
  <si>
    <t>https://pbs.twimg.com/media/Dn9olKMXUAESEKp.jpg</t>
  </si>
  <si>
    <t>http://www.isna.ir/photo/97070302110</t>
  </si>
  <si>
    <t>RT @ISNAMEDIA: سخنرانی حسن روحانی در هفتاد و سومین مجمع عمومی سازمان ملل - نیویورک  #روحانی #سازمان_ملل #سفر_نیویورک</t>
  </si>
  <si>
    <t>https://pbs.twimg.com/media/Dn3-ovSXcAQE6KQ.jpg</t>
  </si>
  <si>
    <t>RT @radiojibi: از #روحانی در سازمان ملل باید پرسید جمهوی اسلامی چقدر برای مردم ایران حق تعیین سرنوشت قائل است؟ اگر کسی جمهوری اسلامی را نخواهد، چقدر شانس تغییر آن را دارد؟</t>
  </si>
  <si>
    <t>Navid Zolata</t>
  </si>
  <si>
    <t>http://www.larak.blogsky.com</t>
  </si>
  <si>
    <t>یک معلم علاقه مند به رسانه آزاد و گویش شناسی</t>
  </si>
  <si>
    <t>Minab, Iran</t>
  </si>
  <si>
    <t>Hassan Mohebbi Bahma</t>
  </si>
  <si>
    <t>RT @hamidnateghiyan: سخنرانی #روحانی در مجمع عمومی سازمان ملل از پنج نوبت قبل با اختلاف بهتر بود! #NoSanctionNoWar</t>
  </si>
  <si>
    <t>Vahid Aghaei</t>
  </si>
  <si>
    <t>Canada</t>
  </si>
  <si>
    <t>https://twitter.com/Hannahkaviani/status/1044622696569589761</t>
  </si>
  <si>
    <t>RT @RadioFarda_: تجمع اعتراضی هواداران #شورای_ملی_مقاومت در نیویورک، ساعاتی پیش از سخنرانی حسن روحانی در مجمع عمومی #سازمان_ملل</t>
  </si>
  <si>
    <t>https://pbs.twimg.com/media/Dn9182ZXkAAXWAs.jpg</t>
  </si>
  <si>
    <t>RT @AHirad29414413: ♦️مقایسه تعداد حاضرین در جلسه #سازمان_ملل موقع سخنرانی #ترامپ و #روحانی #IraniansWantRegimeChange</t>
  </si>
  <si>
    <t>‏‎‎اللهم عجل لوليك الفرج و العافيه و النصر و اجعلنا من خير انصاره و اعوانه و المستشهدين بين يديه</t>
  </si>
  <si>
    <t>🤨</t>
  </si>
  <si>
    <t>احسانی بهاری😊✌</t>
  </si>
  <si>
    <t>RT @khabaronlinee: برخلاف ترامپ، روحانی ایران را یک عضو مسئول جامعه جهانی نشان داد شبکه تلویزیونی فرانس24 در مورد سخنان رئیس جمهوری در مجمع عمومی سازمان ملل گفت: برخلاف #ترامپ رئیس جمهوری امریکا که تلاش کرد ایران را درحاشیه قرار دهد، حسن #روحانی ایران را یک عضو مسئول جامعه جهانی نشان داد./ ایرنا</t>
  </si>
  <si>
    <t>France</t>
  </si>
  <si>
    <t>https://pbs.twimg.com/media/Dn9d7u_V4AAHaB0.jpg</t>
  </si>
  <si>
    <t>RT @Arghavaniii_: پلاستیک جای چوب بستنی :))) چوب بستنی نداریم! درب آب معدنی نداریم! چسب سر سنجاق سر نداریم! مثل دهه ۶۰ شیشه در گردش راه افتاده! اونوقت #روحانی امروز میره تو سازمان ملل اینجوری کونمون رو میده هوا :)) #IraniansWantRegimeChange</t>
  </si>
  <si>
    <t>نه خداوند رعیت، نه غلام شهریارم</t>
  </si>
  <si>
    <t>Nimrokh</t>
  </si>
  <si>
    <t>Iran/Tehran</t>
  </si>
  <si>
    <t>RT @KHIYALE_KHIS: #روحانی در سازمان ملل ‌ سخن ما روشن است، تعهد در برابر تعهد، نقض در برابر نقض،تهدید در برابر تهدید. و گام در برابر گام، به جای حرف در برابر حرف دانش هسته‌ای را واجب و سلاح هسته‌ای را حرام می‌دانیم. ‌ ‌ #جنگ_نمیشود_مذاکره_نمیکنیم</t>
  </si>
  <si>
    <t xml:space="preserve"> ایران</t>
  </si>
  <si>
    <t>سیامک</t>
  </si>
  <si>
    <t>‏‏به امید ایران آزاد❤ نه به جمهوری اسلامی. رضا شاه، محمدرضاشاه روحتون شاد❤ #شاهزاده_رضا_پهلوی #من_براندازم #رضاشاه_روحت_شاد</t>
  </si>
  <si>
    <t>https://twitter.com/Hannahkaviani/status/1044623696948862981</t>
  </si>
  <si>
    <t>RT @RadioFarda_: تجمع اعتراضی هواداران براندازی با محوریت رضا پهلوی، در آستانه سخنرانی #روحانی در #سازمان_ملل</t>
  </si>
  <si>
    <t>Mehrnoosh</t>
  </si>
  <si>
    <t>RT @amin_assadi71: کاش #روحانی در سازمان ملل به جهانیان می‌گفت ، ما سالهای زیادی با آمریکا و اتحادیه اروپا مذاکره کردیم و از ما امتیاز گرفتند ولی امتیازی نداند، به اینها اعتماد نکنید ، آمریکا غیرقابل اعتماد هست و با آن مذاکره نخواهیم کرد</t>
  </si>
  <si>
    <t>‏‏‏‏‏‏‏‏‏‏‏‏‏- بابا تو که خواهان تولد دیگری، نخست مرگ را پذیرا باش. The Satanic Verses - Salman Rushdie ‎#براندازم - حامی شاهزاده رضا پهلوی ‎‎</t>
  </si>
  <si>
    <t>RT @TohidAzizi1357: تیم دفتر ریاست جمهوری نتونسته‌ی پنکه‌ی همایونی رو زیر میز سازمان ملل جاسازی کنه، #روحانی داره شر شر عرق می‌ریزه!</t>
  </si>
  <si>
    <t>https://pbs.twimg.com/media/Dn96j_sX0AAU1zr.jpg</t>
  </si>
  <si>
    <t>میهنی می‌سازیم «که در آن وسعت خورشید به‌اندازه چشمان سحرخیزان است» نام این میهن آزاد شده ایران است نام این میهن آزاد شده ایران است.</t>
  </si>
  <si>
    <t>BehruzSabet</t>
  </si>
  <si>
    <t>pic.twitter.com/zmv21GKCFi</t>
  </si>
  <si>
    <t>RT @RahaTaraneh1: #نيويورك تصاويرى از #تظاهرات ايرانيان آزاديخواه مقابل سازمان ملل همزمان با برگزارى جلسه، در #اعتراض به حضور #روحانى 3 مهر #No2Rouhani #ايران #براندازم #IranRegimeChange</t>
  </si>
  <si>
    <t>Mükemmel olmanıza gerek yok sahte olmayın yeter ی نموره سلطنت طلب🤗</t>
  </si>
  <si>
    <t>İstanbul, Türkiye</t>
  </si>
  <si>
    <t>🇺🇸🇺🇸سپاهه توتِنکُپف🇺🇸🇺🇸</t>
  </si>
  <si>
    <t>RT @Javaddalirii: #روحانی در سازمان ملل من گفت وگو را از همین جا آغاز می کنم</t>
  </si>
  <si>
    <t>aQa khan</t>
  </si>
  <si>
    <t>با افتخار جمهوری اسلامی ایران</t>
  </si>
  <si>
    <t>https://pbs.twimg.com/media/Dn965Q9XgAA-u_J.jpg</t>
  </si>
  <si>
    <t>هلند</t>
  </si>
  <si>
    <t>دایی میرزا علی</t>
  </si>
  <si>
    <t>‏‏‏‏‏مهندس، بی اعتقاد به چتر، مودّب(فقط بیرون توییتر)</t>
  </si>
  <si>
    <t>EHSSAN</t>
  </si>
  <si>
    <t>mohsen</t>
  </si>
  <si>
    <t>pic.twitter.com/wrtOEmCMlx</t>
  </si>
  <si>
    <t>sara</t>
  </si>
  <si>
    <t>pic.twitter.com/Yidt4zC9zY</t>
  </si>
  <si>
    <t>ایران اشغالی</t>
  </si>
  <si>
    <t>‏‏‏‏‏‏‏‏‏‏‏‏‏‏‏‏‏‏‏‏‏‏‏‏‏‏‏‏از خود کمی برون ای محو خدا شو 😊❤</t>
  </si>
  <si>
    <t>طهران</t>
  </si>
  <si>
    <t>RT @kian_liam_nis: دوستان نظرتون در مورد سنخرانی #حسن_روحانى در #سازمان_ملل چیه ممنون میشم که در این بحث شرکت میکنید.بنظر من خیلی منطقی و خوب صحبت کرد.آفرین به مشاورانش لطفاً #منشن بدید یا کوت کنید</t>
  </si>
  <si>
    <t>حمیدرضام</t>
  </si>
  <si>
    <t>RT @Mostafaa_Azizi: کسانی ممکن است با سخنان #روحانی در #سازمان_ملل موافق باشند یا مخالف، خوش‌شان آمده باشه یا بدشان آمده باشد، با آنها کاری ندارم اما کسانی که تصور می‌کنند این سخنان کلمه به کلمه با #خامنه‌ای مرور نشده است و حرفی مخالف با نظر خامنه‌ای زده است بی‌شک احمق نیستند ما را احمق فرض کرده‌اند</t>
  </si>
  <si>
    <t>https://pbs.twimg.com/media/Dn9c_hMU8AErn8i.jpg</t>
  </si>
  <si>
    <t>RT @ManotoNews: واکنش‌ها به سخنرانی امروز #ترامپ و #روحانی در مجمع عمومی سازمان ملل. افزایش قیمت #دلار و مذاکره ایران و آمریکا.</t>
  </si>
  <si>
    <t>journalist</t>
  </si>
  <si>
    <t>https://pbs.twimg.com/media/Dn-C75wXgAUpPC2.jpg</t>
  </si>
  <si>
    <t>RT @Taha_mahmoudi: . روحانی در سازمان ملل باصلابت، منطقی و معقولانه سخن راند نه نگران ترک صندلی ها بودیم نه صحبت های نابجا و نامعقولی که منافع و مصالح ملی را به مخاطره اندازد به راستی امروز #روحانی از ایران سرافراز آمده بود</t>
  </si>
  <si>
    <t>https://pbs.twimg.com/media/Dn9lGJ6XgAAoKuv.jpg</t>
  </si>
  <si>
    <t>RT @nargesho55: @VOAIran #روحانی نماینده مردم #ایران نیست. رئیس جمهور رژیم #تروریست را نباید به #سازمان_ملل‌_متحد راه بدهید. کرسی نمایندگی ایران در سازمان ملل متعلق به مقاومت ایران است. #IranRegimChange #No2Rouhani</t>
  </si>
  <si>
    <t>RT @Humanity_OneBig: کاروان "عشق و معرفت" متشکل از خانواده و شاگردان محمدعلی طاهری به زودی از تورنتو به سمت نیویورک حرکت میکند تا در زمان سخنرانی آقای #روحانی در سازمان ملل، صدای مظلومیت استاد طاهری باشد. از همه آزاداندیشان میخواهیم تا ما را همراهی کنند. @mataherinews2 #Taheri_Movement #FreeTaheri</t>
  </si>
  <si>
    <t>‏نه سلطنت طلب، نه اسلامی، نه اصلاح طلب، نه مجاهد. هوای تازه میخوام</t>
  </si>
  <si>
    <t>The name is love</t>
  </si>
  <si>
    <t>Dark Sky</t>
  </si>
  <si>
    <t>Tehran,iran</t>
  </si>
  <si>
    <t>RT @mortezasayadi11: ان‌شاءالله کلیدواژه سخنرانی امشب #روحانی در سازمان ملل این باشد: #جنگ_نمیشود_مذاکره_نمیکنیم</t>
  </si>
  <si>
    <t>http://www.kampain.info/archive/24352.htm</t>
  </si>
  <si>
    <t>RT @RabiiRamin: به سیاستهای اجرایی دولت #روحانی در چند ماه اخیر به خصوص در حوزه ارز و اقتصاد نقد بسیار دارم و آنها را دلیل اصلی تحولات اقتصادی فاجعه بار اخیر میدونم. ولی به نظرم امشب در سازمان ملل منطقی، حساب شده و هدفمند صحبت کرد. کاش در عمل و اقتصاد هم به اندازه سخنوری و دیپلماسی تبحر داشت</t>
  </si>
  <si>
    <t>‏‏‏‏‏‏‏‏‏‏‏‏‏‏‏‏‏‏‏‏‏‏جامانده ای از قبیله شهیدان،سیاست را فقط با دیانت قبول دارم،گاهی شعر مذهبی میگویم وگاهی دلنوشته. مرگ بر آمریکا و اسرائیل</t>
  </si>
  <si>
    <t>جوادصلوات</t>
  </si>
  <si>
    <t>فارغ از هر زنده باد و مرده باد/سر به اصلاح وطن باید نهاد</t>
  </si>
  <si>
    <t>Astara</t>
  </si>
  <si>
    <t>سخنان امشب #روحانی در #سازمان_ملل همانند مناظرات انتخاباتی اش هوشمند ، هدفمند ، از موضع قانون و نظام حقوقی ، موقر و متین و #دیپلماتیک بود اما بر خلاف آن دوران شنونده را به وجد نمی آورد چرا که عمده مخاطبان ایرانی اش اورا به عنوان یک #سخنران خوب می شناسند نه یک عمل گرای پیگیر!</t>
  </si>
  <si>
    <t>AmirMarkabi</t>
  </si>
  <si>
    <t>https://www.shiachat.com/</t>
  </si>
  <si>
    <t>Shahram</t>
  </si>
  <si>
    <t>literature student at Guilan university</t>
  </si>
  <si>
    <t>Tabassom</t>
  </si>
  <si>
    <t>‏‏‏‏‏‏‏‏‏اکانت اصلی (‎‎‎‎‎‎‎‎‎@namira63)</t>
  </si>
  <si>
    <t>RT @mahdi_nostatii: امروز سخنرانی رئیس جمهور در سازمان ملل بازگو کردن حق و حقیقت بود، فقط همین؛ حتما یک عده از شنیدن حرف حق ملول خواهند شد... #روحانی #روحانی_مچکریم</t>
  </si>
  <si>
    <t>نــامیــــــــرا🏴</t>
  </si>
  <si>
    <t>کارشناس ارشد ارتباطات، مشاور رسانه ای و خبرنگار سابق.../ Press Advisor</t>
  </si>
  <si>
    <t>Maryam Layegh</t>
  </si>
  <si>
    <t>‏‏‏تنهای تنهای تنهایی مظلوم مظلوم مظلومی</t>
  </si>
  <si>
    <t>Iran.Tehran</t>
  </si>
  <si>
    <t>RT @RouShalvari: سخنرانی #ترامپ تموم شد. خب فعلا #دلار فردا میره رو ۲۰ هزار حالا بینم مقدار #مالیدن #روحانی در چه حده. اگه نماله دلار میشه ۲۵ هزار #روحانی_خفه_شو #IraniansWantRegimeChange #IranRegimeChange #مسیح_علینژاد #سازمان_ملل #سقوط_ریال #دلار۲۵۰۰۰هزاری #دلار۲۰۰۰۰هزاری</t>
  </si>
  <si>
    <t>Mr.Bab</t>
  </si>
  <si>
    <t>http://www.kampain.info/</t>
  </si>
  <si>
    <t>Journalist and human rights activists at the Campaign for the Defense of Political and Civil Prisoners</t>
  </si>
  <si>
    <t>حضور هواداران #محمدعلی_طاهری جهت اعتراض به تداوم حبس این زندانی عقیدتی در #نیویورک/ ویدئو #تورنتو #کانادا #سازمان_ملل #سازمان_ملل‌_متحد #روحانی #عرفان_حلقه #عرفان_کیهانی #اوین</t>
  </si>
  <si>
    <t>Dariush Adim</t>
  </si>
  <si>
    <t>کمی تفکر</t>
  </si>
  <si>
    <t>http://masaf.ir</t>
  </si>
  <si>
    <t>‏‏‏‏‏‏‏‏‏تا نیایی قسم خورده ام هرکه که پرسید چطوری؟ بگم مرده ام! یا صاحب الزمان(عج) ادرکنی</t>
  </si>
  <si>
    <t xml:space="preserve"> روضه حسین (ع)</t>
  </si>
  <si>
    <t>RT @daheshasty: 🏴 مقایسه تعداد حاضرین در جلسه سازمان ملل در زمان سخنرانی ترامپ و روحانی. #سازمان_ملل #روحاني</t>
  </si>
  <si>
    <t>Mahdi Rostami 🇮🇷</t>
  </si>
  <si>
    <t>Mr.elyaszadeh</t>
  </si>
  <si>
    <t>ما غنیمتهای بی رویای این جنگای سردیم زندگیمون کو ببین ما کشته های بی نبردیم</t>
  </si>
  <si>
    <t>https://twitter.com/YaarDabestaani/status/1044583849748037633</t>
  </si>
  <si>
    <t>RT @Omidam_Hamin: با #IranianWantRegimeChange به پیشواز سخنرانیِ سراسر تَکرارِ #روحانی در #سازمان_ملل می رویم...</t>
  </si>
  <si>
    <t>Hanikooo</t>
  </si>
  <si>
    <t>https://pbs.twimg.com/media/Dn9WksoU8AEYX2i.jpg</t>
  </si>
  <si>
    <t>RT @bellehoney1: من اگه انسان بودم #روحانی رو با #پوشک میفرستادم مجمع عمومی #سازمان_ملل که یک پیام قدرتمند به جهان داده باشم؛ مسئولین هم چششون به داستان‌های پوشک بیفته گنده‌گوزی نکنن واسه دنیا! :) #IranianWantRegimeChange</t>
  </si>
  <si>
    <t>و امید و تلاش آغشته به ایمان تنها تیرهای ما در جنگ با ناعدالتی دنیا هستند. //ادب مرد به ز دولت اوست.//</t>
  </si>
  <si>
    <t>Shiraz</t>
  </si>
  <si>
    <t>sepehr</t>
  </si>
  <si>
    <t>‏‏‏‏آزادی برای من مقدس ترین آرمان هست دین و آیین من آزادی است در لوای آزادی عدالت، حقوق بشر، رفاه، اندیشه، پیشرفت و حتی گسترش و تبلیغ دین میسر می گردد</t>
  </si>
  <si>
    <t>ماهی سیاه CPR</t>
  </si>
  <si>
    <t>sam.sam</t>
  </si>
  <si>
    <t>‏‏‏‏عَمامم، ‏‏‏‏‏‏‏‏‏‏‏‏‏‏‏‏‏‏‏‏عَمام مهربانی‌ها، ابرو موکتی پاچه بُزی! ⛔مجاهد⛔⛔عرزشی⛔</t>
  </si>
  <si>
    <t>#لاکِن از طَیّارَ پیادَ شدم</t>
  </si>
  <si>
    <t>عَمام</t>
  </si>
  <si>
    <t>Hacker For More Security</t>
  </si>
  <si>
    <t>White Hat</t>
  </si>
  <si>
    <t>‏‏‏‏‏‏‏‏‏‏‏‏‏از الف های بلریاند. اسیر و گرفتار در موردور. نه توان غلبه برسیاهی ست و نه توانی برای فرار. در تلاش برای عقب راندن تاریکی و تولد *سپیده*ای در نزدیکی</t>
  </si>
  <si>
    <t>Beleriand‌ ، Doriath</t>
  </si>
  <si>
    <t>Lúthien Tinúviel</t>
  </si>
  <si>
    <t>‏</t>
  </si>
  <si>
    <t>👪</t>
  </si>
  <si>
    <t>پسربد</t>
  </si>
  <si>
    <t>جهان دوستی بهتر از ایران نخواهد داشت، اگر صلح آرمان شما باشد... #روحانى #سازمان_ملل‌_متحد #NoSanctionNoWar</t>
  </si>
  <si>
    <t>Pouria B</t>
  </si>
  <si>
    <t>http://noavardgah.ir</t>
  </si>
  <si>
    <t>Entrepreneural community builder @shezan_acc/#Startup_Lover/ Interested in #Aerospace #Astronomy #Technology #Innovation/ Love to work with new business ideas.</t>
  </si>
  <si>
    <t>چرا #روحانی هنوز تلاش میکنه از طریق مجامع بین المللی فشار بیاره به #ترامپ ؟ بی تاثیر بودنش #پرواضح نیست؟ #سازمان_ملل‌_متحد #سخنرانی #UNGA</t>
  </si>
  <si>
    <t>Hamed Hamedian</t>
  </si>
  <si>
    <t>از دستان ما تا ازادی فاصله ای نیست</t>
  </si>
  <si>
    <t>RT @jabbarianmina1: @VOAIran تظاهرات ایرانیان در نیویورک علیه حضور آخوند روحانی درود بر سازمان جوامع ایرانی برای تلاشهای بی وقفه اشان برای آزادی ایران پرشور علیه سفر #روحانی در مقابل سازمان ملل میخروشند؛ مرگ بر روحانی #No2Rouhani #IraniansWantRegimeChange #IStandWithMaryamRajavi</t>
  </si>
  <si>
    <t>Kia</t>
  </si>
  <si>
    <t>‏‏‏براندازم......براندازِ فیروزه ای میجنگم میمیرم ایرانو پس میگیرم✌</t>
  </si>
  <si>
    <t>🌏</t>
  </si>
  <si>
    <t>k@miyar</t>
  </si>
  <si>
    <t>🇮🇷🌸فمنیست</t>
  </si>
  <si>
    <t>امشب تو سازمان ملل روحانی باید چند تا “مردم امریکا نگران نباشند” میگفت که اقتصاد آمریکا از هم بپاشه #روحانی</t>
  </si>
  <si>
    <t>ســوده🦄</t>
  </si>
  <si>
    <t>بابام شهیده برای وطن برای ناموس. به عقب برمیگردیم ۴۰ سال👑👑</t>
  </si>
  <si>
    <t>حسن #روحانی در مجمع عمومی #سازمان_ملل : ملت ایران در ۴۰ ساله گذشته علی‌رغم تحریم‌ها همچنان مقاوم بوده و سر خم نکرده : ولی تا اونجایی که من خبر دارم کمر مردم شکسته دیگه راست نمیشه. #IraniansWantRegimeChange</t>
  </si>
  <si>
    <t>جوان پیر</t>
  </si>
  <si>
    <t>قومی متفکرند اندر ره دین قومی به گمان فتاده در راه یقین میترسم از آن که بانگ آید روزی کای بیخبران راه نه آنست و نه این</t>
  </si>
  <si>
    <t>گوگوریو</t>
  </si>
  <si>
    <t>‏‏ایرانی، عرب، سکولار، مشروطه خواه، لیبرال</t>
  </si>
  <si>
    <t>RT @kampainhr: حضور هواداران #محمدعلی_طاهری جهت اعتراض به تداوم حبس این زندانی #عقیدتی در #نیویورک/ ویدئو #سازمان_ملل‌_متحد #روحانی #عرفان_حلقه #تورنتو</t>
  </si>
  <si>
    <t>عرب ایرانی</t>
  </si>
  <si>
    <t>‏💎‏‏‏‏‏‏‏‏‏‏پاها رو زمین ولی طرفدار پرواز💎</t>
  </si>
  <si>
    <t>IRAN</t>
  </si>
  <si>
    <t>RT @magic3230: حسن #روحانی در مجمع عمومی #سازمان_ملل : ملت ایران در ۴۰ ساله گذشته علی‌رغم تحریم‌ها همچنان مقاوم بوده و سر خم نکرده : ولی تا اونجایی که من خبر دارم کمر مردم شکسته دیگه راست نمیشه. #IraniansWantRegimeChange</t>
  </si>
  <si>
    <t>MAD__MAX</t>
  </si>
  <si>
    <t>با خدا باش و پادشاهی کن</t>
  </si>
  <si>
    <t>pic.twitter.com/DQwrjs20vT</t>
  </si>
  <si>
    <t>RT @khabaronlinee: #روحانی در سازمان ملل: آمریکا فکر می‌کند چون زور دارد، حق هم دارد</t>
  </si>
  <si>
    <t>Mansur Gholami</t>
  </si>
  <si>
    <t>آقای #روحانی تو سخنرانی سازمان #ملل از دو کشور #چین و #روسیه که #ایران رو #غارت کردن تشکر کردی ولی اسمی از مردمی که بهت رای دادن و پات وایسادن نبردی!!! میدونی چرا؟چون مردم هیچوقت برا کسایی که #زور دارن و فکر میکنن #حق هم دارن مهم نبودن. #روحانی #ترامپ</t>
  </si>
  <si>
    <t>http://inthephilosophy.blogspot.com</t>
  </si>
  <si>
    <t>فلسفه در اختناق Auch ich war in Arkadien geboren. Friedrich von Schiller</t>
  </si>
  <si>
    <t>Dystopia</t>
  </si>
  <si>
    <t>https://pbs.twimg.com/media/Dn9-UPPXcAAgdd_.jpg</t>
  </si>
  <si>
    <t>RT @polar_bear986: #روحانی در سازمان ملل: آمریکا فکر می‌کند چون زور دارد، حق هم دارد! #ماموران_شهرداری #IraniansWantRegimeChange</t>
  </si>
  <si>
    <t>Kasra Khoozestani</t>
  </si>
  <si>
    <t>Mojgan</t>
  </si>
  <si>
    <t>http://MohammadAliTaheri.news</t>
  </si>
  <si>
    <t>Campaigning for the release of Mohammad Ali #Taheri, Iranian author, spiritual teacher, over 8-years prisoner of conscience. #Amnesty #FreeTaheri #محمدعلی_طاهری</t>
  </si>
  <si>
    <t>#FreeTaheri Campaign</t>
  </si>
  <si>
    <t>🚬</t>
  </si>
  <si>
    <t>https://pbs.twimg.com/media/Dn6t8M-XkAAukKq.jpg</t>
  </si>
  <si>
    <t>RT @haghnegar: مشروح سخنرانی رئیس‌جمهور #روحانی در سازمان ملل 😉😅😎</t>
  </si>
  <si>
    <t>کارتن خواب</t>
  </si>
  <si>
    <t>چه تلخ است قصه "عادت" ساکنین دریا پس از مدتی صدای امواج را نمشنوند...!</t>
  </si>
  <si>
    <t>Hamid Shahrokh</t>
  </si>
  <si>
    <t>🌻☕️💆🏻‍♀️😍💪🏻💫⛱🎭🏊🏻‍♂️🧘🏻‍♀️🏸🍻🍿🍨🏊🏻‍♀️🍄🦔🐠🐢🐬🦊👩🏻‍💻👣👾🤧🍰🗿🗺⚖️🔮🖼🔆🔛♠️🃏🕛🇮🇷♥️🇨🇦👁‍🗨🎶👀🔦💅🏻👠🐾☯️💕</t>
  </si>
  <si>
    <t>RT @Tabassom_Ak: جهان دوستی بهتر از ایران نخواهد داشت، اگر صلح آرمان شما باشد... #روحانى #سازمان_ملل‌_متحد #NoSanctionNoWar</t>
  </si>
  <si>
    <t>sima  💤</t>
  </si>
  <si>
    <t>‏‏هنرمندی که بخاطر عقایدش نتوانست آثارش را در توییتر به اشتراک بگذارد</t>
  </si>
  <si>
    <t>سِرآمان</t>
  </si>
  <si>
    <t>‏‏سامانه دموکراسی و داد/ لطفا فالوبک کنید</t>
  </si>
  <si>
    <t>http://www.gozaar.net/a/5179</t>
  </si>
  <si>
    <t>حضور هواداران #محمدعلی+طاهری جهت اعتراض به تداوم حبس این زندانی #عقیدتی در نیویورک #نشست_سازمان_ملل #سازمان_ملل_متحد #سازمان_ملل #عرفان_حلقه #اعتراض #روحانی</t>
  </si>
  <si>
    <t>Gozaar Net</t>
  </si>
  <si>
    <t>trabajamos para un cambio en #Iran un Irán Democrático y libre de injusticia y ejecuciones . #freedom ✌️✌️✌️ #maryamRajavi</t>
  </si>
  <si>
    <t>Madrid</t>
  </si>
  <si>
    <t>HRI(ESPAÑA)</t>
  </si>
  <si>
    <t>فالو کنم بک ندی آنفالویی</t>
  </si>
  <si>
    <t>پادشاه خوبان</t>
  </si>
  <si>
    <t>Tahmineh Rezaeian</t>
  </si>
  <si>
    <t>Ghasem.</t>
  </si>
  <si>
    <t>‏‏‏‏فرش ایرانی زیبایش رو مدیون تک‌تک رنگ‌هاش هست حتی اون نقطه‌های خیلی ریز؛ ایران همه‌ی ما هم ... تاریخ بخوانیم #دریای‌کاسپین #شاخاب‌پارس #Persiangulf</t>
  </si>
  <si>
    <t>در گستره زمان</t>
  </si>
  <si>
    <t>RT @Fahimehkhezr: آقایون آخوندها در کلام فصیح هستند و منبر را خوب گرم می‌کنند.-آیت‌الله خمینی همین را هم نداشت البته-. امروز آقای #روحانی هم قشنگ و متین حرف زد. چیزهای خوبی گفت که فقط به درد سخنرانی در سازمان ملل می‌خورد و از شدتِ بی‌ربط بودن به عملکرد ایشان و شرایط ایران، ریاکارانه به نظر می‌رسد.</t>
  </si>
  <si>
    <t>Girl Of Persian</t>
  </si>
  <si>
    <t>دنيا همه هيچ و كار دنيا همه هيچ...</t>
  </si>
  <si>
    <t>#روحاني مثل اين بچه تخساس كه هر جا ميرن خرابكاري ميكنن. ١ماه بشينه تو خونه همه چي درست ميشه! #سازمان_ملل‌_متحد</t>
  </si>
  <si>
    <t>dayi reza</t>
  </si>
  <si>
    <t>‏‏‏‏‏‏~ ‏‏‏‏‏‏‏‏‏جانباز جنگ ~ . وشاگردی کوچک در مکتب استاد</t>
  </si>
  <si>
    <t>RT @dariushadim: حضور هواداران #محمدعلی_طاهری جهت اعتراض به تداوم حبس این زندانی عقیدتی در #نیویورک/ ویدئو #تورنتو #کانادا #سازمان_ملل #سازمان_ملل‌_متحد #روحانی #عرفان_حلقه #عرفان_کیهانی #اوین</t>
  </si>
  <si>
    <t>در پی رحمانیت...</t>
  </si>
  <si>
    <t>#برندازم چو ايران نباشد تن من مباد بدين بوم و بر زنده يک تن مباد</t>
  </si>
  <si>
    <t>Republik Iran</t>
  </si>
  <si>
    <t>💙👑  نوری خودمون  👑💙</t>
  </si>
  <si>
    <t>ورود عرازشه ممنوع ⛔️⛔️ اکثرا ریت میزنم تا تویت/ ریت به معنی تایید دقیق محتواس نه خود شخص</t>
  </si>
  <si>
    <t>m.zeus</t>
  </si>
  <si>
    <t>‏تدریس با روش های نوین به پهلویستها،رجویسمها و تجزیه طلبان تضمینی!!!</t>
  </si>
  <si>
    <t>همین نزدیکیا....</t>
  </si>
  <si>
    <t>RT @RaheToseeh: #روحانی رییس جمهور منتخب من بوده است، ولی اگر الان #احمدی_نژاد هم در جایگاه نماینده #ایران در سازمان ملل بود، بلاشک در کنار او و در مقابل دشمنان ملتم می‌ایستادم. به قول #میرحسین_موسوی: ماجرای ما، هر چقدر تلخ، یک اختلاف خانوادگی است. #WeStand4Iran</t>
  </si>
  <si>
    <t>معلم دهه شصتی</t>
  </si>
  <si>
    <t>zanjani</t>
  </si>
  <si>
    <t>از حق نگذريم سخنان امشب #روحاني در سازمان ملل يكي از بهترين سخنراني ها در دولتش بود متن سخنراني هوشمندانه تنظيم شده بودو با لحن مقتدرانه و دیپلماتیک قرائت شد. سپاس #روحاني كه‌ نماینده صدای واقعی مردم ايران بودي ولي كاش بفكر بيشترنشدن فقر مردم بخاطر تحريم ها هم باشي</t>
  </si>
  <si>
    <t>Sara</t>
  </si>
  <si>
    <t>#IraniansWantRegimChange #روحانی_در_سازمان_ملل #روحاني گفت كه ايرانيها فشار رو تحمل ميكنن من ميگم احتمال اينكه تحمل مارو با فشار بكنه بيشتره</t>
  </si>
  <si>
    <t>mhd_66</t>
  </si>
  <si>
    <t>‏‏‏‏‏‏‏‏‏‏‏‏‏‏‏‏‏‏‏‏‏‏‏‏‏‏‏‏‏ علاقه مند به عرفان، شعر، کتاب و سیاست دینی،آرزومند شهادت.....رفیقانم دعاکردند و رفتند...مرگ بر آمریکا مرگ بر اسرائیل</t>
  </si>
  <si>
    <t>بِن وَهَب</t>
  </si>
  <si>
    <t>http://Forsan.news</t>
  </si>
  <si>
    <t>یک صفحه ای خبری است که اخبار سیاسی، اقتصادی، ورزشی و اخبار مختلف جهان را با اعتبار و دقت بالا نقل می کند</t>
  </si>
  <si>
    <t>World</t>
  </si>
  <si>
    <t>https://pbs.twimg.com/media/Dn-K582XcAcCFNE.jpg</t>
  </si>
  <si>
    <t>#پمپئو: رهبران #ایران از #سازمان_ملل سو استفاده می کنند تا خود را به عنوان معتدل نشان دهند #روحانی_در_سازمان_ملل #سازمان_ملل‌_متحد #فرسان_خبر</t>
  </si>
  <si>
    <t>فرسان خبر</t>
  </si>
  <si>
    <t>‏‏‏کاشکی آخر این سوز بهاری باشد، کاشکی وصل شود عشق تو به آزادی.</t>
  </si>
  <si>
    <t>https://pbs.twimg.com/media/Dn-LURgWkAEeOQ8.jpg</t>
  </si>
  <si>
    <t>در حالیکه در #ایران #دلار به مرز ۲۰ هزار تومان نزدیک شده و دیگر کسی توان خرید مواد اولیه زندگی خود را هم ندارد .... دغدغه ی اصلی #حسن_روحانی در اجلاس #سازمان_ملل ، #یمن و #فلسطین است. #IraniansWantRegimeChange</t>
  </si>
  <si>
    <t>širdoxt</t>
  </si>
  <si>
    <t>☄ای که مرا خوانده ای... راه نشانم بده☄</t>
  </si>
  <si>
    <t>🌷📝مستوره...☄</t>
  </si>
  <si>
    <t>‏‏‏‏‏‏من مفسرگنجشکهای دره گنگم،؛وگوشواره عرفان نشان تبت را؛برای گوش بی آذین دختران بنارس،کنار جاده سرنات شرح داده ام</t>
  </si>
  <si>
    <t>Germansweek, England</t>
  </si>
  <si>
    <t>شمن بنفش پوش</t>
  </si>
  <si>
    <t>Raha</t>
  </si>
  <si>
    <t>بدترین شکنجه آن است که دیگر نتوانی دوست بداری...</t>
  </si>
  <si>
    <t>Tehran,Iran</t>
  </si>
  <si>
    <t>🎗🇮🇷Orkide🇮🇷🎗</t>
  </si>
  <si>
    <t>RT @souderad: امشب تو سازمان ملل روحانی باید چند تا “مردم امریکا نگران نباشند” میگفت که اقتصاد آمریکا از هم بپاشه #روحانی</t>
  </si>
  <si>
    <t>من عاشق ایران و ایرانیم برای خاکش همه قربانیم</t>
  </si>
  <si>
    <t>pic.twitter.com/9nKGpj8WVi</t>
  </si>
  <si>
    <t>RT @fardaemaINTV: #نیویورک - جلو هتلی که #روحانی مستقر است تجمع هواداران #مجاهدین_خلق و اعتراض به حضور رييس جمهور دار و اعدام در سازمان ملل #براندازم #IranRegimeChange #No2Rouhani</t>
  </si>
  <si>
    <t>golamreza</t>
  </si>
  <si>
    <t>https://www.sazinco.ir</t>
  </si>
  <si>
    <t>‏‏‏‏‏‏‏‏کارشناس IT / مشاور تولیدمحتوا تازه در فضای مجازی/ مشاور چندین پایگاه خبری معتبر 🔶 ‎‎@sazin24 🔶 ‏‏‏اینستگرام: http://instagram.com/ardavan_sijani‎‎‎‎‎‎‎‎‎‎‎</t>
  </si>
  <si>
    <t>جای خوب‌شم</t>
  </si>
  <si>
    <t>اردوان سیجانی</t>
  </si>
  <si>
    <t>Hooshang</t>
  </si>
  <si>
    <t>مشق شب #روحاني: نوشتن ده بار از سخنرانيش در سازمان ملل هست كه وقتي برگشت حرفاشُ فراموش نكنه و در داخل ايران نيز بهشون عمل كنه🙈 ....... ضمنا #روحاني جان كار ازشكستن گذشته چراكه حداقل ما در برابر تحريم ها ب فنا رفته و با خاك يكسان شديم شمارو نميدونم 🤔</t>
  </si>
  <si>
    <t>A Man with not a job .</t>
  </si>
  <si>
    <t>pic.twitter.com/LM28RuzmCk</t>
  </si>
  <si>
    <t>RT @RadioFarda_: در روزی که مجمع عمومی #سازمان_ملل شاهد سخنرانی‌های دونالد #ترامپ رئیس‌جمهور آمریکا، و حسن #روحانی رئیس‌جمهور ایران بود، گروه‌هایی از مخالفان جمهوری اسلامی در حاشیه برگزاری مجمع عمومی تجمع‌هایی اعتراضی داشتند. گزارش @Hannahkaviani را در این مورد ببینید.</t>
  </si>
  <si>
    <t>hon</t>
  </si>
  <si>
    <t>ایرانشهر</t>
  </si>
  <si>
    <t>ریتوئیتر ایرانشهر</t>
  </si>
  <si>
    <t>ایستاده_با _مشت</t>
  </si>
  <si>
    <t>‏‏‏‏‏‏عاشقم بر همه عالم که همه عالم از اوست...</t>
  </si>
  <si>
    <t>RT @M_Asadpour96: تمسخر #ترامپ و تشویق #روحانی، نشان‌دهنده جایگاه فعلی آمریکا و ایران در افکار عمومی دنیاست... #سازمان_ملل</t>
  </si>
  <si>
    <t>shenas</t>
  </si>
  <si>
    <t>محمدابراهیم رشیدی</t>
  </si>
  <si>
    <t>https://pbs.twimg.com/media/Dn99fxsXsAAunhU.jpg</t>
  </si>
  <si>
    <t>https://twitter.com/UANI/status/1044691663401226241</t>
  </si>
  <si>
    <t>عصبانیت #جان_بولتون از چیست؟ ۱.بیانیه مشترک #ایران و۱+۴درخصوص حفظ #برجام و اقدامت عملیاتی #اروپا درخصوص بی‌اثرکردن تحریم‌ها ۲.نطق بسیار قوی #روحانی در #نشست_سالانه_مجمع_عمومی_سازمان_ملل ۳.تنهاماندن #آمریکا در نشست #شورای_امنیت باموضوعیت ایران به ریاست #ترامپ #WeStand4Iran #UNGA RT @UANI: These words, from National Security Advisor @AmbJohnBolton, closed out @UANI's #IranSummit2018 - "Let my message today be very clear: We are watching and we will come after you."</t>
  </si>
  <si>
    <t>‏‏‏‏‏مهندس شرکت ملی نفت ، فعال انقلابی</t>
  </si>
  <si>
    <t>https://pbs.twimg.com/media/Dn-NpbWWsAArFg0.jpg</t>
  </si>
  <si>
    <t>جناب آقای روحانی رئیس جمهور کشور عزیزمان ایران از سخنرانی امشب شما در مجمع عمومی سازمان ملل متحد تشکر میکنم و از سخنان شما کاملا حمایت می کنیم . #جنگ_نمیشود_مذاکره_نمیکنیم #روحانی_در_سازمان_ملل #روحانی_مچکریم #روحانی</t>
  </si>
  <si>
    <t>علی</t>
  </si>
  <si>
    <t>اصلا گوربابای #احمدينژاد ولی زمان اون وقتی تحریم شدیم #اصلاح‌طلبان گفتند تقصیر دولته. الان میگن تقصیر #ترامپ هست. والا احمدی نژاد هم توی #سازمان_ملل همین چرت و پرت هارو تحویل ما داد. کلی گویی، فلسفه بافی، بی ربط به مساله. سیاست کلاس فلسفه منطق نیست. #روحانی #روحانی_مچکریم</t>
  </si>
  <si>
    <t>‌همين "جهان دوستى بهتر از ايران نخواهد داشت" رو اگه "حسن روحانى" تو مجلس يا تو مثلاً خطبه ى نماز جمعه ميگفت همه باهم يكصدا پُشتش داد ميزدن: ‌الله اكبر ‌مرگ بر آمريكا ‌مرگ بر اسرائيل ‌مرگ بر ضد ولايت فقيه ‌مرگ بر ... #روحانی #آمریکا #سازمان_ملل‌_متحد #ايران</t>
  </si>
  <si>
    <t>rmsl</t>
  </si>
  <si>
    <t>برای رسیدن خلقم به ساحل آزادی هر قیمتی را با افتخار میدهم چون به آرمان آزادی انسان وفادارم .</t>
  </si>
  <si>
    <t>https://pbs.twimg.com/media/Dn-OcSGV4AA_4AX.jpg</t>
  </si>
  <si>
    <t>مقایسه تعداد حاضرین در جلسه سازمان ملل هنگام سخنرانی #ترامپ و #روحانی حداقل زمان احمدی نژاد آدما بیشتر از این می نشستند #قيام_تا_سرنگوني #براندازم</t>
  </si>
  <si>
    <t>esmaeel nasery</t>
  </si>
  <si>
    <t>Mobilegraphy 📱 I love photography 👍</t>
  </si>
  <si>
    <t>M.GH.1</t>
  </si>
  <si>
    <t>https://pbs.twimg.com/media/Dn-OOD_WsAEb2Vl.jpg</t>
  </si>
  <si>
    <t>#ترامپ: رژیم #ایران از موقع آغاز توافق هسته‌ای پول زیادی را به خزانه آنها سرازیر کرد و در یک سال نزدیک به 40 درصد عایدات نظامی آنها رشد کرد #یمن #سوریه #روحانی_در_سازمان_ملل #سازمان_ملل‌_متحد #فرسان_خبر</t>
  </si>
  <si>
    <t>WestWing</t>
  </si>
  <si>
    <t>مهر2731</t>
  </si>
  <si>
    <t>فرض کنید اولین نطق ریاست جمهوری قالیباف یا جهرمی تو سازمان ملل، بره بگه از وقتی من اومدم دلار قیمتش کشید پایین، فیلم تولیدش رفت بالا، شهرداری تهران هم دو تا اتوبان جدید و یک خط مترو اضافه کرده، نباید همه بخندند؟ #ترامپ #روحانی</t>
  </si>
  <si>
    <t>Ata Behnamian</t>
  </si>
  <si>
    <t>Meysam Ghorbanzade</t>
  </si>
  <si>
    <t>Programmer/Developer, SysAdmin, Security Expert, Data Analyst, Designer. #Turk #Republican</t>
  </si>
  <si>
    <t>#حسن_کلید_ساز تو نماینده ی ما نیستی. #حسن_روحانی در #سازمان_ملل #IraniansWantRegimeChange</t>
  </si>
  <si>
    <t>𝓟𝓮𝓳𝓶𝓪𝓷 𝓡𝓮𝔃𝓪𝓲</t>
  </si>
  <si>
    <t>California, USA</t>
  </si>
  <si>
    <t>atashirani</t>
  </si>
  <si>
    <t>چون بازنیاید ز بت و بتکده خسرو/ اصلاح مزاج سگ دیوانه چه کوشم ؟</t>
  </si>
  <si>
    <t>RT @PejmanRezai: #حسن_کلید_ساز تو نماینده ی ما نیستی. #حسن_روحانی در #سازمان_ملل #IraniansWantRegimeChange</t>
  </si>
  <si>
    <t>چه</t>
  </si>
  <si>
    <t>Bahram Abedini</t>
  </si>
  <si>
    <t>RT @khabaronlinee: تحلیل آشنا از صحیتهای رییس جمهور پیش از سخنرانی در سازمان ملل برای ترامپ خودش مهمتر از آمریکا است. #روحانی اسیر گفتمان ترامپی نخواهد شد او با جهان سخن می گوید نه ترامپ. او از ایران دفاع می‌کند نه از خود. @hesamodin1</t>
  </si>
  <si>
    <t>Zink</t>
  </si>
  <si>
    <t>pic.twitter.com/BoH37cBDuQ</t>
  </si>
  <si>
    <t>https://www.iranntv.com/2018/09/24/%da%a9%d8%a7%d8%b1%d8%b2%d8%a7%d8%b1-%d8%a7%d8%b4%d8%b1%d9%81-%d9%86%d8%b4%d8%a7%d9%86%d8%a7%d9%86-%d8%af%d8%b1-%d9%86%db%8c%d9%88%db%8c%d9%88%d8%b1%da%a9-%d8%a7%d8%b9%d8%aa%d8%b1%d8%a7%d8%b6-%d8%a8/</t>
  </si>
  <si>
    <t>RT @simayazaditv: کارزار اشرف نشانان در #نیویورک-اعتراض به حضور #روحانی رئیس جمهور ترور، در مجمع عمومی #سازمان_ملل</t>
  </si>
  <si>
    <t>‏‏‏خبری بزرگ در راه هست که تاوان بزرگی داره و البته نتیجه بزرگی.</t>
  </si>
  <si>
    <t>در وطن خویش غریب</t>
  </si>
  <si>
    <t>Firouz</t>
  </si>
  <si>
    <t>‏‏‏مبارز انقلابی ام انشاءالله. تصمیم گرفتم در گردان شهید حسن باقری مثل یک سرباز بجنگم.</t>
  </si>
  <si>
    <t>Mobarez Enghelab    #یا_حسین</t>
  </si>
  <si>
    <t>ottawa</t>
  </si>
  <si>
    <t>Reza fakhari</t>
  </si>
  <si>
    <t>RT @shafieikia: آن روزکه #دکتر_احمدی_نژاد درسازمان ملل بود، هماهنگ بارأس دو قوه دیگر #جوانفکر مشاور مطبوعاتی اش را باضرب و شتم بازداشت کردند! الان #روحانی رفته سازمان ملل #لاریجانی برخلاف برنامه اعلام شده ۲لایحه پیوستن ایران به #پالرمو و #FATF را تصویت کرد! #ترامپ هم گفت روحانی دوست داشتنی است!</t>
  </si>
  <si>
    <t>‏‏‏‏‏اولین کرد سلطنت طلب شاهنامه خوان 🦁🌞🥂مثتوی دان در سرزمین هفت هزارساله شاهنشاهی جاوید باد شاه</t>
  </si>
  <si>
    <t>RT @shirdokht: در حالیکه در #ایران #دلار به مرز ۲۰ هزار تومان نزدیک شده و دیگر کسی توان خرید مواد اولیه زندگی خود را هم ندارد .... دغدغه ی اصلی #حسن_روحانی در اجلاس #سازمان_ملل ، #یمن و #فلسطین است. #IraniansWantRegimeChange</t>
  </si>
  <si>
    <t>Sushiant</t>
  </si>
  <si>
    <t>Cultural and social activist Political critics Arts and Culture</t>
  </si>
  <si>
    <t>Ali Parvaz davani</t>
  </si>
  <si>
    <t>اقای رییس‌جمهور سخنران خوبیه،همیشه بوده.اما امان از عمل. سخنرانی خوب اما کم فایده‌ای بود چون در عمل چیزی رو تغییر نمیده #روحانی_در_سازمان_ملل #روحانى</t>
  </si>
  <si>
    <t>Ali</t>
  </si>
  <si>
    <t>‏فکیف اصبر علی فراقک یا مهدی عجل الله تعالی فرجه ‎#اللهم_عجل_لولیک_الفرج</t>
  </si>
  <si>
    <t>fadaeevelayat</t>
  </si>
  <si>
    <t>‏‏‏‏‏‏براندازم... پس عرزشی و جاعشی و ساندیسی و مجاهد 🚫</t>
  </si>
  <si>
    <t>ایستاده در مه</t>
  </si>
  <si>
    <t>‏‏‏‏‏‏‏‏یک عدد آرشیتکت بیکار :)</t>
  </si>
  <si>
    <t>مریمونه</t>
  </si>
  <si>
    <t>Clinical Psychologist / مشروطه خواه- با شاهزاده تا رفراندوم و بعد از رفراندوم ❤️</t>
  </si>
  <si>
    <t>New York, USA</t>
  </si>
  <si>
    <t>https://pbs.twimg.com/media/Dn-RxgPXoAEZwaA.jpg</t>
  </si>
  <si>
    <t>روحاني ترشح مايعات منشاء انساني از تمام زواياي بدنش را در سازمان ملل به منصه ظهور گذارد. #روحاني #روحانی_در_سازمان_ملل #IranRegimeChange</t>
  </si>
  <si>
    <t>Nazanin Danesh</t>
  </si>
  <si>
    <t>شهروندانی که هنوز خودشان در زنجیر استبداد عقیدتی و فکری، از هر نوع آن اسیرند، توانایی آزادکردن کشور را نخواهند داشت.</t>
  </si>
  <si>
    <t>ویران</t>
  </si>
  <si>
    <t>قانون دافعه آسمان</t>
  </si>
  <si>
    <t>Iranian human rights activist, in support of a Regime change in Iran.</t>
  </si>
  <si>
    <t>https://pbs.twimg.com/media/Dn94r5MWsAApUZ-.jpg</t>
  </si>
  <si>
    <t>RT @jabbarianmina1: @RadioFarda_ هموطنان آزاده در میان طوفان و باران شدید اما پرشور علیه سفر #روحانی در مقابل سازمان ملل میخروشند؛ شعار هر ایرانی / مرگ بر خامنه ای روحانی #IraniansWantRegimeChange #IStandWithMaryamRajavi #No2Rouhani</t>
  </si>
  <si>
    <t>abfarideh</t>
  </si>
  <si>
    <t>RT @jabbarianmina1: @RadioFarda_ تظاهرات ایرانیان در نیویورک علیه حضور آخوند روحانی درود بر سازمان جوامع ایرانی برای تلاشهای بی وقفه اشان برای آزادی ایران پرشور علیه سفر #روحانی در مقابل سازمان ملل میخروشند؛ مرگ بر روحانی #No2Rouhani #IraniansWantRegimeChange #IStandWithMaryamRajavi</t>
  </si>
  <si>
    <t>مدیر خلاقیت و هنری. هنرمند. فعال اجتماعی آزادی‌ خواه و عدالت خواه مستقل. ریتوئیت لزوماً به معنای تایید نیست. اکانت انگلیسی @takinson</t>
  </si>
  <si>
    <t>Tehran/Toronto</t>
  </si>
  <si>
    <t>سخنرانی #روحانی در سازمان ملل عالی بود. هر چقدر پختگی در صحبت مقامات و گفتمان دیپلماسی ایران دیده می‌شه، رفتار و گفتار آمریکا زننده، ساده‌لوحانه و باعث توهین‌ به شعور آدمه. انگار برگشتیم ۴۰ سال عقب فقط جای ایران و آمریکا عوض شده.</t>
  </si>
  <si>
    <t>تکین آغداشلو</t>
  </si>
  <si>
    <t>http://www.kanokhbegan.com</t>
  </si>
  <si>
    <t>رئيس صندوق حمايت از نخبگان/ دبيركل كانون نخبگان و فرهيختگان ايران</t>
  </si>
  <si>
    <t>دکتر سید مصطفی علوی🇮🇷</t>
  </si>
  <si>
    <t>‏یک بیکار باتحصیلات عالی که نسبت به سنش زیادی کتاب خونده</t>
  </si>
  <si>
    <t>RT @Nazdane15: روحاني ترشح مايعات منشاء انساني از تمام زواياي بدنش را در سازمان ملل به منصه ظهور گذارد. #روحاني #روحانی_در_سازمان_ملل #IranRegimeChange</t>
  </si>
  <si>
    <t>Saman Azad</t>
  </si>
  <si>
    <t>‏مهربانی کی سر آمد. شهریاران راچه شد</t>
  </si>
  <si>
    <t>omid shi</t>
  </si>
  <si>
    <t>⚽️ تنها ارزوم صلح و ارامش برای این کره خاکی و رفتن ملاها از سرزمین مادری❤️</t>
  </si>
  <si>
    <t>دنیای پهناور</t>
  </si>
  <si>
    <t>Rocky</t>
  </si>
  <si>
    <t>‏‏‏‏‏‏در حمایت ز امیرم حضرت خامنه ای میشوم ‎‎‎‎#میثم_تمار به دارم بزنید ‎‎‎#خواهرم! دنبال لبخند رضایت مادرمون ‎#حضرت_زهرا باش نه خنده های شیطانیِ ‎‎‎#مسیح_علی</t>
  </si>
  <si>
    <t>#آتش_به_اختیار</t>
  </si>
  <si>
    <t>بنده‌ی کفرم و از هر دو جهان آزادم</t>
  </si>
  <si>
    <t>travis➰</t>
  </si>
  <si>
    <t>Journalist / Producer @Manototv</t>
  </si>
  <si>
    <t>London</t>
  </si>
  <si>
    <t>Salome Seyednia</t>
  </si>
  <si>
    <t>http://T.me/azarmansouri</t>
  </si>
  <si>
    <t>اصلاح طلبم ومعتقد به حرکت درچارچوب قانون اساسی ومخالف جدی رادیکالیزم وبرای تحقق دموکراسی از هیچ تلاشی درراستای جریانسازی اصلاحات دموکراتیک فروگذار نخواهم کرد</t>
  </si>
  <si>
    <t>سخنرانی امشب #روحانی در نیویورک،بهترین موضعی بود که یک رئیس جمهور می توانست با تکیه بر #منافع_ملی کشورش در اجلاس سالیانه مجمع عمومی سازمان ملل داشته باشد.</t>
  </si>
  <si>
    <t>Azar Mansoori</t>
  </si>
  <si>
    <t>اقاجان! گره کور ظهور تو منم ؛میدانم....</t>
  </si>
  <si>
    <t>زیر سایه خدا</t>
  </si>
  <si>
    <t>رافضی</t>
  </si>
  <si>
    <t>snitches get stitches</t>
  </si>
  <si>
    <t>8 mile road detroit</t>
  </si>
  <si>
    <t>New folder (4)</t>
  </si>
  <si>
    <t>از نسلی سوخته</t>
  </si>
  <si>
    <t>بزرگترین زندان دنیا</t>
  </si>
  <si>
    <t>Freedom1912</t>
  </si>
  <si>
    <t>‏‏‏‏‏‏‏‏سعی کنیم شادباشیم و دل رحم و از زندگی لذت ببریم زندگی کوتاه تر از این حرفهاست که به خاطر مذهب تلخ کنیم.برای شروع هم آهنگ تنها ترین نهنگ رو گوش کنین لذت</t>
  </si>
  <si>
    <t>bandar</t>
  </si>
  <si>
    <t>🏳🏳Minion09🏳🏳</t>
  </si>
  <si>
    <t>یک دهه پنجاهی خسته، خسته از نابرابری، بی عدالتی، تبعیض، دروغ، ریا کاری، ظلم و ..... و معترض به همه چیز و همه کس</t>
  </si>
  <si>
    <t>Amir5606</t>
  </si>
  <si>
    <t>Los Angeles, CA</t>
  </si>
  <si>
    <t>اونایی که از رای‌ دادن‌ پشیمونن واقعا فقط تصور کنن که الان رییسی تو‌ #سازمان_ملل چی ‌میخواست بگه ؟ دو ساعت وقت گذاشتین رفتین رای دادین. حداقل عابرو رو‌داری که واسه رییس جمهورت کف‌ میزنن به رییس جمهور پولدارترین کشور جهان میخندن #روحانی #خدا_پشت_و_پناهت</t>
  </si>
  <si>
    <t>Arash</t>
  </si>
  <si>
    <t>‏‏‏به نام آزادی به نام انسانیت .‏‏‏‏‏‏‏‏‏هیچ مذهبی بالاتر از انسانیت نیست</t>
  </si>
  <si>
    <t>Roshaana</t>
  </si>
  <si>
    <t>#FreeIran #WeAreNotBots هزار كانون شورشي براي آزادي ايران #IranRegimeChange</t>
  </si>
  <si>
    <t>SASAN</t>
  </si>
  <si>
    <t>RT @azar_mansoori: سخنرانی امشب #روحانی در نیویورک،بهترین موضعی بود که یک رئیس جمهور می توانست با تکیه بر #منافع_ملی کشورش در اجلاس سالیانه مجمع عمومی سازمان ملل داشته باشد.</t>
  </si>
  <si>
    <t>vahidyar</t>
  </si>
  <si>
    <t>‏‏مترجم و مدرس زبان انگلیسی</t>
  </si>
  <si>
    <t>براندازم</t>
  </si>
  <si>
    <t>من هم يكي ازآن كابوسهاي آخوندهاي جنايتكارم پس من يك #براندازم</t>
  </si>
  <si>
    <t>گلپايگان</t>
  </si>
  <si>
    <t>اشرف 999</t>
  </si>
  <si>
    <t>‏‏‏‏‏‏دوش وقت سحر از غصه نجاتم دادند/و اندر آن ظلمت شب آب حیاتم دادند</t>
  </si>
  <si>
    <t xml:space="preserve"> کره زمین</t>
  </si>
  <si>
    <t>xenophon</t>
  </si>
  <si>
    <t>K.keivanloo</t>
  </si>
  <si>
    <t>RT @Nasser13MB: در اینستاگرام بی‌بی‌سی پستی در مورد سخنرانی #روحانی در سازمان ملل گذاشته. ملت ریخته‌اند و از معمولی صحبت کردن ایشان به اورگاسم رسیدند و شکر میکنند که مثل #احمدی_نژاد صحبت نکرده. پروردگارا، در مقابل حافظه این ملت، غلط کرد حافظه ماهی...</t>
  </si>
  <si>
    <t>mohammad</t>
  </si>
  <si>
    <t>داستان نویس</t>
  </si>
  <si>
    <t>کتاب #ما_ایرانیان نوشته #مقصود_فراستخواه از نگاه تاریخ اجتماعی به بررسی #ریا و #چاپلوسی درایران پرداخته وریشه های این دو را دراعماق قرون انگاشته است. نطق روحانی در #سازمان_ملل بیانی بود فاخر و نجیبانه برپایه آمال دلفریب و آرزومندانه برای انسانیت اما پوشانی و عاری از واقعیت ایران.</t>
  </si>
  <si>
    <t>مجید میرزایی</t>
  </si>
  <si>
    <t>خبرنگار Journalist😉😉😉</t>
  </si>
  <si>
    <t>#روحانی: قطعنامه ۲۲۳۱ شورای امنیت «ورق پاره» نیست. از شما دعوت می‌کنیم که به میز مذاکره‌ای که آن را برهم زدید، بازگردید #UNGA #Rouhani #Trump #Iran #UnitedStates #روحانی_در_سازمان_ملل</t>
  </si>
  <si>
    <t>Hamed Naraghi</t>
  </si>
  <si>
    <t>آتییست،طرفدار محیط زیست</t>
  </si>
  <si>
    <t>Yousef1979</t>
  </si>
  <si>
    <t>Mohsen Ferdowsi</t>
  </si>
  <si>
    <t>‏‏‏‏‏‏‏‏‏‏دانشجوی باحالی ام/عاشق وطن و انقلاب</t>
  </si>
  <si>
    <t>کرج سیتی درجمهوری اسلامی ایران</t>
  </si>
  <si>
    <t>سعید(کوروش کبیر)🇮🇷</t>
  </si>
  <si>
    <t>Shiraz, Iran</t>
  </si>
  <si>
    <t>شيش‌متری تل‌حاجی</t>
  </si>
  <si>
    <t>https://www.instagram.com/munzzz/</t>
  </si>
  <si>
    <t>Iran enthusiast</t>
  </si>
  <si>
    <t>#روحانی بسیار سنجیده و عالی حرف زد در سازمان ملل و #ترامپ واقعا یابو گری و قلدری رو بیشتر از قبل از پیش گرفت. ولی ای کاش سخنرانی قشنگ میتونست #ایران رو از این منجلابی که در انتظارش هست نجات بده.</t>
  </si>
  <si>
    <t>Munzz</t>
  </si>
  <si>
    <t>Nilli</t>
  </si>
  <si>
    <t>‏‏‏۳۲ساله. فرمانده اسبق پایگاه بسیج ثارالله. مداح اهل بیت(ع). دادگاهیِ اعتراض به ظلم. پذیرای بهاری و ارزشی و برانداز و اصلاح طلب و اصولگرا</t>
  </si>
  <si>
    <t>باشنیدن سخنرانی امشب #روحانی_در_سازمان_ملل مطمئن شدم که #روحانی حالا که درادارهء اقتصاد وسیاست کشور درمانده و فهمیده عرضهء مدیریت این شرایط را ندارد، تصمیم گرفته حداقل بچهء خوبِ نظام باقی بماند بلکه بتواند پس از ریاست جمهوری هنوز از سفره نظام ارتزاق کند. #روحانی_مچکریم</t>
  </si>
  <si>
    <t>حبیب نجار</t>
  </si>
  <si>
    <t>http://www.cpimlm.com</t>
  </si>
  <si>
    <t>فعال سياسي و هوادار حزب كمونيست ايران (ماركسيست لنينيست مائوئيست) http://www.cpimlm.com</t>
  </si>
  <si>
    <t xml:space="preserve">Amol </t>
  </si>
  <si>
    <t>#فرداي_سوسياليسم به جاي مليجكهاي درنده اي مثل #روحاني، #ترامپ، #نتانياهو، يكي مثل #لنين يا #مائو تو سخنراني #سازمان_ملل‌_متحد فرياد خواهد زد: امپرياليستها و #مرتجعين ببر كاغذي اند، #انقلاب جشن توده ها است و #انترناسيونال است نژاد إنسانها. #به_سوي_جمهوري_سوسياليستي_نوين_ايران</t>
  </si>
  <si>
    <t>Siyamak.Saboori</t>
  </si>
  <si>
    <t>The Superme Leader of Democratic People's Republic of Korea</t>
  </si>
  <si>
    <t>Pyongyang, North Korea</t>
  </si>
  <si>
    <t>김정은</t>
  </si>
  <si>
    <t>‏‏تنها در جستجو آزادی</t>
  </si>
  <si>
    <t>FA NUS</t>
  </si>
  <si>
    <t>baharazadi</t>
  </si>
  <si>
    <t>Kourosh</t>
  </si>
  <si>
    <t>http://www.lufthansa-flight-training.com</t>
  </si>
  <si>
    <t>Pilot 👩🏼‍✈️✈️ خلبان شيرازى اى كه خانواده اش هميشه نگرانش است و حقوق ميخواند، يک مخترع نابينايان و كم توان جسمى كه دغدغه اش كمک به افراد كم توان است</t>
  </si>
  <si>
    <t>وسط زمين و آسمون گيرم،فعلاكويت</t>
  </si>
  <si>
    <t>🌸مريم مقدس💜Miriam🏳</t>
  </si>
  <si>
    <t>فقط به‌ ایران بیندیشید . حب الوطن من ایمان</t>
  </si>
  <si>
    <t>ایران اهواز</t>
  </si>
  <si>
    <t>ah.dinar56</t>
  </si>
  <si>
    <t>‏‏‏کارآفرین، تولید کننده بخش خصوصی، فعال در صنعت مواد غذایی، مدیر بازرگانی و فروش. امیدوار به آینده ی کشورم ایران🇮🇷</t>
  </si>
  <si>
    <t>باید قبول کنیم سخنرانی امشب #روحانی در صحن #سازمان_ملل‌_متحد بسیار خوب بود! همانند نطق های انتخابی او. ولی! سوال اینجاست که اولا این حرفها چه تاثیری بر وضعیت نابسامان #اقتصاد میگذارد؟ دوما آیا مثل شعارهای انتخاباتی فقط در حد شعار باقی خواهد ماند؟ . #ترامپ #تحریم #نتیجه</t>
  </si>
  <si>
    <t>Kasra 🇮🇷</t>
  </si>
  <si>
    <t>مِریِ همیشه کرلئونه</t>
  </si>
  <si>
    <t>Harry🇮🇷</t>
  </si>
  <si>
    <t>RT @jamejamCPI: #روحانی در #سازمان_ملل: دولتی که هنوز به دولت بودن خود آگاه نیست و عهد و پیمان سَلَف خود را نقض می‌کند و اصل حقوقیِ مسئولیت دائمیِ دولت‌ها را نمی‌شناسد. دولتی که به مشورت نخبگان، بها نمی‌دهد؛ از ایران می‌خواهد با او گفت‌وگو کند! #UNGA</t>
  </si>
  <si>
    <t>‏‏یه انسان معمولی از ناشناس ترین نقطه ی زمین.. عاشقِ دوست داشتن .. 🌹</t>
  </si>
  <si>
    <t>__Mitra__</t>
  </si>
  <si>
    <t>http://esden.site11.com</t>
  </si>
  <si>
    <t>Prof. International Relations and Energy Economy &amp; President of Environment &amp; Sustainable Development European Network ( ESDEN )</t>
  </si>
  <si>
    <t>pic.twitter.com/YusTfbuwkM</t>
  </si>
  <si>
    <t>RT @Tasnimnews_Fa: 🎥 #روحانی در مجمع عمومی #سازمان_ملل: دولت های اقتدارگرا، دشمنان صلح و پدران جنگ هستند</t>
  </si>
  <si>
    <t>Abolfazl Beheshti</t>
  </si>
  <si>
    <t>https://t.me/e31sound</t>
  </si>
  <si>
    <t>#نه_به_جمهوری_اسلامی</t>
  </si>
  <si>
    <t>https://pbs.twimg.com/media/Dn-aPESXcAA_Sbh.jpg</t>
  </si>
  <si>
    <t>در رابطه با سخرانی #حسن_روحانی در #سازمان_ملل فایل صوتی در کانال تلگرام #نه_به_جمهوری_اسلامی #برانداز</t>
  </si>
  <si>
    <t>Mohammad Nouri</t>
  </si>
  <si>
    <t>Parsi</t>
  </si>
  <si>
    <t>‏‏‏‏زندگی فرصت پرواز بلند است ولی، قصه این است که چه اندازه کبوتر باشی</t>
  </si>
  <si>
    <t>analytical thinker - anti radicalism فیلسوف مقیم هیچ جماعت فکری‌ایی نیست . همینست که او را فیلسوف می‌کند . (ویتگنشتاین)</t>
  </si>
  <si>
    <t>سازمان ملل مغاکی برای تمسخر خوکها و تحسین اعتدال و عقلانیت #روحانی #WeStandForIran #NoSanctionNoWar #WeStand4Iran</t>
  </si>
  <si>
    <t>Shizar Aria 🇮🇷</t>
  </si>
  <si>
    <t>‏‏‏‏‏‏‏‏میخواهم در دفتر دنیا کلمه ای باشم برای نوشتن شعری ناب🌷نه چپی ام نه راستی جاده زندگیم صراط مستقیمه(امام خامنه ای)</t>
  </si>
  <si>
    <t>شبنم</t>
  </si>
  <si>
    <t>RT @1shizar: سازمان ملل مغاکی برای تمسخر خوکها و تحسین اعتدال و عقلانیت #روحانی #WeStandForIran #NoSanctionNoWar #WeStand4Iran</t>
  </si>
  <si>
    <t>Schweden</t>
  </si>
  <si>
    <t>Flora Fery</t>
  </si>
  <si>
    <t>‏‏‏‏‏یگانه شهدخت، سلطان حسن و آذربانو که خواجه شمس‌الدین محمد بن بهاءالدّین محمدحافظ‌شیرازی افتخار می‌کند در زادروز میلادش متولد شده‌ام</t>
  </si>
  <si>
    <t>مُلک سلیمان</t>
  </si>
  <si>
    <t>ملکهٔ سبا</t>
  </si>
  <si>
    <t>‏‏‏ضد دین، و هر آنچه که آلوده به این ویروس است</t>
  </si>
  <si>
    <t>Australia</t>
  </si>
  <si>
    <t>مازیار مبارز</t>
  </si>
  <si>
    <t>Shadenam</t>
  </si>
  <si>
    <t>https://pbs.twimg.com/media/Dn81Y3iXkAAL88I.jpg</t>
  </si>
  <si>
    <t>RT @Saradanai2: 🌍 #جهان-‌ تظاهرات ایرانیان آزاديخواه عليه حضور روحانى در سازمان ملل متحد- با در دست داشتن عكسهاى زندانيان سياسى و قتل عام شدگان #تابستان67 نيويورك- 3 مهر #الان_نيوز @AlanNews_iran 📌 #روحانى #نه_به_روحانى #براندازم #مهر_براندازان #no2rouhani #FreeIran2018 #IranRegimeChange</t>
  </si>
  <si>
    <t>pic.twitter.com/rcTkZAdxGW</t>
  </si>
  <si>
    <t>RT @syavosh_sohrabe: تظاهرات ایرانیان آزاده در #نیویورک مقابل سازمان ملل و هتل استقرار #روحانی در نیویورک در اعتراض به حضور روحانی در خانه ملل سیدعلی حیا کن مملکت رو رها کن</t>
  </si>
  <si>
    <t>Mehrdad Parsian</t>
  </si>
  <si>
    <t>I'm sorry for myself and for my country من #براندازم #IranRegimeChange</t>
  </si>
  <si>
    <t>همه جای ایران سرای من است      All iran is my home</t>
  </si>
  <si>
    <t>💎 Nasle Sokhteh 👑</t>
  </si>
  <si>
    <t>در پی مشتی آرزوی محال</t>
  </si>
  <si>
    <t>من لا به لای همین شعرها خونمه</t>
  </si>
  <si>
    <t>RT @AlamdariGhazaei: عده‌ای استمرار طلب با هشتگ #NoSancationNoWar سعی در ادامه وضع موجود دارند، فریبشون رو نخورید! یه عده دیگه هم با هشتگ #IranianWantRegimeChange دلشون به #ترامپ خوشه! که هر دو در گمراهی آشکار به سر میبرن... #روحانی_در_سازمان_ملل #روحاني</t>
  </si>
  <si>
    <t>پشمولوژی</t>
  </si>
  <si>
    <t>Mehdi</t>
  </si>
  <si>
    <t>‏هیچ</t>
  </si>
  <si>
    <t>سکوت شبیه ترین چیز به خداست. #روحانی #سازمان_ملل</t>
  </si>
  <si>
    <t>mohammd</t>
  </si>
  <si>
    <t>Kurdistan Rojhelatime Jin_jiyan_azadi هیچ انقلابی بدون زنان انجام نخواهد گرفت و اگر انجام بگیرد انقلاب نیست.</t>
  </si>
  <si>
    <t xml:space="preserve"> </t>
  </si>
  <si>
    <t>https://pbs.twimg.com/media/Dn-eHBnX0AAflVU.jpg</t>
  </si>
  <si>
    <t>اصولا در جامعه جهانی چند نفر حاضر به شنیدن سخنان ایران هستند؟! #سازمان_ملل #روحانی #ترامپ</t>
  </si>
  <si>
    <t>sabahbasami1</t>
  </si>
  <si>
    <t>#HumanRights #Mysticism #Teacher #Art</t>
  </si>
  <si>
    <t>خرابات</t>
  </si>
  <si>
    <t>art man</t>
  </si>
  <si>
    <t>#تحریم ، #جنگ ، #فساد ، دروغ ، #زندانی_سیاسی ، #حجاب_اجباری و صد اجبار دیگه، #مالیدن ، #تروریسم ، بی‌قانونی، سو مدیریت، بحران آب، بی‌عدالتی، فقر، عمل نکردن به وعده‌ها، #فیلترینگ ، #گرانی ، بحران #أرز ، سیاست خارجی مهمل و .... میگن #روحانی_در_سازمان_ملل خوب سخنرانی کرده!</t>
  </si>
  <si>
    <t>Parham</t>
  </si>
  <si>
    <t>‏‏‏‏‏‏‏‏‏‏‏‏‏‏ نیروی شورشی و براندازم با تمام قویٰ.خلاصه کلام دشمن دیکتاتور،نه شاه ونه شیخ.فقط ایران آباد وآزاد و متکی به صندوق آرا،که مجاهدین پرچمدار آنند.</t>
  </si>
  <si>
    <t>Deutschland</t>
  </si>
  <si>
    <t>Maesumeh @. barandazam.</t>
  </si>
  <si>
    <t>دیپلمات کسی است که بتواند منافع ملی کشورش را در شرایط مختلف از جمله جنگ، مراودات اقتصادی، اختلافات منطقه ای و... با گفت وگو و مذاکره تامین کند. @diplomat0098</t>
  </si>
  <si>
    <t>Diplomat</t>
  </si>
  <si>
    <t>طرفدار پادشاهی پارلمانی. دوستدار شاهزاده رضا پهلوی. خواهان حکومت سکولار. حکومت آینده بر اساس رای مردم. دشمن سر سخت فرقه تبهکار.</t>
  </si>
  <si>
    <t>Phoenix, AZ</t>
  </si>
  <si>
    <t>pic.twitter.com/5VdLRDLUdQ</t>
  </si>
  <si>
    <t>RT @Greatpersia1980: 🔴‍ نیک هیلی سفیرآمریکا در #سازمان_ملل گفته اگر روحانی میخواهد بفهمد #ترور_اهواز کار‌ چه کسی بود کافی است به آیینه نگاه‌کند. روحانی که پیش از عملیات #تروریستی_اهواز را به گردن آمریکا واسرائیل انداخته بود، در حالی که بیشترین سود را از این عملیات خود رژیم میبرد، #OverthrowMullahs</t>
  </si>
  <si>
    <t>PersianPride</t>
  </si>
  <si>
    <t>‏‏‏‏‏یک شیرازی محبوس در تهران عاشق داستان کتاب٬ فیلم٬ کامیک٬ بازی و یا اینکه از زبان تو بشنوم</t>
  </si>
  <si>
    <t>شیرازی/محبوس در تهران</t>
  </si>
  <si>
    <t>Sir Hamed Tavakoli</t>
  </si>
  <si>
    <t>‏‏کنکوریِِ مجاهد :) این اکانت فقط ریتوئیترچی‌ِ :) اکانت اصلی‌ام: @Ghalam_e_Tiz</t>
  </si>
  <si>
    <t>آقای ریتوئیتر</t>
  </si>
  <si>
    <t>‏‏‏‏‏‏‏‏‏‏‏‏‏‏‏‏‏بسم الله الرّحمن الرّحیم خدایا به امید تو...! ‎‎‎‎‎‎ 👈 اکانت اصلی ‎‎‎‎‎‎@reza_shaban78</t>
  </si>
  <si>
    <t>Reza_shaban 2</t>
  </si>
  <si>
    <t>‏‏‏کوروش : ‏‏‏‏‏‏‏‏‏دستانی که کمک میکنند پاک تر از دست هایی هستند که روبه آسمان دعا میکنند. | آگنوستیک ، لیبرال میانه رو | جمهوریخواه ، مشروطه خواه خوش آمدید.</t>
  </si>
  <si>
    <t>خَراباتیُ مَستَم</t>
  </si>
  <si>
    <t>RT @zedened: کاشکی مثل برنامه آمریکن گاتلنت تو سازمان ملل هم دکمه ضربدر قرمز جلوی بقیه بود و دکمه رو می‌زدند و می‌گفتند اجرای شما قابل قبول نیست! #IraniansWantRegimeChange #روحانی</t>
  </si>
  <si>
    <t>Ariya</t>
  </si>
  <si>
    <t>خسته از گرسنگي مفرط😛</t>
  </si>
  <si>
    <t>lazaniaa</t>
  </si>
  <si>
    <t>Utdannet Sosionom. Er opptatt av menneskerettighetssituasjonen i Iran.</t>
  </si>
  <si>
    <t>Oslo Norway</t>
  </si>
  <si>
    <t>Reza Bastani</t>
  </si>
  <si>
    <t>‏‏‏‏‏‏‏‏برانداز ، آتئیست ، سکولار جمهوری خواه پذیرای تمامی آزاداندیشان</t>
  </si>
  <si>
    <t>روباه نیمه شب 🇧🇪 🐈</t>
  </si>
  <si>
    <t>pic.twitter.com/sAwUFih04e</t>
  </si>
  <si>
    <t>سخنرانی انقلابی و کوبنده #شهید_رجایی در #سازمان_ملل که پاهای شکنجه شده خود را به نشان اعتراض روی میز گذاشت اونم در شرایط سخت اون زمان . اقای روحانی این سخنانی که داشتین رو در ایران هم بارها ازتون شنیدیم توقع بیشتری داشتیم خیلی گشتم تا این رو از آرشیو پیدا کردم</t>
  </si>
  <si>
    <t>‏‏‏امروز هم یه روز به سرنگونی جمهوری اسلامی نزدیک تر شدیم</t>
  </si>
  <si>
    <t>🗽Reaction</t>
  </si>
  <si>
    <t>Javad Rezaee</t>
  </si>
  <si>
    <t>‏‏‏‏‏‏‏‏‏‏🏳️‍🌈⚛️ لیبرال، متنفر از چپول ها به فکر نجات آینده ایران از قحطی و خشکسالی، برانداز، علاقمند به همکاری با همه ی گروههای برانداز به جز مجاهدین</t>
  </si>
  <si>
    <t>Eastworld</t>
  </si>
  <si>
    <t>Dolores</t>
  </si>
  <si>
    <t>برادر جان، ماله ات را زمين بگذار :)</t>
  </si>
  <si>
    <t xml:space="preserve">United States </t>
  </si>
  <si>
    <t>💙💎آنگينه💎💙</t>
  </si>
  <si>
    <t>‏‏‏‏‏‏ اکانت ریتوییتر( ‎@remisa77 ) ..🌸.. تمام توییت های خوب انقلابی که بدستم برسونید رو ریتوییت میکنم ..🌸.. هزینه اش هم یه صلوات به نیت همه شهدای عزیزمون🥀</t>
  </si>
  <si>
    <t>RT @majideh5: مردك تا تونست همه مشكلات اقتصادى و بى عرضگى هاشو گردن تحريم ها انداخت. جناب #روحانى تا وقتى اينجورى در سازمان ملل حرف بزنى ، هيچ تحريمى برداشته نخواهد شد</t>
  </si>
  <si>
    <t>رمـــیـــصـــا🏴</t>
  </si>
  <si>
    <t>+3 7 69 72 94 89mahb</t>
  </si>
  <si>
    <t>https://t.me/Ramtinjafari</t>
  </si>
  <si>
    <t>⚫🔴National Socialism🔴⚫</t>
  </si>
  <si>
    <t>ramtin-jafari</t>
  </si>
  <si>
    <t>برخلاف بقیه ی ربات های برانداز من یک ربات واقعی هستم! شما هشتگ #براندازم بزنید من بدون تبعیض ریت می کنم. به امید آزادی ایران</t>
  </si>
  <si>
    <t>Occupied Iran</t>
  </si>
  <si>
    <t>ربات برانداز</t>
  </si>
  <si>
    <t>نه تنها میهن خودرا،جهان را شادمیخواهم نفس را،دیده را،اندیشه را ازاد میخواهم ‎‎‎‎‎‎‎‎#براندازم</t>
  </si>
  <si>
    <t>Mehdi Milad</t>
  </si>
  <si>
    <t>RT @sarahastam75: بعضی وقتا از یکی که خیلی بدت میاد ( #روحانی ) مجبوری واسه یه بارم که شده تشویقش کنی چون امید به خوب شدنش داری...فقط بخاطر صحبتای خوبش تو #سازمان_ملل شما هم مثل من فکر میکنین یا فقط من اینجورم؟ #روحانی_مچکریم #گوشمالی_سخت #حب_الحسین_یجمعنا</t>
  </si>
  <si>
    <t>مِریــــــدآ</t>
  </si>
  <si>
    <t>‏گرفتار در روز مرگی. خواستن و نتوانستن. دویدن و نرسیدن. نگریستن و ندیدن. شنیدن و نفهمیدن. و تکرار همین بودن...!!!</t>
  </si>
  <si>
    <t>انیشتین بی مخ</t>
  </si>
  <si>
    <t>I Am a nurse and human right activist . Who stand for freedom and equality.</t>
  </si>
  <si>
    <t>Ontario, Canada</t>
  </si>
  <si>
    <t>Faryad Azadi</t>
  </si>
  <si>
    <t>همسو با آرمانهای انقلاب اسلامی و منتقد کاستی های جمهوری اسلامی... البته ترجیحا به زبان طنز... 😉</t>
  </si>
  <si>
    <t>تلخک</t>
  </si>
  <si>
    <t>http://Masaf.ir</t>
  </si>
  <si>
    <t>‏‏‏‏‏ضد سکولار ، بی حزب و بی طرف! مخالف جناح بازی و محافظه کاری! انقلابی انقلاب کردیم! انقلابی هم پاش هستیم!</t>
  </si>
  <si>
    <t>جمهوری اسلامی انقلاب مهدی عج</t>
  </si>
  <si>
    <t>Anti Secular</t>
  </si>
  <si>
    <t>‏شهروندی ایرانی، میهن دوست، فارغ از هر جناح و گروه و دسته، فقط نظرات خودم را بیان میکنم، بدنبال فالوور هم نیستم، آزاد میاندیشم، نظر میدهم آیا نظریه پردازم؟</t>
  </si>
  <si>
    <t>Ramin S</t>
  </si>
  <si>
    <t>http://instagram.com/matin.bn</t>
  </si>
  <si>
    <t>‏‏دَرد ما را در جهان...درمان مبادا بی شما</t>
  </si>
  <si>
    <t>rasht</t>
  </si>
  <si>
    <t>🇮🇷Matin.bn🇮🇷</t>
  </si>
  <si>
    <t>Power &amp; Politics</t>
  </si>
  <si>
    <t>Heterotopia</t>
  </si>
  <si>
    <t>Michel Fokol</t>
  </si>
  <si>
    <t>Self Employed</t>
  </si>
  <si>
    <t>https://pbs.twimg.com/media/Dn-rD3XXkAAthaS.jpg</t>
  </si>
  <si>
    <t>پاینده ایران و ایرانیان/Forever Iran &amp; Iranians Fb</t>
  </si>
  <si>
    <t>ما مشروطه می‌خواهیم نه مشروعه. مشروطه‌ای که مشروطه نباشد، مشروطه نیست. ضمنا بنده جمهوریخواهم</t>
  </si>
  <si>
    <t>بی‌درکجا</t>
  </si>
  <si>
    <t>#روحانی از رویکرد صلح‌طلبانهٔ جمهوری اسلامی سخن گفت. ظاهرا ایشان صحن جلسهٔ #سازمان_ملل‌_متحد را با صحنهٔ اجرای استندآپ‌کمدی اشتباه گرفته. دوران لودگی و مسخرگی و شکلک درآوردن برای مردم ایران و دنیا دارد سپری می‌شود مَش‌حسن! #حسن_روحانى #دلار</t>
  </si>
  <si>
    <t>مظفر میرزا</t>
  </si>
  <si>
    <t>‏‏‏‏‏‏‏‏‏‏‏‏‏‏‏‏‏‏‏پشت این نقاب چیزی فراتر از جسمه پشت این نقاب آرمانه و آرمان ها ضد گلوله اند ‎‎‎‎‎‎‎‎‎‎‎‎‎‎‎‎‎‎‎ ‎‎‎‎#آگنوستیک ‏‏‏‏‏‏‏‏‏‏‏‏‎#براندازم</t>
  </si>
  <si>
    <t>https://www.instagram.com/world_stock/?hl=en</t>
  </si>
  <si>
    <t>‏‏‏‏‏‏‏‏‏‏‏‏بیداری این روزا خوابه تلخیه....</t>
  </si>
  <si>
    <t>اون دنیا</t>
  </si>
  <si>
    <t>RT @NO_060: رئیس جمهوری داریم که رئیس جمهور هم جا هست به جز مملکت ایران #سازمان_ملل #روحانی</t>
  </si>
  <si>
    <t>خرپول</t>
  </si>
  <si>
    <t>http://youtube.com/glassceilingtv</t>
  </si>
  <si>
    <t>‏‏Iranian Canadian Journalist خبرنگارایرانی کانادایی</t>
  </si>
  <si>
    <t>Toronto, ON, Ca</t>
  </si>
  <si>
    <t>pic.twitter.com/k3747vA20H</t>
  </si>
  <si>
    <t>RT @FarsNews_Agency: 🎥 #روحانی در مجمع عمومی سازمان ملل: اسراییل با داشتن زرادخانه هسته‌ای و تهدید صلح دیگران به نابودی با سلاح هسته‌ای، بزرگترین خطر برای صلح و ثبات منطقه و جهان است.</t>
  </si>
  <si>
    <t>سعید سلطانپورSAEED SOLTANPOUR</t>
  </si>
  <si>
    <t>Amir Sharif</t>
  </si>
  <si>
    <t>‏‏ دختران آزادی‌خواه ایران هستیم،از نژاد فارس،ترک،کرد،لر،بلوچ،عرب زبان،دینمان زرتشت،اسلام،مسیحی،یهودی وآنچه تو می پرستی،طرفدار آزادی عقاید،اسم من سارا</t>
  </si>
  <si>
    <t>هموطنم #فرشگرد دریچه ای به سوی آزادی به جریان آزادی خواه #فرشگرد بپیوندید #روحانی #ترامپ #ترامب #سازمان_ملل #IranRegimChange #سازمان_ملل #IraniansWantRegimeChange</t>
  </si>
  <si>
    <t>Sara Ashegh Iran</t>
  </si>
  <si>
    <t>دروغ بلاي جان ايران است ، بيائيد تاطرح نو دراندازيم و عابدان دروغ را از ريشه بر اندازيم . شاهزاده رضاپهلوي</t>
  </si>
  <si>
    <t>https://pbs.twimg.com/media/Dn-v92gUcAAc-AI.jpg</t>
  </si>
  <si>
    <t>مقایسه تعداد حاضرین در جلسه سازمان ملل موقع سخنرانی #ترامپ و #روحانی #IraniansWantRegimeChange</t>
  </si>
  <si>
    <t>💙 Gity Behi 👑</t>
  </si>
  <si>
    <t>آزادى يعنى تا سرحد مرگ مبارزه كنم تا بتوانى حرف بزنى با آنكه مخالف صحبتهايت هستم</t>
  </si>
  <si>
    <t>RT @BehiGity: مقایسه تعداد حاضرین در جلسه سازمان ملل موقع سخنرانی #ترامپ و #روحانی #IraniansWantRegimeChange</t>
  </si>
  <si>
    <t>Artmis Azad</t>
  </si>
  <si>
    <t>project manager, construction contractor, interested in history, sports &amp; politics... مدير پروژه، پيمانكار، علاقه مند به تاريخ، ورزش و سياست...</t>
  </si>
  <si>
    <t>Montréal, Québec</t>
  </si>
  <si>
    <t>🇮🇷reza namdari🇮🇷</t>
  </si>
  <si>
    <t>زنــدگــے آمــدن و بــودن و جــارے شــدن اســت ...</t>
  </si>
  <si>
    <t>🏴 آبـــــــاندخـــــــت 🏴</t>
  </si>
  <si>
    <t>✍️ خواستار آگاهی و صلح برای همه و تساوی انسان‌ها در دست رسی به فرصت ها. Wishing wisdom and peaceful life for everyone with equally access to opportunities</t>
  </si>
  <si>
    <t>New Zealand</t>
  </si>
  <si>
    <t>Hashem Ramezanzadeh</t>
  </si>
  <si>
    <t>#WeStandWithPahlavi #IslamicRegimeMustGo</t>
  </si>
  <si>
    <t>Sayeh Roshan 👑</t>
  </si>
  <si>
    <t>Freedom</t>
  </si>
  <si>
    <t>Swindon, England</t>
  </si>
  <si>
    <t>SABO2018</t>
  </si>
  <si>
    <t>Fahimeh</t>
  </si>
  <si>
    <t>http://bit.ly/2spGvnO</t>
  </si>
  <si>
    <t>‏‏‏‏‏روزنامه نگار و خبرنگار مستقل Independent Journalist http://t.me/Elham_Yazdiha‎‎‎‎‎</t>
  </si>
  <si>
    <t>خب من الان واقعا این حجم استقبال از حرف های روحانی رو متوجه نمیشم! مگه قبلا روحانی بد حرف می زد؟ مگه حرف جدیدی غیر از اعلام صریح حضور ایران در سوریه و یمن گفته شد؟ حرف هایی شبیه سخنرانی های همیشگی بود با شعار همیشگی عدالت و صلح... بدون راه حلی مشخص! #روحانی #سازمان_ملل</t>
  </si>
  <si>
    <t>Elham Yazdiha</t>
  </si>
  <si>
    <t>RT @fa_akbarshahi: ۳مهر۹۷: مجلس شورای لاریجانی، #FATF را تصویب کرد و همزمان #روحانی در سازمان ملل: "برای گفت‌و‌گو نیازی به گرفتن عکس‌های دونفره نیست. میشود از همینجا گفتگو را آغاز کرد!" دیگر با چه زبانی التماس کنند؟! آنوقت جوان حزب اللهی عجول ما اینجا هشتگ روحانی مچکریم میزند!</t>
  </si>
  <si>
    <t>‏‏وقتی من کار خوبی میکنم احساس خوبی دارم ،وقتی من کار بدی میکنم عذاب وجدان دارم. این دین من است. آبراهام لینکلن</t>
  </si>
  <si>
    <t>Amirtaylor</t>
  </si>
  <si>
    <t>@USAdarFarsi فرق فاحش سخنرانی #پرزیدنت_ترامپ با مش حسن روحانی روباه بنفش ریاکار : سخنان #ترامپ همه واقعیت و همه احترام به #ملت_ایران و به سازمان ملل و به حقوق بشر و ترسیم آینده ای زیبا همراه با خوشبختی برای #ملل_جهان بود . سخنان روحانی روباه بنفش همه شیادی و دروغ و توهین به #ملت_امریکا و جهان</t>
  </si>
  <si>
    <t>mostafa aryaie vala</t>
  </si>
  <si>
    <t>RT @mostafaaryaieva: @USAdarFarsi فرق فاحش سخنرانی #پرزیدنت_ترامپ با مش حسن روحانی روباه بنفش ریاکار : سخنان #ترامپ همه واقعیت و همه احترام به #ملت_ایران و به سازمان ملل و به حقوق بشر و ترسیم آینده ای زیبا همراه با خوشبختی برای #ملل_جهان بود . سخنان روحانی روباه بنفش همه شیادی و دروغ و توهین به #ملت_امریکا و جهان</t>
  </si>
  <si>
    <t>‏‏‏‏‏عاشق ‏‏امام خمینی و حضرت زینب(س)/ارشد علوم سیاسی/مفید قم/مدیر اجرایی خیریه امام حسین(ع)/دنبال حقیقت</t>
  </si>
  <si>
    <t>حرف های آقای روحانی در #سازمان_ملل‌_متحد از جنس حرف های داخلی است که منافع ملی ما را تمام و کمال تامین نمیکند. انگار #روحاني مقداری واقع گرای انقلابی شده است #جنگ_نمیشود_مذاکره_نمیکنیم #NoWar_NoNegotiation #NoSanctionNoWar</t>
  </si>
  <si>
    <t>Ramezanpoor_amir🇮🇷</t>
  </si>
  <si>
    <t>My heart beating for peace, freedom &amp; equality</t>
  </si>
  <si>
    <t>Denmark</t>
  </si>
  <si>
    <t>kambiz mahmoudpour</t>
  </si>
  <si>
    <t>حامی شاهزاده رضا پهلوی</t>
  </si>
  <si>
    <t>sunrise</t>
  </si>
  <si>
    <t>‏‏‏آذری ام.‏‏‏‏دهه شصتی...♀️ عاشق صدای پای چوبین... فالوبک میدم. طراح صنعتی که نه طراحی خوب میداند و نه صنعت... ⛔مجاهد⛔عرزشی⛔اصلاحطلب⛔</t>
  </si>
  <si>
    <t>sare jammm</t>
  </si>
  <si>
    <t>➰💙اینجا مُقام نِداره؛مسئول مُنُم.💙➰</t>
  </si>
  <si>
    <t>Pahlavan</t>
  </si>
  <si>
    <t>http://t.me/atheism1985</t>
  </si>
  <si>
    <t>گنجشکی که از مترسک بترسد از گرسنی میمیرد #پهلویسم #آتئیست #دین_ستیز #برانداز #خشونت_طلب</t>
  </si>
  <si>
    <t>Van, Türkiye</t>
  </si>
  <si>
    <t>CHE GUEVARA</t>
  </si>
  <si>
    <t>Behnam👑👑👑💙</t>
  </si>
  <si>
    <t>Irani, Brasil</t>
  </si>
  <si>
    <t>naderjahanbani</t>
  </si>
  <si>
    <t>‏فدایی ایران</t>
  </si>
  <si>
    <t xml:space="preserve"> Tehran</t>
  </si>
  <si>
    <t>Ramin- ma barandazim</t>
  </si>
  <si>
    <t>ایرانو پس میگیریم</t>
  </si>
  <si>
    <t>I have a http://B.SC in Oil engineering . :/</t>
  </si>
  <si>
    <t>خوزستان</t>
  </si>
  <si>
    <t>S.Mehdi (Labbaik Ya Mahdi)</t>
  </si>
  <si>
    <t>‏‏‏در آرزوی ایرانی پاک از دین</t>
  </si>
  <si>
    <t>جمهوری دمکراتیک ایران</t>
  </si>
  <si>
    <t>وایکینگ خشمگین</t>
  </si>
  <si>
    <t>‏‏‏‏‏‏یه بشرم مث بقیه ی شما.حقوق میخونم.پیگیر مسائلم هستم و خوشحال میشم از حق دفاع کنم.چون مکلفه ای در خود حس میکنم ک لعنتی تا سرمونو به باد نده بیخیال نمیشه:)</t>
  </si>
  <si>
    <t>خطابه ی #روحانی در نشست امروز مجمع عموعی سازمان ملل دارای چندی فراز و نشیب بود.از سویی در واکنش به مواضع #ترامپ دفاع مناسبی تدارک دید و از سوی دیگر برخی مدعیات منطبق با واقع خارجی نبود.</t>
  </si>
  <si>
    <t>ehsan</t>
  </si>
  <si>
    <t>https://m.facebook.com/Mohammad.Yousefnejad</t>
  </si>
  <si>
    <t>I was born in Budapest grew up in Iran.. I have been in many countries as well as Russia,Hungary,Croatia,Italy,UAE,SaudiArabia,SriLanka,Iraq Turkey</t>
  </si>
  <si>
    <t>https://twitter.com/ISNAMEDIA/status/1044668701981716484
http://www.isna.ir/photo/97070302110</t>
  </si>
  <si>
    <t>سخنرانی امشب #روحانی و #ترامپ در #UNGA ثابت کرد مشاوران روحانی به مراتب تبحر و هوش بیشتری نسبت به مشاوران تراپی دارند. #سازمان_ملل RT @ISNAMEDIA: سخنرانی حسن روحانی در هفتاد و سومین مجمع عمومی سازمان ملل - نیویورک  #روحانی #سازمان_ملل #سفر_نیویورک</t>
  </si>
  <si>
    <t>Mohammad Yousefnejad</t>
  </si>
  <si>
    <t xml:space="preserve"> ایران . خوزستان . کیارس پارس</t>
  </si>
  <si>
    <t>RT @1400_majd: " دانش هسته ای را واجب و سلاح هسته ای را حرام می دانیم ..." خیلی خوب گفتین آقای روحانی ... ولی واقعیت این نبود ما دانش هسته ای را نیز بر خود حرام کردیم ! #سازمان_ملل</t>
  </si>
  <si>
    <t>حُسِین لُرَه  ( ریتوئیتر)</t>
  </si>
  <si>
    <t>پادشاهي پارلماني در ايران زمين رضاشاه دوم هستيم .جاويدشاه .حزب مجازي</t>
  </si>
  <si>
    <t>💎➰iman Khorshidkhani👑➰💎</t>
  </si>
  <si>
    <t>‏‏من آب می‌شوم چو برف در پای سرو قامت هرکس که همچو سرو آزاد و بی تکلف و تزویر و بی ریاست، من یک معلمم</t>
  </si>
  <si>
    <t>RT @mansooroola: #موسوی مجری پرروی #BBC خطاب به #افراسیابی کارشناس مورد مصاحبه اگر قرار نیست #روحانی با #ترامپ مذاکره کندچرا به نیویورک رفت؟ کارشناس خطاب به او "این سوال اساسا احمقانه است روحانی برای شرکت مجمع عمومی سازمان ملل آمده نه مذاکره با ترامپ. بی بی سی دست از غرض ورزی بردارد".( دمش گرم.)</t>
  </si>
  <si>
    <t>آریو برزن</t>
  </si>
  <si>
    <t>‏‏انقلاب از قلب میاد به معنی تغییر ، انقلابی یعنی تحول خواه ناراضی از وضع حال سیستم ناقص ... پس انقلابی هستم... سامت اکرونیم اسممه</t>
  </si>
  <si>
    <t>سامت 🇮🇷</t>
  </si>
  <si>
    <t>‏‏اولین روئیدنی ام که به ولایت اقرار کردم .</t>
  </si>
  <si>
    <t>بادنجان🍆</t>
  </si>
  <si>
    <t>Science researcher | Materialism | Dreamer | Metal head | Space Lover | Comedy Fan</t>
  </si>
  <si>
    <t>Banana Republican</t>
  </si>
  <si>
    <t>https://pbs.twimg.com/media/DnuoOzLXsAEiOOY.jpg</t>
  </si>
  <si>
    <t>https://twitter.com/smaeel_azari96/status/1043612939440275457</t>
  </si>
  <si>
    <t>دکتر #روحاني بی خیال ماست مالی تو سازمان ملل اینو در یاب RT @smaeel_azari96: ضمن محکومیت حمله تروریستی اهواز این طویله اسمش مدرسه است پارسال به این روستا رفتم بچه ها در سرمای بالا بدون شیشه در این اتاقک ها درس می خواندند.جمعه دوباره رفتم همانطور بود معلم بخاطر نبود جاده مجبور است شب ها در روستا بماند باران که بیاید جاده بسته می شود بید انجیر؛روستای اندرون</t>
  </si>
  <si>
    <t>پِتـــروس 👆</t>
  </si>
  <si>
    <t>http://Instagram.com/pcpfiber</t>
  </si>
  <si>
    <t>تولیدکننده الیاف پلي استر كارآفرين دلواپس محیطزیست ومدیریت اجرایی کشورمسلمان شيعه عاشق استقلال،عزت وحدت وتمامیت ارضی ایران منزجر ازباندهاى اصلاحات و اصولگرا</t>
  </si>
  <si>
    <t>https://pbs.twimg.com/media/Dn-9VdZXkAA9hZs.jpg</t>
  </si>
  <si>
    <t>اگر عادلانه و منصفانه قضاوت كنيم سخنرانى #روحانى در #سازمان_ملل روان و منطقى و محكم و قابل قبول بود ولى اين سخنرانى هيچ گره اى از مشكلات كشور نحواهد گشود و ذره اى از نگرانيها كم نميكند اين حرفها كشتى شكسته اقتصاد كشور را نجات نخواهد داد</t>
  </si>
  <si>
    <t>حسین باقری نسب</t>
  </si>
  <si>
    <t>http://www.amirmehdipour.com/</t>
  </si>
  <si>
    <t>هركس براندازنيست راهش بامايكی نيست مرگ براصل ولايت وقيح وخامنه ای دزدوجنايتكارلعنتبرخمينی هندیزاده مرگبر خائنين به ايران وايرانی نااسلام ناقرآن هر دوفدای ایران</t>
  </si>
  <si>
    <t>Trondheim, Norge</t>
  </si>
  <si>
    <t>http://www.amirmehdipour.com/2018/09/blog-post_75.html
https://www.youtube.com/watch?v=vKJ_jrxoGLI&amp;feature=youtu.b</t>
  </si>
  <si>
    <t>فیلم زرافشانی حسن روحانی مکار در #سازمان_ملل– تفکرات #ترامپ یادآور تفکر نازی هاست #تهدید #نقض #براندازم #مرگ_بر_دیکتاتور #ایران #ایران_را_پس_میگیریم #فرقه_تبهکار #من_رباط_نیستم #رضاشاه_روحت_شاد #شاهزاده_رضا_پهلوی</t>
  </si>
  <si>
    <t>amirmehdipuor</t>
  </si>
  <si>
    <t>کوچکترین کاراکتر یک خانواده فقیر اما بزرگ، مامانم همیشه می گفت تو مثل ماری،با اینکه بیشتر از همه میخوردم لاغرتر از همه بودم.</t>
  </si>
  <si>
    <t>زاغه ی شهر</t>
  </si>
  <si>
    <t>خانواده سنجاقی</t>
  </si>
  <si>
    <t>‏‏‏‏صدای مردم باشیم</t>
  </si>
  <si>
    <t>همین دورو برا</t>
  </si>
  <si>
    <t>mesut ⁦🏳️⁩</t>
  </si>
  <si>
    <t>قصد جان است طمع در لب یاران کردن. اندکی اقتصاد خوانده ام.</t>
  </si>
  <si>
    <t>#روحانی علیه #روحانی. داستان سخنرانی دیشب سازمان ملل...</t>
  </si>
  <si>
    <t>دکتر حم</t>
  </si>
  <si>
    <t>باربد</t>
  </si>
  <si>
    <t>اگر نمره انشاى ٢٠ ميتوانست نجات بخش دانش آموزى با معدل ٢ باشد سخنرانى #روحانى در #سازمان_ملل هم ميتواند موجب خروج از بحرانى باشد كه مسئوليت مستقيم و بلاشك آن عملكرد شش سال گذشته ايشان است</t>
  </si>
  <si>
    <t>من رو به بزرگی خودتون ببخشید به علت کهولت سن کمتر به فالو کردن میرسم</t>
  </si>
  <si>
    <t>roham</t>
  </si>
  <si>
    <t>‏هدف زندگی را تلاش تمام نشدنی ،محقق می سازد نه شانس</t>
  </si>
  <si>
    <t>سایه ی حق</t>
  </si>
  <si>
    <t>نقاشی دیجیتال موبایلی-فتوشاپ دان-آزادیخواه -⛔️ مجاهدین ⛔️//// هرگونه استفاده از طرح های این صفحه آزادِ آزادِ آزاد است</t>
  </si>
  <si>
    <t>قلمفرسا</t>
  </si>
  <si>
    <t>عاشق سیاست، طرفدار مبارزه خشونت پرهیز، استمرار ناطلب #جمهوریخواهم</t>
  </si>
  <si>
    <t>Mahshid  Samei. T.</t>
  </si>
  <si>
    <t>‏زین عمر هرزه رفته به غفلت مرا چه سود/ عمری بده که صرف شود در رضای تو</t>
  </si>
  <si>
    <t>mohammad محمد</t>
  </si>
  <si>
    <t>Mosseen</t>
  </si>
  <si>
    <t>https://t.me/Taghadom</t>
  </si>
  <si>
    <t>جديدترين #اخبار برگزیده: تحولات #سیاسی ایران ، منطقه و جهان ، #بيدارى_اسلامى و #اقتصادی و #بازار های مالی</t>
  </si>
  <si>
    <t>pic.twitter.com/C11OgTqguO</t>
  </si>
  <si>
    <t>🔺#حسن_روحانی در #سازمان_ملل: تحریم‌های یک‌جانبه نوعی #تروریسم_اقتصادی و ناقض حق توسعه است.</t>
  </si>
  <si>
    <t>پایگاه خبری تقدم</t>
  </si>
  <si>
    <t>I’m a big big girl in a big big world</t>
  </si>
  <si>
    <t>حالا من که اعصاب تصویری دیدن سخنرانی و گردهمایی و حتی موزیک ویدئو رو ندارم. اما توی سخنرانی #ترامپ در مجمع عمومی سازمان ملل هر وقت برگشتم روی تصویر ایشون داشت از حفظ سخن میگفت ولی #روحانی نگاهش گاهی معطوف به نوشته ش میشد. سوالم اینه چطوری حدود نیم ساعت سخنرانی رو حفظ کرده این :/</t>
  </si>
  <si>
    <t>Helen🎗</t>
  </si>
  <si>
    <t>https://telegram.me/harfbzanbot?start=VLVXKlM</t>
  </si>
  <si>
    <t>‏‏‏‏‏‏‏‏‏‏‏‏‏‏‏‏‏‏‏خستـه تر از آنم کـــه bio بنویسم...</t>
  </si>
  <si>
    <t>دهکده ای دور افتاده در فرآنسه</t>
  </si>
  <si>
    <t>بـنـژامـیـن 🇫🇷</t>
  </si>
  <si>
    <t>🏳️ تک صدایی دشمن همه ماست /ریتوئیت الزاما تائید توییت نیست / ننگ ما سكوت ماست</t>
  </si>
  <si>
    <t>RT @amirmehdipuor: فیلم زرافشانی حسن روحانی مکار در #سازمان_ملل– تفکرات #ترامپ یادآور تفکر نازی هاست #تهدید #نقض #براندازم #مرگ_بر_دیکتاتور #ایران #ایران_را_پس_میگیریم #فرقه_تبهکار #من_رباط_نیستم #رضاشاه_روحت_شاد #شاهزاده_رضا_پهلوی</t>
  </si>
  <si>
    <t>قیام #براندازم 🏳️🇺🇸🇮🇱</t>
  </si>
  <si>
    <t>pic.twitter.com/9nx9kZay4o</t>
  </si>
  <si>
    <t>🔺#حسن_روحانی در #سازمان_ملل: سیاست #آمریکا در قبال #جمهوری_اسلامی از ابتدا غلط بوده است. بدون شک سیاست مشارکت با #ایران آثار مبارکی برای ملت‌ها در بر خواهد داشت.</t>
  </si>
  <si>
    <t>http://aminkhosroshahi.com</t>
  </si>
  <si>
    <t>Photojournalist &amp; Documentary photographer. working as a staff for Iranian Student News Agency (ISNA) since 2007. Email:amin.khosroshahi1@Gmail.com</t>
  </si>
  <si>
    <t>فارغ از اینکه امشب #ترامپ و #روحانی در #سازمان_ملل چه گفتند و به دنیا چه پیامی دادند،عده زیادی از ساعت‌ها قبل متن‌ها و هشتگ‌های توییت‌هایشان را آماده کرده بودند.این همان تعصبی استکه بسیاری ازمارا گرفتار خود کرده.تعصبیکه چه صحبت از #صلح باشد چه #تهدید ،رفتار مارا تغییر نمیدهد.</t>
  </si>
  <si>
    <t>Amin Khosroshahi 🇮🇷</t>
  </si>
  <si>
    <t>https://pbs.twimg.com/media/Dn9VX22XUAIHy0M.jpg</t>
  </si>
  <si>
    <t>RT @maniranam01: 🔴ايران تحت حاكميت #روحانى👈 3400اعدام ❌جاى قاتل در سازمان ملل نيست تظاهرات ایرانیان آزادیخواه مقابل سازمان ملل همزمان با برگزارى جلسه- نيويورك 3 مهر #No2Rouhani #IranRegimeChange #روحانى #نه_به_روحانى</t>
  </si>
  <si>
    <t>Saba</t>
  </si>
  <si>
    <t>‏فعال حقوق بشر،زندانی سیاسی سابق ،سرنگونی طلب وهوادارسازمان پرافتخارمجاهدین خلق ایران،هستم</t>
  </si>
  <si>
    <t>arashkamangir</t>
  </si>
  <si>
    <t>‏کاربر آماتور -نه اینوری نه اونوری- دری وری ممنوع!</t>
  </si>
  <si>
    <t>RT @RamezanpoorA: حرف های آقای روحانی در #سازمان_ملل‌_متحد از جنس حرف های داخلی است که منافع ملی ما را تمام و کمال تامین نمیکند. انگار #روحاني مقداری واقع گرای انقلابی شده است #جنگ_نمیشود_مذاکره_نمیکنیم #NoWar_NoNegotiation #NoSanctionNoWar</t>
  </si>
  <si>
    <t>چ-لَبَوی</t>
  </si>
  <si>
    <t>https://pbs.twimg.com/media/Dn8uMGbXcAAJtIL.jpg</t>
  </si>
  <si>
    <t>RT @fardaemaINTV: بخشی از سخنرانی #ترامپ در سازمان ملل - ۳ مهر مردم #ایران بسیار از رژیم حاکم ناراضی هستند، درحالیکه رژیم ایران میلیاردها دلار از سرمایه مردم را خرج دخالتهای منطقه و خشونت می‌کند. #no2rouhani #FreeIran2018 #IranRegimeChange #روحانى #نه_به_روحانى #براندازم</t>
  </si>
  <si>
    <t>SISI</t>
  </si>
  <si>
    <t>https://pbs.twimg.com/media/Dn85s78WsAI-Zom.jpg</t>
  </si>
  <si>
    <t>RT @fardaemaINTV: در حال حاضر همزمان با برگزاری اجلاس سازمان ملل، نشست اتحاد علیه ایران هسته ای در نیویورک درحال برگزاری است همه چیز به سمت انزوای بیشتر آخوندها و محکومیت تروریسم حکومتی پیش می رود... #no2rouhani #FreeIran2018 #IranRegimeChange #روحانی #نه_به_روحانی</t>
  </si>
  <si>
    <t>‏‏ای گل تازه که بویی زوفا نیست تورا خبر از سرزنش خار جفا نیست تورا ما اسیر غم و اصلا غم ما نیست تو را با اسیر غم خود رحم چرا نیست تو را ‎#وحشی_بافقی #براندازم</t>
  </si>
  <si>
    <t>pic.twitter.com/4a99mzL4yk</t>
  </si>
  <si>
    <t>🔺#حسن_روحانی در #سازمان_ملل: مردم ما عزادار #شهادت انسا‌ن‌های بی‌گناهی هستند که روز شنبه توسط تروریست‌هایی به خاک و خون کشیده شدند که با کمال وقاحت از برخی پایتخت های غربی و در مصاحبه با رسانه‌هایی که در غرب با دلارهای نفتی اداره می‌شوند مسئولیت این وحشی‌گری را پذیرفتند.</t>
  </si>
  <si>
    <t>‏‏‏‏‏‏‏‏من یک ایرانی مسلمانم و به این موقعیتم افتخار میکنم هدف ما نابودی اسرائیل است. ‎‎‎‎‎‎#لبیک_یا_امام_خامنه_ای</t>
  </si>
  <si>
    <t>🇵🇸🇮🇷🇮🇷zahra🇮🇷🇮🇷🇵🇸</t>
  </si>
  <si>
    <t>‏‏‏‏ریتوییت هواداران شاهزاده رضا پهلوی با هشتگ ‎‎‎‎#شاهزاده_رضا_پهلوی به جمع مابپیوندید، برخی از توییت‌ها فحاشان جهت گزارش‌دهی و بلاک ریتوییت میشود. همراه باشید</t>
  </si>
  <si>
    <t>شاهزاده رضا پهلوی👑💙</t>
  </si>
  <si>
    <t>pic.twitter.com/Oup6lvcBJ8</t>
  </si>
  <si>
    <t>.🔺#حسن_روحانی در #سازمان_ملل: ما با #القاعده و #طالبان می‌جنگیدیم، قبل از آنکه به #نیویورک حمله شود. ما با #داعش می‌جنگیدیم قبل از اینکه در #پاریس و #لندن و #بروکسل عملیات کنند.</t>
  </si>
  <si>
    <t>https://pbs.twimg.com/media/Dn9fVl8WsAA7YEM.jpg</t>
  </si>
  <si>
    <t>https://www.radiozamaneh.com/413513</t>
  </si>
  <si>
    <t>RT @radiozamaneh: #روحانی در مجمع عمومی #سازمان_ملل: از تحریم دست بردارید. جهان دوستی بهتر از ایران نخواهد داشت -</t>
  </si>
  <si>
    <t>Benji_mykitten</t>
  </si>
  <si>
    <t>https://pbs.twimg.com/media/Dn9bpHmXsAATHRu.jpg</t>
  </si>
  <si>
    <t>https://www.radiozamaneh.com/413510</t>
  </si>
  <si>
    <t>RT @radiozamaneh: #روحانی در مجمع عمومی #سازمان_ملل: راهی جز گفت‌وگو نیست. گفت‌وگو را از همین‌‌جا آغاز می‌کنم: تعهد در برابر تعهد -</t>
  </si>
  <si>
    <t xml:space="preserve">Toronto </t>
  </si>
  <si>
    <t>3pid</t>
  </si>
  <si>
    <t>‏‏ریتوییتر... اکانت اصلی (‎@reyhaneh_samadi)</t>
  </si>
  <si>
    <t>حاج هیلاری</t>
  </si>
  <si>
    <t>سکولار مدافع حقوق برابر برای همه اصلاح طلب ، لائیک ،اصولگرا ، یهودی وبهایی چون همه ایرانی هستیم</t>
  </si>
  <si>
    <t>pic.twitter.com/HxIXCBDIlc</t>
  </si>
  <si>
    <t>RT @Sinamo13: اینجوری مرین سازمان ملل کل دنیا بلند شدن تشویق میکنن #روحانی_نیویورک #سازمان_ملل #انقلاب #اقتدار_ملی چرا باید با هنه دنیا دشمن باشیم والا به دشمنیم‌باشه ژاپن باید دشمنی کنه با بلاهایی که سرش آوردن</t>
  </si>
  <si>
    <t>kambiz ghasemi jokar</t>
  </si>
  <si>
    <t>‏مطلق امور دست خداست</t>
  </si>
  <si>
    <t>داودی 🇮🇷</t>
  </si>
  <si>
    <t>http://www.bagherii.ir</t>
  </si>
  <si>
    <t>‏‏‏‏‏💻 مهندس کامپیوتر 🎬 فیلمساز، طراح، کدنویس و برنامه نویس 📲 فعال فضای مجازی و رسانه | ⚀ ما زنده به آنیم که آرام نگیریم، موجیم که آسودگی ما عدم ماست</t>
  </si>
  <si>
    <t>محسن باقری 🇮🇷</t>
  </si>
  <si>
    <t>pic.twitter.com/CnihnZ3XeA</t>
  </si>
  <si>
    <t>🔺#روحانی در مجمع عمومی #سازمان_ملل: #اسراییل با داشتن زرادخانه هسته‌ای و تهدید صلح دیگران به نابودی با سلاح هسته‌ای، بزرگترین خطر برای #صلح و ثبات منطقه و جهان است.</t>
  </si>
  <si>
    <t>‏‏‏‏سال دیگه این موقع یک تجارت پیشه میباشد ان‌شاءالله، به شرط حیات؛ مدیریت بازرگانی و اجرایی دانشگاه تهران؛</t>
  </si>
  <si>
    <t>Tehran &amp; Qom</t>
  </si>
  <si>
    <t>RT @faridmod: آقای #روحانی در مجمع عمومی #سازمان_ملل توانست توصیف‌گر تام و تمام #ملت_ایران باشد؛ متنفذ اما صلح‌طلب، منادی گفتگو اما معترض، خشمگین اما مودب؛ آرمانگرایی واقع‌بین در سخنانش #دوگانه‌های_ایرانی موج می‌زد که نه نقطه ضعف، بلکه نقطه #قوت بود او با مشورت‌های تیمی دیکته‌ای نوشت #بدون_غلط</t>
  </si>
  <si>
    <t>سید مصطفی حسینی</t>
  </si>
  <si>
    <t>‏‏‏عشق را زمزمه هائیست که باد/ بر پر قاصدکان می بندد</t>
  </si>
  <si>
    <t>قاصدک</t>
  </si>
  <si>
    <t>‏کاش از پس صدهزارسال از دل خاک چون سبزه امید بر دمیدن بودی</t>
  </si>
  <si>
    <t>کامران میرزا</t>
  </si>
  <si>
    <t>‏‏‏ایران پادشاهیم آرزوست</t>
  </si>
  <si>
    <t>Asadi Hastam</t>
  </si>
  <si>
    <t>‏‏‏‏‏‏‏‏‏‏‏‏ایالت متحده آمریکاه USA ‏انقلاب قبل از خودآگاهی، خود آغاز فاجعه هست.</t>
  </si>
  <si>
    <t>👑 کهنه سرباز  💙</t>
  </si>
  <si>
    <t>‏‏‏‏استفاده از مطالبی که حق و درست تشخیص دادید بدون ذکر منبع هم آزاد است. نکته مهم: لطفا نقدم کنید هم خودخواهی ام شفا پیدا میکند و هم نقاط ضعفم اصلاح میشود</t>
  </si>
  <si>
    <t>sadegh parsa</t>
  </si>
  <si>
    <t>freedom world</t>
  </si>
  <si>
    <t>پارادوکس</t>
  </si>
  <si>
    <t>الهامـ</t>
  </si>
  <si>
    <t>M.S of Civil Engineering🌷kuhdasht&amp; lor🌷</t>
  </si>
  <si>
    <t>🇮🇷saeed ahmadi</t>
  </si>
  <si>
    <t>علاقمند به شعر و فلسفه و سیاست</t>
  </si>
  <si>
    <t>mohammadzarepoor</t>
  </si>
  <si>
    <t>حامی جمهوریخواهان و آزادیخواهان بسیار ریت زننده</t>
  </si>
  <si>
    <t>Barcelona, Spain</t>
  </si>
  <si>
    <t>ربات بانو - ریت زننده</t>
  </si>
  <si>
    <t>احسان عبادی از اساتید بنیاد مهدویت</t>
  </si>
  <si>
    <t>@hamidrasaee آقای رسایی عزیز سلام من هم مثل شما به دولت رای ندادم اما یادمون نره انتقاد منصفانه یعنی هم بیان بدی ها هم بیان خوبی ها آقای روحانی با تمام انتقادات وارده به ایشان انصافا در سازمان ملل عالی صحبت کرد پس شایسته است از این کار ایشان دفاع شود و خوشحال شویم. #رسایی #روحانی</t>
  </si>
  <si>
    <t>E.Ebadi</t>
  </si>
  <si>
    <t>Kh.Roohi</t>
  </si>
  <si>
    <t>instagram:muhammad_hussain_jamshidi Facebook:mhj0711@yahoo.com Google+:clash.mhj@gmail.com email:mhj0711@live.com</t>
  </si>
  <si>
    <t>Muhammad H Jamshidi</t>
  </si>
  <si>
    <t>👑 👑👑</t>
  </si>
  <si>
    <t>arash asgari👑</t>
  </si>
  <si>
    <t>‏‏‏‏‏‏من از طایفه احمدی نژادیم صد نامه فرستادم صد راه نشان دادم یـا نــامـــه نمیخوانی یـا راه نمیدانی</t>
  </si>
  <si>
    <t>مـعـزولِ سِـنِگال</t>
  </si>
  <si>
    <t>فارغ‌التحصیل ارشد ژئوتکنیک و انقلابی بی تعارف اگه خدا قبول کنه</t>
  </si>
  <si>
    <t>vahid</t>
  </si>
  <si>
    <t>http://radiozamaneh.com</t>
  </si>
  <si>
    <t>عرضه‌ی اخبار، گزارش، گفت‌وگو و تحلیل درباره موضوع‌های سیاسی، اجتماعی و فرهنگ follow @ZamanehRadio For English language tweets</t>
  </si>
  <si>
    <t>Amsterdam</t>
  </si>
  <si>
    <t>https://pbs.twimg.com/media/Dn_N4MOXkAE36u1.jpg</t>
  </si>
  <si>
    <t>https://www.radiozamaneh.com/413520</t>
  </si>
  <si>
    <t>دوئل کلامی #روحانی و #ترامپ در سازمان ملل این بار در حاشیه جدال بزرگتری اتفاق افتاد: حمله ترامپ به جهانی‌سازی و دفاع سران برخی از کشورها از «چندجانبه‌گرایی».</t>
  </si>
  <si>
    <t>Radio Zamaneh</t>
  </si>
  <si>
    <t>روحانی دیروز تصور کرده بود کاندیدای انتخابات شده و با ترامپ رقیب هست می خواست رای جمع کن دوباره خوب صحبت میکرد اقای روحانی شورای نگهبان زیر دست ترامپ کار شما را با یک تقلب ساده تمام می کنه یک فکری برای جولان شورای نگهبان در داخل و خارج کن #سازمان_ملل_متحد #روحانی</t>
  </si>
  <si>
    <t>فراخوان رفراندوم</t>
  </si>
  <si>
    <t>‏‏‏‏‏‏‏‏‏‏‏‏‏ *سرباز ولایت* یک حزب اللهی متعهد(اگه خدا قبول کنه)،بدهکار شهدا و امام شهدا،شهروند نظام جمهوری اسلامی ایران،(مردان بدون اصول برای تمامی فصول اند)</t>
  </si>
  <si>
    <t>ABALFAZL(عشق فقط یک کلام، حسین علیه السلام)</t>
  </si>
  <si>
    <t>ناکجا اباد</t>
  </si>
  <si>
    <t>فارسی</t>
  </si>
  <si>
    <t>علاقمند به پاکردن تو کفش بزرگترا.دوستدار ورزش و سینما و طنز و محیط زیست</t>
  </si>
  <si>
    <t>صادق مودری</t>
  </si>
  <si>
    <t>... .</t>
  </si>
  <si>
    <t xml:space="preserve">با افتخار جمهوری اسلامی ایران </t>
  </si>
  <si>
    <t>Mahak</t>
  </si>
  <si>
    <t>‏‏‏‏‏‏‏‏‏‏‏‏‏‏‏‏‏‏حقوق خوان مسلمان انقلابی،سرباز درگهواره خمینی که اکنون جانفدایی سید علیست</t>
  </si>
  <si>
    <t>🇮🇷عَبدُالعآلی🇵🇸</t>
  </si>
  <si>
    <t>beat the night find the light!!!</t>
  </si>
  <si>
    <t>مهدیه🇮🇷🇵🇸</t>
  </si>
  <si>
    <t>https://twitter.com/Khamenei_fa?s=09</t>
  </si>
  <si>
    <t>‏‏‏‏‏‏‏‏‏‏‏‏‏‏‏امام خمینی(ره) : ما از شرّ رضاخان و محمدرضا خلاص شدیم لکن از شرّ تربیت یافتگان غرب و شرق به این زودیها نجات نخواهیم یافت.</t>
  </si>
  <si>
    <t>اینجا</t>
  </si>
  <si>
    <t>🇮🇷 مسعودی</t>
  </si>
  <si>
    <t>زندگی یعنی یک دنیا عشق ویک عالمه تلاش . تو کامل نیستی اما بهترینی</t>
  </si>
  <si>
    <t>bahar</t>
  </si>
  <si>
    <t>اقای روحانی: هر ستم و زورگویی که ترامپ تو دنیا میکنه خامنه ایی تو ایران میکنه نمی شه زورگویی ترامپ را فریاد بزنی و چشم هات به ستم های داخلی ببندی و انتظار هورا هورا ملت را داشته باشی کلامی که از دل باشه به دل می شینه #سازمان_ملل_متحد #روحانی #رئیس_جمهور #سخنرانی_روحانی</t>
  </si>
  <si>
    <t>In real tough situation of choice,There is no neutral position( Gandhi) He who fears being conquered,is sure of defeat(Napoleon)</t>
  </si>
  <si>
    <t xml:space="preserve"> Birthday: 20th Century </t>
  </si>
  <si>
    <t>در سخنرانی #روحانی در سازمان ملل، هیچ سئوالی برای شرکت کنندگان مطرح نشد که چگونه شخصی در اسکاتلند دکترای خود رو گرفته باشد ولی قادر به بیان سخنرانی به زبان انگلیسی نباشد؟ #IraniansWantRegimeChange</t>
  </si>
  <si>
    <t>Farhad</t>
  </si>
  <si>
    <t>#‏‏‏‏‏‏‏براندازم . ورود عرزشی، مجاهد، اسهال طلب و باقی لجن هایی از این دست ممنوع</t>
  </si>
  <si>
    <t>Some day we're gonna fly again</t>
  </si>
  <si>
    <t>RT @Farhad_SD: در سخنرانی #روحانی در سازمان ملل، هیچ سئوالی برای شرکت کنندگان مطرح نشد که چگونه شخصی در اسکاتلند دکترای خود رو گرفته باشد ولی قادر به بیان سخنرانی به زبان انگلیسی نباشد؟ #IraniansWantRegimeChange</t>
  </si>
  <si>
    <t>🌀 Robate ghoraze 🌀</t>
  </si>
  <si>
    <t>دغدغه های یک عمه برای جامعه اش یا یک مسلمان برای دینش</t>
  </si>
  <si>
    <t>سخنان #روحانی در سازمان ملل بر خلاف #ترامپ منطقی و بدور از احساس بود اما خوب ظاهراً دلار مثل مردم ایران شخصیتی احساسی دارد تا منطقی چه می شود کرد #دلار۱۷۰۰۰تومانی</t>
  </si>
  <si>
    <t>(   عمه ای برای حمایت از کالای ایرانی  )عمه قزی</t>
  </si>
  <si>
    <t>ایرانی / عدالتخواه / اصلاح‌طلب</t>
  </si>
  <si>
    <t>خلاصه سخنرانی #روحانی در #مجمع_عمومی_سازمان_ملل : مسلط، مستدل، صبورانه و با اعتماد به نفس؛ اما به احتمال فراوان بدون حاصل برای این روزهای بیمار و پرالتهاب کشور ...</t>
  </si>
  <si>
    <t>روح الله قاسم‌زاده</t>
  </si>
  <si>
    <t>غَمَتْ غَلیظْ تَرینْ کاٰمْ اَستْ.</t>
  </si>
  <si>
    <t>نبش نان فانتزی سحر</t>
  </si>
  <si>
    <t>شَــــــــــهٰابْ⁦⁦⁦🌠</t>
  </si>
  <si>
    <t>Arshi</t>
  </si>
  <si>
    <t>‏‏آب را گل نکنیم، در فرودست انگار ، کفتری می‌خورد آب</t>
  </si>
  <si>
    <t>محمد افضلی</t>
  </si>
  <si>
    <t>ورود اسهال طلب ومجاهد و عرازشه ممنوع</t>
  </si>
  <si>
    <t>Francfort-sur-le-Main</t>
  </si>
  <si>
    <t>🇮🇱شواليه روشنايي The Light Knight🇺🇸</t>
  </si>
  <si>
    <t>برادران و خواهران ملت عزیز ایران هوادار #رئیس_جمهور ایران باشید اشتباه نکنید روحانی را نمی گم #ميرحسين_موسوي را می گم رئیس جمهوری واقعی ایران تنها کسی که می تواند با صداقت و شرفش وحمایت ملت هم به زورگوئی ترامپ نه بگه هم جلوی ستم حکومت بایستد #سازمان_ملل #روحانی</t>
  </si>
  <si>
    <t>https://gitlab.com/danialbehzadi/mirspreader</t>
  </si>
  <si>
    <t>A bot for spreading tweets about mirhossein developing by @danialbehzadi The idea poped out from a tweet by @behrouzfirouzi</t>
  </si>
  <si>
    <t>Akhtar Alley</t>
  </si>
  <si>
    <t>RT @mahan85s: برادران و خواهران ملت عزیز ایران هوادار #رئیس_جمهور ایران باشید اشتباه نکنید روحانی را نمی گم #ميرحسين_موسوي را می گم رئیس جمهوری واقعی ایران تنها کسی که می تواند با صداقت و شرفش وحمایت ملت هم به زورگوئی ترامپ نه بگه هم جلوی ستم حکومت بایستد #سازمان_ملل #روحانی</t>
  </si>
  <si>
    <t>Mir Spreader</t>
  </si>
  <si>
    <t>iransecular</t>
  </si>
  <si>
    <t>RT @radiozamaneh: دوئل کلامی #روحانی و #ترامپ در سازمان ملل این بار در حاشیه جدال بزرگتری اتفاق افتاد: حمله ترامپ به جهانی‌سازی و دفاع سران برخی از کشورها از «چندجانبه‌گرایی».</t>
  </si>
  <si>
    <t>shahram</t>
  </si>
  <si>
    <t>zagrozz</t>
  </si>
  <si>
    <t>بانو</t>
  </si>
  <si>
    <t>دکتر هافمن</t>
  </si>
  <si>
    <t>دیگه وقتی نداریم تلف کنیم ، چشم به هم بزنیم مردیم</t>
  </si>
  <si>
    <t>شاطر عکاس</t>
  </si>
  <si>
    <t>آ سد حسن</t>
  </si>
  <si>
    <t>http://Aparat.com/mavoo</t>
  </si>
  <si>
    <t>‏‏‏‏‏‏‏‏‏أللَّھُمَ عَجِّلْ لِوَلیِکْ ألْفَرَج | Follow=Follow Back | این آیدی درصورت درخواست، تقدیم صاحب کانال تلگرامی بوی ظهور خواهد شد</t>
  </si>
  <si>
    <t>RT @Ali21_channel: آیا #تحریم ها بیشتر خواهند شد؟؟؟!!! امشب #روحانی در #سازمان_ملل گفت تحریم ها زندگی را برای مردم سخت کرده. راست میگوید اما هر سخن جایی و هر نکته مکانی دارد. در جایی که باید گفت تحریم ها روی ما اثر ندارد و از موضع قدرت وارد شویم میگوییم تحریم ها کمرمان را شکسته است؟!</t>
  </si>
  <si>
    <t>بنام نامی زینب (س)</t>
  </si>
  <si>
    <t>RT @Ali21_channel: #روحانی توی هیچ شرایطی #برجام رو کنار نمیذاره مخصوصا در #سازمان_ملل این یه قانونه! #strongestiran</t>
  </si>
  <si>
    <t>امروز حساب کردم دیدم حقوق ۱ ماه من اندازه حقوق ۲.۵ سال یه کارمند با حقوق مصوبه وزارت کاره. بیچاره مادرم... #روحانی_در_سازمان_ملل #روحانی #دلار #یورو #ایران #تحریم</t>
  </si>
  <si>
    <t>Yashar</t>
  </si>
  <si>
    <t>http://www.www.com</t>
  </si>
  <si>
    <t>روزنامه‌نگار مازاد. مدرس رسانه‌های مدرن. دانشجوی دکترای رسانه در دانشکدهٔ صداوسیمای سئول.</t>
  </si>
  <si>
    <t>سئول، نیم‌کره‌جنوبی</t>
  </si>
  <si>
    <t>نداحامی  🏳️</t>
  </si>
  <si>
    <t>‏‏‏‏🌼مرا هزار امید هست و هر هزار تویی..</t>
  </si>
  <si>
    <t>Serpico 🇮🇷🇵🇸</t>
  </si>
  <si>
    <t>RT @a9fnau2Ixs9KMrc: #روحانی اگر میخواد با صلابت در مجمع عمومی سازمان ملل سخنرانی کنه باید هر لحظه سخنان رهبری در خصوص #جنگ_نمیشود_مذاکره_نمیکنیم را در ذهنش مرور کنه</t>
  </si>
  <si>
    <t>🔴هم اكنون سخنرانى #روحانى در سازمان ملل:كشورها موظفند از اجراى برجام حمايت نمايند. ايران به كليه تعهدات پايبند بوده. پ ن:دريوزگى حكومتى به اين ميگن، با چه زبونى التماس كنه؟ #IranRegimeChange</t>
  </si>
  <si>
    <t>smr4545</t>
  </si>
  <si>
    <t>پژوهشگر حوزه آسیای عربی، کارشناس ارشد سیستم‌های اقتصادی اجتماعی</t>
  </si>
  <si>
    <t>با گذشت چند ساعت از سخنرانی #روحانی در سازمان ملل، بهتر نیست به جای هورا/تشویق/تقبیح به لوازم و تبعات این سخنرانی بیش‌تر فکر کنیم؟ ما دنبال #دیپلماسی_نمایشی هستیم یا #دیپلماسی_واقعی؟ بروز دیپلماسی واقعی در کجاست؟ #رشتو ی کوتاه ۱/۶</t>
  </si>
  <si>
    <t>علیرضا مجیدی🎗️</t>
  </si>
  <si>
    <t>‏‏‏‏‏ز غوغای جهان فارغ بودیم ... نذاشتن لعنتیا...</t>
  </si>
  <si>
    <t>😑😑😑</t>
  </si>
  <si>
    <t>نمیدونم چطور از صحبتهای روحانی حرف میزنید من که به شخصه شنیدن صداش هم حالمو بد میکرد ترجیح دادم خوب یا بد حتی صداشو نشنوم ... #‌سازمان_‌ملل #روحانی_در_سازمان_ملل #روحانی</t>
  </si>
  <si>
    <t>اولد بوی</t>
  </si>
  <si>
    <t>https://soundcloud.com/arash-ghomeishi</t>
  </si>
  <si>
    <t>Architect. Pianist. Blogger</t>
  </si>
  <si>
    <t>Los Angeles, California</t>
  </si>
  <si>
    <t>#متن سخنرانی پرزیدنت #روحانی در سازمان #ملل نسبت به متن همتایان پیشینش به مراتب بهتر بود اما، به وضوح هنوز ضعف دستگاه #دیپلماسی در استخدام Speechwriter های قدرتمند مشهود است. آنها افرادی تربیت شده در این زمینه ندارند. از خوبیهای این متن، قابلیت ترجمه دقیق آن به اکثر زبانها بود.</t>
  </si>
  <si>
    <t>Arash G</t>
  </si>
  <si>
    <t>http://instagram.com/man.enqelaabiam</t>
  </si>
  <si>
    <t>خدایا چنان کن سرانجام کار / تو خشنود باشی و ما رستگار</t>
  </si>
  <si>
    <t>sb__says</t>
  </si>
  <si>
    <t>‏‏‏‏‏‏‏‏بسم الله و بالله و فی سبیل الله و علی مله رسول الله (ص) صل الله علی الباکین علی الحسین</t>
  </si>
  <si>
    <t>RT @jebreili_m: ای کاش #روحاني همینجوری که در سازمان ملل مقتدر سخنرانی کرد، همینجوری هم در عرصه مدیریت اقتصادی عمل میکرد. #strongestiran</t>
  </si>
  <si>
    <t>🏴ستیلا سادات ( آی پاراسی ریتوییت )</t>
  </si>
  <si>
    <t>https://pbs.twimg.com/media/Dn_XiC9X0AAcg6Q.jpg</t>
  </si>
  <si>
    <t>خدمتتون می‌رسیم؟ #ترامپ #ترامپ_دیوانه #نيويرك #روحاني #روحانی_در_سازمان_ملل #روحانی_مچکریم</t>
  </si>
  <si>
    <t>Arash Darabian</t>
  </si>
  <si>
    <t>عاشق پادشاه فصل ها پاییز🍁</t>
  </si>
  <si>
    <t>هانیه مدنی</t>
  </si>
  <si>
    <t>خوشگذرانی سرگرمی‌</t>
  </si>
  <si>
    <t>Ahmad</t>
  </si>
  <si>
    <t>Kamran Imani</t>
  </si>
  <si>
    <t>‏‏‏عاشق ایران و ایرانی💙💙💙آرزوی بازگشت به عظمت و عزت گذشته سرزمینم🙏یک همسر ومادر عاشق💕😍با مجاهدین هم فکر و هم عقیده نیستم/ عرزشی⛔بی ادبی =بلاک</t>
  </si>
  <si>
    <t>RT @Shahram58181753: 🔴هم اكنون سخنرانى #روحانى در سازمان ملل:كشورها موظفند از اجراى برجام حمايت نمايند. ايران به كليه تعهدات پايبند بوده. پ ن:دريوزگى حكومتى به اين ميگن، با چه زبونى التماس كنه؟ #IranRegimeChange</t>
  </si>
  <si>
    <t>HM5154HM</t>
  </si>
  <si>
    <t>‏‏‏‏‏‏اڪانت ریتوئیتـــر سنڪَربان (@sangarban)</t>
  </si>
  <si>
    <t>Rabor , kerman</t>
  </si>
  <si>
    <t>Sαɓεર 🇮🇷</t>
  </si>
  <si>
    <t>‏‏‏‏‏‏ترجیح میدم به چیزی باورداشته باشم که حقیقت داره نه چیزی که دوست دارم حقیقت داشته باشه‎‎‎‎‎‎‎‎‎‎ http://t.me/twittetizzm‎</t>
  </si>
  <si>
    <t>جیززاعظم</t>
  </si>
  <si>
    <t>https://pbs.twimg.com/media/Dn_Ycx-XoAA7jMw.jpg</t>
  </si>
  <si>
    <t>#NoSanctionNoWar آقای #روحانی، کاش در داخل #ایران هم با دیسیپلینِ سخنرانی سازمان ملل‌ ظاهر شوید.شبیه همانکه به‌او رای دادیم. #روحانی_مچکریم</t>
  </si>
  <si>
    <t>میل .نیاز .مصلحت</t>
  </si>
  <si>
    <t>RT @yar73vom: رهبر انقلاب: #جنگ_نمیشود_مذاکره_نمیکنیم فارغ از نطق های #ترامپ_دیوانه در سازمان ملل، این جمله #روحانی هم بسیار قابل تامل است: به میز مذاکره‌ای که خودتان برهم زدید بازگردید!</t>
  </si>
  <si>
    <t>Zanjani2018</t>
  </si>
  <si>
    <t>‏‏‏‏‏‏‏ فدایی ❤رهبر عزیز انقلاب❤</t>
  </si>
  <si>
    <t>RT @amehghazi: سخنان #روحانی در سازمان ملل بر خلاف #ترامپ منطقی و بدور از احساس بود اما خوب ظاهراً دلار مثل مردم ایران شخصیتی احساسی دارد تا منطقی چه می شود کرد #دلار۱۷۰۰۰تومانی</t>
  </si>
  <si>
    <t>رضا فتاح 🇮🇷انقلابی ام🇮🇷</t>
  </si>
  <si>
    <t>https://pbs.twimg.com/media/Dn_XjJXXgAA38Hc.jpg</t>
  </si>
  <si>
    <t>#تظاهرات #ایرانیان علیه حضور آخوند #روحانی همزمان با اجلاس مجمع عمومی #ملل_متحد. #سازمان_ملل #نه_به_روحانی #نه_به_اعدام #براندازم #براندازیم #No2Rouhani #No2Execution #IranRegimeChange #NYC #usa #MEK</t>
  </si>
  <si>
    <t>سحر</t>
  </si>
  <si>
    <t>http://t.me/baghe_kaghazi</t>
  </si>
  <si>
    <t>دل ما خیلی از این بی‌خبری سوخته است ...</t>
  </si>
  <si>
    <t>بےقرار 🇵🇸</t>
  </si>
  <si>
    <t>همیشه بادهای موافق بر بادبان های برافراشته می‌وزند</t>
  </si>
  <si>
    <t>Hamid Mehrad</t>
  </si>
  <si>
    <t>Electrical engineer</t>
  </si>
  <si>
    <t>Karaj</t>
  </si>
  <si>
    <t>#ترامپ ؛ روحانی مرد دوست داشتنی است اینم دست آورد #روحانی از سازمان ملل</t>
  </si>
  <si>
    <t>mostafa siamak</t>
  </si>
  <si>
    <t>‏‏یه مجید سوزوکی دیگه اگه خدا قبول کنه</t>
  </si>
  <si>
    <t>پیام نعمتیان 🏴</t>
  </si>
  <si>
    <t>برقی</t>
  </si>
  <si>
    <t>RT @MSiamak: #ترامپ ؛ روحانی مرد دوست داشتنی است اینم دست آورد #روحانی از سازمان ملل</t>
  </si>
  <si>
    <t>ohm</t>
  </si>
  <si>
    <t>‏متولد دهه شصتم. برانداز به دنیا آمده ورودمجاهد اکیدا ممنوع.</t>
  </si>
  <si>
    <t xml:space="preserve">ناکجاآباد </t>
  </si>
  <si>
    <t>👑وطن پرست#براندازم -بی تفاوتی تاکی ایرانیان👑</t>
  </si>
  <si>
    <t>House of opposing views کانون جمع اضداد 👈👉👆👇</t>
  </si>
  <si>
    <t>B&amp;W</t>
  </si>
  <si>
    <t>https://pbs.twimg.com/media/Dn_Zks6U8AAYPQm.jpg</t>
  </si>
  <si>
    <t>صدای باد تو سالن خالی میپیچه. فیوفیوفیوفیوفیوفیو ... یه بوته خار از گوشه تصویر قل میخوره میره اونور تصویر. #برجام #سازمان_ملل #روحاني</t>
  </si>
  <si>
    <t>Godthegrey</t>
  </si>
  <si>
    <t>امیدوار</t>
  </si>
  <si>
    <t>Family man, father of a little angel</t>
  </si>
  <si>
    <t>RT @Realmhmdali: این چه قیافه‌ایه ظریف به خودش گرفته؟ #روحانی حرف میزنه حالت تهوع گرفتی؟!؟ دیده بودیم زبان دنیا بلدین ولی اینهمه تسلط به زبان بدن مثال‌زدنیه واقعا!!! #سازمان_ملل</t>
  </si>
  <si>
    <t>Mohammadali</t>
  </si>
  <si>
    <t>https://t.me/javad59_92</t>
  </si>
  <si>
    <t>‏‏‏‏‏میگویند ‏‏‎‎‎‎‎#ما_را_چه_به_توییتر ما می گوییم تا شرک و کفر هست، مبارزه هست و تا مبارزه هست ما هستیم. امام خمینی(ره)</t>
  </si>
  <si>
    <t>انشاا... زیر سایه امام زمان عج</t>
  </si>
  <si>
    <t>آمیرزا</t>
  </si>
  <si>
    <t>‏‏‏مسئله اصلی جنگ است و جنگ امروز جنگ روایت هاست</t>
  </si>
  <si>
    <t>Arak</t>
  </si>
  <si>
    <t>Milad Karami</t>
  </si>
  <si>
    <t>‏‏‏‏‏غذا، کشاورزی و محیط زیست، سه اسلحه ای که به سفره های ما رسیده ولی از چشم و توجه ما جا مانده اند.</t>
  </si>
  <si>
    <t>Islamic Republic of Iran⁦🇮🇷⁩</t>
  </si>
  <si>
    <t>Sorğu</t>
  </si>
  <si>
    <t>آنان كه خاك را به نظر كيميا كنند /آيا شود كه گوشه چشمي به ما كنند...؟</t>
  </si>
  <si>
    <t>negarafzali</t>
  </si>
  <si>
    <t>قومی متفکرند اندر ره دین ٬قومی به گمان فتاده در راه یقین٬ میترسم از آن که بانگ آید روزی٬ کای بیخبران راه نه آنست و نه این</t>
  </si>
  <si>
    <t>Sajad Khoshrou</t>
  </si>
  <si>
    <t>‏انقلاب اسلامی ایران ساده به دست نیامده ......</t>
  </si>
  <si>
    <t>isfahan</t>
  </si>
  <si>
    <t>🇮🇷میرزا محمد🇮🇷</t>
  </si>
  <si>
    <t>Economy policy immigrants women</t>
  </si>
  <si>
    <t>RT @fa_as2020: @HengamehYazdari @phlavism از #روحانی در سازمان ملل باید پرسید جمهوی اسلامی چقدر برای مردم ایران حق تعیین سرنوشت قائل است؟ اگر کسی جمهوری اسلامی را نخواهد، چقدر شانس تغییر آن را دارد؟ #bateni</t>
  </si>
  <si>
    <t>maria smith</t>
  </si>
  <si>
    <t>‏‏‏‏‏زندگی سراسر مبارزه است مبارزه حق و باطل ... و ما اهل مبارزه ایم.</t>
  </si>
  <si>
    <t xml:space="preserve">مشهد مقدس </t>
  </si>
  <si>
    <t>رضا صداقت</t>
  </si>
  <si>
    <t>‏‏‏‏أَشْهَدُ أَنَّ فاطِمَةَ بِنْتِ رَسُولِ الله عِصْمَةُ اللهِ الْکُبْری وَ حُجَّةُ اللهِ عَلَی الْحُجَجْ</t>
  </si>
  <si>
    <t>انقلاب اسلامی ایران</t>
  </si>
  <si>
    <t>عبدالله واحدی 🎗️</t>
  </si>
  <si>
    <t>https://telegram.me/smtpoet</t>
  </si>
  <si>
    <t>‏‏‏‏‏‏در نمازم خم ابروی تو مشکوکم کرد</t>
  </si>
  <si>
    <t>مخور #صائب فریب فضل از عمامه‌ی زاهد که در گنبد ز بی‌مغزی صدا بسیار می‌پیچد #حسن_روحانی #سازمان_ملل #سازمان_ملل_متحد #سخنرانی_روحانی</t>
  </si>
  <si>
    <t>سِدمَسود</t>
  </si>
  <si>
    <t>https://t.me/joinchat/Fvy98RCuzFeRsEed6Ssf2g</t>
  </si>
  <si>
    <t>‏‏‏‏‏‏‏‏حامی شاهزاده رضا پهلوی هستم 💛💙💚✌✌ مارا در گروه ‎#اتحاد_براندازان دنبال کنید 👇👇👇</t>
  </si>
  <si>
    <t>سریرا👑💙✌</t>
  </si>
  <si>
    <t>RT @hbnasab: اگر نمره انشاى ٢٠ ميتوانست نجات بخش دانش آموزى با معدل ٢ باشد سخنرانى #روحانى در #سازمان_ملل هم ميتواند موجب خروج از بحرانى باشد كه مسئوليت مستقيم و بلاشك آن عملكرد شش سال گذشته ايشان است</t>
  </si>
  <si>
    <t>‏اللهم نشکو الیک فقد نبیّنا و غیبه ولیّنا</t>
  </si>
  <si>
    <t>ج مظفری</t>
  </si>
  <si>
    <t>جرم من جار زدن بود، تو صورت هنجار زدن بود.</t>
  </si>
  <si>
    <t>جایی به اسم آزادی...</t>
  </si>
  <si>
    <t>Brave Heart🏳️</t>
  </si>
  <si>
    <t>الهم عجل لولیک الفرج</t>
  </si>
  <si>
    <t>علی ابراهیمی</t>
  </si>
  <si>
    <t>pic.twitter.com/0JBhw3l2XI</t>
  </si>
  <si>
    <t>RT @AzghadiM: این دولت خیلی امتیاز داد.....در جواب چه کردند؟ #روحانی #سازمان_ملل #نیویورک #ظریف #ترامپ #آمریکا #اوباما</t>
  </si>
  <si>
    <t>‏‏عاشق رهبرم سید علی خامنه ای</t>
  </si>
  <si>
    <t>یا علی بن موسی الرضا (ع)</t>
  </si>
  <si>
    <t>‏کافر</t>
  </si>
  <si>
    <t>چه فرقی داره</t>
  </si>
  <si>
    <t>Sam</t>
  </si>
  <si>
    <t>‏‏‏.‏تکنسین برق و تاسیسات . عدالت خواه.بهاری.ایرانی.پرسپولیسی.عاشق خاکم وطنم پرچمم و مردم عزیزم .</t>
  </si>
  <si>
    <t>Tehran iran</t>
  </si>
  <si>
    <t>RT @HabibNajar10: باشنیدن سخنرانی امشب #روحانی_در_سازمان_ملل مطمئن شدم که #روحانی حالا که درادارهء اقتصاد وسیاست کشور درمانده و فهمیده عرضهء مدیریت این شرایط را ندارد، تصمیم گرفته حداقل بچهء خوبِ نظام باقی بماند بلکه بتواند پس از ریاست جمهوری هنوز از سفره نظام ارتزاق کند. #روحانی_مچکریم</t>
  </si>
  <si>
    <t>Saeed</t>
  </si>
  <si>
    <t>http://pmsk313.blogfa.com</t>
  </si>
  <si>
    <t>پایگاه مهدوی شهید خسروآبادی Shahid Khosrow Abadi Mahdavi Base</t>
  </si>
  <si>
    <t>Base</t>
  </si>
  <si>
    <t>‏‏‏در مکتب من انقلاب وایران بدون عدالت برای مستضعف بازهم لجنزار طاغوت است وتا آن روز من انقلابی خواهم بود</t>
  </si>
  <si>
    <t>انقلاب ۱۳۵۷</t>
  </si>
  <si>
    <t>رَهرو آنْ نیست کِه گَه تُندو گَهی خَستهِ رَود/ رَهرو آنْ اَست کِه آهسته و پِیوَستهِ رَود ⚜اصلاحات⚜ ✌</t>
  </si>
  <si>
    <t>t.tohidi</t>
  </si>
  <si>
    <t>تمام سرمایه یک دل حرفهای نگفته است امیر المومنین علی علیه السلام</t>
  </si>
  <si>
    <t>RT @h_abdolmanafi: سخنرانی انقلابی و کوبنده #شهید_رجایی در #سازمان_ملل که پاهای شکنجه شده خود را به نشان اعتراض روی میز گذاشت اونم در شرایط سخت اون زمان . اقای روحانی این سخنانی که داشتین رو در ایران هم بارها ازتون شنیدیم توقع بیشتری داشتیم خیلی گشتم تا این رو از آرشیو پیدا کردم</t>
  </si>
  <si>
    <t>م.منفرد</t>
  </si>
  <si>
    <t>Whatever u say I am...</t>
  </si>
  <si>
    <t>اینکه #روحاني تو #سازمان_ملل‌_متحد حرفای قشنگ قشنگ میزنه، مثل اینه که با گُه روی دیوار بنویسن "لطفاً نظافت را رعایت فرمایید"</t>
  </si>
  <si>
    <t>چـــــــِـــتنـویس</t>
  </si>
  <si>
    <t>abolfazl rajaboor</t>
  </si>
  <si>
    <t>https://t.me/Seyedmahdihashemizadeh</t>
  </si>
  <si>
    <t>‏‏‏‏‏برداشت های سیاسی اجتماعی خودم را می‌نویسم توجه: مسئولیت کامنت ها با من نیست هرگونه فحش = بلاک یا خاموش سازی</t>
  </si>
  <si>
    <t xml:space="preserve">ایران قم جمکران </t>
  </si>
  <si>
    <t xml:space="preserve">سید مهدی هاشمی زاده </t>
  </si>
  <si>
    <t>‏‏‏باید بکوشیم تا دنیا را کمی بهتر از آنچه تحویل گرفته‌ایم، تحویل دهیم...</t>
  </si>
  <si>
    <t>RT @BamdadLajevardi: فردا، پس‌فردا رسانه‌های خارجی از #روحانی یا #ظریف درباره وضعیت #زندانیان_سیاسی ایران سوال می‌پرسه. بعد انها میگن ما زندانی سیاسی نداریم. بعد تو فضای مجازی دعوا میشه و همه برگ‌های برنده سخنرانی روحانی تو #سازمان_ملل خراب می‌شه! اما روشنه زندانیان سیاسی برای ان رسانه اهمیتی نداره.</t>
  </si>
  <si>
    <t>🇮🇷 سنا سیفی</t>
  </si>
  <si>
    <t>‏سعی می کنم صادق باشم</t>
  </si>
  <si>
    <t>مرند</t>
  </si>
  <si>
    <t>@King_Sadeg</t>
  </si>
  <si>
    <t>‏خـــادِمُ الشُـــــــهَدا یعــنے: دیـــدن آنچـه کــــہ دیــــــــــگران ندیـــــده اند!!!!! مـــــثلا… گوشـــه اے از چـــــادر مــــادر را…</t>
  </si>
  <si>
    <t>هر جا که اسلام باشد</t>
  </si>
  <si>
    <t>سید جلال موسوی</t>
  </si>
  <si>
    <t>‏بازنشر نشانه تایید نیست</t>
  </si>
  <si>
    <t>آرش حکمیان ⁦🎗️⁩</t>
  </si>
  <si>
    <t>http://Markazi.irib.ir</t>
  </si>
  <si>
    <t>مقدسی پور</t>
  </si>
  <si>
    <t>jazire</t>
  </si>
  <si>
    <t>رسول صادقی/پژوهشگر مسائل سیاسی/ انقلابی/ ورزشکار/ @Tabyincenter</t>
  </si>
  <si>
    <t>RT @mehdi88992003: دنیای قشنگیه پول سازمان ملل رو آمریکا میده ترامپ میاد به ایران فحش میده روحانی به ترامپ فحش میده سازمان محکوم میکنه سپس #تحریم ، #یمن ، #تروریسم و ... به روند طبیعی شون ادامه میدن. #جنگ_نمیشود_مذاکره_نمیکنیم</t>
  </si>
  <si>
    <t>رسول صادقی</t>
  </si>
  <si>
    <t>‏‏‏‏‏‏‏‏‏‏‏‏‏‏‏‏‏‏‏‏‏‏‏‏‏‏‏‏‏‏‏‏‏‏‏‏‏‏‏‏‏‏‏‏‏‏‏‏‏‏‏‏‏‏‏‏‏‏‏‏‏‏‏‏‏‏ بیر قورد افکارندا سخیشدی اولدو درونگرای افراطی یورولموشام</t>
  </si>
  <si>
    <t>تانزانیا داش قالاسی</t>
  </si>
  <si>
    <t>تانزانیا</t>
  </si>
  <si>
    <t>F_bahramian</t>
  </si>
  <si>
    <t>Hosin S</t>
  </si>
  <si>
    <t>‏‏‏سفید زندگی کن تا سرخ بمیری بچه محله امام رضا</t>
  </si>
  <si>
    <t>به نظرم ترامپ روحانی رو الاغ فرض کرده آخه توی #سازمان_ملل به نعل زد توی توییتر به میخ....</t>
  </si>
  <si>
    <t>Mohammad.gh</t>
  </si>
  <si>
    <t>RT @SaharFatemi: #تظاهرات #ایرانیان علیه حضور آخوند #روحانی همزمان با اجلاس مجمع عمومی #ملل_متحد. #سازمان_ملل #نه_به_روحانی #نه_به_اعدام #براندازم #براندازیم #No2Rouhani #No2Execution #IranRegimeChange #NYC #usa #MEK</t>
  </si>
  <si>
    <t>‏یک ‏‏‏‏‏‏‏‏‏معلم ساده، انجمن مستقلی، فعال فضای مجازی و رسانه ...... یعنی یک اِمام ماموم خود را اینقَدَر عاشق می شود؟ یوسُف باشیم، چرا که نه!</t>
  </si>
  <si>
    <t>حامد رضایی</t>
  </si>
  <si>
    <t>MSc in maritime economics and logistics from Erasmus University, Rotterdam, Netherlands# Working in port and maritime sector.</t>
  </si>
  <si>
    <t>Bandar Anzali, Iran</t>
  </si>
  <si>
    <t>Mohammad Pourhaji</t>
  </si>
  <si>
    <t>https://pbs.twimg.com/media/Dn_gzUwW0AA3f9B.jpg</t>
  </si>
  <si>
    <t>روحانی شریعت ، پیوندتان مبارک #روحاني #شریعتمداری #کیهان #سازمان_ملل #ترامپ #اصلاحطب_اصولگرا_دیگه_تموم_ماجرا</t>
  </si>
  <si>
    <t>‏‏‏‏‏‏‏برانداز، آرتیست و عاشق فرهنگ به فنا رفته ایرانی. اهل قیاس آباد(سنجش و موشکافی). ضد درد. دیکته بلد نیستم.</t>
  </si>
  <si>
    <t>سر کوچه</t>
  </si>
  <si>
    <t>آسپرین قیاس‌آبادی</t>
  </si>
  <si>
    <t>یک هیچ...</t>
  </si>
  <si>
    <t>FarZand</t>
  </si>
  <si>
    <t>کارشناس ارشد امور اجتماعی، اقتصادی و سیاسی</t>
  </si>
  <si>
    <t>به نظرم هم #ترامپ درست گفت هم #روحانی! #سازمان_ملل‌_متحد</t>
  </si>
  <si>
    <t>PitpitaK</t>
  </si>
  <si>
    <t>‏من با این جبهه بندیهای مرسوم, اصولگرائی یا اصلاح طلبی,چپ یا راست موافق نیستم. ‏من یک انقلابیم...</t>
  </si>
  <si>
    <t>smhsayadi</t>
  </si>
  <si>
    <t>ایران خواهان #صلح با جهان است اما به #سفارت آمریکا حمله میکند و چهل سال از دشمنی با آن دَم میزند، خواستار محو شدن اسرائیل از نقشه زمین است، به خون کشور های خرپولِ منطقه تشنه است و در داخل، #غیر_خودی ها را به #گا داده... #روحاني #سازمان_ملل‌_متحد #سازمان_ملل</t>
  </si>
  <si>
    <t>http://www.tabyincenter.ir</t>
  </si>
  <si>
    <t>‏‏‏‏‏ با افتخار؛ ایرانی و آذری|متاهل|دانشجوی روابط بین‌الملل|پژوهشگر سیاست خارجی، اروپا و آمریکای شمالی در اندیشکده تبیین</t>
  </si>
  <si>
    <t>سالار نامدار وندایی</t>
  </si>
  <si>
    <t>General News</t>
  </si>
  <si>
    <t>Ahmadvarnik</t>
  </si>
  <si>
    <t>https://www.hbojnordi.ir</t>
  </si>
  <si>
    <t>Network &amp; Security Network , Ceo &amp; Founder : Iran Tourism ( @IranTourism_Me )</t>
  </si>
  <si>
    <t>Iran - Mashhad</t>
  </si>
  <si>
    <t>من نه ارزشی ام نه برانداز ، نطق خوب و بد #روحانی در سازمان ملل هیچ مشکل داخلی و سیاست خارجی کشور و حل نمیکنه تا عمل و حرکتی نباشه . حرف مفت زیاده و راحت .</t>
  </si>
  <si>
    <t>Hamzeh Bojnordi</t>
  </si>
  <si>
    <t>http://www.Khoshmard.ir</t>
  </si>
  <si>
    <t>اومدم توویتر ببین چه خبره! هر کی خبر دست اول داره منو بی خبر نگذاره!</t>
  </si>
  <si>
    <t>تا اطلاع ثانوی مجاور هستم</t>
  </si>
  <si>
    <t>عباس حاتمی خوشمردان</t>
  </si>
  <si>
    <t>‏‏‏the DaRkNeSs🖤 عشق مثل آتیشه ! آدمای عاقل خودشونو کنارش گرم میکنن.. آدمای احمق خودشونو میسوزونن!</t>
  </si>
  <si>
    <t>همه‌ی ایران سرای من است.</t>
  </si>
  <si>
    <t>AmIrR</t>
  </si>
  <si>
    <t>سخنرانی #ترامپ برای همه مهمه و همه بهش گوش میدن چون کشورش قدرتمند و مهمه ولی از اونجایی که کشور ایران در سطح جهانی حرفی برای گفتن نداره و بی اهمیته، سخنرانی #روحانی به تخم کسی هم نیست. #سازمان_ملل‌_متحد #سازمان‌ملل</t>
  </si>
  <si>
    <t>تورک خَلقی</t>
  </si>
  <si>
    <t>اگر من بجای یکی از حُضّار در #سازمان_ملل‌_متحد بودم، وقتی #روحاني داشت در مورد #صلح و صلح طلبی نُطق میکرد بلند میشدم تکبیر میگفتم. بعدش هم بلند داد میزدم: مرگ بر #آمریکا، مرگ بر اسرائیل، مرگ بر ضد ولایت فقیه 😐</t>
  </si>
  <si>
    <t>RT @alirezamajidi66: با گذشت چند ساعت از سخنرانی #روحانی در سازمان ملل، بهتر نیست به جای هورا/تشویق/تقبیح به لوازم و تبعات این سخنرانی بیش‌تر فکر کنیم؟ ما دنبال #دیپلماسی_نمایشی هستیم یا #دیپلماسی_واقعی؟ بروز دیپلماسی واقعی در کجاست؟ #رشتو ی کوتاه ۱/۶</t>
  </si>
  <si>
    <t>roshan</t>
  </si>
  <si>
    <t>‏‏‏‏‏‏‏‏‏‏‏خلأها را پر کنید؛ مثلا:انقلابی گری</t>
  </si>
  <si>
    <t>بعضیا هنوز موندن برا سخنرانی دیشب #روحانی در #سازمان_ملل چی بنویسن؛ حمایت کنن یا نقد کنن؟! همه چی واضحه؛ ایشون به عنوان نماینده ملت ایران رفته اونجا قطعا باید حمایت کرد البته مطالبه ی برخی مسائل مثل محکم و منطقی و سنجیده و از موضع قدرت و عزت مندانه حرف زدنم، سر جای خودش محفوظه!</t>
  </si>
  <si>
    <t>ashoori</t>
  </si>
  <si>
    <t>I</t>
  </si>
  <si>
    <t>layali</t>
  </si>
  <si>
    <t>‏‏‏‏‏‏‏‏ من از سرودن شعر ظهور می‌ترسم / دوباره بیعت و بعدش عبور می‌ترسم ، مجهز به آنفالو یاب 😉</t>
  </si>
  <si>
    <t>ظهور را نزدیک میکنم</t>
  </si>
  <si>
    <t>‏‏منتظر ظهور حضرتش(عج الله تعالی فرجه الشریف) ، معتقد به نفی سلطه استکبار، طرفدار محور مقاومت</t>
  </si>
  <si>
    <t xml:space="preserve">Tehran , Iran </t>
  </si>
  <si>
    <t>مهدی</t>
  </si>
  <si>
    <t>‏‏‏وَلَا تَهِنُوا وَلَا تَحْزَنُوا وَأَنْتُمُ الْأَعْلَوْنَ إِنْ كُنْتُمْ مُؤْمِنِينَ سست و غمگین نشوید شما برترید اگر ایمان داشته باشید</t>
  </si>
  <si>
    <t>ابراهیم هادی</t>
  </si>
  <si>
    <t>بد شانس به حدی که متولد ایران ام</t>
  </si>
  <si>
    <t>بدشانس🏳️</t>
  </si>
  <si>
    <t>‏فل واقع اسلام را با ارنج جدید بخوردتان میدهیم.</t>
  </si>
  <si>
    <t>منزل دامادمان</t>
  </si>
  <si>
    <t>چقدر بدبختیم. رئیس جمهور کشورمون،در سازمان ملل از مشکلات یمن،لیبی،سوریه وعراق گفت،اما دریغ از جوانان کشورش. #علمهدی #روحانی #IranRegimeChange #شعارنویسی #اختلاس_گرانی_هدیه_رهبری</t>
  </si>
  <si>
    <t>AlamAlhoda</t>
  </si>
  <si>
    <t>#Journalist #IFJ</t>
  </si>
  <si>
    <t>https://pbs.twimg.com/media/Dn_l4S0XUAU6lid.jpg</t>
  </si>
  <si>
    <t>آقای روحانی به‌جای صدور دمکراسی به جهان، #زنان_ایرانی را آزاد کنید. در #ایران کسانی صرفا به‌خاطر آگاهی‌رسانی به همنوعان خود بازداشت می‌شوند، حال روحانی در محل #سازمان_ملل از صلح و دوستی و احترام به موازین بین‌المللی سخن می‌گوید. #هدی_عمید #نجمه_واحدی #رضوانه_محمدی #مریم_آزاد</t>
  </si>
  <si>
    <t>kamal hoseini</t>
  </si>
  <si>
    <t>‏هرکه پرسید چه دارد مگر از دار جهان همه ی دار و ندارم بنویسید حسین</t>
  </si>
  <si>
    <t>آنچه #روحاني در سازمان ملل نمایش داد؛ همزیستی یک انقلاب ایدئولوژیک صلح طلب برابر یک دنیای لیبرال #جنگ_طلب! همان که آنها می خواهند!</t>
  </si>
  <si>
    <t>سیدمحسن خادمی</t>
  </si>
  <si>
    <t>...بیار باده که بنیاد عمر بر بادست..</t>
  </si>
  <si>
    <t>درست است نطق خوبی بود ...اما....ایکاش #روحانی دست کم به نطق خودش در سازمان ملل وفادار باشد. فرازهایی داشت که مخاطبش میتواند دولت ایران و قدرت در ایران باشد!</t>
  </si>
  <si>
    <t>اسدالله میرزا</t>
  </si>
  <si>
    <t>خانم وکیل....</t>
  </si>
  <si>
    <t>Hadispanahi</t>
  </si>
  <si>
    <t>‏‏‏غیرتی می‌شوم آن روز که موهای تو را خارج از دامنه‌یِ روســــری‌ات می‌بینم...</t>
  </si>
  <si>
    <t>Islamic republic iran</t>
  </si>
  <si>
    <t>M2bmmb( 🇮🇷)</t>
  </si>
  <si>
    <t>امید بذر هویت ماست 💚✌💜</t>
  </si>
  <si>
    <t>AbolfazlAbroshan</t>
  </si>
  <si>
    <t>لایک و ریتوییت یعنی نظرم بهش نزدیکتره. فالو هم برای دریافت دیدگاههای متفاوت. اونم تا حدی که دیگه طرف رد نداده باشه.</t>
  </si>
  <si>
    <t>Iran,Tehran</t>
  </si>
  <si>
    <t>jalali mahmood</t>
  </si>
  <si>
    <t>‏از کودکی اطاعت از فرمانده را آموخته ام سلام نظامی من به فرمانده.... السلام علیک یا ابوالفضل العباس (ع)</t>
  </si>
  <si>
    <t>فاراقلیط.314</t>
  </si>
  <si>
    <t>عشق است تهران</t>
  </si>
  <si>
    <t>Hamidreza</t>
  </si>
  <si>
    <t>Mina</t>
  </si>
  <si>
    <t>RT @MohammadZnd: سخنرانی #روحانی در سازمان ملل در ادامه همون سیاست قمبل کردن بود(با عرض معذرت) این حرف ها زمانی خوبه که اقتدار نشون داده باشی الان همه میدونند این حرف ها رو میزنی چون شلوارت رو خیس کردی</t>
  </si>
  <si>
    <t>‏‏‏‏‏‏‏‏‏‏‏‏‏‏‏‏‏یارب نظر تو برنگردد... دیگران هرچی میخوان بگن، بگن برام مهم نیست. اول تورو خیلی دوست دارم بعدم بابای عزیزتراز جانمو</t>
  </si>
  <si>
    <t>جمهوری اسلامی ایران🇮🇷</t>
  </si>
  <si>
    <t>Zahra Kazemi (حسین ارباب)🖤</t>
  </si>
  <si>
    <t>تف تو روح هرچی آدم بداخلاقه.</t>
  </si>
  <si>
    <t>خداروشکر یه بار دیگه یه سخنرانی توانسته حقیقت تلخ زندگی در #ایران رو به توهم شیرین کشور #متمدن و #صلح طلب تغییر بده در عرض نیم ساعت. #روحانی_در_سازمان_ملل #روحانی #دروغ #آلزایمر</t>
  </si>
  <si>
    <t>سوشی</t>
  </si>
  <si>
    <t>‏‏‏‏‏‏فعال دانشجویی| خبرنگار | انقلابی خسته نمی شود ‏غافل از اینکه فاطمه(س) گمنام میخرد...</t>
  </si>
  <si>
    <t>شاید بهترین بخش سخنرانی #روحانی وقتی بود که مظلومیت مردم #یمن رو تو سازمان ملل فریاد زد.</t>
  </si>
  <si>
    <t>جوان انقلابی</t>
  </si>
  <si>
    <t>http://sobhe-no.ir</t>
  </si>
  <si>
    <t>صبح نو؛ روزنامه زمانه دانایی</t>
  </si>
  <si>
    <t>https://pbs.twimg.com/media/Dn_oD-oX0AA61da.jpg</t>
  </si>
  <si>
    <t>صفحه نخست روزنامه #صبح_نو چهارشنبه ۴ مهر ۱۳۹۷ ———— تعهد برابر تعهد؛ تهدید برابر تهدید #روحانی #سازمان_ملل #ترامپ #دلار #منوتو</t>
  </si>
  <si>
    <t>روزنامه صبح نو</t>
  </si>
  <si>
    <t>‏“سقوط” سرنوشت ِ دل دادن بہ هر جاذبہ اے غیر از خداست ..! عاشق راه دین خدا که در عصر غیبت مولایمان؛ پرچمدارش نائب بر حقش امام خامنه ای است</t>
  </si>
  <si>
    <t>milad ghanbari</t>
  </si>
  <si>
    <t>http://instagram.com/goodarz.t</t>
  </si>
  <si>
    <t>‏‏‏‏‏‏‏‏‏‏‏‏ همیشه یه حرفی واسه گفتن هست...</t>
  </si>
  <si>
    <t>goodarz🇮🇷</t>
  </si>
  <si>
    <t>http://www.inistageram.com/javadafshari.zanjani</t>
  </si>
  <si>
    <t>‏‏‏یامنصوراَمِت :رمز قیام جبهه حق علیه جبهه شیطان بوده در طول تاریخ اسلام . از جنگ بدر تا قیام مسلم و مختار و زید بن علی و تا ‎‎‎#انقلاب_مهدی</t>
  </si>
  <si>
    <t>RT @javane_enqelabi: شاید بهترین بخش سخنرانی #روحانی وقتی بود که مظلومیت مردم #یمن رو تو سازمان ملل فریاد زد.</t>
  </si>
  <si>
    <t>یامنصوراَمِت</t>
  </si>
  <si>
    <t>فعلاً خوبم</t>
  </si>
  <si>
    <t>https://pbs.twimg.com/media/Dn_oZTYW0AMCpSX.jpg</t>
  </si>
  <si>
    <t>مقایسه جمعیت حاضر در سالن سازمان ملل هنگام سخنرانی #ترامپ و #روحانی</t>
  </si>
  <si>
    <t>rasool gh</t>
  </si>
  <si>
    <t>‏‏ما ایرانیان 111 سال پیش انقلاب مشروطه کردیم، پس چرا هنوز با استبداد معاشقه و مغازله میکنیم؟</t>
  </si>
  <si>
    <t>Aram-e-Jan</t>
  </si>
  <si>
    <t>زندگی زیبایی‌های خودشو داره، هرچند ما ندیدیم!</t>
  </si>
  <si>
    <t>Bruchsal, Deutschland</t>
  </si>
  <si>
    <t>پسرِ گیو</t>
  </si>
  <si>
    <t>http://www.sadeghimoghadam.ir</t>
  </si>
  <si>
    <t>‏‏‏‏‏‏‏‏‏‏‏‏| فعال سیاسی اصلاح طلب | | عضو حزب کارگزاران سازندگی ایران | | member of Executives of Construction Party | | Reformist political activist |</t>
  </si>
  <si>
    <t>FarazSadeghiMoghadam</t>
  </si>
  <si>
    <t>‏یک ایرانی،یک مسلمان،یک شیعه</t>
  </si>
  <si>
    <t>Teh</t>
  </si>
  <si>
    <t>پسر زمستان🏴🏴🏴</t>
  </si>
  <si>
    <t>RT @ReformistBoy: عصبانیت #جان_بولتون از چیست؟ ۱.بیانیه مشترک #ایران و۱+۴درخصوص حفظ #برجام و اقدامت عملیاتی #اروپا درخصوص بی‌اثرکردن تحریم‌ها ۲.نطق بسیار قوی #روحانی در #نشست_سالانه_مجمع_عمومی_سازمان_ملل ۳.تنهاماندن #آمریکا در نشست #شورای_امنیت باموضوعیت ایران به ریاست #ترامپ #WeStand4Iran #UNGA</t>
  </si>
  <si>
    <t>Bahar</t>
  </si>
  <si>
    <t>آرزومند تمدن نوین اسلامی</t>
  </si>
  <si>
    <t>RT @smohsenkhademii: آنچه #روحاني در سازمان ملل نمایش داد؛ همزیستی یک انقلاب ایدئولوژیک صلح طلب برابر یک دنیای لیبرال #جنگ_طلب! همان که آنها می خواهند!</t>
  </si>
  <si>
    <t>abie asemani</t>
  </si>
  <si>
    <t>RT @KsrSkki: باید قبول کنیم سخنرانی امشب #روحانی در صحن #سازمان_ملل‌_متحد بسیار خوب بود! همانند نطق های انتخابی او. ولی! سوال اینجاست که اولا این حرفها چه تاثیری بر وضعیت نابسامان #اقتصاد میگذارد؟ دوما آیا مثل شعارهای انتخاباتی فقط در حد شعار باقی خواهد ماند؟ . #ترامپ #تحریم #نتیجه</t>
  </si>
  <si>
    <t>Baran</t>
  </si>
  <si>
    <t>‏ Tane vahede 💞 ‎‎‎ ‎‎</t>
  </si>
  <si>
    <t>عرفانِ کیهانی</t>
  </si>
  <si>
    <t>فعال حقوق بشر</t>
  </si>
  <si>
    <t>Hamesoor</t>
  </si>
  <si>
    <t>it engineer and Java developer</t>
  </si>
  <si>
    <t>امین پیروی</t>
  </si>
  <si>
    <t>Rassoul Tabrizi</t>
  </si>
  <si>
    <t>human Rights</t>
  </si>
  <si>
    <t>Anita</t>
  </si>
  <si>
    <t>‏‏‏‏‏باید ایرانی از نو ساخت. سکولار، لیبرال، دموکرات، (مجاهد/ عرزشی/ماله کش/لودگی🚫)</t>
  </si>
  <si>
    <t>خواب فروش</t>
  </si>
  <si>
    <t>https://pbs.twimg.com/media/Dn_sv6jXkAE3-nT.jpg</t>
  </si>
  <si>
    <t>https://buff.ly/2QZysus</t>
  </si>
  <si>
    <t>“سخنرانی منطق محور #رئیس جمهور در #سازمان_ملل؛ روحانی : جهان دوستی بهتر از ایران نخواهد داشت”</t>
  </si>
  <si>
    <t>shargh</t>
  </si>
  <si>
    <t>رو به میهن پشت به دشمن</t>
  </si>
  <si>
    <t>Outer Heaven</t>
  </si>
  <si>
    <t>مارِسَمّی(جامد سابق)</t>
  </si>
  <si>
    <t>https://www.instagram.com/mojtaba_ahmadii_/</t>
  </si>
  <si>
    <t>‏‏‏نمیدانم، و میدانم که نمیدانم...</t>
  </si>
  <si>
    <t>البرز_هشتگرد</t>
  </si>
  <si>
    <t>مجتبی احمدی🏴</t>
  </si>
  <si>
    <t>rezafallah</t>
  </si>
  <si>
    <t>http://bit.ly/2AXdsjn</t>
  </si>
  <si>
    <t>#Music Producer, Songwriter &amp; Publisher. YT:http://www.youtube.com/user/kaysomusic itunes:http://apple.co/2iF7gkD😎#Follow my #HumanRights Page: @HumanRightsPath</t>
  </si>
  <si>
    <t>12 Studios used Worldwide</t>
  </si>
  <si>
    <t>So-Star</t>
  </si>
  <si>
    <t>https://pbs.twimg.com/media/Dn7DQEFWsAAVIGN.jpg</t>
  </si>
  <si>
    <t>RT @nazan_Taheri: حسن #روحانی درحاشیه ی اجلاس سازمان ملل ، دم از آزادی و مردانگی نلسون ماندلا و آپارتاید حکومت وقت افریقای جنوبی میزند!!! یا خدا میشه خودت ظهور کنی؟؟ #UNGA</t>
  </si>
  <si>
    <t>believing in changing mullahs'regime in Iran .Freedom and democracy for everyone .</t>
  </si>
  <si>
    <t>Parvin farazmand</t>
  </si>
  <si>
    <t>تا ظلم هست مبارزه هست و تا مبارزه هست شکست و پیروزی هم هست اما پیروزی سرانجام از آن خلق است</t>
  </si>
  <si>
    <t>ghasemhagizade</t>
  </si>
  <si>
    <t>‏اکثریت خاموش مباش....شمعی باش برای ایران :)</t>
  </si>
  <si>
    <t>be_alive</t>
  </si>
  <si>
    <t>‏‏‎هیچ وقت نمیفهمی چقدر قوی هستی مگر اینکه درشرایطی قرار بگیری که قوی بودن تنها انتخابت باشه</t>
  </si>
  <si>
    <t>RT @AliNikjoo4: از خرداد پارسال تا دیشب؛هفت ماهی که به اندازه یک عمر گذشت#روحانی به یکی از قول و قرارهایش با #مردم وفا نکرد.اما دیشب و آنچه در #سازمان_ملل گذشت،نشان داد نباید از #رای_به_روحانی پشیمان باشیم.امیدوارم همچنان که #آمریکا را به وفای به عهد فرا خواند،خود نیز بر عهد با مردم بازگردد</t>
  </si>
  <si>
    <t>Negarsayeh</t>
  </si>
  <si>
    <t>‏‏ارشد حقوق خصوصی</t>
  </si>
  <si>
    <t>alireza key I R</t>
  </si>
  <si>
    <t>‏‏‏دانشجو؛ جویای دانشی از جنس آسمان؛ بلکه آسمانی شویم....</t>
  </si>
  <si>
    <t>آقای سیاستمدار</t>
  </si>
  <si>
    <t>http://www.sobhemahallat.ir</t>
  </si>
  <si>
    <t>عکاس، خبرنگار و سردبیر</t>
  </si>
  <si>
    <t>محلات</t>
  </si>
  <si>
    <t>درسته که رهبری اعلام کرده اگر قرار بر مذاکره با آمریکا باشد با این دولت مذاکره نمیکنیم ولی این معنیش این نیست که #روحانی در سخنرانی خودش در سازمان ملل بخواد این طور نشون بده که #ترامپ بده بقیه خوبن</t>
  </si>
  <si>
    <t>علی یارمحمدی</t>
  </si>
  <si>
    <t>متین</t>
  </si>
  <si>
    <t>‏‎#اهل_درد طلبه هستم البته از نوع فیلمسازش، اونم با چاشنی انتقاد و آرمانخواهی، باشد که رستگار شویم. Cameraman, Editor, Graphist</t>
  </si>
  <si>
    <t>حسن میرزاحسن</t>
  </si>
  <si>
    <t>درحالیکه درایران #دلار به مرز۲۰هزار تومان نزدیک شده ودیگرکسی توان خریدمواداولیه زندگی راهم ندارند، دغدغه اصلی #روحاني دراجلاس سازمان ملل یمن وفلسطین است #IraniansWantRegimeChange بنظرشمااینهااشغالگرنیستند؟</t>
  </si>
  <si>
    <t>kaveh</t>
  </si>
  <si>
    <t>http://instagram.com/alizohrabi</t>
  </si>
  <si>
    <t>‏‏مشاور توسعه فردی ورشد کسب وکار روزنامه نویس اسبق،مدیرعامل رویان رسانه</t>
  </si>
  <si>
    <t>ای کاش #روحانی درک میکرد چقدر مقاومت برخواست مردم و انتقال سیگنالهای مثبت،میتواند امید مردم و توان سرمایه ای اجتماعی اش را برای بهبود اوضاع به تحرک وا دارد، سخنرانی سازمان ملل یک نمونه اش بود...اما متاسفانه یکسال با بی تدبیری، بازی در زمین حریف و فرصت سوزی گذشت #NoSanctionNoWar</t>
  </si>
  <si>
    <t>Ali Zohrabi</t>
  </si>
  <si>
    <t>Jalal Dadras</t>
  </si>
  <si>
    <t>سید مسعود موسوی والا</t>
  </si>
  <si>
    <t>‏‏‏‏‏‏‏‏‏‏‏‏‏‏‏‏‏‏‏‏‏‏‏‏‏‏‏‏‏‏‏‏‏‏‏‏راه ظهورت را بستم....قبول؛ امــا خدا رو چه دیدی شاید قرار است،حــــــُـــر تو باشم. #الَّلهُمَّ_عَجِّل_لِوَلیِکَ_الفَرَج</t>
  </si>
  <si>
    <t>🇮🇷جمهوری اسلامی ایران🇮🇷</t>
  </si>
  <si>
    <t>🏴🇮🇷  چشم به راه  🇵🇸🏴</t>
  </si>
  <si>
    <t>An #Iranian expat living in #paris, #entrepreneur #iran, #internationalaffairs, #Socialentrepreneurship, Executive MBA, MA Political Science, BA Engineering</t>
  </si>
  <si>
    <t>RT @RaheToseeh: برای آنکه بدانیم چگونه سخنان منطقی و حقوقی #روحاني لات بازی و زورگویی #ترامپ را بلااثر کرد، کافی است تمرکز حاضران در مجمع عمومی سازمان ملل را در هنگام سخنرانی روحانی، با خنده و استهزای سخنان ترامپ توسط آنان مقایسه کنیم. #WeStand4Iran</t>
  </si>
  <si>
    <t>حمزه Hamze Ghalebi</t>
  </si>
  <si>
    <t>RT @elhamyazdiha: خب من الان واقعا این حجم استقبال از حرف های روحانی رو متوجه نمیشم! مگه قبلا روحانی بد حرف می زد؟ مگه حرف جدیدی غیر از اعلام صریح حضور ایران در سوریه و یمن گفته شد؟ حرف هایی شبیه سخنرانی های همیشگی بود با شعار همیشگی عدالت و صلح... بدون راه حلی مشخص! #روحانی #سازمان_ملل</t>
  </si>
  <si>
    <t>Ned_Ned</t>
  </si>
  <si>
    <t>http://aryanavision.com</t>
  </si>
  <si>
    <t>امروز رو دریاب، فردا مردنی است....</t>
  </si>
  <si>
    <t>خیلی خوبه که امیدواری و امنیت و اطمینان از رفتن #روحانی به #سازمان_ملل و صحبت هاش تو بازار و اقتصاد اینقدر زیاده!! #یورو از 15 هزار تومن رسید به 20 هزار تومن. ما سر خم نکردیم... :-)))))</t>
  </si>
  <si>
    <t>Reza Babaei Hemmaty</t>
  </si>
  <si>
    <t>http://t.me/mostafa_sharif</t>
  </si>
  <si>
    <t>‏‏‏‏دغدغه هایی از جنس اقتصاد، فرهنگ و سیاست/ فرزند مشهد الرضا(ع)</t>
  </si>
  <si>
    <t>#روحاني در مجمع عمومی سازمان ملل، برای #جمهوري_اسلامي خوب صحبت کرد اما برای #انقلاب_اسلامی نه #جنگ_نمیشود_مذاکره_نمیکنیم #روحانی_در_سازمان_ملل #سازمان_ملل</t>
  </si>
  <si>
    <t>مصــطفے شــریف</t>
  </si>
  <si>
    <t>RT @majidborjlo: درحالیکه درایران #دلار به مرز۲۰هزار تومان نزدیک شده ودیگرکسی توان خریدمواداولیه زندگی راهم ندارند، دغدغه اصلی #روحاني دراجلاس سازمان ملل یمن وفلسطین است #IraniansWantRegimeChange بنظرشمااینهااشغالگرنیستند؟</t>
  </si>
  <si>
    <t>SO_HA_FREE</t>
  </si>
  <si>
    <t>ali.b</t>
  </si>
  <si>
    <t>‏🇮🇷اگر در مقابل دینمان بایستند، در مقابل دنیایشان خواهیم ایستاد🇮🇷</t>
  </si>
  <si>
    <t>RT @m____ghadimi: احمدی نژاد وقتی شروع به سخن می کرد بخشی از سالن خالی میشد و بقیه محکم می نشستند و گوش میدادن و دست می زدن. روحانی وقتی حرف میزنه نصف سالن خالیه بقیه هم انگار پول می گیرند که گوش بدن. #سازمان_ملل</t>
  </si>
  <si>
    <t>شایان حیدری</t>
  </si>
  <si>
    <t>اصلا توقع همچین سخنرانی خوبی رو از #روحانی نداشتم، وسط تمام گندهای #دولت شاید چند ثانیه تونستم به تصمیمم واسه #رای دادن بهش افتخار کنم همین #سازمان_ملل‌_متحد</t>
  </si>
  <si>
    <t>میل گرد</t>
  </si>
  <si>
    <t>https://t.me/ALIJAZAYERI82</t>
  </si>
  <si>
    <t>عكاس - روزنامه‌نگار/ Photographer - Journalist</t>
  </si>
  <si>
    <t>🇮🇷 علی جزایری 🇮🇷</t>
  </si>
  <si>
    <t>فرزند انقلاب...</t>
  </si>
  <si>
    <t>Kermanshah</t>
  </si>
  <si>
    <t>Zara_bano</t>
  </si>
  <si>
    <t>عمو زنجیر باف</t>
  </si>
  <si>
    <t>javadak</t>
  </si>
  <si>
    <t>http://Instagram.com/aliaalei</t>
  </si>
  <si>
    <t>#روزنامه‌نگار / ناسزا شنيدن كسب و كار روزانه ماست/مسئوليتی به‌خاطر نظرات ديگران زير توئيت‌هايم ندارم</t>
  </si>
  <si>
    <t>علی عالی🇮🇷</t>
  </si>
  <si>
    <t>‏اللهم عجل لوليك الفرج والعافية والنصر وجعلنا من خير اعوانه وانصاره والمستشهدين بين يديه آزادیخواه، عدالتخواه، انقلابی</t>
  </si>
  <si>
    <t>منتظر بهار</t>
  </si>
  <si>
    <t>https://www.instagram.com/saeedardeshiri60/</t>
  </si>
  <si>
    <t>‏‏‏عضو حزب اتحاد ملت، دانشجوی ستاره دار</t>
  </si>
  <si>
    <t>سعید اردشیری</t>
  </si>
  <si>
    <t>http://www.jaaar.com</t>
  </si>
  <si>
    <t>کیوسک دیجیتالی مطبوعات</t>
  </si>
  <si>
    <t>https://pbs.twimg.com/media/Dn_ydAUXkAA-JaL.jpg</t>
  </si>
  <si>
    <t>https://www.jaaar.com/archive/iran</t>
  </si>
  <si>
    <t>پیام روحانی از سازمان ملل: من گفت‌و‌گو را از همین‌جا آغاز می‌کنم روزنامه «ایران» را در کیوسک جار، رایگان بخوانید.  #تیتربرتر #جار #کیوسک_جار #روزنامه #مجله #روحانی #سازمان_ملل #ترامپ</t>
  </si>
  <si>
    <t>Jaaar | جار</t>
  </si>
  <si>
    <t>Afsaneh Jahanshahi</t>
  </si>
  <si>
    <t>‏‏‏*‏دانش آموخته کامپیوتر و مدیریت* *فعال فضای مجازی جبهه فرهنگی انقلاب* *مدرس دانشگاه*</t>
  </si>
  <si>
    <t>ع معتضدیان</t>
  </si>
  <si>
    <t>فتحعلی غفاری</t>
  </si>
  <si>
    <t>https://pbs.twimg.com/media/Dn_yt1UX0AEQkWS.jpg</t>
  </si>
  <si>
    <t>مقایسه تعداد حاضرین در جلسه سازمان ملل هنگام سخنرانی #ترامپ و #روحانی #IranRegimeCahnge #سرنگونی</t>
  </si>
  <si>
    <t>نوبهار ۲</t>
  </si>
  <si>
    <t>haleh azami</t>
  </si>
  <si>
    <t>کارشناس ارشد روابط بین الملل از دانشگاه خوارزمی تهران</t>
  </si>
  <si>
    <t>🇮🇷 omidmanafi</t>
  </si>
  <si>
    <t>Kboutar</t>
  </si>
  <si>
    <t>‏‏‏‏‏‏‏‏‏‏‏‏‏‏‏‏‏‏‏‏‏‏‏‏‏‏‏‏‏‏‏دود این شهر مرا از نفس انداخته است/ به هوای حرم كرببلا محتاجم/ مسئولیت کامنت ها و...با منتشر کننده آنهاست/خبرنگار آزاد/پژوهشگر</t>
  </si>
  <si>
    <t>صحبت های شب گذشته #روحانی در سازمان ملل نشان داد هنوز ایشان و اطرافیان بعضا غربگرایشان به آمریکای خوب(دموکرات ها‌ و کدخدا) و آمریکای بد(جمهوری خواهان و ترامپیست ها) عمیقا معتقدند! پ ن: امام خمینی(ره):آنهایی که خواب امریکا را می‌بینند خدا بیدارشان کند. ج19 ص230</t>
  </si>
  <si>
    <t>هوش سفید(سلام بر حسین ع)</t>
  </si>
  <si>
    <t>کرگدن تنهایی که از روزمرگیش میگه...</t>
  </si>
  <si>
    <t>کرگدن</t>
  </si>
  <si>
    <t>Mona.saberi</t>
  </si>
  <si>
    <t>Bio ‌ ‌ ‌ ‌ ‌ ‌ ‌ ‌ ‌ ‌ ‌ ‌ ‌ ‌ ‌ ‌ ‌ ‌ ‌ ‌ ‌ ‌ ‌ ‌ ‌ ‌ ‌ ‌ ‌ ‌ ‌ ‌ ‌ ‌ ‌ ‌ ‌ ‌ ‌ ‌ ‌ 🙂</t>
  </si>
  <si>
    <t>Location</t>
  </si>
  <si>
    <t>Name🧐👪🔑</t>
  </si>
  <si>
    <t>گویند که دوزخی بود عاشق و مست قولی است خلاف دل در آن نتوان بست گر عاشق و مست دوزخی خواهد بود فردا باشد بهشت همچون کف دست</t>
  </si>
  <si>
    <t>Khayam</t>
  </si>
  <si>
    <t>‏‏‏‏‏‎‎‎‎#آتئیست ام و طرفدار ‎‎‎‎#پهلوی و عاشق زبان و ادبیات فارسی.</t>
  </si>
  <si>
    <t>RT @Eshaghi_: آمریکا از سالیان دور برای این روزها برنامه ریزی کرده. “به قدرت رسیدن #ترامپ و تضعیف جمهوری اسلامی تا سرنگونی کامل.” #روحانی از نشست شورای امنیت سازمان ملل با دست خالی به ایران برمیگرده، چراکه عمر رژیم به پایان رسیده.</t>
  </si>
  <si>
    <t>➰🌞جزیره مجنون🦁➰</t>
  </si>
  <si>
    <t>http://Instagram.com/litmuschannel</t>
  </si>
  <si>
    <t>RT @mostafa_sharif_: #روحاني در مجمع عمومی سازمان ملل، برای #جمهوري_اسلامي خوب صحبت کرد اما برای #انقلاب_اسلامی نه #جنگ_نمیشود_مذاکره_نمیکنیم #روحانی_در_سازمان_ملل #سازمان_ملل</t>
  </si>
  <si>
    <t>Mahdi limit</t>
  </si>
  <si>
    <t>‏از دغدغه هایم برای صلح و محیط زیست می نویسم و به جوانه های سبز جامعه امیدوارم</t>
  </si>
  <si>
    <t>صلح بان</t>
  </si>
  <si>
    <t>‏حس نومیدی از اینجا نشات می‌گیرد که آدم نمی‌داند چرا می‌جنگد و حتی نمی‌داند اصلا باید بجنگد یا نه. آلبر کامو</t>
  </si>
  <si>
    <t>چقدر وقاحت میخواهد در سازمان ملل از تکفیر سخن گفت #روحانی</t>
  </si>
  <si>
    <t>afrand</t>
  </si>
  <si>
    <t>‏‏عشق فیلم، خوره سابق کتاب، معتاد فعلی فضای مجازی، علاقمند به سیاست- تاریخ- ادبیات, خاصه رمان مقهور موسیقی- وابسته میتولوژی-هنر و تکنولوژی-ورزش .هیچکاره کنجکاو</t>
  </si>
  <si>
    <t xml:space="preserve">درک </t>
  </si>
  <si>
    <t>Samiboaliii</t>
  </si>
  <si>
    <t>ماییم و نوای بی نوایی🎼بسم الله اگر حریف مایی🎼حضرت مولانا🇮🇷حق طلبم</t>
  </si>
  <si>
    <t>سخنرانی #ترامپ و #روحانی را در مجمع عمومی #سازمان_ملل‌_متحد شنیدیم هر دو آنهاحقیقت را میگفتند،اما طبق معمول،آنهافقط بخشی از حقیقت را که با منافعشان همخوانی دارد،گفتند مشکل بشریت همان چشمپوشی و پنهان کردن آن بخش از حقیقت است که به نفعمان نیست در سایه این منفعت طلبی،جنگهاشکل میگیرد</t>
  </si>
  <si>
    <t>Met🌍</t>
  </si>
  <si>
    <t>RT @iwebnevis: صحبت های شب گذشته #روحانی در سازمان ملل نشان داد هنوز ایشان و اطرافیان بعضا غربگرایشان به آمریکای خوب(دموکرات ها‌ و کدخدا) و آمریکای بد(جمهوری خواهان و ترامپیست ها) عمیقا معتقدند! پ ن: امام خمینی(ره):آنهایی که خواب امریکا را می‌بینند خدا بیدارشان کند. ج19 ص230</t>
  </si>
  <si>
    <t>“Do not wait for a coronation; the greatest emperors crown themselves.” - Robert Greene</t>
  </si>
  <si>
    <t>XLNC Tweets</t>
  </si>
  <si>
    <t>javid bkfshe</t>
  </si>
  <si>
    <t>‏اے ڪاش از ما نپرسنــد بعد از شہـــیدان چہ ڪردیـــد آخر چہ داریـــم بگوئیـــم جز انبوهے از نقطہ چین ها....</t>
  </si>
  <si>
    <t>ســـارا 73</t>
  </si>
  <si>
    <t>سپیده دم نزدیک است</t>
  </si>
  <si>
    <t>در حالیکه در #ایران #دلار به مرز ۲۰ تومان نزدیک شده و دیگر کسی توان خرید مواد اولیه زندگی را نداره، دغدغه روحانی در اجلاس سازمان ملل #یمن و #فلسطین است!!!! #خاک_برسرت_روحانی!!! #اعتراضات_سراسری #تورم #تحريم #مرگ_بر_جمهوری_اسلامی #مرگ_بر_خامنه_ای #مرگ_بر_روحاني</t>
  </si>
  <si>
    <t>Adb.mohsen</t>
  </si>
  <si>
    <t>🇮🇷🕊Yaser MASOUMI</t>
  </si>
  <si>
    <t>http://jalilyonline.ir</t>
  </si>
  <si>
    <t>‏‏‏با همگان ‎‎‎#مدارا</t>
  </si>
  <si>
    <t>DigitalMarketer</t>
  </si>
  <si>
    <t>somaieh jalily ⁦⁦🇮🇷⁩</t>
  </si>
  <si>
    <t>‏‏‏‏‏‏‏‏‏بانوی مسلمان ایرانی، ‏دانشجوی ‏دکتری نانوالکترونیک. ما زنده به آنیم که آرام نگیریم. موجیم که آسودگی ما عدم ماست</t>
  </si>
  <si>
    <t>Faegheh. Bbhb</t>
  </si>
  <si>
    <t>https://shahrvand-yar.com</t>
  </si>
  <si>
    <t>‏‏‏‏‏‏‏‏‏‏می‌کوشیم صدای جامعه مدنی باشیم وبا اطلاع رسانی متفاوت از دموکراسی خواهان حمایت کنیم تلگرام؛http://telegram.me/shahrvandyar‎‎فیسبوک؛ http://facebook.com/shahrvandyar</t>
  </si>
  <si>
    <t>Dijon, France</t>
  </si>
  <si>
    <t>https://pbs.twimg.com/media/Dn_2AW1XgAEcwXW.jpg</t>
  </si>
  <si>
    <t>مقایسه تعداد حاضرین در جلسه #سازمان_ملل موقع سخنرانی #ترامپ و #روحانی!</t>
  </si>
  <si>
    <t>شهروندیار</t>
  </si>
  <si>
    <t>حامی دولت تدبیر و امید 🇮🇷🇮🇷🇮🇷 حامی فرهنگ و هنر ایران🇮🇷🇮🇷🇮🇷 تئاتر ، سینما ، موسیقی</t>
  </si>
  <si>
    <t>محمد زمانی</t>
  </si>
  <si>
    <t>فدائی رهبرم</t>
  </si>
  <si>
    <t>فدائی</t>
  </si>
  <si>
    <t>ريتوييت كنندگانيم باشد كه رستگار شويم</t>
  </si>
  <si>
    <t>zahra</t>
  </si>
  <si>
    <t>‏‏‏‏‏‏‏‏‏‏‏‏‏‏‏‏‏‏‏‏‏‏‏‏‏‏‏‏‏‏‏‏‏‏‏‏‏‏‏‏‏‏‏‏‏‏‏‏‏‏‏‏‏‏‏‏‏‏‏‏‏‏‏‏‏‏‏‏‏‏‏‏‏‏‏‏‏‏‏‏‏‏‏‏‏‏‏‏‏‏‏‏‏‏‏‏‏‏‏فراری‌ازبهشت|ناباوربه‌سرنوشت|حیوان‌متفکر|ربات‌خودزنده‌پندار</t>
  </si>
  <si>
    <t>32.4279° N, 53.6880° E</t>
  </si>
  <si>
    <t>Little PrAncess</t>
  </si>
  <si>
    <t>‏‏یه آدم معمولی جنث مذکر</t>
  </si>
  <si>
    <t>کویر</t>
  </si>
  <si>
    <t>‏‏‏سرباز انقلابی در فضای مجازی. راه قدس از کربلا میگذرد. لبیک یا خامنه ای لبیک یا حسین است.التماس دعای شهادت</t>
  </si>
  <si>
    <t>ابراهیم کوهساریان. لبیک‌یا خامنه ای</t>
  </si>
  <si>
    <t>‏‏شاید روزی یک ‎#انقلابی بشم . دعا کنید ... سر بر دامن اقا شهید بشم.</t>
  </si>
  <si>
    <t>م.ا.حداد</t>
  </si>
  <si>
    <t>‏‏‏‏‏‏‏‏‏‏‏‏‏‏‏‏‏🔸‏هر سکه میشه قلب باشه ، اما هرچی قلب شد دل نمیشه 🔸گفتارها زنده اند. فالو بک را احترام متقابل میدانم</t>
  </si>
  <si>
    <t>همین نزدیکیا</t>
  </si>
  <si>
    <t>#سخنرانی_روحانی و #ترامپ در #سازمان_ملل انجام شد. نتیجه : زندگی #مردم_ایران وجهالمصالحه بازی قدرت .</t>
  </si>
  <si>
    <t>AR.SALARY</t>
  </si>
  <si>
    <t>‏‏‏‏‏‏‏بنده ی عشقم و مجنون حسین بن علی</t>
  </si>
  <si>
    <t>رشت،سنگر</t>
  </si>
  <si>
    <t>shaghayegh salehpoor</t>
  </si>
  <si>
    <t>هیچ کس کاش نباشد نگهش بر راهی،،چشم بر در بود و دلبر او دیر کند</t>
  </si>
  <si>
    <t>M.H.D.S</t>
  </si>
  <si>
    <t>https://pbs.twimg.com/media/Dn_2bDOXkAAt3eh.jpg</t>
  </si>
  <si>
    <t>‌روحانی: جهان دوستی بهتر از ایران نخواهد داشت، از تحریم ها دست بردارید سخنان رییس جمهور ایران در #مجمع_عمومی #سازمان_ملل</t>
  </si>
  <si>
    <t>mohamad</t>
  </si>
  <si>
    <t>Nothing</t>
  </si>
  <si>
    <t>بچه های اعماق</t>
  </si>
  <si>
    <t>RT @Mozaffar_Mirza: #روحانی از رویکرد صلح‌طلبانهٔ جمهوری اسلامی سخن گفت. ظاهرا ایشان صحن جلسهٔ #سازمان_ملل‌_متحد را با صحنهٔ اجرای استندآپ‌کمدی اشتباه گرفته. دوران لودگی و مسخرگی و شکلک درآوردن برای مردم ایران و دنیا دارد سپری می‌شود مَش‌حسن! #حسن_روحانى #دلار</t>
  </si>
  <si>
    <t>RT @Reza_nourolahi: ازخوبی ونجابت مردم بزرگ ایران , هرچه بگوییم کم گفته ایم. مردم درشرایط اقتصادی بدی به سرمیبرند وفکرنمیکنم #روحانی راببخشند. ولی پای منافع ملی به میان میاید بااینکه ازاوناراحتند برای توفیقش در #سازمان_ملل دعایش میکنند. روحانی بعدازبازگشت انقدر #نجابت داردفکری برای مردم بکند!!!!!!؟</t>
  </si>
  <si>
    <t>Saeid A</t>
  </si>
  <si>
    <t>RT @41PVNgkzZnC1bM4: ایران خواهان #صلح با جهان است اما به #سفارت آمریکا حمله میکند و چهل سال از دشمنی با آن دَم میزند، خواستار محو شدن اسرائیل از نقشه زمین است، به خون کشور های خرپولِ منطقه تشنه است و در داخل، #غیر_خودی ها را به #گا داده... #روحاني #سازمان_ملل‌_متحد #سازمان_ملل</t>
  </si>
  <si>
    <t>هستي Hasti</t>
  </si>
  <si>
    <t>مجاهد و عرزشي ممنوع/بيزار از اجبار و حامي منطق، استقلال 💙💙💙💙</t>
  </si>
  <si>
    <t>حوالي همينجا كنار شمااااا</t>
  </si>
  <si>
    <t>somiii</t>
  </si>
  <si>
    <t>تغيير يه آرزو نيست، هدفه ... براندازم</t>
  </si>
  <si>
    <t xml:space="preserve">❤️ويران </t>
  </si>
  <si>
    <t>RT @shahrvandyar: مقایسه تعداد حاضرین در جلسه #سازمان_ملل موقع سخنرانی #ترامپ و #روحانی!</t>
  </si>
  <si>
    <t>lord</t>
  </si>
  <si>
    <t>طلبه</t>
  </si>
  <si>
    <t>Kobra Nazarzadeh</t>
  </si>
  <si>
    <t>شهروندی علاقه‌مند به سیاست، فرهنگ و رسانه</t>
  </si>
  <si>
    <t>نوید لطیفی</t>
  </si>
  <si>
    <t>mass communication phd</t>
  </si>
  <si>
    <t>mahdi.minaei</t>
  </si>
  <si>
    <t>farkhan</t>
  </si>
  <si>
    <t>https://pbs.twimg.com/media/Dn_952iXgAAv4hs.jpg</t>
  </si>
  <si>
    <t>اعتراض نمادین شماری از ایرانیان مقیم #نیویورک به حضور #روحانی در سازمان ملل و یادی از زندانیان دربند رژیم که بلاتکلیف و ناعادلانه در انتظار محاکمه مانده اند.</t>
  </si>
  <si>
    <t>‏‏‏‏‏اینجا رادیو تلوزیون ملی قزوین😄😄😄، اینجا همه چی ارومه اونجا چی؟؟ فالو=== فالو بک</t>
  </si>
  <si>
    <t>qazvin</t>
  </si>
  <si>
    <t>QazvinTV</t>
  </si>
  <si>
    <t>RT @MeysamMoteei: #نظرسنجی: آیا با به توپ بستن #مجلس موافق هستید ؟(برای بالا رفتن امار بازتوییت کنید) #اهواز #تروریست #سازمان_ملل #FATF #پالرمو #روحانی #سپاه #همه_با_هم #دلار #دلار۱۷۰۰۰تومانی #تحریم #محرم #امام_خامنه_ای #احمدي_نژاد #برجام #ایران #رب_گوجه #وزیربهداشت</t>
  </si>
  <si>
    <t>همه از سخنان #ترامپ و #روحاني در #سازمان_ملل حرف می زنند اما باید گفت هیجان #داربی با گزارش #عادل_فردوسی_پور دوچندان می شود؛نمی شود؟!</t>
  </si>
  <si>
    <t>مهدی بذرافکن</t>
  </si>
  <si>
    <t>#روحانی برای دومین بار در نبرد روسای جمهور ایران و امریکا در مجمع عمومی سازمان ملل بر #ترامپ غلبه کرد اما از #دلار شکست خورد. پیروزی سیاسی غرورآفرین است اما سقوط #ریال زندگی را بر مردم و به‌ویژه بر قشرهای محروم و کم‌درآمد سخت‌تر می‌کند. روحانی اقتصاد کشور را دریابد.</t>
  </si>
  <si>
    <t>مصطفی تاجزاده</t>
  </si>
  <si>
    <t>http://www.kevinSpacey.com</t>
  </si>
  <si>
    <t>‏‏دشمن جهل،دوستدار حق،همراه عقل،با سینما. اسم حقیقی:هاشمی علیرضا.</t>
  </si>
  <si>
    <t>بعد 3 سال برگشته</t>
  </si>
  <si>
    <t>RT @mostafatajzade: #روحانی برای دومین بار در نبرد روسای جمهور ایران و امریکا در مجمع عمومی سازمان ملل بر #ترامپ غلبه کرد اما از #دلار شکست خورد. پیروزی سیاسی غرورآفرین است اما سقوط #ریال زندگی را بر مردم و به‌ویژه بر قشرهای محروم و کم‌درآمد سخت‌تر می‌کند. روحانی اقتصاد کشور را دریابد.</t>
  </si>
  <si>
    <t>فرانک جی آندروود</t>
  </si>
  <si>
    <t>https://t.me/biosarchive</t>
  </si>
  <si>
    <t>persian gulf</t>
  </si>
  <si>
    <t>https://pbs.twimg.com/media/Dn__WTZXkAAkrsD.jpg</t>
  </si>
  <si>
    <t>#روحانی سازمان ملل همان #روحانی مجلس بود با این تفاوت که در سازمان ملل تریبون دادند و دعوت به #گفتن کردند اما در مجلس تریبون دادند و دستور به #سکوت دادند!!! #NoSanctionNoWar</t>
  </si>
  <si>
    <t>M.javan</t>
  </si>
  <si>
    <t>esfahan</t>
  </si>
  <si>
    <t>saeidshahabadi</t>
  </si>
  <si>
    <t>‏‏‏‏/زخمی۸۸/عاشق وطن/دنبال حقیقت و بحث منطقی/ ‏‏دنیای سیاست و اقتصاد ثابت نیست حرکت نکردن و یاد نگرفتن یعنی حذف شدن/ دکمه فالو گازت نمی گیره رفیق</t>
  </si>
  <si>
    <t>کوچه اختر</t>
  </si>
  <si>
    <t>🇮🇷 تحلیل گر بانک گرینگاتز(شعبه سیار وایزنگاموت)</t>
  </si>
  <si>
    <t>کارشناسی ارشد روزنامه نگاری .‏‏‏عاشق اخلاق ، انسانیت ، زندگی و علاقه مند به ادبیات .</t>
  </si>
  <si>
    <t>محمدرضا اسماعیل نیا</t>
  </si>
  <si>
    <t>‏‏‏نظرسنجی‌های فارسی، لینک نظرسنجی‌هاتون رو بفرستید. ریتوییت فراموش نشه لطفاً...</t>
  </si>
  <si>
    <t>نظرسنجی</t>
  </si>
  <si>
    <t>http://Garargah.blog.ir</t>
  </si>
  <si>
    <t>‏‏کلمات تیز و رسا لبه دیگر شمشیر ذوالفقار علی است...برای رضای مولایمان کلمه‌نویسی پیشه کرده‌ایم.</t>
  </si>
  <si>
    <t>Rey, Tehran</t>
  </si>
  <si>
    <t>#strongestiran #WeStand4Iran #UNGA عدم داشتن چهارچوب تحلیلی برخاسته از اسلام سیاسی باعث می‌شود جماعت حزب‌الله با یک غوره دچار سردی بشوند و با یک مویز دچار گرمی... امروز #روحانی به خاطر نطق دوپهلو در سازمان ملل انقلابی است و دو روز بعد احتمالاً غرب‌زده...</t>
  </si>
  <si>
    <t>علی یاسمی⁦🇮🇷⁩</t>
  </si>
  <si>
    <t>‏‏‏‏‏‏🇮🇷‏انقلابی ام و سرباز سید علی🇮🇷 💚 عاشق ارباب بی کفنم💚 🌹کنیز بی بی 🌹 ❤ پرسپولیسی❤</t>
  </si>
  <si>
    <t>🏴🇮🇷f.mahmodzade🇮🇷🇱🇧🇮🇶🇵🇸🏴</t>
  </si>
  <si>
    <t>mohammadreza hemmati</t>
  </si>
  <si>
    <t>‏‏کارشناسی حسابداری- پیرو خط رهبری -آبدانان</t>
  </si>
  <si>
    <t>Esteghlal</t>
  </si>
  <si>
    <t>pharmacist💊</t>
  </si>
  <si>
    <t>faeze km</t>
  </si>
  <si>
    <t>It's one of the great tragedies of life. Something always changes...</t>
  </si>
  <si>
    <t>The Earth</t>
  </si>
  <si>
    <t>Hosein</t>
  </si>
  <si>
    <t>خسته از هرچی که بود خسته از هرچی که هست ‏(به خدا پسرم)</t>
  </si>
  <si>
    <t>Tebriz</t>
  </si>
  <si>
    <t>TT7(‎‏(ریزا</t>
  </si>
  <si>
    <t>وطن پرنده پر در خون ، وطن شکفته گل در خون ، وطن فلات شهید و‌ شب ، وطن پا تا به سر خون</t>
  </si>
  <si>
    <t>جهنمی به نام ایران</t>
  </si>
  <si>
    <t>Poker Face 👑💎</t>
  </si>
  <si>
    <t>RT @shahrvandyar: اعتراض نمادین شماری از ایرانیان مقیم #نیویورک به حضور #روحانی در سازمان ملل و یادی از زندانیان دربند رژیم که بلاتکلیف و ناعادلانه در انتظار محاکمه مانده اند.</t>
  </si>
  <si>
    <t>ناناخسته</t>
  </si>
  <si>
    <t>Qom
 Iran</t>
  </si>
  <si>
    <t>Ahmad Ghomi</t>
  </si>
  <si>
    <t>زندگینامه:الحق که کل زندگی یک نامه است</t>
  </si>
  <si>
    <t>RT @mapapinejad: چی داره میگه این ..... دعوت میکنه یا التماس می کنه ... خفت تا کیییییی #روحانی #سازمان_ملل</t>
  </si>
  <si>
    <t>حمید  رضا خیری</t>
  </si>
  <si>
    <t>Gisso</t>
  </si>
  <si>
    <t>‏‏‏‏ورود مجاهدین🚫عرزشی🚫 براندازم... حامی رضاپهلوي</t>
  </si>
  <si>
    <t>Little Italy, Manhattan</t>
  </si>
  <si>
    <t>➰mina</t>
  </si>
  <si>
    <t>http://www.instagram.com/denabarmas</t>
  </si>
  <si>
    <t>‏‏‏‏‏عکاس و مدرس عکاسی - فعال فرهنگی در کلگری - خبرنگار و تحلیلگر‌ خبر سابق در حوزه جمهوری آذربایجان</t>
  </si>
  <si>
    <t>Calgary, Alberta</t>
  </si>
  <si>
    <t>دنا</t>
  </si>
  <si>
    <t>ایران.تاج کبیر</t>
  </si>
  <si>
    <t>داریوش</t>
  </si>
  <si>
    <t>ehsan ghazizadeh</t>
  </si>
  <si>
    <t>Ali-Reza F</t>
  </si>
  <si>
    <t>هر کس به تمنای کسیست قدر نیازش</t>
  </si>
  <si>
    <t>⁦🇮🇷⁩⁦🇮🇷⁩سجاد ⁦🇮🇷⁩⁦🇮🇷⁩</t>
  </si>
  <si>
    <t>‏‏‏‏‏‏‏‏‏‏ آگاهی نیاز امروز جامعه در خواب فرو رفته است.آیا ‎‎‎‎‎‎‎‎‎#خواب_خرگوشی بس نیست؟ ⛔ عرزشی ⛔</t>
  </si>
  <si>
    <t>Hagh gostar 🏳️</t>
  </si>
  <si>
    <t>Are you fucking kidding me?</t>
  </si>
  <si>
    <t>Havang Ⓐ🏴</t>
  </si>
  <si>
    <t>دوباره ميسازمت وطن</t>
  </si>
  <si>
    <t>sam-sam</t>
  </si>
  <si>
    <t>براندازم تا زمانیکه ایران کشوری آزاد و جمهوری ایرانی داشته باشد ⛔️مجاهد ⛔️عرزشی فالو نمیکنم</t>
  </si>
  <si>
    <t>RT @pedarzhepet: یه انسان پیدا نمیشه موقع سخنرانی #روحانی توی سازمان ملل عکس الان #آرش_صادقی بچه های کار، ستاربهشتی کشته شده های قیام دی ماه که اکثرا جوانان زیر ۲۰سال بودن ،اعدام شدگان ،شلاق خوردن ها درملا عام و... بکن توی حلق حسن کلید ساز بگه واقعا با چه رویی اومدی اینجا کثافت #SaveArash</t>
  </si>
  <si>
    <t>🏳️الی خانوم</t>
  </si>
  <si>
    <t>ქართველი ვარ</t>
  </si>
  <si>
    <t>ანდრია  ონიკაშვილი</t>
  </si>
  <si>
    <t>‏‏‏‏‏‏‏‏‏‏‏‏‏من اگر بنشینم تو اگر بنشینی چه کسی بر خیزد؟ مجاهد❌ عرزشی ❌</t>
  </si>
  <si>
    <t>بیگانه</t>
  </si>
  <si>
    <t>‏‏‏‏عرفان حلقه بینش و نگاه منه 🚫مجاهدين 🚫</t>
  </si>
  <si>
    <t>من طاهرى</t>
  </si>
  <si>
    <t>http://iran-newspaper.com/</t>
  </si>
  <si>
    <t>‏‏‏خبرنگار</t>
  </si>
  <si>
    <t>یگانه خدامی</t>
  </si>
  <si>
    <t>‏خداوندا به ارواح بزرگان .که میرم‌را رها سازی زگرگان .بلندش دار در دانش چو یوسف.عزیز مصر گردانش چو یوسف</t>
  </si>
  <si>
    <t>Mehdi Sardiny</t>
  </si>
  <si>
    <t>RT @mahmoodjavan: #روحانی سازمان ملل همان #روحانی مجلس بود با این تفاوت که در سازمان ملل تریبون دادند و دعوت به #گفتن کردند اما در مجلس تریبون دادند و دستور به #سکوت دادند!!! #NoSanctionNoWar</t>
  </si>
  <si>
    <t>ریتوییتر</t>
  </si>
  <si>
    <t>گر حکم کنند که مست گیرند مسئولین رو باهم گیرند</t>
  </si>
  <si>
    <t>#مردم_بدانید صحبت‌های #روحانی در #سازمان_ملل بسیار خوب، دقیق، دیپلماتیک و انقلابی و سانسور صحبت‌های #ترامپ در @VOAIran نشانه‌ای از دست برتر ایران در دنیا بود. #روحانی_در_سازمان_ملل #جنگ_نمیشود_مذاکره_نمیکنیم #WeStand4Iran</t>
  </si>
  <si>
    <t>مقداد العلما</t>
  </si>
  <si>
    <t>‏‏مهربونم ؛ مهربون باشید | بی ادب نیستم ؛ فحش نده تا بتونم باهات حرف بزنم | هدفم کمک به بقیه اس ؛ کمکم کن</t>
  </si>
  <si>
    <t>غلط گفتم،که چیزی توی کاسه ام نیست ... چی کم دارم ؟ تورو دارم ! حواسم نیست ... حسین جانم ... از این دنیا یه قطعه کربلا دارم!</t>
  </si>
  <si>
    <t>حيــــريــــا (خادم الحسین)🏴</t>
  </si>
  <si>
    <t>gilan/iran</t>
  </si>
  <si>
    <t>gilejan</t>
  </si>
  <si>
    <t>من هوادار سازمان پرافتخار مجاهدین خلق ایران و طرفدار آزادی بیان وعقیده وحقوق بشر هستم بویژه جنبش دادخواهی قتل عام67</t>
  </si>
  <si>
    <t>A_T_T</t>
  </si>
  <si>
    <t>عباس همتی</t>
  </si>
  <si>
    <t>RT @ZohrabiAli: ای کاش #روحانی درک میکرد چقدر مقاومت برخواست مردم و انتقال سیگنالهای مثبت،میتواند امید مردم و توان سرمایه ای اجتماعی اش را برای بهبود اوضاع به تحرک وا دارد، سخنرانی سازمان ملل یک نمونه اش بود...اما متاسفانه یکسال با بی تدبیری، بازی در زمین حریف و فرصت سوزی گذشت #NoSanctionNoWar</t>
  </si>
  <si>
    <t>https://sapp.ir/afsarejavanejangenarm1</t>
  </si>
  <si>
    <t>🌍 🇮🇷IRAN-SHIRAZ ⚡Electrical Student،BahonarTechnical University 📲 Active Cyber space and Media 📷Photographer 🎥Cameraman and Reporter</t>
  </si>
  <si>
    <t>حمیدرضا ثابت نسب 🇮🇷</t>
  </si>
  <si>
    <t>Victory is Ours, is Ours Tomorrow</t>
  </si>
  <si>
    <t>aftabkaran</t>
  </si>
  <si>
    <t>‏‎#آتئیست_ بزرگترین مصیبت برای یک انسان این است که نه سواد کافی برای حرف زدن دارد و نه شعور لازم برای خاموش ماندن… درحال فرار از فردوس برین… هیچی!</t>
  </si>
  <si>
    <t>ناکجا آباد</t>
  </si>
  <si>
    <t>http://FB.com/Freedom.Messenger</t>
  </si>
  <si>
    <t>Independent Iranian news agency dedicated towards bringing the latest news on Iran. Our website: http://www.freedomessenger.com</t>
  </si>
  <si>
    <t xml:space="preserve">Iran </t>
  </si>
  <si>
    <t>pic.twitter.com/R1vUNfAnWp</t>
  </si>
  <si>
    <t>🔴 شامگاه 4 مهرماه: هم‌اکنون موج گسترده #بازداشت فعالان مذهبى و مدنى در #اهواز و حومه این شهر پس از سخنرانی حسن #روحانی در #سازمان_ملل #ایران #IranRegimeChange</t>
  </si>
  <si>
    <t>Freedom Messenger</t>
  </si>
  <si>
    <t>یک ایرانی علاقه مند به شعر و فلسفه</t>
  </si>
  <si>
    <t>جمهوری اسلامی ایران, اصفهان</t>
  </si>
  <si>
    <t>Masoud Fatemi</t>
  </si>
  <si>
    <t>http://t.me/montazeran_zuhhur</t>
  </si>
  <si>
    <t>‏‏‏‏‏‏ورزش سیاست موسیقی پاپ سرگرمی‌ فرهنگ و هنر بازی</t>
  </si>
  <si>
    <t>gorgan</t>
  </si>
  <si>
    <t>abuezrail_gorganii</t>
  </si>
  <si>
    <t>RT @Arash57228: #NoSanctionNoWar آقای #روحانی، کاش در داخل #ایران هم با دیسیپلینِ سخنرانی سازمان ملل‌ ظاهر شوید.شبیه همانکه به‌او رای دادیم. #روحانی_مچکریم</t>
  </si>
  <si>
    <t>‏ ‏‏‏اندکی صبر سحر نزدیک است</t>
  </si>
  <si>
    <t>Zoya</t>
  </si>
  <si>
    <t>Semnan</t>
  </si>
  <si>
    <t>omid</t>
  </si>
  <si>
    <t>فعال حوزه زنان، کارآفرین و مدیرعامل شرکت فیروزه ، عضو شورای منطقه حزب اتحاد ملت استان گلستان Women's-rights activist, Entrepreneur &amp; CEO of Firoozeh CO.</t>
  </si>
  <si>
    <t>Nikan</t>
  </si>
  <si>
    <t>https://pbs.twimg.com/media/DoADkZAXkAA_XOk.jpg</t>
  </si>
  <si>
    <t>جلد امروز #روزنامه_ایران را می توان متفاوت ترین جلد روزنامه های امروز دانست که به موضوع سخنرانی #روحاني در #سازمان_ملل‌_متحد اشاره دارد؛ این جلد شبیه بعضی جلدهای #روزنامه_سازندگی است و البته شبیه یک روزنامه دیواری که سال دوم راهنمایی(26 سال پیش) برای دهه فجر تهیه کردم!</t>
  </si>
  <si>
    <t>https://pbs.twimg.com/media/DoADns9W0AAb-NM.jpg</t>
  </si>
  <si>
    <t>#روحانی_در_سازمان_ملل : #جهان دوستی بهتر از #ایران نخواهد داشت. بله ولی اگر کاسبان #جنگ و #حصر و #تحریم بگذارند. #NoSanctionNoWar #نيويورك</t>
  </si>
  <si>
    <t>جانم فدای ایران</t>
  </si>
  <si>
    <t>Liliziba🇮🇷</t>
  </si>
  <si>
    <t>My name is Sab, and I am an ISSA-certified personal trainer. I am here to help you achieve a healthier lifestyle.</t>
  </si>
  <si>
    <t>Dubai, United Arab Emirates</t>
  </si>
  <si>
    <t>RT @freedommesenger: 🔴 شامگاه 4 مهرماه: هم‌اکنون موج گسترده #بازداشت فعالان مذهبى و مدنى در #اهواز و حومه این شهر پس از سخنرانی حسن #روحانی در #سازمان_ملل #ایران #IranRegimeChange</t>
  </si>
  <si>
    <t>Coach Sab</t>
  </si>
  <si>
    <t>http://Atlascg.ir</t>
  </si>
  <si>
    <t>‏عاشق طبیعت و دوچرخه سواری و سفر</t>
  </si>
  <si>
    <t>Boushehr</t>
  </si>
  <si>
    <t>Masoud</t>
  </si>
  <si>
    <t>لازم بدونم چيزى و بايد بگم ، پس ميگم</t>
  </si>
  <si>
    <t>ديگه رسما كارم تهران خونم كرج</t>
  </si>
  <si>
    <t>•واقعا توى #سازمان_ملل‌_متحد #UN اين #خزعبلات اقاى #روحاني رو باور كردن؟؟؟ •هرچند كه جامعه جهانى كارى با وضعيت مردم نداره فقط منافع حرف اول و ميزنه كه نكته جالب توجه اينه كه وضعيت #ملت_ايران نه منافع جامعه #بين_الملل و تامين ميكنه نه جيب نظام حاكم داخلى رو</t>
  </si>
  <si>
    <t>1983 سام بزرگ</t>
  </si>
  <si>
    <t>http://Instagram.com/kazeruni</t>
  </si>
  <si>
    <t>Revolutionary | Social media activists | Media designer | Art director</t>
  </si>
  <si>
    <t>https://pbs.twimg.com/media/DoAEdBxXsAEm0PN.jpg</t>
  </si>
  <si>
    <t>سخنرانی #روحانی در حدی ضدآمریکایی بود که اگر زیباکلام در سالن مجمع عمومی سازمان ملل بود، به سمت تریبون حمله‌ور میشد و جلسه را بهم می‌ریخت! درست عکس این عکس!!</t>
  </si>
  <si>
    <t>حسین کازرونی 🇮🇷</t>
  </si>
  <si>
    <t>مهربان</t>
  </si>
  <si>
    <t>کارهایی که جمهوری اسلامی با مردمش انجام میده. زورگویی و تهدید و دربندکشیدن و ضرب و جرح و . . ولی چون زورش به آمریکا نمیرسه فقط شعارشو میده آقای روحانی تو فقط حرف میزنی عمل دست رهبر و ایادیشه که خلاف اینو ثابت کرده #نه_جنگ #نه_تحریم #نه_زورگویی #نه_تهدید #روحانی #سازمان_ملل</t>
  </si>
  <si>
    <t>Farhad_Mirza</t>
  </si>
  <si>
    <t>https://pbs.twimg.com/media/Dn9ZsJzWkAEt52x.jpg</t>
  </si>
  <si>
    <t>RT @AmirAli1344: 🔴هم اكنون سخنرانى #روحانى در سازمان ملل:كشورها موظفند از اجراى برجام حمايت نمايند. ايران به كليه تعهدات پايبند بوده. پ ن:دريوزگى حكومتى به اين ميگن، با چه زبونى التماس كنه؟ #no2rouhani</t>
  </si>
  <si>
    <t>‏‏‏هست آن نیست که هر لحظه کنارت باشد * هست آن است که هر لحظه به یادت باشد * زرتشت</t>
  </si>
  <si>
    <t>💚کورُش 2541💚</t>
  </si>
  <si>
    <t>‏‏‏‏‏‏‏‏انقلابی هستم ومیخوام ک باشم.</t>
  </si>
  <si>
    <t>عضوجامعه🏴</t>
  </si>
  <si>
    <t>https://pbs.twimg.com/media/Dn9wA4KW0AAGLsX.jpg</t>
  </si>
  <si>
    <t>RT @AmirAli1344: تعداد حاضرین در جلسه سازمان ملل موقع سخنرانی #ترامپ و #روحانی</t>
  </si>
  <si>
    <t>چاووش</t>
  </si>
  <si>
    <t>RT @Arash57228: #روحانی_در_سازمان_ملل : #جهان دوستی بهتر از #ایران نخواهد داشت. بله ولی اگر کاسبان #جنگ و #حصر و #تحریم بگذارند. #NoSanctionNoWar #نيويورك</t>
  </si>
  <si>
    <t>تربچه</t>
  </si>
  <si>
    <t>Senior Student of Sociology</t>
  </si>
  <si>
    <t>kardinal</t>
  </si>
  <si>
    <t>http://newspaper.hamshahri.org</t>
  </si>
  <si>
    <t>The most-read daily newspaper in Iran Published by the municipality of Tehran توییتر رسمی روزنامه #همشهری پرتیراژترین روزنامه ایران</t>
  </si>
  <si>
    <t>http://goo.gl/2bhpyg</t>
  </si>
  <si>
    <t>ساعاتی پیش از سخنرانی حسن #روحانی رئیس‌جمهور کشورمان در صحن عمومی #سازمان_ملل؛ دونالد #ترامپ سخنان خود را با ادعایی آغاز کرد که حضار نتوانستند جلوی خنده خود را بگیرند. #تیتریک</t>
  </si>
  <si>
    <t>روزنامه همشهری</t>
  </si>
  <si>
    <t>‏‏‏‏‏‏دانشجوی حقوق// در جستجوی ‎‎#حق و ‎‎#حقیقت// کار هم نشد نداره// یا علی یا هیچ کس</t>
  </si>
  <si>
    <t>RT @kazeruni: سخنرانی #روحانی در حدی ضدآمریکایی بود که اگر زیباکلام در سالن مجمع عمومی سازمان ملل بود، به سمت تریبون حمله‌ور میشد و جلسه را بهم می‌ریخت! درست عکس این عکس!!</t>
  </si>
  <si>
    <t>پاتیسپا</t>
  </si>
  <si>
    <t>http://www.a-rezaei.com</t>
  </si>
  <si>
    <t>Journalist | TV news editor at IRIB channel1 | http://Tlgrm.me/shabekaviir</t>
  </si>
  <si>
    <t>Abbas Rezaei Samarin</t>
  </si>
  <si>
    <t>Miladjxyz</t>
  </si>
  <si>
    <t>jurist-journalisted</t>
  </si>
  <si>
    <t>C</t>
  </si>
  <si>
    <t>اغلب تحلیل گران سیاسی سخنرانی #ترامپ در مقایسه با سخنرانی #روحانی در #مجمع عمومی سازمان ملل را سخیف و پر از تناقض ارزیابی کردند.اما #دلار راه خودش را می‌رود .</t>
  </si>
  <si>
    <t>Mohamad_ghorbani</t>
  </si>
  <si>
    <t>از تروریسم میگوید از مردم مظلوم فلسطین،یمن و سوریه از صلح و دوستی در منطقه از تاریخ و تمدن ایران گویی نمیدانیم،نظام ج ا همه را نابود کرده. #علمهدی #دیکتاتوری #رژیم_ایران #IranRegimeChange #روحانی_رئیس_جمهور_من_نیست #سازمان_ملل</t>
  </si>
  <si>
    <t>دانشجوی ارشد علوم سیاسی /خبرنگار و فعال رسانه ای /اگر هم نظر نیستیم ولی هموطن هستیم</t>
  </si>
  <si>
    <t>نازنین کمالی</t>
  </si>
  <si>
    <t>@Rouhani_ir آقای روحانی تاریخ ایران نشان میدهد که ما هیچگاه از تاریخ درس نگرفته ایم. رویه ای که همواره شکست خورده و هزینه های غیر قابل جبران نیز برجای گذاشته. شما نیز در حال تکرار همین تجربه شکست خورده هستید. #حقوق_بشر #ترامپ #سازمان_ملل #روحانی #مردم_ایران #خوزستان</t>
  </si>
  <si>
    <t>jahanshomol</t>
  </si>
  <si>
    <t>رئیس جمهور آمریکا #ترامپ در زمان و مفهوم سخنرانیی طولانی تر‌و نافذتر از #روحانی داشت، درحالی که #روحانی تمام سخنانش را از رو میخواند، در زمان سخنرانی در #سازمان_ملل‌_متحد چنان دچار استرس شده بود که لرزش دستش بخوبی قابل دیدن بود، امروز متوجه شدم چطور دستگاهای دروغ سنج عمل میکنند.</t>
  </si>
  <si>
    <t>BABAK</t>
  </si>
  <si>
    <t>‏‏‏‏‏‏‏‏‏‏محقق الهیات،فلسفه،عرفان،تاریخ وتاریخ ادیان بزرگی سراسر به گفتارنیست// دوصد گفته چون نیم کردار نیست</t>
  </si>
  <si>
    <t>جمهوری اسلامی ایران.تهران</t>
  </si>
  <si>
    <t>سیدپیمان طاهریpey.ta</t>
  </si>
  <si>
    <t>mahmoud  Arjavand</t>
  </si>
  <si>
    <t>RT @Mo_ba_fatthi: حسن روحانی انقدر متناقض و ضد منافع ملی است که می‌ترسم تو سخنرانی سازمان ملل عکس یه نهاد داخلی را بگیره دستش و‌بگه: اقدام تروریستی اهواز کار اینهاست من خودم دست اینها اسیرم منو نجات بدید ! بعید نیست از این لندن‌نشین سابق... #روحانی #اهواز #سازمان_ملل</t>
  </si>
  <si>
    <t>مجتبی</t>
  </si>
  <si>
    <t>Hassan</t>
  </si>
  <si>
    <t>RT @M_Asadpour96: نطق امشب روحانی در #سازمان_ملل جامع‌تر و منطقی‌تر از سال‌های گذشته بود، اما لحن التماس‌گونه #روحانی به آمریکا برای برداشتن تحریم‌ها با وجود انتقادات صریح از سیاست‌های آمریکا و #ترامپ، ‌وصله ناجور بود!</t>
  </si>
  <si>
    <t>Z.dani</t>
  </si>
  <si>
    <t>RT @seyyedhamid71: جناب #روحانی امشب تو سخنرانی سازمان ملل سخن از صلح بگو اما اسلحه را هم بردار</t>
  </si>
  <si>
    <t>محمد کمالی</t>
  </si>
  <si>
    <t>RT @narimanfarzad: "سازمان ملل متحد" اسمش روشه! ما و کشورهایی مثل ما متحد اونا حساب نمیشیم! تمااااااااام #روحانی #جنگ_نمیشود_مذاکره_نمیکنیم #سازمان_ملل</t>
  </si>
  <si>
    <t>اشرافی</t>
  </si>
  <si>
    <t>‏‏‏ای پادشه خوبان داد از غم تنهایی</t>
  </si>
  <si>
    <t>هیاسی</t>
  </si>
  <si>
    <t>چشمه جوشان يك شعر مدام،اهل مهرم مهرماهي ها سلام ،عشق را آوازخواني ميكنم ، گرچه اغلب باخجالت ... والسلام</t>
  </si>
  <si>
    <t>islets of langerhans</t>
  </si>
  <si>
    <t>RT @mehbazrafkan: همه از سخنان #ترامپ و #روحاني در #سازمان_ملل حرف می زنند اما باید گفت هیجان #داربی با گزارش #عادل_فردوسی_پور دوچندان می شود؛نمی شود؟!</t>
  </si>
  <si>
    <t>Sirous</t>
  </si>
  <si>
    <t>‏‏شایدم،حق با من نیست. ضمنا من الهی قمشه ای نیستم.</t>
  </si>
  <si>
    <t>رییس جلسه دیروز سازمان ملل یک آقا بود،اما #روحانی بارها گفت : خانم رییس!</t>
  </si>
  <si>
    <t>الهی غنچه ای</t>
  </si>
  <si>
    <t>https://pbs.twimg.com/media/DoAK4kiWkAAdGCR.jpg</t>
  </si>
  <si>
    <t>#روحانی در سازمان ملل: #جمهوری_اسلامی_ایران همان دولتی است که قبل از همه با #رژیم_بعثی، #طالبان و #داعش جنگیده است. #UNGA @Rouhani_ir</t>
  </si>
  <si>
    <t>https://pbs.twimg.com/media/DoALBo4X0AA5OzP.jpg</t>
  </si>
  <si>
    <t>گویا هیچ فرقی میان #روحاني و #احمدي_نژاد نیست! جهان #ایران را دوست ندارد. #دلار۱۷۰۰۰تومانی #سازمان_ملل #ترامپ</t>
  </si>
  <si>
    <t>Shahin</t>
  </si>
  <si>
    <t>رسانه مجازی لرستان</t>
  </si>
  <si>
    <t>#براندازم پرسپولیس منچستری،عاشق مطالعه،مخالف ج ا، گهگاهی شعر میگم</t>
  </si>
  <si>
    <t>ایران،بدون پیشوند و پسوند</t>
  </si>
  <si>
    <t>Ahmadreza</t>
  </si>
  <si>
    <t>‏‏اصلاحات تنها راه نجات کشور است</t>
  </si>
  <si>
    <t>🇮🇷 Mehdi Mohebi</t>
  </si>
  <si>
    <t>Father of two, Husband, Entrepreneur, Ex-political prisoner, supporter of regime change in #Iran w/ democtatic alternative, supporter of PMOI, &amp; @Maryam_Rajavi</t>
  </si>
  <si>
    <t>UK</t>
  </si>
  <si>
    <t>Siavash P</t>
  </si>
  <si>
    <t>http://www.7sobh.com</t>
  </si>
  <si>
    <t>journalist / 7sobh newspaper</t>
  </si>
  <si>
    <t>Ali Mazinani</t>
  </si>
  <si>
    <t>Ahmadkazemeian</t>
  </si>
  <si>
    <t>http://www.batabi.com</t>
  </si>
  <si>
    <t>‏‏‏‏‏‏‏‏‏‏‏self-employed</t>
  </si>
  <si>
    <t>shiraz</t>
  </si>
  <si>
    <t>Farhad🇮🇷</t>
  </si>
  <si>
    <t>يك ربات برانداز هستم با شماره سريال ٢٥٣٤٠٠٤٣. اومدم فقط براي همكاري با بقيه. بگيد ازم چي ميخوايد اگه در راستاي هدف باشه كمك ميكنم</t>
  </si>
  <si>
    <t>serendi pitti</t>
  </si>
  <si>
    <t>Mahabad.irib</t>
  </si>
  <si>
    <t>‏🔴🔴ورود بی تربیت_بیشعور _منافق_آتئیست مطلقا ممنوع پرسپولیسی❤❤❤</t>
  </si>
  <si>
    <t xml:space="preserve">قم عاشق شیراز </t>
  </si>
  <si>
    <t>سخنرانی دیشب #روحانی تو سازمان ملل خوب اما انشایی بود و لحن با صلابت نبود انگار بهش گفته بودند این انشا را بخونند اما باز خوب بود</t>
  </si>
  <si>
    <t>گل آقا</t>
  </si>
  <si>
    <t>http://www.mohammadalisaleh.com</t>
  </si>
  <si>
    <t>‏‏‏‏‏‏‏‏منتظر ندای پاشو رسیدیم عمو/ فارغ التحصیل دبیرستان علوی/ دانشجوی معماری</t>
  </si>
  <si>
    <t>محمدعلی صالح</t>
  </si>
  <si>
    <t>نقشه مسیر ما اینست اگر برای رسیدن به آزادی، باید از هفت خوان سرکوب و زندان و شکنجه و تیرباران گذشت، ما در نبرد آزادی، برای صدها هفت خوان دیگر حاضر و آماده‌ایم!</t>
  </si>
  <si>
    <t>https://pbs.twimg.com/media/DoALeSZWsAAoqgI.jpg</t>
  </si>
  <si>
    <t>تظاهرات ایرانیان آزاده و هوادار مقاومت ایران در مقابل مقر سازمان ملل متحد همزمان با حضور آخوند #روحانی ایرانیان اعلام کردند: شورای ملی مقاومت #آلترناتیو واقعی و بادوام در قبال رژیم #ایران است @SecPompeo @USAdarFarsi #IranRegimeChange #IraniansWantRegimeChange #براندازم</t>
  </si>
  <si>
    <t>مهین خیابانی</t>
  </si>
  <si>
    <t>Environmentalist🍃 Water structure engineer🌊</t>
  </si>
  <si>
    <t>Isfahan</t>
  </si>
  <si>
    <t>Fateme</t>
  </si>
  <si>
    <t>http://www.cs-leiteracy.ir</t>
  </si>
  <si>
    <t>دکتری فضای سایبر مدرس سوادفضای مجازی فرهنگ ورسانه تحلیلگر سیاسی روزنامه نگار ،مدرس دانشگاه ساکن #بجنورد #فارس #ترک #کرمانج #ترکمن #تات #باب_الرضا</t>
  </si>
  <si>
    <t>ج.ا.ایران خراسان شمالی بجنورد</t>
  </si>
  <si>
    <t>اسماعیل کفاشی</t>
  </si>
  <si>
    <t>RT @RahaTaraneh1: تظاهرات ایرانیان آزاده و هوادار مقاومت ایران در مقابل مقر سازمان ملل متحد همزمان با حضور آخوند #روحانی ایرانیان اعلام کردند: شورای ملی مقاومت #آلترناتیو واقعی و بادوام در قبال رژیم #ایران است @SecPompeo @USAdarFarsi #IranRegimeChange #IraniansWantRegimeChange #براندازم</t>
  </si>
  <si>
    <t>Free Iran شديدا براندازم an advocate of constitutional monarchy👑</t>
  </si>
  <si>
    <t>Day Star⭐️👑</t>
  </si>
  <si>
    <t>در این حساب برترین توییت های فارسی به طور خودکار و اساس استقبال کاربران توییتر فارسی انتخاب و بازنشر می شود بنابراین محتوای توییت ها الزاما مورد تایید من نیست</t>
  </si>
  <si>
    <t>بهترینها</t>
  </si>
  <si>
    <t>NO BIO</t>
  </si>
  <si>
    <t>standing73</t>
  </si>
  <si>
    <t>http://www.abdigroup.com</t>
  </si>
  <si>
    <t>تهیه کننده، کارگردان و مجری تلویزیون Producer, Director and Interviewer Interview with all ambassadors in IRAN</t>
  </si>
  <si>
    <t>https://pbs.twimg.com/media/DoAM1euWsAI05_V.jpg</t>
  </si>
  <si>
    <t>اکثر سخنان دکتر #روحانی در #سازمان_ملل سخنان حقوقی و درستی بود. با شناخت نسبی که ازجامعه بین الملل دارم فکر می کنم حرف دل خیلی ازدولت ها را زد. فقط برایم عجیب است درشرایطی که شبکه #بی_بی_سی_فارسی و #من_و_تو دولت ایران را #رژیم مینامند، چرا روحانی #رژیم_صهیونستی را #اسرائیل خواند؟</t>
  </si>
  <si>
    <t>عبداله عبدي</t>
  </si>
  <si>
    <t>‏‏‏‏‏‏‏‏‎‎‎‎‎‎‎‎#برانداز ‎‎‎‎‎‎‎‎#خداناباور ‎‎‎‎‎‎‎#درونگرا مخالف با عرزشی.اصلاح طلب.اصولگرا.تحولخواه.مجاهد🖕</t>
  </si>
  <si>
    <t xml:space="preserve">خیلی دور ، خیلی نزدیک </t>
  </si>
  <si>
    <t>مغز 🇮🇱🏳‍🌈</t>
  </si>
  <si>
    <t>Husband, Atheist, Moderate, Citizen</t>
  </si>
  <si>
    <t>دیروز در سازمان ملل: تغییر گفتمان #روحانی از با دم شیر بازی نکنید بد میبینید، به بفرمایید با کونِ شیر بازی کنید خیرشو ببنید. #IraniansWantRegimeChange</t>
  </si>
  <si>
    <t>بچه آدمیزاد</t>
  </si>
  <si>
    <t>RT @theSonofMMann: دیروز در سازمان ملل: تغییر گفتمان #روحانی از با دم شیر بازی نکنید بد میبینید، به بفرمایید با کونِ شیر بازی کنید خیرشو ببنید. #IraniansWantRegimeChange</t>
  </si>
  <si>
    <t>http://zahrakeshvari.blogfa.com</t>
  </si>
  <si>
    <t>Iranian journalist خبرنگار بوم پاد(نگهبان طبیعت1394...محیط زیست و میراث فرهنگی Environmental journalist *** cultural heritage Journalist</t>
  </si>
  <si>
    <t>زهرا کشوری</t>
  </si>
  <si>
    <t>‏کسی رو به خاطر فالوبک ، فالو نمیکنم. راحت باشید.</t>
  </si>
  <si>
    <t>‏‏‏‏یه جزیره</t>
  </si>
  <si>
    <t>بی همگان</t>
  </si>
  <si>
    <t>Khomeinist .</t>
  </si>
  <si>
    <t>چرا بعضیا اینقدر عقده اینو دارن که چنتا خارجی به حرفاشون گوش بدن و براشون دست بزنن ... انقدر آخه بدبخت و حقیر میشه آدم مگه ؟! #ایران #جهان_سومی #سازمان_ملل #حسن_روحانى</t>
  </si>
  <si>
    <t>Yasin</t>
  </si>
  <si>
    <t>ما شیخ و واعظ کمتر شناسیم....یا جام باده یا قصه کوتاه.... .........ورود عرزشی ها ممنوع🚫</t>
  </si>
  <si>
    <t>miiiiiiitralon</t>
  </si>
  <si>
    <t>‏‏‏‏خوابم میاد</t>
  </si>
  <si>
    <t>👑➰حبّه انگور➰👑</t>
  </si>
  <si>
    <t>Beverly Hills , SUN SET BLV.</t>
  </si>
  <si>
    <t>United State,CA,Beverly Hills</t>
  </si>
  <si>
    <t>Gama</t>
  </si>
  <si>
    <t>‏‏‏شیخ فضلة الله مجوس مستراحی متخصص در ورود با پای راست به مستراح</t>
  </si>
  <si>
    <t>آشیخ #ساعت_6</t>
  </si>
  <si>
    <t>‏فعال رسانه ای کارشناس ارشد مخابرات سیستم</t>
  </si>
  <si>
    <t>amin goodarzi</t>
  </si>
  <si>
    <t>I am a teacher in Melbourne since 1991. I believe education is to build social justice and democracy. My heroes are Paulo Freire, Martin Luther King, A.Shariati</t>
  </si>
  <si>
    <t>Melbourne, Victoria</t>
  </si>
  <si>
    <t>Edu4SocialJustice</t>
  </si>
  <si>
    <t>BiTa</t>
  </si>
  <si>
    <t>http://t.me/pooyanmoghaddassi</t>
  </si>
  <si>
    <t>‏نویسنده و شاعر</t>
  </si>
  <si>
    <t>Vienna, Austria</t>
  </si>
  <si>
    <t>هر قدر دیروز #ترامپ حرف‌ها و عقاید عقب‌افتاده و خطرناک‌ خودش را در #سازمان_ملل زد، در عوض #روحانی با یک دو جین شعار و دروغ‌گویی پشت تریبون ایستاد و چیزهایی را مطرح که نه خودش و نه حکومت متبوعش هیچ اعتقادی به آنها نداشته و ندارند!</t>
  </si>
  <si>
    <t>Pooyan Moghaddassi</t>
  </si>
  <si>
    <t>یک جمهوری خواه بی تعصب زندگی کردن حق همه است و برای حق و حقوق هم احترام قائل باشیم</t>
  </si>
  <si>
    <t>دامبول اول</t>
  </si>
  <si>
    <t>Albania, Colombia</t>
  </si>
  <si>
    <t>Feraidoon Fathpoor</t>
  </si>
  <si>
    <t>اخیرا بی‌حو‌صله</t>
  </si>
  <si>
    <t>Ancient Iran</t>
  </si>
  <si>
    <t>امیر کریمی</t>
  </si>
  <si>
    <t>‏کی ده‌توانی له‌م ولاته ری له باران و گول بگری؟ - در تلاش برای کمک به گسترش ‎‎@kaartwitt</t>
  </si>
  <si>
    <t>بادامستان</t>
  </si>
  <si>
    <t>Hozein</t>
  </si>
  <si>
    <t>Oman</t>
  </si>
  <si>
    <t>Dawood Moradi</t>
  </si>
  <si>
    <t>‏مدافع جمهوری، دموکراسی، لایسیته رعایت کننده محیط زیست عاشق طبیعت مخالف جهل و خرافات مشوق ورزش و خلاقیت و مبارزه با ظلم و بی عدالتی. ...</t>
  </si>
  <si>
    <t>طبیعت</t>
  </si>
  <si>
    <t>..</t>
  </si>
  <si>
    <t>Nariman</t>
  </si>
  <si>
    <t>http://Sinslife.com/</t>
  </si>
  <si>
    <t>‏‏‏‏‏‏‏‏‏‏‏‏‏‏‏‏‏‏‏‏‏‏‏‏‏‏‏‏‏‏‏‏‏‏‏‏‏‏‏‏‏‏‏‏‏‏‏‏‏‏‏‏‏‏‏‏‏‏‏‏‏‏‏‏‏ورود 🐩 ، مجاهد، عرزشی و اصحالطلب اکیداً ممنوع ⛔</t>
  </si>
  <si>
    <t>Las Vegas, NV 🏳️</t>
  </si>
  <si>
    <t>Johnny Sins</t>
  </si>
  <si>
    <t>همه مون یه اندازه آدمیم فقط ژن ما خار داره .. نبین .. سهمگین .. غمگین ...نسخ آزادی .. بدمدل #فرشگرد #برانداز</t>
  </si>
  <si>
    <t>Hell</t>
  </si>
  <si>
    <t>چش سفید</t>
  </si>
  <si>
    <t>‏‏آتش نشانی سوخت ٫ کجای کاری ؟؟</t>
  </si>
  <si>
    <t>Tehran - Castel Of Mr Hasan</t>
  </si>
  <si>
    <t>https://pbs.twimg.com/media/DoAPRH5XUAUIhFh.jpg</t>
  </si>
  <si>
    <t>خبر مهم دیروز این بود که نیکی میناژ اومده دبی ! #روحانی #سازمان_ملل‌_متحد</t>
  </si>
  <si>
    <t>علی دایی</t>
  </si>
  <si>
    <t>‏‏اکانت وقف جبهه انقلاب واقعی ریتر کوچک و با افتخار شاگرد کوچک اخ فی الله</t>
  </si>
  <si>
    <t>ی جای خوب</t>
  </si>
  <si>
    <t>آبراهام لینکن انقلابی/تارو میساکی سابق/خسته از ریت</t>
  </si>
  <si>
    <t>Shahram Rashidi                       شهرام رشیدی</t>
  </si>
  <si>
    <t>گامی بسوی انسانیت.....برای جهانی بهتر.....صدای هم باشیم...</t>
  </si>
  <si>
    <t>حمید جلوخانی</t>
  </si>
  <si>
    <t>جوياي راه خويش باش از اين سان كه منم در تكاپوي انسان شدن</t>
  </si>
  <si>
    <t>تهران، ايران</t>
  </si>
  <si>
    <t>سخنراني #روحانی_در_سازمان_ملل عالي بود حالا بعد از يك موضع گيري دقيق سياسي بايد واقع بينانه به جنگ اقتصادي پرداخت جايي كه بنظر مي رسد فعلا #ترامپ و شركا با دلواپسان داخلي مردم را به گوشه رينگ كشانده اند.</t>
  </si>
  <si>
    <t>Maryam</t>
  </si>
  <si>
    <t>azade mah</t>
  </si>
  <si>
    <t>‏‏‏ادوارد نیگما نیستم 😒 میخوام بتمن دنیای خودم باشم و نجاتش بدم مرگ باورم</t>
  </si>
  <si>
    <t xml:space="preserve">Gotham City </t>
  </si>
  <si>
    <t>Riddler???</t>
  </si>
  <si>
    <t>زندگی به هم پیوستن لحظه هاست لحظه های باهم بودن زیباترینند</t>
  </si>
  <si>
    <t>United Kingdom</t>
  </si>
  <si>
    <t>arsiva</t>
  </si>
  <si>
    <t>به فردا بدهکاریم ! با باور این دروغ که اینبار درست میشه ، به فردا جفا کردیم.. اهل فردا ، ما رو ببخشید 😔 (( اکانت فیک یک خبرنگار دبیرستانی ))</t>
  </si>
  <si>
    <t>https://pbs.twimg.com/media/DoAQZWDXoAAAeWJ.jpg</t>
  </si>
  <si>
    <t>خلاصه و مشروح سخنرانی #روحانی در سازمان ملل : آهای "معلم" بد ، چقدر جریمه باید ؟؟</t>
  </si>
  <si>
    <t>تحت تاثیر 🔵</t>
  </si>
  <si>
    <t>آفریده خدا که می خواهد بنده خدا باشد. اگر بشود که چه می شود.</t>
  </si>
  <si>
    <t>🇮🇷 sadra1357 🇵🇸</t>
  </si>
  <si>
    <t>RT @m_al_olama: #مردم_بدانید صحبت‌های #روحانی در #سازمان_ملل بسیار خوب، دقیق، دیپلماتیک و انقلابی و سانسور صحبت‌های #ترامپ در @VOAIran نشانه‌ای از دست برتر ایران در دنیا بود. #روحانی_در_سازمان_ملل #جنگ_نمیشود_مذاکره_نمیکنیم #WeStand4Iran</t>
  </si>
  <si>
    <t>StorkUp</t>
  </si>
  <si>
    <t>https://pbs.twimg.com/media/DoARLmjW0AAj8By.jpg</t>
  </si>
  <si>
    <t>🔴 تظاهرات بزرگ ایرانیان آزاده در #نیویورک دراعتراض به حضور #روحانی جنایتکار در #سازمان_ملل ۳ مهر #ایران #IranRegimeChange</t>
  </si>
  <si>
    <t>https://www.facebook.com/DastNeveshte.Hamid.Taheri</t>
  </si>
  <si>
    <t>شاعری که می خواست با خودکار دیوانه اش پای سیم خاردارها شعر انفجار را بنویسد و دور تر داد بکشد... بوم... ولی اینجا اصلا ربطی به شاعری ندارد</t>
  </si>
  <si>
    <t>آقای #روحانی رئیس #دولت وقت، گفتی ولی باز کم گفتی و باز بد گفتی. یاد #احمدی_نژاد و سخنرانی #سازمان_ملل بخیر. اصلا یاد احمدی_نژاد قبل از 84 خیلی بخیر. گرچه احمدی نژاد اینروزها برعکس می تازد.</t>
  </si>
  <si>
    <t>Hamid Taheri</t>
  </si>
  <si>
    <t>‏‏تلاش جهت عاقبت بخیری #هدف</t>
  </si>
  <si>
    <t>قرارگاه دل 🇮🇷</t>
  </si>
  <si>
    <t>ما را از مرگ می ترسانند، انگار که ما زنده ایم...</t>
  </si>
  <si>
    <t>B@md@d</t>
  </si>
  <si>
    <t>چون عاقبت کار جهان نیستی است انگار که نیستی چو هستی خوش باش</t>
  </si>
  <si>
    <t>تمام حاکمان کشورها در سازمان ملل از راهکارها و سیاستهاشون برای تعامل با دنیا صحبت می کنند #روحانی داره زور میزنه و التماس میکنه که بتونه حکومت آخوندی رو حفظ کنه و این یعنی #اقتدار_پوشالی #IraniansWantRegimeChange</t>
  </si>
  <si>
    <t>mary</t>
  </si>
  <si>
    <t>‏‏‏‏دوستدار محيط زيست و زمين پاك و كشاورزي نجوم ، ورود مذهبي عرزشي مجاهد ممنوع</t>
  </si>
  <si>
    <t>باران ➰💙💙👑👑💙💙➰</t>
  </si>
  <si>
    <t>‏‏‏‏‏‏‏</t>
  </si>
  <si>
    <t>#احمدی‌نژاد که در #سازمان_ملل سخنرانی می‌کرد به نمایندگی از همه‌ی ملتهای آزاده دنیا سخن می‌گفت. پشتوانه‌ی او همچنین ملت، دولت و رهبری ایران بود! اما #روحانی فقط نماینده #الیگارشی حاکم است. به همین دلیل است که با سخنرانی احمدی‌نژاد #نفت گران میشد و با سخنان روحانی #دلار !</t>
  </si>
  <si>
    <t>عدالت</t>
  </si>
  <si>
    <t>Demons run when a good man goes to war. عرزشی و مجاهد به هیچ عنوان فالو نکنه</t>
  </si>
  <si>
    <t>Purgatory</t>
  </si>
  <si>
    <t>RT @mary82451038: تمام حاکمان کشورها در سازمان ملل از راهکارها و سیاستهاشون برای تعامل با دنیا صحبت می کنند #روحانی داره زور میزنه و التماس میکنه که بتونه حکومت آخوندی رو حفظ کنه و این یعنی #اقتدار_پوشالی #IraniansWantRegimeChange</t>
  </si>
  <si>
    <t>Zeppelin</t>
  </si>
  <si>
    <t>ان شاالله عبد صالح خدا و سرباز صاحب الزمان ‏عاشق ايران، عکاسی و خانواده</t>
  </si>
  <si>
    <t>rouhollah</t>
  </si>
  <si>
    <t>🇵🇸مُحَّمَد رَمِضٰانےٖ🇮🇷</t>
  </si>
  <si>
    <t>"نتوان وصف تو گفتن که تودروصف نگنجی"</t>
  </si>
  <si>
    <t>💙دخترآذری💙</t>
  </si>
  <si>
    <t>هشتگ های دیشب کاملا شبیه استادیوم آزادی و دربی بود. ملت شعاری شعار درمانی میشند. از ماست که بر ماست. #روحاني #روحانی_در_سازمان_ملل #WeStand4Iran #NoSanctionNoWar #ترامپ</t>
  </si>
  <si>
    <t>alidada</t>
  </si>
  <si>
    <t>http://entekhab.ir</t>
  </si>
  <si>
    <t>‏پایگاه خبری انتخاب | Entekhab news site| در تلگرام: ‎@Entekhab_ir | در اینستاگرام: http://Entekhab.News‎</t>
  </si>
  <si>
    <t>https://pbs.twimg.com/media/DoATGqwW0AIf6ax.jpg</t>
  </si>
  <si>
    <t>#آقای_روحانی! دست مریزاد؛ برای چنین روزی به شما #رای دادم سخنرانی حسن روحانی در نشست مجمع عمومی #سازمان_ملل بر خلاف سخنان ترامپ که قبل از او ایراد شده بود، نشانه ای از جنگ طلبی و به مبارزه طلبیدن طرف آمریکایی نداشت.</t>
  </si>
  <si>
    <t>پايگاه خبری انتخاب</t>
  </si>
  <si>
    <t>We are an organisation of Iranians in Switzerland. We want to be the voice of Political Prisoners in Iran. We want #RegimeChange. We work for a #FreeIran.</t>
  </si>
  <si>
    <t>Association Defence Of Political Prisoners in iran</t>
  </si>
  <si>
    <t>Electrical Power Engineering Active in the field of Solar Power Plants and network connectivity</t>
  </si>
  <si>
    <t>hossein</t>
  </si>
  <si>
    <t>http://bit.ly/2iRB9R4</t>
  </si>
  <si>
    <t>‏‏‏‏‏‏نویسنده کتابهای یک یا دو هزار و یک. هر واژه‌ای مهم است. ‎‎‎‎‎‎‎‎‎‎‎‎‎#سئو، ‎‎‎‎‎‎‎‎‎‎‎‎‎#سفر و ‎‎‎‎‎‎‎‎‎‎‎‎‎#روستا، سه واژه مهم این روزهای من</t>
  </si>
  <si>
    <t>Rasht</t>
  </si>
  <si>
    <t>مهدی رودکی</t>
  </si>
  <si>
    <t>#روحانی که بر خلاف روسای جمهور پیشین خودش،هیچ سالی در راهپیمایی روز قدس سخنرانی نکرد،وقتی در سازمان ملل،راجع به فلسطین صحبت میکند،یعنی دارد اتفاقات ناگواری پشت پرده رخ میدهد که لازم است برای فریب افکار عمومی داخلی ، نطق ضد اسراییلی کند.</t>
  </si>
  <si>
    <t>من يك مشتاق آزادي هستم و براي مردم و حقوق بشر كار مي كنم و اين كه آزادي را براي مردم ايران بياورم</t>
  </si>
  <si>
    <t>من به دنبال آزادي و مشتاق حقوق مدني هستم</t>
  </si>
  <si>
    <t>banafshazadi</t>
  </si>
  <si>
    <t>هر نه وار کرنر ده وار!</t>
  </si>
  <si>
    <t>قره اوغلان</t>
  </si>
  <si>
    <t>خودت باش.اگر کسی خوشش نیامد.نیاید جهان کارخانه مجسمه سازی نیست .</t>
  </si>
  <si>
    <t>https://pbs.twimg.com/media/DoAVbEsXsAAsj2R.jpg</t>
  </si>
  <si>
    <t>مقایسه تعداد حاضرین در جلسه سازمان ملل موقع سخنرانی #ترامپ و #روحانی #IranRegimeChange #No2Rouhani</t>
  </si>
  <si>
    <t>بهروز</t>
  </si>
  <si>
    <t>بچه آرياشهر هستم . برانداز و تك تك اين عوامل جمهوري اسهالي را از تير برق آويزان ميكنيم .</t>
  </si>
  <si>
    <t>تنها راهی که باعث میشه فردا قیمت ارز بالا نره اینه که متن سخنرانی روحانی باشه "سلام، گوه خوردم، گوه خورم، گوه خوردم. خداحافظ" #دلار #سازمان_ملل‌_متحد #ترامپ #آخوند_مفتخور #رهبر_حقیر #مردم_ایران #ایران_رو_پس_میگیریم</t>
  </si>
  <si>
    <t>محّمدرضا</t>
  </si>
  <si>
    <t>‏فقط یه ایرانیِ دلسوز ایرانِ اسلامی هستم،یه فیلم بین حرفه ای</t>
  </si>
  <si>
    <t>بچه شهر</t>
  </si>
  <si>
    <t>RT @Tahabagheri8210: طرف دیشب توقع داشته #روحانی مثل سردار سلامی سخنرانی کنه تو سازمان ملل ما به خیانت نکردن به عده راضی هستیم چه برسه انقلابی باشن #strongestiran</t>
  </si>
  <si>
    <t>کاکوی ولدمورت</t>
  </si>
  <si>
    <t>http://hoveat.blogfa.com</t>
  </si>
  <si>
    <t>freelance journalist | cultural &amp; Intl.activist | مراسل حرة وناشط فی شؤون الدولي والثقافي | RTs &amp; FAVs not endorsement</t>
  </si>
  <si>
    <t>https://pbs.twimg.com/media/DoAVvDBWkAIqsFx.jpg</t>
  </si>
  <si>
    <t>سخنرانی #روحانی در #سازمان_ملل یک چیز کم داشت عکسی از #طاها_اقدامی</t>
  </si>
  <si>
    <t>sajjad eslamian</t>
  </si>
  <si>
    <t>‏یک نفر مانده از این قوم که برمیگردد...</t>
  </si>
  <si>
    <t>Ati_sh</t>
  </si>
  <si>
    <t>‏‏‏‏‏‏‏‏‏‏‏‏‏‏‏‏آنچه باور است محبت است و انچه نیست ظروف تهی ست</t>
  </si>
  <si>
    <t>زمین</t>
  </si>
  <si>
    <t>عرق سرد..</t>
  </si>
  <si>
    <t>RT @GeraaMedia: #روحانی در سازمان ملل: #جمهوری_اسلامی_ایران همان دولتی است که قبل از همه با #رژیم_بعثی، #طالبان و #داعش جنگیده است. #UNGA @Rouhani_ir</t>
  </si>
  <si>
    <t>http://iransepid.ir</t>
  </si>
  <si>
    <t>خبرنگارام و فعال حوزه معلولان. دانش آموخته دانشکده خبر . عاشق مسافرت و تفریح ام و جاده ای زیباتر از اسالم خلخال ندیدم.</t>
  </si>
  <si>
    <t>Mohadeseh Jafari</t>
  </si>
  <si>
    <t>تارک الصلاهٓ ، مرتد ، شاغل با مدرک دانشگاهی غیر مرتبط ‏‏‏</t>
  </si>
  <si>
    <t>RT @behrooz_21: مقایسه تعداد حاضرین در جلسه سازمان ملل موقع سخنرانی #ترامپ و #روحانی #IranRegimeChange #No2Rouhani</t>
  </si>
  <si>
    <t>خیار ولایی</t>
  </si>
  <si>
    <t>‏ابوعلی ولایت پناه</t>
  </si>
  <si>
    <t>زودتر می رود آنکس که مهیا باشد</t>
  </si>
  <si>
    <t>ناتور</t>
  </si>
  <si>
    <t>در سخنرانى ديشب در #سازمان_ملل @un #ترامپ درمورد مردم امريكا و كارگران كشورش صحبت كرد و اشاره اى به متحدانش كرد و از دزدى و تاراج كشور #ايران توسط دولت و نظام حاكم گفت كه همه درست بود اما #روحانى نا تنها از وضعيت مردم و ملت و كارگران ايران نگفت فقط از سوريه و عراق و فلسطين گفت</t>
  </si>
  <si>
    <t>‏همسر مادر استقلالی</t>
  </si>
  <si>
    <t>marjan</t>
  </si>
  <si>
    <t>shayan</t>
  </si>
  <si>
    <t>مهندس الكترونيك اصلاح طلب.ریتوئیت به معنای تایید نیست.دوستدار صلح و ارامش پایدار.یکی از ارزوهام شادی همه مردم جهانه.</t>
  </si>
  <si>
    <t>Reza Daneshnejad</t>
  </si>
  <si>
    <t>حرف های تیز و برنده روحانی رو شنیدیم تو سازمان ملل ولی باز از دلار شکست خوردیم.حالا موندیم خوشحال باشیم یا ناراحت #سازمان_ملل‌_متحد #روحانی</t>
  </si>
  <si>
    <t>رسول آزاد</t>
  </si>
  <si>
    <t>حقوق بشر و سیاست</t>
  </si>
  <si>
    <t>@hasanasadiz نویسنده سخنرانی سازمان ملل و سخنرانی انتخاباتی #روحانی یه نفر بوده زیبا ولی بدون ضمانت اجرایی و بدون تلاش برای اجرای آن</t>
  </si>
  <si>
    <t>Khosro king</t>
  </si>
  <si>
    <t>اوصيكم به تقواي سياسي در توييت هاتون "</t>
  </si>
  <si>
    <t>جناب #روحاني كاش عالم محضر #سازمان_ملل بود تا بيشتر شاهد سخنان انقلابي وآرماني شما بوديم والبته عالم محضر خداست وهرگونه مذاكره و گفتگوي مجدد با گرگان درنده ثبت ميشود #روحانى_مچكريم</t>
  </si>
  <si>
    <t>🇮🇷reyhan.hooseiny🖤🇵🇸</t>
  </si>
  <si>
    <t>Teacher</t>
  </si>
  <si>
    <t>parvazerahaee</t>
  </si>
  <si>
    <t>‏‏‏‏‏‏دانشجوی علوم سیاسی، دبیر سرویس سیاسی روزنامه «روزان»، عضو حزب اتحاد ملت</t>
  </si>
  <si>
    <t>RT @t_a1362: سخنراني #روحانی_در_سازمان_ملل عالي بود حالا بعد از يك موضع گيري دقيق سياسي بايد واقع بينانه به جنگ اقتصادي پرداخت جايي كه بنظر مي رسد فعلا #ترامپ و شركا با دلواپسان داخلي مردم را به گوشه رينگ كشانده اند.</t>
  </si>
  <si>
    <t>علیرضا خوشبخت</t>
  </si>
  <si>
    <t>Bijan Zol</t>
  </si>
  <si>
    <t>AhMaDrEzA</t>
  </si>
  <si>
    <t>‏آسماטּ فرصت پرواز بلندیست ولی، قصه این است چه اندازه کبوتر باشے .. یه تیچر مهربون^_^📚 .. عاشق عکاسی و اندکی عکاس📷 .. متعهد💍</t>
  </si>
  <si>
    <t>RT @reyhan_pay: جناب #روحاني كاش عالم محضر #سازمان_ملل بود تا بيشتر شاهد سخنان انقلابي وآرماني شما بوديم والبته عالم محضر خداست وهرگونه مذاكره و گفتگوي مجدد با گرگان درنده ثبت ميشود #روحانى_مچكريم</t>
  </si>
  <si>
    <t>گلساعلوی</t>
  </si>
  <si>
    <t>#IranRegimeChange</t>
  </si>
  <si>
    <t>قَبر عمودى</t>
  </si>
  <si>
    <t>Morphling</t>
  </si>
  <si>
    <t>برای جهانی زیبا و بدون جنگ تلاش کنیم</t>
  </si>
  <si>
    <t>Yousefdorj</t>
  </si>
  <si>
    <t>http://iharf.me/?start=1918751124</t>
  </si>
  <si>
    <t>‏‏🇮🇷اللهم عجل لولیک الفرج🇮🇷سربازولایت🇮🇷رزمی کار🇮🇷بسیجی🇮🇷عاشق موتور و ماشین🇮🇷بچه پایین شهر🇮🇷ماتازه واردا🇮🇷 💪 شد،شد؛نشد میریم محلشون💪</t>
  </si>
  <si>
    <t>🇮🇷مستر سیبیلو🇮🇷</t>
  </si>
  <si>
    <t>http://www.etehadonline.com</t>
  </si>
  <si>
    <t>‏پایگاه خبری اتحاد آنلاین دریچه ای بر آخرین اخبار و اطلاعات از تحولات سیاسی، اقتصاد، فرهنگ و اجتماعی ایران و جهان</t>
  </si>
  <si>
    <t>http://etehadonline.com/news/717363/</t>
  </si>
  <si>
    <t>برخلاف ترامپ،روحانی ایران رایک عضومسئول جامعه جهانی نشان داد  #ترامپ #روحانی #مجمع_عمومی_سازمان_ملل</t>
  </si>
  <si>
    <t>اتحاد آنلاین</t>
  </si>
  <si>
    <t>بعد از #حمله_تروریستی_اهواز دیدید که بعضیا گفتند این اتفاق بخاطر اینه که #روحانی در سخنرانی سازمان ملل بگه "ما خودمان قربانی #تروریسم هستیم" دیشب که روحانی با اشاره به این حمله این حرفو زد آب روغن قاطی کردم! بابا حداقل ظاهرو حفظ کنید!</t>
  </si>
  <si>
    <t>http://mjhaghshenas.ir</t>
  </si>
  <si>
    <t>روزنامه نگار ، عضو موسس وشورای مرکزی حزب اعتمادملی</t>
  </si>
  <si>
    <t>Tehran.iran</t>
  </si>
  <si>
    <t>محمد جواد حق شناس🇮🇷</t>
  </si>
  <si>
    <t>‏پیرو خط امام و انقلاب و رهبرم فقط بخاطر لبیک به استادم آماده ام توئیتر #رائفی_پور_صدای_ماست</t>
  </si>
  <si>
    <t>Miradis68</t>
  </si>
  <si>
    <t>The most sensible way to live in this world is to live without law. معقولانه ترین راه برای زندگی در این دنیا اینه که بدون قانون و قاعده زندگي كني.</t>
  </si>
  <si>
    <t>Patriot</t>
  </si>
  <si>
    <t>Supporter Prince Reza Pahlavi.براندازم ، 💙شاهزاده رضا پهلوی اعتراضات ساعت ۶</t>
  </si>
  <si>
    <t>ایران -تهران</t>
  </si>
  <si>
    <t>🦋Tufan 👑🏳️💙</t>
  </si>
  <si>
    <t>https://pbs.twimg.com/media/DoAZhUVXkAI-THv.jpg</t>
  </si>
  <si>
    <t>⭕️تعداد حاضرین در جلسه سازمان ملل ۳مهر عکس بالا موقع سخنرانی #ترامپ عکس پایین موقع سخنرانی #روحانی</t>
  </si>
  <si>
    <t>maddJavadi</t>
  </si>
  <si>
    <t>https://www.youtube.com/watch?v=Jm_Qzly2iqo</t>
  </si>
  <si>
    <t>🔴تظاهرات بزرگ ایرانیان آزاده در #نیویورک دراعتراض به حضور #روحانی جنایتکار در #سازمان_ملل  ۳ مهر #ایران #IranRegimeChange</t>
  </si>
  <si>
    <t>Masoomeh Raeiskarimi</t>
  </si>
  <si>
    <t>عاشق مقاومت ايران. اهل عمل هستن و روی قول و تعهدشون میشه حساب کرد. واسه من قول و تعهد همه چیزه</t>
  </si>
  <si>
    <t>alimirzaii</t>
  </si>
  <si>
    <t>‏‏وارد کننده مواد غذایی و آشامیدنی کارشناس ارشد مکانیک ساخت و تولید ساکن تهران و مجرد اصلاح طلبی که به اصول پایبند هست. سیاست، اقتصاد و فرهنگ</t>
  </si>
  <si>
    <t>🇮🇷 Engineer Mojtaba</t>
  </si>
  <si>
    <t>http://Www.3Sootjobs.com</t>
  </si>
  <si>
    <t>متخصص منابع انساني و سالها تجربه در زمينه استخدام، آموزش، كوچينگ توسعه مسير شغلي ... هم بنيانگزار در سامانه استخدامي ٣سوت جابز</t>
  </si>
  <si>
    <t>مهرنوش شوقي</t>
  </si>
  <si>
    <t>ریتوییتر صلواتی | توییت خوب از شما، ریتوییت از من، صلوات و حمایت از شما | #صلوات</t>
  </si>
  <si>
    <t>ریتوییت به معنی تایید نیست (RT≠endorsement)</t>
  </si>
  <si>
    <t>™[ΛMIՈ]</t>
  </si>
  <si>
    <t>شَرِّ الْوَسْوَاسِ الْخَنَّاسِ</t>
  </si>
  <si>
    <t>RT @SiyamakSaboori: #فرداي_سوسياليسم به جاي مليجكهاي درنده اي مثل #روحاني، #ترامپ، #نتانياهو، يكي مثل #لنين يا #مائو تو سخنراني #سازمان_ملل‌_متحد فرياد خواهد زد: امپرياليستها و #مرتجعين ببر كاغذي اند، #انقلاب جشن توده ها است و #انترناسيونال است نژاد إنسانها. #به_سوي_جمهوري_سوسياليستي_نوين_ايران</t>
  </si>
  <si>
    <t>کوردامیر🕴</t>
  </si>
  <si>
    <t>life is short so happy and free</t>
  </si>
  <si>
    <t>Masóòd</t>
  </si>
  <si>
    <t>https://www.instagram.com/mohsen_ghorbaniii</t>
  </si>
  <si>
    <t>از کتاب‌هایی که می‌خونم توئیت میزنم هر شب ساعت 11</t>
  </si>
  <si>
    <t>سخنان #روحانی در #سازمان_ملل نشان از ژن غالب ارضاء‌شونده‌ی ما ایرانیان از شعر و شاعری و نثر مسجع و مسائل ماورائی و آن‌جهانی است. ما اگر در وادی عمل و تجربه‌گرایی و مسائل این‌جهانی حرفی برای گفتن داشتیم و کاره‌ای بودیم، بعد ابن‌سینا وخوارزمی و فارابی و رازی، نبایداینچنین می‌بودیم!</t>
  </si>
  <si>
    <t>Mohsen Ghorbani</t>
  </si>
  <si>
    <t>ام اس خسته كنندست ولى ميشه باهاش كنار اومد، عاشق كيك پختن و طراحى لباسم و اشپزى و رانندگى و كمى خوانندگى</t>
  </si>
  <si>
    <t>firuzeh_moh</t>
  </si>
  <si>
    <t>http://www.khabgard.com</t>
  </si>
  <si>
    <t>رضا شکراللهی | ویراستار، نویسنده و سردبیر سایت خوابگرد</t>
  </si>
  <si>
    <t>خوابگرد</t>
  </si>
  <si>
    <t>‏کارشناس ارشد علوم سیاسی از دانشگاه شهید بهشتی. پژوهشگر منطقه خاورمیانه</t>
  </si>
  <si>
    <t>https://pbs.twimg.com/media/DoAbSZ9W0AANLM7.jpg</t>
  </si>
  <si>
    <t>در حد چند جمله کوتاه، سخنرانی #روحانی در سازمان ملل متحد با توجه به سخنان آشفته و تند #ترامپ که مورد تمسخر رسانه ‌ها قرار گرفته، منطقی و با اقتدار بود.</t>
  </si>
  <si>
    <t>Aghapourkhalil</t>
  </si>
  <si>
    <t>لبیک یا خامنه ای</t>
  </si>
  <si>
    <t>سیستان وبلوچستان هیرمند</t>
  </si>
  <si>
    <t>#روحانی اگر میخواد با صلابت در مجمع عمومی سازمان ملل سخنرانی کنه باید هر لحظه سخنان رهبری در خصوص #جنگ_نمیشود_مذاکره_نمیکنیم را در ذهنش مرور کنه</t>
  </si>
  <si>
    <t>فدایی رهبرم</t>
  </si>
  <si>
    <t>الغضبان</t>
  </si>
  <si>
    <t>https://pbs.twimg.com/media/Dn4JEMNXsAAObgH.jpg</t>
  </si>
  <si>
    <t>RT @NiessohD: #روحانی، نماینده ی جمهوری اسلامیِ ریاکار، دروغگو و جنایتکار است در سازمان ملل. او میخواهد از جنایتی صحبت کند که خودِ نظام دسیسه اش را پیاده کرده.(اهواز) و مظلوم نمایی کند برای دیگر کشورها. و اما امثالِ #آرش_صادقی در زندانهای ج.ا، پنهانی دارند ترور میشوند!! #SaveArash</t>
  </si>
  <si>
    <t>دردمان آزادی است...</t>
  </si>
  <si>
    <t>Tayebe Salmani</t>
  </si>
  <si>
    <t>آینده در دستان ماست اگر آب و هوا یا محیط زیست سالم داشته باشیم !عمل ما مصداق این بیت است از دشمنان برند شکایت به دوستان چون دوست دشمن است شکایت کجا بریم</t>
  </si>
  <si>
    <t xml:space="preserve"> ایران </t>
  </si>
  <si>
    <t>اگر با جامعه جهانی گفتگو ‌کنی، نتیجه‌اش میشود #برجام ؛ آن وقت اگر یکی مثل #ترامپ نقض عهد کرد؛ میتونی بیای در #سازمان_ملل و سینه سپر کنی از حقوق مردم #ایران دفاع کنی؛ اروپا ؛ روسیه و چین را همراه ببینی ! اینها نتیجه رفتار منطقی در صحنه بین‌الملل است ! #سخنرانی_روحانی</t>
  </si>
  <si>
    <t>دایی حسن</t>
  </si>
  <si>
    <t>iran boy</t>
  </si>
  <si>
    <t>😁</t>
  </si>
  <si>
    <t>🇮🇷 Mostafa</t>
  </si>
  <si>
    <t>یک آزادی خواهم برای آزادی مردمم و میهنم.قلب انسانی ام را تقدیم دانشجوی ستاره دارکولبرکودک کار وگورخواب وکلیه فروش میکنم فالو =فالو بک آنفالو = آنفالو</t>
  </si>
  <si>
    <t>حمید امیر</t>
  </si>
  <si>
    <t>inestagram= sornaboy</t>
  </si>
  <si>
    <t>ايران</t>
  </si>
  <si>
    <t>کارشناس ارشد میکروبیولوژی-انقلابی و عاشق مبارزه با صهیونیسم و تفاله هایش چه داخلی چه خارجی</t>
  </si>
  <si>
    <t>Reza Shafiee</t>
  </si>
  <si>
    <t>‏‏‏‏ يَ الله إن لم تكن نفسي التي أحملها ترضيك فَ أصلحها وَ بصرها وقربها إليك يَ الله لا حاجة لي في الدنيا إن لم أحظى بقربك</t>
  </si>
  <si>
    <t>south east iran</t>
  </si>
  <si>
    <t>tk_3f</t>
  </si>
  <si>
    <t>http://Shatr.blog.ir</t>
  </si>
  <si>
    <t>‏‏‏‏با تکیه بر سنت، پیِ شناختِ زمانه ی خویشم...</t>
  </si>
  <si>
    <t>https://pbs.twimg.com/media/DoAcuBvXoAASo2L.jpg</t>
  </si>
  <si>
    <t>#ترامپ پشت تریبون سازمان ملل ایران رو شُست و برد رو طناب پهن کرد! روحانی از پشت همان تریبون گفت‌وگو آغاز کرد!</t>
  </si>
  <si>
    <t>امين بابازاده</t>
  </si>
  <si>
    <t>‏‏‏‏‏‏‏‏‏‏‏‏السلام علیک یا اباعبدلله الحسین.. شیرازیم😎 انقلابیم✊ متاهل✌ .. اگه انقلابی هستی حمایت کن فجازی رو پس بگیریم.. ان شاالله .. یا حیدر کرار</t>
  </si>
  <si>
    <t>مُحـٰــ امـٖـ 🇮🇷</t>
  </si>
  <si>
    <t>محصولی شگرف از ایران زمین برایتان اورده ام</t>
  </si>
  <si>
    <t>جزایر گالاپاگوس</t>
  </si>
  <si>
    <t>مارکوخورشت</t>
  </si>
  <si>
    <t>‏‏‏‏‏‏‏‏‏‏‏‏‏‏‏‏‏‏دانشجوی مهندسی برق دانشگاه ارومیه</t>
  </si>
  <si>
    <t>ملایر و ارومیه</t>
  </si>
  <si>
    <t>حسین محمدی🇮🇷</t>
  </si>
  <si>
    <t>( 🌺 I'm a vegan 🌺) به سراغ من اگر مي آئيدنرم و آهسته قدم بردارين ،تا مبادا ترك بردارد، چيني نازك تنهايي من ،🌸💙💙 يك استقلالي 💙💙🌸انسانم آرزوست💎🎗💎</t>
  </si>
  <si>
    <t>💙Iran💙🏳️💎بارانا💎🏳️</t>
  </si>
  <si>
    <t>Novinpad</t>
  </si>
  <si>
    <t>http://sooroosh.me</t>
  </si>
  <si>
    <t>من از نسلی هستم که مهم‌ترین حرف‌های زندگیش رو نگفت؛ تایپ کرد! Growing Up</t>
  </si>
  <si>
    <t>Soroush Bayatpour</t>
  </si>
  <si>
    <t>RT @hFpCffWJsjtlzj8: هشتگ های دیشب کاملا شبیه استادیوم آزادی و دربی بود. ملت شعاری شعار درمانی میشند. از ماست که بر ماست. #روحاني #روحانی_در_سازمان_ملل #WeStand4Iran #NoSanctionNoWar #ترامپ</t>
  </si>
  <si>
    <t>Born in 1980-Documentary photography since 1994-Photojournalism since 2001- Shoot lots of short and documentary movies mehedighasemii@gmail.com +989125117207</t>
  </si>
  <si>
    <t>Mehdi Ghasemi</t>
  </si>
  <si>
    <t>http://shahr2ad.wordpress.com</t>
  </si>
  <si>
    <t>Shahrzad, the storyteller who stops at the middle of the story ... / Instagram : shahrzad_alh / Tweets in Fa-En / #SHMarketWatch</t>
  </si>
  <si>
    <t>شهــــرزاد 🇮🇷</t>
  </si>
  <si>
    <t>یک آبانی2آتیشه برنامه نویس شب بیدار و نت خوار مسلط یا آشنا به اکثر زبان های به درد بخور غیر از روبی و در آخر ریشو</t>
  </si>
  <si>
    <t>سیروس</t>
  </si>
  <si>
    <t>‏‏من وضو با یورو و روبل و ریال میگیرم</t>
  </si>
  <si>
    <t>گاوصندوق</t>
  </si>
  <si>
    <t>آیت‌الله دزد</t>
  </si>
  <si>
    <t>گله‌جه‌یه اومودسوز و آزادلیق حسرتینده یاشایان قوجا بیر جوان</t>
  </si>
  <si>
    <t>https://pbs.twimg.com/media/DoAeIfCWsAARWpf.jpg</t>
  </si>
  <si>
    <t>احمدی‌نژاد هم وقتی تو #سازمان_ملل شروع به صحبت کرد، سالن به همین اندازه خالی شد. براش جوک درست کردیم که بان کی‌مون کلیدهای در سازمان رو بهش داده گفته بعد اینکه تموم کردی خودت چراغ‌ها رو خاموش کن درم ببند برو #حسن_روحانى</t>
  </si>
  <si>
    <t>Erkin</t>
  </si>
  <si>
    <t>‏‏‏‏‎‎‎‎‎#مستقلی. فعال فرهنگی و تشکلاتی. روزمره نویس.الگویم بی بی فاطمه زهرا(س). هدفم آدم شدن و نیروسازی در راه انقلاب و ظهور امام زمان(عج) (سیاه پوش اربابم)</t>
  </si>
  <si>
    <t>ستاری</t>
  </si>
  <si>
    <t>گویا جناب #روحانی خطای سال ۱۳۹۳ اش در سخنرانی در مجمع عمومی سازمان ملل را دیشب هم دوباره تکرار کرد؟ با این تفاوت که در سال ۹۳ بارها و از روی کاغذ، رئیس زن جلسه را "آقای رئیس" خطاب کرد و دیشب، رئیس مرد جلسه را بارها و از روی کاغذ "خانم رئیس" خطاب کرد 😂</t>
  </si>
  <si>
    <t>بلک هوک🦅</t>
  </si>
  <si>
    <t>نظم</t>
  </si>
  <si>
    <t>Rodsar,iran</t>
  </si>
  <si>
    <t>Masoud Rasoliazar</t>
  </si>
  <si>
    <t>‏‏‏‏‏‏‏‏‏‏‏‏‏‏‏‏‏‏‏‏دوستدار طبیعت،آرزومند اعتلای فرهنگ غنی ایران زمین خداوند زیباست و زیبایی ها را دوست دارد. Allah is beautiful and loves beauty</t>
  </si>
  <si>
    <t>IRAN⁦🇮🇷⁩</t>
  </si>
  <si>
    <t>HAMID AMIRALI⁦🇮🇷⁩</t>
  </si>
  <si>
    <t>Ottawa, Ontario</t>
  </si>
  <si>
    <t>برای نخستین بار یک مقام رژیم در یک تریبون بین المللی منطقی حرف زد! #روحانی گذشته از چرت و پرتی که در خصوص فلسطین گفت عمده صحبتهایی که در سازمان ملل بیان کرد دیپلماتیک بود و بهترین نطق طی چهل سال عمر رژیم #ترامپ #روحانی #براندازیم</t>
  </si>
  <si>
    <t>Rasul Abbasi</t>
  </si>
  <si>
    <t>‏‏هراس من باری همه مردن در سرزمینی است که مزد گورکن از آزادی آدمی افزونتر باشد.</t>
  </si>
  <si>
    <t>انسان خردمند</t>
  </si>
  <si>
    <t>RT @abdolah_abdi: اکثر سخنان دکتر #روحانی در #سازمان_ملل سخنان حقوقی و درستی بود. با شناخت نسبی که ازجامعه بین الملل دارم فکر می کنم حرف دل خیلی ازدولت ها را زد. فقط برایم عجیب است درشرایطی که شبکه #بی_بی_سی_فارسی و #من_و_تو دولت ایران را #رژیم مینامند، چرا روحانی #رژیم_صهیونستی را #اسرائیل خواند؟</t>
  </si>
  <si>
    <t>🇮🇷Atre Yaas🇮🇷</t>
  </si>
  <si>
    <t>Just think</t>
  </si>
  <si>
    <t>Global</t>
  </si>
  <si>
    <t>سیروس ایرانی زاده🇮🇷</t>
  </si>
  <si>
    <t>THE ´EARTH´WITHOUT ´ART´ IS JUST ´EH´...</t>
  </si>
  <si>
    <t>https://pbs.twimg.com/media/DoAfEfvXkAEpc_b.jpg</t>
  </si>
  <si>
    <t>با تمام جنگ #اقتصادی، #رسانه ایی که بر ضد #ایران درست شده ، با یه چرخ کوچیک تو رسانه‌های #دنیا خیلی‌ راحت می‌شه فهمید که کم کم برندهٔ #دیپلماتیک گفتگوی دیروز میون #ترامپ و #روحانی ، #ایران بود ! پ.ن : چه طرفدار روحانی باشی‌ ، چه نباشی‌! 🙃 #اردشیرمهدیان #گفتگو #سازمان_ملل</t>
  </si>
  <si>
    <t>Ardeshir Mahdian</t>
  </si>
  <si>
    <t>‏‏‏‏‏لیبرال کلاسیک، طرفدار حقوق همه موجودات زنده ، مخالف سوسیالیسم در هر شکلی، جهانی شدن ، فمینیسم افراطی و غیره #فرشگرد</t>
  </si>
  <si>
    <t>pic.twitter.com/m8Gm0iH9c4</t>
  </si>
  <si>
    <t>https://twitter.com/AyoubMohammed85/status/1044846603973087232</t>
  </si>
  <si>
    <t>ترور فعال حقوق بشر خوش نام عراقی در بصره، که در سازماندهی تظاهرات ضد ایرانی منجر به آتش زدن کنسولگری ج.ا شد، درست در زمان سفر روحانی به نیویورک و مانور مظلوم نمایی بخاطر واقعه اهواز، فقط از نوابغ ج.ا ساخته است و بس. #سازمان_ملل #Basrah RT @AyoubMohammed85: footage of killing #Suad_Ali, a civil activist in late preotoests in #Basrah, in #Abbasya nighborhood middle of #basrah #Iraq #iraqprotests</t>
  </si>
  <si>
    <t>Reza Kh</t>
  </si>
  <si>
    <t>‏ستار هستم... عاشق منچستر.. دیوونه پرسپولیس.. متنفر از فساد و نظام فاسد.. و در آخر ی روز خوب میااااد...</t>
  </si>
  <si>
    <t>😊</t>
  </si>
  <si>
    <t>Sati</t>
  </si>
  <si>
    <t>مار را از کانال https://telegram.me/pretweet در تلگرام نیز دنبال کنید.. ‌❤️❤️</t>
  </si>
  <si>
    <t>ريتوييت</t>
  </si>
  <si>
    <t>http://www.ostomaan.org</t>
  </si>
  <si>
    <t>‏فعال و کنشگر سیاسی بلوچ خود را متعلق به هیچ دینی نمی‌دانم . ( امیدوارم روزی برسد که تو را بخاطر عقایدت بالای دار نبرند، آن روز بهشت من است)</t>
  </si>
  <si>
    <t>Mönchengladbach, Nordrhein-Wes</t>
  </si>
  <si>
    <t>https://pbs.twimg.com/media/DoAgWyeWkAEd2ly.jpg</t>
  </si>
  <si>
    <t>رژیمی که دوست و متحدانش کمتر از انگشتان دست است چگونه ادعا میکند که جهان دوستی بهتر از #جمهوری_اسلامی_ایران نخواهد داشت؟ این واقعیت را می‌توانید در تصویر سخنرانی #روحاني و #ترامپ در مجمع عمومی سازمان ملل مشاهده کنید. #نه_به_رژیم_فاشیست_جمهوری_اسلامی_ایران #IranRegimeChange</t>
  </si>
  <si>
    <t>Saeid Tajdari</t>
  </si>
  <si>
    <t>کمی تا قسمتی امیدوار اندکی ناامید متنفر از عرزشی دشمن خونی آدم نفهم</t>
  </si>
  <si>
    <t>ژوزف</t>
  </si>
  <si>
    <t>http://toofargan.ir</t>
  </si>
  <si>
    <t>‏‏‏شاعری هستم که در پیچ و تاب خبر مهندسی میکنم</t>
  </si>
  <si>
    <t>RT @KHIYALE_KHIS: توصیه #روحانی به مجمع عمومی #سازمان ملل واقعيات تاريخي درباره ايران را بپذيريد، جهان دوستي بهتر از ايران نخواهد داشت اگر صلح آرمان شما باشد. #جنگ_نمیشود_مذاکره_نمیکنیم</t>
  </si>
  <si>
    <t>Morteza.Aghajanzadeh</t>
  </si>
  <si>
    <t>‏اخبار فوری و موثق به من الهام می‌شود:)) عضو هیچ گروه و دسته ای نیستم ، ایرانی ام و عاشق تمام ایرانیان</t>
  </si>
  <si>
    <t>به نظرتون اگر #روحانی یا هر فرد دیگری جای روحانی مثلاً ( #ذوالنور ) اگر تو #مجمع_عمومی_سازمان_ملل جور دیگه سخنرانی میکرد تفاوتی رو قیمت #دلار بوجود می‌اومد؟! این سوال برای این می‌پرسم چون جمهوری اسلامی که جایی نمیره ولی احتمالش زیاده باهمین فرمون یکی مثل #یامین‌پور رییس جمهور بشه</t>
  </si>
  <si>
    <t>فوری و موثق</t>
  </si>
  <si>
    <t>‏‏‏‏t‏‏‏‏‏‏‏‏‏‏‏‏architec he comes/i love my life hero همسر/عاشق معماری سنتی وفلسفه/ چشم اگر با دوست دارے گوش با دشمن مڪن/ عاشقے و نیڪ نامے سعدیا سنگ و سبوست</t>
  </si>
  <si>
    <t>حالا هر جا</t>
  </si>
  <si>
    <t>محسن مرادی</t>
  </si>
  <si>
    <t>فقط ۳ثانیه فکر کنید #رئیسی یا #رسایی یا #یامین‌پور یا #ذوالنور یا .... جای #روحانی یا هر کسی #رئیس‌جمهور بودند؟!؟ همون قدر ترسناک هست که از سوریه شدن ایران رو مدام تذکر می‌دهیم #مجمع_عمومی_سازمان_ملل</t>
  </si>
  <si>
    <t>بِپا خیالی نشی</t>
  </si>
  <si>
    <t>حرفهای روحانی تو سازمان ملل آنچنان افسون کننده بود که به غیر از جامعه جهانی #دلار هم مسحور شد و داره پرواز میکنه تا آسمون هفتم</t>
  </si>
  <si>
    <t>خیال‌باز</t>
  </si>
  <si>
    <t>http://www.telegram.me/amir_texts</t>
  </si>
  <si>
    <t>‏‏‏‏آخرش که چی؟</t>
  </si>
  <si>
    <t>یــــزد – کـــرمون</t>
  </si>
  <si>
    <t>پارسالم همه برای سخنرانی #روحانی تو سازمان ملل، بَه‌بَه و چَه‌چَه میکردن لکن نمیدونم چه سرّیه که وقتی برمیگرده ایران یه آدم دیگه میشه...</t>
  </si>
  <si>
    <t>امیــروسِین</t>
  </si>
  <si>
    <t>💍 اینجا خودم هستم</t>
  </si>
  <si>
    <t>وضعیت طوریه که از اینکه #روحانی زیاده روی نکرده و یکم منطقی حرف زده خوشحالیم !!! یه مشت لوزر بدبختیم که حقمونه هرچی سرمون بیارن #روحانی_در_سازمان_ملل</t>
  </si>
  <si>
    <t>آسمون</t>
  </si>
  <si>
    <t>موزیک خوار</t>
  </si>
  <si>
    <t>RT @6obI1dgFVywF44i: دولت مردان بزرگ به جای دیوار پل میسازند‌‌. حسن روحانی اجلاس صلح بزرگداشت نلسون ماندلا #WeStand4Iran #روحانی #سازمان_ملل</t>
  </si>
  <si>
    <t>danial</t>
  </si>
  <si>
    <t>‏‏بعد از هر کامنتى که ميگذارم برایم مهم نیست درباره من چه فکری ميکنى مهم اینست که در فضای مجازی بازهم خودم هستم .خط قرمز من هم رهبری و یا خیانت به مملکت هست</t>
  </si>
  <si>
    <t>على</t>
  </si>
  <si>
    <t>براي دختركان كارتن خواب، براي گورخوابان، براي همه ستمديدگان ميهنم، براي رهايي خاك پاك ايران زمين ـ تا آخرين نفس</t>
  </si>
  <si>
    <t>جمال رشيدي راد</t>
  </si>
  <si>
    <t>RT @Entekhab_News: #آقای_روحانی! دست مریزاد؛ برای چنین روزی به شما #رای دادم سخنرانی حسن روحانی در نشست مجمع عمومی #سازمان_ملل بر خلاف سخنان ترامپ که قبل از او ایراد شده بود، نشانه ای از جنگ طلبی و به مبارزه طلبیدن طرف آمریکایی نداشت.</t>
  </si>
  <si>
    <t>History and Philosophy researcher/ In love with science and philosophy.</t>
  </si>
  <si>
    <t>سخنرانی دکتر #روحانی در مجمع عمومی سازمان ملل یادآور بزرگانی چون فیدل کاسترو بود. آزادی خواهی و دیپلماسی بین المللی. درود بر ایشان👏</t>
  </si>
  <si>
    <t>Jonah</t>
  </si>
  <si>
    <t>💎</t>
  </si>
  <si>
    <t>Partisan</t>
  </si>
  <si>
    <t>مستندساز و عكاس</t>
  </si>
  <si>
    <t>#ترامپ از دوماه پیش خیلی هوشمندانه گفت مذاکره با ایران رو میپذیرم بدون قید و شرط ، یکساعت قبل از سخنرانی در سازمان ملل گفت مذاکره نمیکنم ؛ #دلار شد هجده هزارتومن !!! تاثیر کلام در ارزش پول ملی ما #سخنرانی_روحانی #از_همینجا_گفتگو_را_آغاز_میکنم</t>
  </si>
  <si>
    <t>Hossein Shafinia</t>
  </si>
  <si>
    <t>joodi,aboot</t>
  </si>
  <si>
    <t>https://ello.co/drdej2016</t>
  </si>
  <si>
    <t>A TO Z http://www.twitlonger.com/show/n_1sphfcg?new_post=true We must put an end to war before warmongers (Bush..John McCain) put an end to us all😡.</t>
  </si>
  <si>
    <t>Lewisham, London</t>
  </si>
  <si>
    <t>Dr F Dejahang</t>
  </si>
  <si>
    <t>من کیش شدم تو ماتم نکن</t>
  </si>
  <si>
    <t>lorstan</t>
  </si>
  <si>
    <t>Ehsan</t>
  </si>
  <si>
    <t>https://iranazadie.blogspot.fr/</t>
  </si>
  <si>
    <t>به سوی ایران عزیزم شتابان دلم یک ذره شده همه چیزم ایران - زنده باد ایران</t>
  </si>
  <si>
    <t>مسافر - ایران</t>
  </si>
  <si>
    <t>ریتوییت دلیل بر تایید موضوع نیست. ‏‏ورزش سیاست</t>
  </si>
  <si>
    <t>RT @Malavan__zebel: روحانی در سازمان ملل: "برای گفت‌و‌گو نیازی به گرفتن عکس‌های دونفره نیست. میشود از همینجا گفتگو را آغاز کرد!" دیگر باید چه زبانی التماس کنند؟! #دیپلماسی_التماس #روحانی #روحانی_مچکریم</t>
  </si>
  <si>
    <t>حسین</t>
  </si>
  <si>
    <t>معتقد به جبهه دوم خرداد؛ .........#یادآر.........(مجاهدین‌خلق، پیروان افراطی معظّم‌ٌله و اعلیٰ‌حضرت، لطفا دنبال نکنند)</t>
  </si>
  <si>
    <t>رضٰا🇮🇷</t>
  </si>
  <si>
    <t>انقلابی که فاسد را فاسد میداند حتی اگر مسئول رد بالا باشد ودست فاسد باید قطع شود وممکنه به اصل انقلاب ضربه بخوره بخاطر افشای فساد را به هیچ عنوان قبول نداره</t>
  </si>
  <si>
    <t>اصفهان</t>
  </si>
  <si>
    <t>https://pbs.twimg.com/media/DoAkU8TXoAEnKyv.jpg</t>
  </si>
  <si>
    <t>یک دنیا تحقیر برای ایران در یک عکس!!!! #روحاني زبان دنیا بلد!!!!!! #ترامپ احمق بی سواد که دنیا قبولش ندارد!!! #روحانی_در_سازمان_ملل #ترامپ</t>
  </si>
  <si>
    <t>yaser akhindy</t>
  </si>
  <si>
    <t>افتادگي آموز اگر طالب فيضي....</t>
  </si>
  <si>
    <t>احمدرضا</t>
  </si>
  <si>
    <t>✅ #روحانی در #سازمان_ملل رسما گفت که گفت‌وگو با #آمریکا را از همینجا شروع میکنم، درحالیکه قبلش گفته بود به زور نمی‌توان مذاکره کرد، مگر... یه جورایی با دست پس می‌زنیم و با پا پیش می‌کشیم خوشبختانه از مرحله «منم عکساشو پاره کردم، نامه‌هاشو پاره کردم» گذر کردیم...</t>
  </si>
  <si>
    <t>Eng_sepanta</t>
  </si>
  <si>
    <t>هر قدر دیروز #ترامپ حرف‌ها و عقاید عقب‌افتاده و خطرناک‌ خودش را در #سازمان_ملل بیان کرد، در عوض #روحانی با یک دو جین شعار و دروغ‌گویی پشت تریبون ایستاد و چیزهایی را گفت که نه خودش و نه حکومت متبوعش هیچ اعتقادی به آنها نداشته و ندارند!</t>
  </si>
  <si>
    <t>دیدار بادبیرکل #سازمان_ملل،ملاقات با رئیس‌جمهور سوئیس و نخست‌وزیران کشورهای ایتالیا، ژاپن و مالزی، کنفرانس خبری با رسانه‌های بین المللی(حدود ساعت 13 به‌وقت #نیویورک و 8:30 شب به‌وقت تهران که ازطریق صدا و سیما پخش زنده خواهد داشت) برنامه آخرین روز حضور حسن #روحانی در نیویورک است.</t>
  </si>
  <si>
    <t>https://t.me/joinchat/D0YoNT0zfmY4PWVe1cxmbg</t>
  </si>
  <si>
    <t>خدا با ماست</t>
  </si>
  <si>
    <t>سلسبیل</t>
  </si>
  <si>
    <t>‏‏‏شبکه توییتر #خراسان جمعی #دانشجو توییتری</t>
  </si>
  <si>
    <t>khorasan</t>
  </si>
  <si>
    <t>RT @AR_Ardeshir: نطق #روحانی مارو یاده نطق سال 85 احمدی نژاد در سازمان ملل انداخت احمدی نژاد کی بودی تو !!؟؟ #strongestiran #NoSanctionNoWar</t>
  </si>
  <si>
    <t>توییتر خراسان</t>
  </si>
  <si>
    <t>‏‏‏‏‏‏‏‏‏‏‏‏‏‏http://M.Sc‎‎‎‎‎‎‎‎‎‎‎‎‎‎ Earthquake Engineering ‏‏‏‏‏‏‏‏‏</t>
  </si>
  <si>
    <t>Sari</t>
  </si>
  <si>
    <t>Hesameshoon</t>
  </si>
  <si>
    <t>‏‏‏‏‏‏زنده باد بهار</t>
  </si>
  <si>
    <t>RT @HoSeN_RmR: #رهبری: "مذاکره نخواهیم کرد" #روحانی در سازمان ملل: لیدیز &amp; جنتلمن! امریکا ما را خیلی تحریم میکند داریم تلف میشویم روبروی نگاه دنیا #التماس میکنم...برگردید به میز #مذاکره! #پایان #همه_باهمند</t>
  </si>
  <si>
    <t>Alireza Abolghasemi</t>
  </si>
  <si>
    <t>http://kafereeshgh.blogfa.com</t>
  </si>
  <si>
    <t>‏‏‏‏خزعبلات یک عقل خسته،یک ذهن فاحشه ،تازه وارد نیستم! مرا به نام تازه ام صدا بزن! روزنامه نگار.</t>
  </si>
  <si>
    <t>Islamic Republic of Iran,ramsa</t>
  </si>
  <si>
    <t>توجیه المسائل</t>
  </si>
  <si>
    <t>کوروش سبحانی</t>
  </si>
  <si>
    <t>بیزارم از هر چه نژاد پرست وطنی</t>
  </si>
  <si>
    <t>#ترامپ : حسن بریم تو گاراژ خونمون اون پنگوئن که سیگار میکشه رو نشونت بدم. #روحانی :نخیر اگه راست میگی بیار اینجا نشون بده #سازمان_ملل :حسن خطرناکه حسن #دلار</t>
  </si>
  <si>
    <t>شهروند درجه سه</t>
  </si>
  <si>
    <t>در سایه ابوتراب...</t>
  </si>
  <si>
    <t>Hosein Bayat</t>
  </si>
  <si>
    <t>https://pbs.twimg.com/media/DoAmsluWsAIjTZZ.jpg</t>
  </si>
  <si>
    <t>سخنرانی ارزنده و هوشمندانه‌ی #روحانی در صحن #سازمان_ملل جای تقدیر دارد. همان‌طور که رییس‌جمهور گفت،دنیا باید واقعیات تاریخی درباره ایران را بپذیرد، از #تحریم دست بردارد و به #تکفیر پایان دهد. جهان،دوستی بهتر از #ایران نخواهد داشت، اگر #صلح، آرمان همگان است. #vروحانی_مچکریم</t>
  </si>
  <si>
    <t>shak</t>
  </si>
  <si>
    <t>https://t.me/simorgh31</t>
  </si>
  <si>
    <t>ایران وطنم خاکت کفنم.جانم فدای ایران.جمهوریخواه</t>
  </si>
  <si>
    <t>everywhere</t>
  </si>
  <si>
    <t>https://pbs.twimg.com/media/DoAnMRHX0AEo-tU.jpg</t>
  </si>
  <si>
    <t>«اصغر نعیمی»#کارگردان: آیا برای شعارهای تکراری نیاز به سفر به #نیویورک بود؟/بعد از سخنرانی روحانی باز #دلار افزایش پیدا کرد!/یعنی حضور #رییس‌_جمهور در #سازمان_ملل نمی‌توانست چند ساعت به #بازار، آرامش دهد؟</t>
  </si>
  <si>
    <t>كاووس آستا</t>
  </si>
  <si>
    <t>ضال</t>
  </si>
  <si>
    <t>مُنزجر</t>
  </si>
  <si>
    <t>Trapped in wrong planet, Man Utd😈</t>
  </si>
  <si>
    <t>V for vendetta</t>
  </si>
  <si>
    <t>davood karimi</t>
  </si>
  <si>
    <t>https://mcaf.ee/l6w8mb</t>
  </si>
  <si>
    <t>I am Iranian and an active for human rights</t>
  </si>
  <si>
    <t>RT @KavocAsta: «اصغر نعیمی»#کارگردان: آیا برای شعارهای تکراری نیاز به سفر به #نیویورک بود؟/بعد از سخنرانی روحانی باز #دلار افزایش پیدا کرد!/یعنی حضور #رییس‌_جمهور در #سازمان_ملل نمی‌توانست چند ساعت به #بازار، آرامش دهد؟</t>
  </si>
  <si>
    <t>mohamadhasanzadeh</t>
  </si>
  <si>
    <t>میشه بخونید آقای #روحانی،اوضاع در ایران از بعد سخنرانیِ کم عیب و نقصتان تغییری نکرده،آقای #بولتون و برایان هوک و دوستان #جمهوری_خواه هم باحرفهای صلح طلبانه شما قانع نشدن،،برگردید و بجای زیبا سخنرانی کردن اقتصاد گُر گرفته ایران را نجات دهید. #خسته_شدیم #سازمان_ملل‌_متحد</t>
  </si>
  <si>
    <t>Moein</t>
  </si>
  <si>
    <t>مردم برای بیشتر ترسیدن باید کمتر بفهمند!</t>
  </si>
  <si>
    <t>یک جایی دور از اینجا</t>
  </si>
  <si>
    <t>کسانی که از سخنرانی #روحانی در سازمان ملل در حال ذوق‌مرگ شدن هستن بی‌شک تغییر شکل یافتگان کَبک هستن! ۴۰ سال است دارن به نیمی از دنیا شعار “مرگ بر،،،” میفرستن بعد میگن دیپلماسی خارجی را رعایت کرده‌اند. #IraniansWantRegimeChange</t>
  </si>
  <si>
    <t>🏳️عمونیچه🏳️</t>
  </si>
  <si>
    <t>بی سانسور میبینم، بی سانسور میگم ‏‏‏یه فیلم 🎥 بازم،البته اگر مشغله و کم خوابی 😴بذاره . فیلمای خوبتون رو دایرکت کنید</t>
  </si>
  <si>
    <t>سینما / نمایش خانگی</t>
  </si>
  <si>
    <t>al pacino</t>
  </si>
  <si>
    <t>https://twitter.com/somayehafshinf5/status/1044878833973960704
https://twitter.com/ebrahimomran7/status/1044875233994395649</t>
  </si>
  <si>
    <t>امروز دکه های روزنامه فروشی روزنامه ای با صفحه اولی متفاوت داشتند . صفحه ای با این جمله درشت « من گفت و گو را از همین جا آغاز می کنم» #روزنامه_ایران #روحانی #سازمان_ملل‌_متحد RT @somayehafshinf5: صفحه یک دیدنی #روزنامه_ایران</t>
  </si>
  <si>
    <t>‏‏‏‏به جهان خرم ازانم که جهان خرم اوست عاشقم برهمه عالم که همه عالم ازوست به غنیمت شمرای دوست دم عیسی صبح تادل مرده مگرزنده کنی کاین دم ازوست 📚⚖Law</t>
  </si>
  <si>
    <t>آزاده</t>
  </si>
  <si>
    <t>A failure to the history of Iran. 🕯️Born in a wrong place&amp;time. 🖤: 🎶📚🔩🍷🍕🐕🐾 ☮️⚖️⚒️🇮🇷💰✏️🚬 #براندازم ارزشی، مجاهدین خلق ⛔</t>
  </si>
  <si>
    <t>A prison named IRI</t>
  </si>
  <si>
    <t>#سازمان_ملل‌_متحد با تریبون دادن به #روحانی به نماینده‌ی ظالم، سرکوب، فساد و آشوب و درواقع به حامیان #تروریسم_اسلامی اجازه ریاکاری و ادعای اکاذیب را میده. روحانی نماینده مردم مظلوم ایران نیست. برای شنیدن صدای واقعی مردم ایران، #فرقه_تبهکار باید برود. #IraniansWantRegimeChange</t>
  </si>
  <si>
    <t>Mjolnir⚡</t>
  </si>
  <si>
    <t>#سازمان_ملل دنیا محضر سازمان ملل نیست محضر خداست. دروغ هایتان حتی بدرد سازمان ملل نمی خورد چه رسد به خدا !! #روحانی</t>
  </si>
  <si>
    <t>. عاشق والیبال و شنا.</t>
  </si>
  <si>
    <t>#دلار شد 180000 ریال یه سوال دارم؟ صداوسیما از شکست سخنرانی #ترامپ در #سازمان_ملل گفت! و خندیدن مردم به سخنان ترامپ گفت از پیروزی سخنان #روحانی گفت! پس چرا #دلار تو ایران از 3700 شده 18000</t>
  </si>
  <si>
    <t>E.kh</t>
  </si>
  <si>
    <t>‏‏‏‏‏مادر.همسر.عاشق طبیعت،پائیزوباران.</t>
  </si>
  <si>
    <t>طلوع سپیده</t>
  </si>
  <si>
    <t>...</t>
  </si>
  <si>
    <t>Mehdi AAA</t>
  </si>
  <si>
    <t>در تکلمِ کورباشِ کلمات/چَشم‌هاي خسته‌ي مرا از من گرفته‌اند/اما من/اشاره به اشاره از حيرت ِبي باورِ شب/به تشخيصِ روشنِ روز خواهم رسيد/پس، زنده باد اميد🌱</t>
  </si>
  <si>
    <t xml:space="preserve">جمهوري اسلامي ايران </t>
  </si>
  <si>
    <t>🇮🇷ThisisNazanin🌱</t>
  </si>
  <si>
    <t>شیراز ما</t>
  </si>
  <si>
    <t>‏‏یه روحیه حساس و شکننده ،خعلی تنبل ک اصن حسش نی ، ولی فکر خلاق و تحلیل های خوشگل از کل مملکت :) ،،یکم حسود ،بی حوصله، آدم تحویل نگیر ،سه متر فاصله بگیر :)</t>
  </si>
  <si>
    <t xml:space="preserve">Asgard
</t>
  </si>
  <si>
    <t>https://pbs.twimg.com/media/DoAqbFJWkAAAMwi.jpg</t>
  </si>
  <si>
    <t>تعداد حاضرین در جلسه سازمان ملل موقع سخنرانی ترامپ و روحانی #IraniansWantRegimeChange #روحاني #دلار_فضائی</t>
  </si>
  <si>
    <t>parsa amsford🍃</t>
  </si>
  <si>
    <t>#سازمان_ملل به گفته آقای #روحانی #سیاست_ایران_روشن_است. بله . نابودی مردم و مملکت ایران . تمام حرفهایت در مورد کشور های عربی بود. چقدر از منافع ایران حرف زدی؟؟!!</t>
  </si>
  <si>
    <t>بامبو</t>
  </si>
  <si>
    <t>‏‏آرزویی جز آزادی ندارم...</t>
  </si>
  <si>
    <t>RT @Mjolnir_zdi: #سازمان_ملل‌_متحد با تریبون دادن به #روحانی به نماینده‌ی ظالم، سرکوب، فساد و آشوب و درواقع به حامیان #تروریسم_اسلامی اجازه ریاکاری و ادعای اکاذیب را میده. روحانی نماینده مردم مظلوم ایران نیست. برای شنیدن صدای واقعی مردم ایران، #فرقه_تبهکار باید برود. #IraniansWantRegimeChange</t>
  </si>
  <si>
    <t>alisharr</t>
  </si>
  <si>
    <t>انچه در فهم تو اید، ان بود مفهوم تو!!!</t>
  </si>
  <si>
    <t>Zortema</t>
  </si>
  <si>
    <t>#پادشاهي_مشروطه #westandwithpahlavi❤️👑❤️</t>
  </si>
  <si>
    <t>ميانمار</t>
  </si>
  <si>
    <t>ژان والژان</t>
  </si>
  <si>
    <t>Mahoor755</t>
  </si>
  <si>
    <t>https://pbs.twimg.com/media/Dn8FwjHUcAApqG8.jpg</t>
  </si>
  <si>
    <t>http://tn.ai/1837012</t>
  </si>
  <si>
    <t>RT @Tasnimnews_Fa: برنامه روز دوم #روحانی در #نیویورک؛از دیدار با "مکرون و می" تا مصاحبه با "#کریستین_امانپور"/#رئیس‌جمهور در دومین روز از حضور خود در نیویورک برنامه‌هایی از جمله سخنرانی در اجلاس #سازمان_ملل و دیدار با چند نخست‌وزیر و یک رئیس‌جمهور را در برنامه دارد</t>
  </si>
  <si>
    <t>International Law Student📚🌏⚖ Interested in #Peace #Respect #Security #Prosperity &amp; #Hummanrights ‎‎نظر شما ذره ایی برای من اهمیت نداره خودت و خسته نکن...</t>
  </si>
  <si>
    <t>https://twitter.com/Tahlilgaran/status/1044877267342626818</t>
  </si>
  <si>
    <t>#جمهوری_اسلامی عرضه کنترل #تورم افسار گسیخته مملکت خودش و نداره بعد ملت سوت و هورا میکشن برای #روحانی که تو سازمان ملل متین صحبت کرد. البته سطحتون همینه اینقدر تو این کشور خر و گاو و گوسفند خطابمون کردن شما از شوق عنان از کف دادی. بالا و پایین #اصلاحات تون رو هم دیدیم RT @Tahlilgaran: هر دلار آمریکا ۱۸۰۰۰ تومان معامله شد</t>
  </si>
  <si>
    <t>حضرت کنتس السلطنه</t>
  </si>
  <si>
    <t>‏‏‏‏‏بر آب روی خسی باشی به هوا پری مگسی باشی دلی بدست آر تا کسی باشی</t>
  </si>
  <si>
    <t>Axis of Resistance</t>
  </si>
  <si>
    <t>ابو علی</t>
  </si>
  <si>
    <t>RT @AmoNietzsche: کسانی که از سخنرانی #روحانی در سازمان ملل در حال ذوق‌مرگ شدن هستن بی‌شک تغییر شکل یافتگان کَبک هستن! ۴۰ سال است دارن به نیمی از دنیا شعار “مرگ بر،،،” میفرستن بعد میگن دیپلماسی خارجی را رعایت کرده‌اند. #IraniansWantRegimeChange</t>
  </si>
  <si>
    <t>صحبت های روحانی در #سازمان_ملل اعلام عمومی پایان یک ایدیولوژی و شعارهای مربوط به آن بود.برای اولین بار همه حرف ها زمینی بود و نه مدیریت کل عالم یا سیارات دیگر! حال نیاز است برای ثبات کشور،این پایان به مردم نیز اطلاع رسانی شود. تاریخ مشابهش را زیاد دیده که حاضر به قبول نشده اند!</t>
  </si>
  <si>
    <t>Arash Alemi</t>
  </si>
  <si>
    <t>أنَاَ راْفِضْیْ وَاْفْتَخَرَ‌😍❤</t>
  </si>
  <si>
    <t>ترامپ به زبون خودمون به #روحانی گفته گوگولی هستی، شاید یه روز اومدم لپتو کشیدم..💃💃💃😆😆😝 #روحانی_در_سازمان_ملل</t>
  </si>
  <si>
    <t>Marzieh Rostami</t>
  </si>
  <si>
    <t>Iranian entrepreneur</t>
  </si>
  <si>
    <t>Hamidreza Dehnad</t>
  </si>
  <si>
    <t>kermanshah, Iran</t>
  </si>
  <si>
    <t>سیدنورالدین فاطمی حیات الغیبی</t>
  </si>
  <si>
    <t>RT @amsfordd: تعداد حاضرین در جلسه سازمان ملل موقع سخنرانی ترامپ و روحانی #IraniansWantRegimeChange #روحاني #دلار_فضائی</t>
  </si>
  <si>
    <t>Rozegarma</t>
  </si>
  <si>
    <t>‏‏دنبال جمهوری سکولارم.</t>
  </si>
  <si>
    <t>شیخ پرزیدنت عبای عربی تنش کرده در سازمان ملل از فرهنگ چند هزار ساله ایران حرف میزنه. #روحانی #IraniansWantRegiemChange</t>
  </si>
  <si>
    <t>آینده از آن کودکان ماست به این شرط که، من و شما امروز مسئولیت پذیر باشیم.</t>
  </si>
  <si>
    <t>همه ایران سرای من است</t>
  </si>
  <si>
    <t>حسین عبیری گلپایگانی فعال محیط زیست و  جامعه مدنی</t>
  </si>
  <si>
    <t>‏‏‏سنگین نمی شد این همه خواب ستمگران گر می شد از شکستن دلها ،صدا بلند</t>
  </si>
  <si>
    <t>Atefe samimi</t>
  </si>
  <si>
    <t>lover of three cities ;Tehran,Cambridge, London &amp; a woman.</t>
  </si>
  <si>
    <t>Tehrani Londoner</t>
  </si>
  <si>
    <t>rez</t>
  </si>
  <si>
    <t>💙Run,Rabbit run, Dig that hole, Forget the sun💙</t>
  </si>
  <si>
    <t>AlirezaMahsa</t>
  </si>
  <si>
    <t>کارشناس علوم راهبردی ، سکوت در برابر حرف های بی منطق کار سختیه برام‌. بچه مسلمونم و اگر ایرادی هست به من وارده نه به اعتقادات و دینم.</t>
  </si>
  <si>
    <t>سايه همه نژاد ها يك رنگ است.بعضيا وجود ندارند كه سايه اي داشته باشند.</t>
  </si>
  <si>
    <t>RT @ahmadinejad95: #احمدی‌نژاد که در #سازمان_ملل سخنرانی می‌کرد به نمایندگی از همه‌ی ملتهای آزاده دنیا سخن می‌گفت. پشتوانه‌ی او همچنین ملت، دولت و رهبری ایران بود! اما #روحانی فقط نماینده #الیگارشی حاکم است. به همین دلیل است که با سخنرانی احمدی‌نژاد #نفت گران میشد و با سخنان روحانی #دلار !</t>
  </si>
  <si>
    <t>karami 🚵</t>
  </si>
  <si>
    <t>‏وکیل دادگستری،دوستدار تاریخ،سیاست،ادبیات و رسانه</t>
  </si>
  <si>
    <t>esfandiyarsehatiasl</t>
  </si>
  <si>
    <t>I’m an Iranian, a Perspolisi and a vegetarian, in that order.</t>
  </si>
  <si>
    <t>امروز صبح همکارای فرانسویم مسابقه گذاشتن که بگن سخنرانی روحانی عالی بود، منم‌ لبخند زدم که: ماکرون خودتونم بد نبود والا 😊🇮🇷 #سازمان_ملل #ایران #روحانی</t>
  </si>
  <si>
    <t>NamNam</t>
  </si>
  <si>
    <t>👑جاوید خاندان ایرانساز پهلوی👑 1968=1347 💙👑👑حامی شاهزاده رضا پهلوی هستم👑👑💙</t>
  </si>
  <si>
    <t>vahid_allcapone👑👑👑💙</t>
  </si>
  <si>
    <t>yasaamaan</t>
  </si>
  <si>
    <t>‏‏‏‏‏نسلی که غنچه قلبش نشکفته پژمرد</t>
  </si>
  <si>
    <t>که مازندران شهر ما...</t>
  </si>
  <si>
    <t>فیوایسم</t>
  </si>
  <si>
    <t>چوایران نباشد تن من نباد</t>
  </si>
  <si>
    <t>afshin</t>
  </si>
  <si>
    <t>من سارایزدانی پدرام هستم فراموش نکنید،معتقد به چرخش نخبگان وچیزی برای گفتن نیست فعلا بایدخواند.</t>
  </si>
  <si>
    <t>سارایزدانی پدرام</t>
  </si>
  <si>
    <t>‏‏‏‏‏‏‏‏‏‏ایران را،آباد وآزاد میخواهم- زنده باد شاهزاده رضا پهلوی 💙 ناجی ایران💙رضاشاه دوم👑</t>
  </si>
  <si>
    <t>ایران آریایی</t>
  </si>
  <si>
    <t>شهارا 👑💙</t>
  </si>
  <si>
    <t>‏‏‏‏‏منم فرزند ناخواسته بودم؛ البته پدر مادرم میخواستن.... خودم نمیخواستم😞🙁</t>
  </si>
  <si>
    <t>Yas</t>
  </si>
  <si>
    <t>‏‏‏‏‏‏‏‏این جماعت همه گرگند مبادا که تو را...</t>
  </si>
  <si>
    <t>هر چند حسن #روحانی با موضعی کاملا خلاف #بیانات_رهبر_انقلاب پشت تریبون سازمان ملل رفت اما خدایی آبروداری کرد... خنده حضار به ترامپ برای روحانی هم محتمل بود...بخیر گذشت</t>
  </si>
  <si>
    <t>Hamidsaeedi(دهه شصتی)</t>
  </si>
  <si>
    <t>Parsa Kavyani</t>
  </si>
  <si>
    <t>M.R.yaghoubi</t>
  </si>
  <si>
    <t>اصلاحطلب با جان دل</t>
  </si>
  <si>
    <t>Mehdi Vafadoust</t>
  </si>
  <si>
    <t>مدیر فنی یک کارخانه تولیدی</t>
  </si>
  <si>
    <t>Ahmad Hosseiny</t>
  </si>
  <si>
    <t>Dreamer and A professional Idiot</t>
  </si>
  <si>
    <t>Noise</t>
  </si>
  <si>
    <t>پدر سوخته بازیهاتون رو گردن من نندازین، من خودم در بعضی کلاسهای آموزشی شما ثبت نام کردم</t>
  </si>
  <si>
    <t>#روحانی در #مجمع_عمومی_سازمان_ملل: ملت ایران در برابر تحریم ها مقاوم هستند. در اینجا منظور از مقاوم، بی غیرت هست</t>
  </si>
  <si>
    <t>یک شیطون ایرانی</t>
  </si>
  <si>
    <t>‏‏‏در خانواده ای مذهبی چشم به جهان گشود و هیچ پخی نشد</t>
  </si>
  <si>
    <t>رفتم بقالی پرسیدم رب گوجه فرنگی چنده؟ گفت ۱۵ گفتم بابا #روحانی که خیلی خوب حرف زد توی #سازمان_ملل. گفت ۱۶ ای بابا. همه به #ترامپ خندیدن که گفت ۱۷ گفتم شاید این جمعه بیاید شاید گفت گمشو بیرون. رب نداریم اصلا.</t>
  </si>
  <si>
    <t>علعباس ⁦</t>
  </si>
  <si>
    <t>@tahabagheri8210</t>
  </si>
  <si>
    <t xml:space="preserve">شیراز </t>
  </si>
  <si>
    <t>طاها باقری</t>
  </si>
  <si>
    <t>ایران آباد</t>
  </si>
  <si>
    <t>http://tehrannews.ir/</t>
  </si>
  <si>
    <t>تهران نیوز پایتخت خبری ایران</t>
  </si>
  <si>
    <t>https://pbs.twimg.com/media/DoAxzfxXkAAzw2h.jpg</t>
  </si>
  <si>
    <t>🔸 #اینفوگرافیک | گزیده سخنان #روحانی در مجمع عمومی سازمان ملل #تهران_نیوز</t>
  </si>
  <si>
    <t>تهران نیوز</t>
  </si>
  <si>
    <t>https://t.me/amirhoseinmosalla</t>
  </si>
  <si>
    <t>‏‏‏‏‏‏‏‏‏‏‏‏روزنامه‌نگار، سردبیر دوهفته‌نامه آیت ماندگار/ امید بذر هویت ماست_میرحسین موسوی🌱</t>
  </si>
  <si>
    <t>بی شک در دوئل سازمان ملل سخنرانی دیپلماتیک #روحانی بر سخنان تهدید آمیز #ترامپ پیروز شد! خندیدن حضار به سخنان رئیس جمهور #آمريكا و خالی نشدن صندلی ها هنگام سخنرانی #رئیس_جمهور #ایران گواه این مدعاست؛ اما این پیروزی هم کمکی به ارزش پول ملی نکرد! چون دولت در بین مردم پیروز نیست!</t>
  </si>
  <si>
    <t>امیرحسین مصلی🇮🇷</t>
  </si>
  <si>
    <t>‏‏‏‏‏الهی به امید تو🌸 یه روزی دانشجوی پزشکی بودم حالاپزشکم 👩‍⚕️ مرا هزار امید است و هر هزار تویی...🌻</t>
  </si>
  <si>
    <t>آسمان</t>
  </si>
  <si>
    <t>dr_Yas🇮🇷</t>
  </si>
  <si>
    <t>ملکوتی</t>
  </si>
  <si>
    <t>https://t.me/saeidnajafiasli</t>
  </si>
  <si>
    <t>دانشجوی کارشناسی ارشد اقتصاد دانشگاه زنجان</t>
  </si>
  <si>
    <t>خوی</t>
  </si>
  <si>
    <t>https://pbs.twimg.com/media/DoAyNyTXsAAuTW0.jpg</t>
  </si>
  <si>
    <t>https://t.me/Khabar_Fouri/123399</t>
  </si>
  <si>
    <t>#جنتی سخنان #روحانی در مجمع عمومی سازمان ملل را عزت‌مندانه و از موضع قدرت دانست و از آن قدردانی کرد. پ.ن: به هر حال #روحانی دست‌پخت خود #جنتی برای مردم ایران است.</t>
  </si>
  <si>
    <t>سعید نجفی اصلی</t>
  </si>
  <si>
    <t>کارشناس ارشد علوم سیاسی</t>
  </si>
  <si>
    <t>بعد از تصویب کامل #FATF در مجلس #لابیجانی و تجربه تلخ #برجام، #روحانی از تریبون مجمع عمومی سازمان ملل، #آمریکا را دعوت به #مذاکره کرد!به همین صراحت وسادگی! آیا عمارپنداران و ولایت معاشان و انحراف یابان؛ نظری درباره سخن رهبر انقلاب که فرمودند: «مذاکره با آمریکا ممنوع است» ندارند؟!</t>
  </si>
  <si>
    <t>میلاد بهمئی</t>
  </si>
  <si>
    <t>حمید رضایی 110</t>
  </si>
  <si>
    <t>https://t.me/maniranam01</t>
  </si>
  <si>
    <t>✊🏻جايى كه بى عدالتى جايگزين قانون شود، مبارزه به وظيفه اى مبرم تبديل ميگردد</t>
  </si>
  <si>
    <t>https://pbs.twimg.com/media/DoAx13oXoAAdVS3.jpg</t>
  </si>
  <si>
    <t>🔴 #روحانی در سازمان ملل: ما قربانیان تروریزم هستیم! مردم یمن زیر فشار هستند و مورد خشونت تروریستی قرار دارند! پ ن: پدرخوانده تروريسم درحال نعل وارونه زدن 😏 #no2rouhani #FreeIran2018</t>
  </si>
  <si>
    <t>ManIranam</t>
  </si>
  <si>
    <t>RT @ardavan_sijani: فقط ۳ثانیه فکر کنید #رئیسی یا #رسایی یا #یامین‌پور یا #ذوالنور یا .... جای #روحانی یا هر کسی #رئیس‌جمهور بودند؟!؟ همون قدر ترسناک هست که از سوریه شدن ایران رو مدام تذکر می‌دهیم #مجمع_عمومی_سازمان_ملل</t>
  </si>
  <si>
    <t>‏‏‏‏‏‏‏پیامبر (ص) : دنیا به پایان نمی‌رسد تا اینکه مردی از اهل‌بیت من که هم نام من است، سلطنت کند. الملاحم والفتن، ص۱۵۴</t>
  </si>
  <si>
    <t>ابراهیم</t>
  </si>
  <si>
    <t>http://jjo.ir/anahhjxi</t>
  </si>
  <si>
    <t>#روحاني در دیدار جمعی از رهبران جوامع مسلمان آمریکا: #تروریسم #تکفیری و #داعش، بزرگترین خطر برای چهره رحمانی اسلام است  #سازمان_ملل #نيويورك #UNGA</t>
  </si>
  <si>
    <t>‏کارگردان و ‏‏‏‏عكاس...</t>
  </si>
  <si>
    <t>سعيد برزگر</t>
  </si>
  <si>
    <t>RT @jamejamCPI: #روحاني در دیدار جمعی از رهبران جوامع مسلمان آمریکا: #تروریسم #تکفیری و #داعش، بزرگترین خطر برای چهره رحمانی اسلام است  #سازمان_ملل #نيويورك #UNGA</t>
  </si>
  <si>
    <t>‏تا ابراهیم نباشی کعبه ای اباد نمیشود ‏‏‏‏</t>
  </si>
  <si>
    <t>North Holland, The Netherlands</t>
  </si>
  <si>
    <t>مجتبی ازاد2</t>
  </si>
  <si>
    <t>‏‏‏‏‏‏‏‏Engaged with my Love 💍 حلال زاده ی به باباش رفته ^_^ No message plz دیوونه تر از هارلی کویین فالوبک</t>
  </si>
  <si>
    <t>Caspian Sea</t>
  </si>
  <si>
    <t>🏹 ⚐سنیوریتا سین⚐ 🏹</t>
  </si>
  <si>
    <t>Arts Books Entertainment Lifestyle and Culture Movies Sport Travel</t>
  </si>
  <si>
    <t>سوفيا</t>
  </si>
  <si>
    <t>‏‏‏‏‏‏‏بیو؟ کوجا بیوی؟ برو عامو جی خودمونم نی! دَریم بر میگردیم! (این کاربر حاااال نداره)</t>
  </si>
  <si>
    <t>شیراز</t>
  </si>
  <si>
    <t>‏‏ نگه داشتن دین در آخرالزمان همانند نگه داشتن آتش در کف دست است</t>
  </si>
  <si>
    <t>‏‏‏‏‏‏‏‏‏‏‏‏‏‏‏‏‏‏‏‏‏‏‏‎‎‎‎‎‎‎‎‎‎‎‎‎‎‎‎‎‎‎‎‎‎‎#منتظرظهور ‎‎‎‎‎‎‎‎‎‎‎‎‎‎‎‎‎‎‎‎#انقلابی_ام تخصص نرم افزار وسخت افزارهای مخابراتی</t>
  </si>
  <si>
    <t>Mahdi_313</t>
  </si>
  <si>
    <t>چگونه مي شود كه از مادر زاده شده باشي و خواستار تساوي حقوق زن و مرد نباشي ...؟؟؟</t>
  </si>
  <si>
    <t>Salahshour</t>
  </si>
  <si>
    <t>دنیایی کوچک ولی پر هیاهو</t>
  </si>
  <si>
    <t>یه موقعی بودارتباط داشتن با کشورهای #آمریکای_لاتین و ... عقب موندگی بود ولی الان ایناارتباط برقرارکنن و قرار ملاقات بزارند اشکالی نداره... تا این جماعت(#دیپلماسی_خنده و #مذاکره)بخوان #الفبای_سیاست روبفهمن نه تنهاهشت سال بلکه یه عمر می گذره... #مورالس #روحانی #ظریف #سازمان_ملل</t>
  </si>
  <si>
    <t>mohammadali hedayati</t>
  </si>
  <si>
    <t>تابش</t>
  </si>
  <si>
    <t>حقگو</t>
  </si>
  <si>
    <t>تسلیت به مادران کرد</t>
  </si>
  <si>
    <t>واکنش رسانه های جهان به سخنرانی #روحانی و #ترامپ در #سازمان_ملل گاردین : رئیس جمهور ایران در سخنان خود آمریکا را مورد نقد قرار داده وسیاست های ترامپ را زیرسوال برده است. روحانی میگوید که ازطریق تحریک ناسیونالیسم و ترویج نژادپرستی برخی کشورها میخواهند مردم ایران را همراه خود کنند.</t>
  </si>
  <si>
    <t>پتر صغیر</t>
  </si>
  <si>
    <t>https://pbs.twimg.com/media/DoA1HVCW0AEyXGq.jpg</t>
  </si>
  <si>
    <t>قدردانی آیت الله #جنتی از سخنرانی روحانی در سازمان ملل 🔹دبیر شورای نگهبان سخنان #روحانی در مجمع عمومی #سازمان_ملل را عزت‌مندانه و از موضع قدرت دانست و از آن قدردانی کرد</t>
  </si>
  <si>
    <t>فضای مجازی</t>
  </si>
  <si>
    <t>اَوابِ ریتوئیتر</t>
  </si>
  <si>
    <t>‏‎#صبح یعنی ‎#لبخند😊 لبخند یعنی ‎#تو😌 تو یعنی اوج ‎#خلقت😍</t>
  </si>
  <si>
    <t>پروین مهدی🤗</t>
  </si>
  <si>
    <t>خیلی قبل تر از سخنرانی دیشب #روحاني در #سازمان_ملل، #خاتمی سخنرانی زیباتر،دلنشین تر و جهان پسندتری در همین مکان کرده بود تا جایی که سال ۲۰۰۱ را سال #گفتگوی_تمدن_ها کرد. حاصل آن سخنرانی چه بود؟ هیچ!!!سخن زیبا برای مردم،آب و نان و رفاه نمی شود. به عمل کار برآید به سخندانی نیست</t>
  </si>
  <si>
    <t>Mohammadmirazadi</t>
  </si>
  <si>
    <t>اگر دين نداري آزاده باش.</t>
  </si>
  <si>
    <t>sharam</t>
  </si>
  <si>
    <t>واکنش رسانه های جهان به سخنرانی #روحانی و #ترامپ در مقر #سازمان_ملل الجزیره: عبارت #تروریسم_اقتصادی در میان صحبت های #حسن_روحانی به شدت مورد توجه خبرگزاری الجزیره قرار گرفته . الجزیر نوشت: هیچ تردیدی وجود ندارد که منظور روحانی فقط آمریکاست.</t>
  </si>
  <si>
    <t>واکنش رسانه های جهان به سخنرانی #روحانی و #ترامپ در #سازمان_ملل سایت بریتانیایی نشنال، سخنرانی روحانی در مقر سازمان ملل را به نقد صریح اللهجه سیاست های ایالات متحده آمریکا و شخص دونالد ترامپ تعبیر می کند. روحانی سعی کرد غیر مستقیم ترامپ را به دلیل خارج شدن از مذاکرات نقد کند.</t>
  </si>
  <si>
    <t>واکنش رسانه های جهان به سخنرانی #روحانی و #ترامپ در #سازمان_ملل رویترز نوشت: «روسای جمهور آمریکا و ایران در مقر سازمان ملل سخنانی علیه هم به زبان آوردند، ترامپ خواستار تحت فشار قرار دادن بیشتر تهران است و روحانی ترامپ را فردی می داند که دارای «ضعف عقلی» است.</t>
  </si>
  <si>
    <t>واکنش رسانه های جهان به سخنرانی #روحانی و #ترامپ در #سازمان_ملل: نیویورک پست با انتشار متن سخنان روحانی و ترامپ بیش از هر چیز دیگری بر روی این موضوع تاکید دارد که ترامپ هرگز درخواستی برای ملاقات با «تهران» نداشته است، چیزی که آن را به تیتر اصلی خود هم تبدیل کرده است.</t>
  </si>
  <si>
    <t>واکنش رسانه های جهان به سخنرانی #روحانی و #ترامپ در #سازمان_ملل: درخواست ترامپ از تمام رژیم های دنیا برای #منزوی کردن ایران تیتر اصلی یکی از گزارش های لس آنجلس تایمز است. رئیس جمهوری ایالات متحده همچنین تهدید کرد که #واشنگتن #تحریم های بیشتری علیه ایران به اجرا خواهد گذاشت.</t>
  </si>
  <si>
    <t>news desk journalist @manotoNews</t>
  </si>
  <si>
    <t>TARLAN TAYEBAN</t>
  </si>
  <si>
    <t>یک فعال صنفی بازنشسته فرهنگی در شهرستان فریدونشهر</t>
  </si>
  <si>
    <t>RT @jamejamCPI: واکنش رسانه های جهان به سخنرانی #روحانی و #ترامپ در مقر #سازمان_ملل الجزیره: عبارت #تروریسم_اقتصادی در میان صحبت های #حسن_روحانی به شدت مورد توجه خبرگزاری الجزیره قرار گرفته . الجزیر نوشت: هیچ تردیدی وجود ندارد که منظور روحانی فقط آمریکاست.</t>
  </si>
  <si>
    <t>مدافع حقوق بازنشستگان</t>
  </si>
  <si>
    <t>‏‏‏‏‏‏‏‏‏‏‏‏‏‏‏‏‏‏‏‏‏کارشناس ارشد روانشناسی عمومی/یک عدد دختر که دنبال سیاست و دردسراشه / ‎‎‎‎‎‎‎‎‎‎‎‎‎‎‎‎‎‎‎#اصلاحطلبم</t>
  </si>
  <si>
    <t>🕊️Shima‏‎🇮🇷</t>
  </si>
  <si>
    <t>‏‏‏‏‏‏‏‏‏‏‏‏‏‏‏‏‏‏‏‏‏‏‏من ژورنالیست نیستم ولی عاشق ژورنالیست واقعیم دل خسته،چشم بسته،مغز اسپاگتی /انسان در مسیر تغییر میکند</t>
  </si>
  <si>
    <t>خلیج فارس / Persian gulf</t>
  </si>
  <si>
    <t>https://twitter.com/USAdarFarsi/status/1044687590782316544</t>
  </si>
  <si>
    <t>حرفهای قشنگ میزنی ی روی خوش نمیدی منو هرجا نمی‌خواهم می بری #NoSanctionNoWar #مذاکره #ایران #ایالات_متحده #ظریف #روحانی #سازمان_ملل RT @USAdarFarsi: وزیر خارجه #پمپئو، درنشست سازمان «متحد علیه ایران هسته ای»: #ایالات_متحده به مردم ایران میگوید:ما از حق شما برای #زندگی بعنوان ملتی #آزاد، تحت حکومتی پاسخگو که به شما احترام بگذارد،حمایت میکنیم.شما لیاقتتان بیشتر از این #انقلاب بی ثمری است که توسط رهبرانی فاسد برشما تحمیل شده است</t>
  </si>
  <si>
    <t>bhrouz ⁦🇮🇷</t>
  </si>
  <si>
    <t>خا</t>
  </si>
  <si>
    <t>https://pbs.twimg.com/media/DoA3g5AXoAEy44v.jpg</t>
  </si>
  <si>
    <t>#روحانی وقتی این بگه سخنرانی#روحانی در سازمان ملل عزتمندانه بود باید بشاشی به عزت و روحانی</t>
  </si>
  <si>
    <t>خدا داند وبس</t>
  </si>
  <si>
    <t>ترامپ گفته روحانی آدم دوست داشتنی است ! جا داره بهش بگیم مگه خودت داداش نداری 😂 #روحاني #ترامپ #مذاکره #سازمان_ملل</t>
  </si>
  <si>
    <t>Ahad</t>
  </si>
  <si>
    <t>Istanbul, Turkey</t>
  </si>
  <si>
    <t>reza ss</t>
  </si>
  <si>
    <t>http://www.arashazizi.com/</t>
  </si>
  <si>
    <t>Writer | Translator | PhD Student of History at NYU | Cinephile | Flaneur | Former BBC آرش عزیزی، نویسنده، مترجم، فلانور، سینمادوست، دانشجوی دکترای تاریخ</t>
  </si>
  <si>
    <t>New York, NY</t>
  </si>
  <si>
    <t>Arash Azizi</t>
  </si>
  <si>
    <t>https://telegram.me/HidenChat_bot?start=466925824</t>
  </si>
  <si>
    <t>‏‏‏‏خدا با ما که ‎‎‎‎#دلتنگیم سرسنگین نخواهد شد/دانشجوی سابق شهید بهشتی/مهرماهی</t>
  </si>
  <si>
    <t>طهْرانْ</t>
  </si>
  <si>
    <t>افراطی ها و اصول گراها و ارزشی ها و... دیشب از سخنان #روحانی لذت بردن، امروز ناراحت شدن از قیمت دلار. خب بری تو سازمان ملل به امریکا بپری دلار میشه 18 هزار تومن. #دلار</t>
  </si>
  <si>
    <t>محمد</t>
  </si>
  <si>
    <t>Yasouj</t>
  </si>
  <si>
    <t>شبکه دنا</t>
  </si>
  <si>
    <t>عاشق زندگی</t>
  </si>
  <si>
    <t>Sadra Irani</t>
  </si>
  <si>
    <t>•Researcher in politics - IT Engineer - Media literacy• (here: my political opinion,) (in instagram: geek and IT ...)</t>
  </si>
  <si>
    <t>https://pbs.twimg.com/media/DoA4eFAV4AAjZeh.jpg</t>
  </si>
  <si>
    <t>وقتی #شهیدرجایی در #سازمان_ملل جای شلاق های ساواک را به همه نشان میدهد! ای کاش دیشب #روحانی هم عکس #محمدطاها را نشان می‌داد گاهی یک عکس اثرش از ساعت‌ها سخنرانی بیشتر است</t>
  </si>
  <si>
    <t>soheil.fa</t>
  </si>
  <si>
    <t>عدالت طلب,آزادی خواه,بهاری زردتشت</t>
  </si>
  <si>
    <t>RT @yaser3177: یک دنیا تحقیر برای ایران در یک عکس!!!! #روحاني زبان دنیا بلد!!!!!! #ترامپ احمق بی سواد که دنیا قبولش ندارد!!! #روحانی_در_سازمان_ملل #ترامپ</t>
  </si>
  <si>
    <t>اهوراشاهی</t>
  </si>
  <si>
    <t>RT @maniranam01: 🔴 #روحانی در سازمان ملل: ما قربانیان تروریزم هستیم! مردم یمن زیر فشار هستند و مورد خشونت تروریستی قرار دارند! پ ن: پدرخوانده تروريسم درحال نعل وارونه زدن 😏 #no2rouhani #FreeIran2018</t>
  </si>
  <si>
    <t>Rater</t>
  </si>
  <si>
    <t>‏‏‏‏‏‏دانشجو ریاضی ... ایده آل گرا ...واقع گرا</t>
  </si>
  <si>
    <t>Mrgooood I R</t>
  </si>
  <si>
    <t>ایرانسازان هواداران شاهزاده https://t.me/joinchat/IWarrklDAwvoqAykzsoBlg</t>
  </si>
  <si>
    <t>💙 Elnaz 👑</t>
  </si>
  <si>
    <t>http://www.mehrnews.com</t>
  </si>
  <si>
    <t>توئیتر رسمی خبرگزاری مهر به‌زبان فارسی</t>
  </si>
  <si>
    <t>آیت‌الله جنتی دبير شورای نگهبان سخنان #روحانی در مجمع عمومی سازمان ملل را عزتمندانه و از موضع قدرت دانست و از آن قدردانی كرد.</t>
  </si>
  <si>
    <t>خبرگزاری مهر</t>
  </si>
  <si>
    <t>poorhosien</t>
  </si>
  <si>
    <t>‏من از بینوایی نیم روی زرد/غم بینوایان رخم زرد کرد/نخواهد که بیند خردمند ریش/نه در عضو مردم نه در عضو خویش سعدی</t>
  </si>
  <si>
    <t>Khatesevom1986</t>
  </si>
  <si>
    <t>gholamreza ghasempo</t>
  </si>
  <si>
    <t>https://pbs.twimg.com/media/DoA6n0DXcAEA1vb.jpg</t>
  </si>
  <si>
    <t>محبعلی، مدیرکل پیشین خاورمیانه وزارت خارجه در گفت‌وگو با «انتخاب»: سخنرانی #روحانی در #سازمان_ملل‌ منطقی و سنجیده بود / خوشبختانه او به اظهارات ناپخته و توهین آمیز #ترامپ ، عکس العمل نشان نداد / برخلاف ترامپ، سخنان روحانی، صلح طلبانه بود</t>
  </si>
  <si>
    <t>👼💫</t>
  </si>
  <si>
    <t>‏‏‏‏‏‏الحمد لله على نعمة الاسلام لا تعطي كلك إلى من يعطيك بضعه ..! ولا تعطي حتى بضعك إلى من لا يعطيك كله Ahwaz</t>
  </si>
  <si>
    <t>RT @salehAlhmid: حمله #اهواز كاملا شبيه حمله #مجلس بود .. مجموعه اى افراطی كه سپاه قدس در آن نفوذ کرده و هدف آن #مظلومیت_نمایی رژیم ولایت فقیه وتبری جستن از نقشش در #تروریسم بین المللی قبل از سفر #روحانی به نیویورک براي حضور در مجمع عمومی سازمان ملل و نشست شورای امنیت درباره #ایران هفته آینده ست</t>
  </si>
  <si>
    <t>💖asieh ghm💖</t>
  </si>
  <si>
    <t>مدافع سرسخت حقوق بشر طرفدار آزادی</t>
  </si>
  <si>
    <t>تهران ایران</t>
  </si>
  <si>
    <t>saam</t>
  </si>
  <si>
    <t>https://pbs.twimg.com/media/DoA7A6WWsAAlxi5.jpg</t>
  </si>
  <si>
    <t>گزیده سخنان #روحانی در مجمع عمومی سازمان ملل @tvazaadi</t>
  </si>
  <si>
    <t>من دو رو دارم: روی پیش‌فرض: #پلوتونیم_۲۳۸؛ مولد آلفا، گرمابخش و دل‌رحم؛ روی تحریک‌شده: #پلوتونیم_۲۳۹؛ مولد گاما و نوترون، یون‌ساز و بی‌رحم! خود دانی...</t>
  </si>
  <si>
    <t>RTG of Curiosity, Mars!</t>
  </si>
  <si>
    <t>https://pbs.twimg.com/media/DoA6-8tWkAAqIkA.jpg</t>
  </si>
  <si>
    <t>@mostafatajzade #مصطفی_تاجزاده: #روحانی برای دومین بار در نبرد روسای جمهور ایران و امریکا در #مجمع_عمومی_سازمان_ملل بر ترامپ #غلبه کرد. #پلوتونیم_۲۳۸: روحانی برای دومین بار در نبرد رؤسای جمهور ایران و آمریکا در مجمع عمومی سازمان ملل، در برابر #ترامپ دچار #قلبه شد!</t>
  </si>
  <si>
    <t>Plutonium-238</t>
  </si>
  <si>
    <t>rahe.hagh</t>
  </si>
  <si>
    <t>همون حلزونه که بش میگفتن آقای زون</t>
  </si>
  <si>
    <t>آقای زون</t>
  </si>
  <si>
    <t>نرگس</t>
  </si>
  <si>
    <t>این روزها گربه ها مدام در خلوتشان برای هم زمزمه میکنند که این آدمیزاد چقدر بی چشم و روست!!... ‌‌</t>
  </si>
  <si>
    <t>مامان چارلز</t>
  </si>
  <si>
    <t>یا حیدر مددی مولا</t>
  </si>
  <si>
    <t>‏بسیار حَرّاف... بسیار غلط کننده[ البته در تایپ ]</t>
  </si>
  <si>
    <t>متاسفانه ایران</t>
  </si>
  <si>
    <t>خسته ی سبز</t>
  </si>
  <si>
    <t>RT @Plutonium_238: @mostafatajzade #مصطفی_تاجزاده: #روحانی برای دومین بار در نبرد روسای جمهور ایران و امریکا در #مجمع_عمومی_سازمان_ملل بر ترامپ #غلبه کرد. #پلوتونیم_۲۳۸: روحانی برای دومین بار در نبرد رؤسای جمهور ایران و آمریکا در مجمع عمومی سازمان ملل، در برابر #ترامپ دچار #قلبه شد!</t>
  </si>
  <si>
    <t>مهندس متالورژی دانشگاه نجف آباد دانشجوی حقوق شهریار</t>
  </si>
  <si>
    <t>hassan2442</t>
  </si>
  <si>
    <t>https://www.facebook.com/a.mazaheri</t>
  </si>
  <si>
    <t>چنديست دلم يكدله با فتنه گران است</t>
  </si>
  <si>
    <t>نه باید بخاطر مدیریت ضعیف درون کشور انصاف رو کنار بذاریم و از سخنرانی خوب @Rouhani_ir در #سازمان_ملل بگذریم، نه بخاطر این سخنرانی خوب باید بیخیال دو سال فاجعه مدیریتی در دولت #روحانی بشیم</t>
  </si>
  <si>
    <t>Ahmad Mazaheri 🇮🇷</t>
  </si>
  <si>
    <t>https://pbs.twimg.com/media/DoBBVW7U0AADI7R.jpg</t>
  </si>
  <si>
    <t>RT @PesarNoah: اخبار صداسیما پشت سر هم تکرار میکنه در سازمان ملل به #ترامپ خندیدن سوال اینجاست چرا به سخنرانی #روحانی نخندیدن؟ چون صندلی نمیخنده #IraniansWantRegimeChange</t>
  </si>
  <si>
    <t>9Ebrahim Eslamzadeh</t>
  </si>
  <si>
    <t>mehran</t>
  </si>
  <si>
    <t>‏‏نه به اعدام،نه به مجاهدین ،نه به جمهوری ننگین اسلامی، حامی شاهزاده رضا پهلوی#مبارزان راه آزادی#دختران انقلاب#اتحاد ملی میلیونی</t>
  </si>
  <si>
    <t>pic.twitter.com/wFbZnSaejp</t>
  </si>
  <si>
    <t>RT @AHirad29414413: 🏴 شامگاه ۳ مهرماه: موج گسترده #بازداشت فعالان مذهبى و مدنى در #اهواز و حومه این شهر پس از سخنرانی حسن #روحانی در #سازمان_ملل و ایجاد جو #امنیتی شدید #IraniansWantRegimeChange #جمهوری_اسلامی_انتخاب_من_نیست #رژیم_ریاکار</t>
  </si>
  <si>
    <t>♚ صبح پیروزی ♚</t>
  </si>
  <si>
    <t>trying to be ordinary...</t>
  </si>
  <si>
    <t>ahwaz</t>
  </si>
  <si>
    <t>یک دایورجنتِ احمق</t>
  </si>
  <si>
    <t>ورزش فوتبال</t>
  </si>
  <si>
    <t>Moh3n.shokree</t>
  </si>
  <si>
    <t>‏‏‏براندازم</t>
  </si>
  <si>
    <t>مجتبی خامنه ای</t>
  </si>
  <si>
    <t>گیله مرد آواره</t>
  </si>
  <si>
    <t>BERZERK</t>
  </si>
  <si>
    <t>Physiotherapist. Wating for #imam mahdi</t>
  </si>
  <si>
    <t>Elham</t>
  </si>
  <si>
    <t>Mohsen</t>
  </si>
  <si>
    <t>در تلاش براي فهم دنياي اطراف، در حال ساختن نسخه بهتري از خود، اينجام تا زندگي جمعي متفاوت تر و متنوع تري رو تجربه كنم</t>
  </si>
  <si>
    <t>خانم صورتي</t>
  </si>
  <si>
    <t>‏‏‏‏‏</t>
  </si>
  <si>
    <t>perin</t>
  </si>
  <si>
    <t>Game Over http://telegram.me/harfbzanbot?st…</t>
  </si>
  <si>
    <t>گاردیوم</t>
  </si>
  <si>
    <t>‏کافر و بی دین و خراب</t>
  </si>
  <si>
    <t>آی با کلاه</t>
  </si>
  <si>
    <t>RT @mehrnews_fa: آیت‌الله جنتی دبير شورای نگهبان سخنان #روحانی در مجمع عمومی سازمان ملل را عزتمندانه و از موضع قدرت دانست و از آن قدردانی كرد.</t>
  </si>
  <si>
    <t>🏳️ Vahid 🏳️</t>
  </si>
  <si>
    <t>مجتبی ازاد ریتوییتر(2)</t>
  </si>
  <si>
    <t>golestan 24</t>
  </si>
  <si>
    <t>http://www.Moltafet.ir</t>
  </si>
  <si>
    <t>Empire of IRAN_ Medicalstudent kums_ Tkd &amp; ninja_Muaytahi &amp; sanda_kickbox_Ex.sampadi_ Halamadrid_ A lion doesn't concern himself with the opinions of a sheep/💙</t>
  </si>
  <si>
    <t>Dr.Nozhan_b</t>
  </si>
  <si>
    <t>‏‏‏‏‏‏‏‏‏‏‏‏‏‏اکانت قبلیم محدود شد.فالو کنید=بک [ریتوییت به معنای تایید محتوا نیست]</t>
  </si>
  <si>
    <t>Reza Shaban 🏴🏴🏴</t>
  </si>
  <si>
    <t>‏‏در بعدازظهر یک روز دل انگیز بهار بیست سالگی مردم و زندگی آغاز شد...</t>
  </si>
  <si>
    <t>وارش 🇮🇷</t>
  </si>
  <si>
    <t>نشسته‌ام در انتظارِ این غبارِ بی سوار... دریغ کز شبی چنین سپیده سر نمی‌زند...</t>
  </si>
  <si>
    <t xml:space="preserve">az sarzamine shomali 🌿 </t>
  </si>
  <si>
    <t>A2sa</t>
  </si>
  <si>
    <t>http://Instagram.com/hamidsahra</t>
  </si>
  <si>
    <t>‏‏‏‏‏اللهم غیر سوء حالنا الی احسن الحال...</t>
  </si>
  <si>
    <t>هر جا خوش بگذرد</t>
  </si>
  <si>
    <t>کوثر چشمه برکت</t>
  </si>
  <si>
    <t>هرچه در فهم تو ايد ان بود مفهوم تو</t>
  </si>
  <si>
    <t>Leeds, England</t>
  </si>
  <si>
    <t>majid</t>
  </si>
  <si>
    <t>‏‏‏ج.ا اصلاح پذیر نیست برانداز باش</t>
  </si>
  <si>
    <t>Iranism</t>
  </si>
  <si>
    <t>خودت باش، همانگونه که هستی...</t>
  </si>
  <si>
    <t>دخترِ آذر 🍁</t>
  </si>
  <si>
    <t>مهربان باشید تمام کسانی که میشناسید درگیرجنگی سخت هستند.</t>
  </si>
  <si>
    <t>آرش</t>
  </si>
  <si>
    <t>RT @Soheilfa1: وقتی #شهیدرجایی در #سازمان_ملل جای شلاق های ساواک را به همه نشان میدهد! ای کاش دیشب #روحانی هم عکس #محمدطاها را نشان می‌داد گاهی یک عکس اثرش از ساعت‌ها سخنرانی بیشتر است</t>
  </si>
  <si>
    <t>Collegian, Peaceful, Humanitarian ... Follow=Followback.</t>
  </si>
  <si>
    <t>ᴹʳ.Soprano</t>
  </si>
  <si>
    <t>نگفتمت مرو آنجا... به عرزشی و مجاهد بک داده نمیشود!</t>
  </si>
  <si>
    <t>🏳ارغوان</t>
  </si>
  <si>
    <t xml:space="preserve">Iran
</t>
  </si>
  <si>
    <t>AmirAbbas Sarbolouki</t>
  </si>
  <si>
    <t>من و#علی(ع) شما همه| #انقلابی | اگر کم فالوور و مستعضف توییتری هستی حتما بک میگیری و گرنه شاید ،نگی نگفتم!</t>
  </si>
  <si>
    <t>theJeff</t>
  </si>
  <si>
    <t>http://mcaf.ee/o8ulm0?SBarshandeh</t>
  </si>
  <si>
    <t>اَلا وَلا يَحمِلُ هٰذاالعَلَم اِلّا اَهلَ البَصَرِ والصّبر</t>
  </si>
  <si>
    <t>RT @ghadiri14: حمایت دوستان انقلابی ازسخنان آقای #روحانی در مجمع عمومی سازمان ملل علیرغم انتقادات زیاد ازدولت،نشان دهنده ظرفیت،انصاف و وجدان این طیف انقلابی است! دیگر گروههای سیاسی وفعال باید این قابلیت رادر خود ایجاد کنند،قابلیتی که اگر فراگیر شود با آن می توان خیلی ازمشکلات کشور را برطرف کرد!</t>
  </si>
  <si>
    <t>سجاد</t>
  </si>
  <si>
    <t>علیوس</t>
  </si>
  <si>
    <t>آنکه در را محکم میکوبد اهل خانه است،آنکه در را آهسته میکوبد غریبه ایست که قصد آشنایی دارد.آنکه پشت در نشسته از همه عاشق تر است...</t>
  </si>
  <si>
    <t>بیگلی بیگلی</t>
  </si>
  <si>
    <t>http://shirinnariman.blogspot.com/</t>
  </si>
  <si>
    <t>Human Rights activist, writer, former political prisoner in Khomeini's era. Eager to see a Free Iran</t>
  </si>
  <si>
    <t>Shirin Nariman</t>
  </si>
  <si>
    <t>‏ایرانسازان هواداران شاهزاده http://t.me/joinchat/IWarr…‎ 📌کانال: ‎@OfficialRezaPahlavi ‎@RezaPahlaviFan ‎@peydaopenhan ‎@RP_Fan</t>
  </si>
  <si>
    <t>💙nima👑</t>
  </si>
  <si>
    <t>‏‏‏‏اگه دین دارین لااقل آزاده باشین *آگنوستیک* حامی رضا پهلوی</t>
  </si>
  <si>
    <t>mesam</t>
  </si>
  <si>
    <t>لینک گروه هواداران شاهزاده رضا پهلوی https://t.me/joinchat/IWarrklDAwvoqAykzsoBlg</t>
  </si>
  <si>
    <t>💙SORENA👑</t>
  </si>
  <si>
    <t>اونلی جیزس کن جاج می!</t>
  </si>
  <si>
    <t>کرم سیاهچاله</t>
  </si>
  <si>
    <t>Shiddi</t>
  </si>
  <si>
    <t>ای ایران آزاد کی تو را خواهم دید ؟</t>
  </si>
  <si>
    <t>Arash Arash</t>
  </si>
  <si>
    <t>‏‏‏‏‏‏نه اصلاح طلبم، نه سلطنت طلب، نه مجاهد و نه فراری به امید ایرانی آزاد با حکومتی سکولار (سوسیال دموکرات) ***یک مرد متعهد***</t>
  </si>
  <si>
    <t>دنیای واحد بدون مرزبندی پدران</t>
  </si>
  <si>
    <t>🏳Freedom</t>
  </si>
  <si>
    <t>‏‏‏‏‏‏‏‏‏‏‏‏‏‏ ‎‎‎‎‎‎‎#براندازم 🏳️ مجاهدین ⛔</t>
  </si>
  <si>
    <t xml:space="preserve">iran </t>
  </si>
  <si>
    <t>کال دروگو</t>
  </si>
  <si>
    <t>#iranRegimechange لیبرال دموکرات ضد اسلام،مجاهد⛔️عرزشی⛔️ #فرشگرد</t>
  </si>
  <si>
    <t>🇮🇷پسر ایران🇮🇷</t>
  </si>
  <si>
    <t>SARDAR IRAN</t>
  </si>
  <si>
    <t>Im waiting for imam mahdi</t>
  </si>
  <si>
    <t>Zahra</t>
  </si>
  <si>
    <t>‏‏‏همسر دختر خواهر نوه ، کارمند</t>
  </si>
  <si>
    <t>دلبر</t>
  </si>
  <si>
    <t>http://www.iranthisway.com</t>
  </si>
  <si>
    <t>Journalist, PR and social media advisor. Director of http://digitalidea.ir , http://iranthisway.com , @iranthisway24</t>
  </si>
  <si>
    <t>Tehran-IRAN</t>
  </si>
  <si>
    <t>pic.twitter.com/IGOvbPY3Dw</t>
  </si>
  <si>
    <t>بخش های طلایی سخنرانی کوبنده #روحانی در سازمان ملل: سخن ما روشن است؛ تعهد در برابر تعهد، تهدید در برابر تهدید، گام در برابر گام/ #تحریم و تکفیر؛ ۲ روی یک سکه است./ گفتگو را از اینجا آغاز می‌کنم./ جهان دوستی بهتر از #ایران نخواهد داشت اگر #صلح آرمان شماست. #weStand4Iran</t>
  </si>
  <si>
    <t>Sadeq Hosseini</t>
  </si>
  <si>
    <t>⛔️عرزشى ومجاهد ممنوع⛔️</t>
  </si>
  <si>
    <t>Rebel براندازم# 🏳️</t>
  </si>
  <si>
    <t>‏‏‏‏‏‏‏‏‏‏‏‏‏‏‏‏‏‏‏‏‏‏‏‏ شهروند عادی</t>
  </si>
  <si>
    <t xml:space="preserve">تباهی </t>
  </si>
  <si>
    <t>آلبِرت 🏳️</t>
  </si>
  <si>
    <t>‏‏‏به امید آزادی ایران از چنگ اهریمن، ‏‏‏مثل دماوند استوار باش</t>
  </si>
  <si>
    <t>Mega_A💙</t>
  </si>
  <si>
    <t>رقص کنان در زندان</t>
  </si>
  <si>
    <t>mimsin</t>
  </si>
  <si>
    <t>maryammm7854</t>
  </si>
  <si>
    <t>هر محالی با #خدا ممکنه</t>
  </si>
  <si>
    <t>🇮🇷Mahdieh</t>
  </si>
  <si>
    <t>‏‏‏‏‏‏‏‏‏‏‏‏‏‏‏‏‏‏انقلاب بدهکار ما نیست ما مدیون و بدهکار انقلابیم. یک دهه هفتادی ناراضی از وضع موجود</t>
  </si>
  <si>
    <t>hossein🇮🇷</t>
  </si>
  <si>
    <t>خبرنگار آزاد،‏‏‏ فعال سیاسی و اجتماعی و فعال گردشگری. ما زنده به آنیم که یک لحظه بی یاد #خدا زنده نمانیم</t>
  </si>
  <si>
    <t>تو❤مردم</t>
  </si>
  <si>
    <t>@khabaronlinee همه اینها از برکت سخنرانی قدرتمند #روحانی در سازمان ملل بود . اونم که از روی کاغذ نطق کرد بر خلاف #ترامپ</t>
  </si>
  <si>
    <t>مسعود قاسمی🇮🇷</t>
  </si>
  <si>
    <t>درود برکسانی که ازپاکی شان : دوستی آغازمیشود ازصداقتشان : دوستی ادامه می یابد وازوفایشان : دوستی پایانی ندارد</t>
  </si>
  <si>
    <t>امین</t>
  </si>
  <si>
    <t>باید کاری کرد ... باید .</t>
  </si>
  <si>
    <t>Mahdyar97</t>
  </si>
  <si>
    <t>‏‏‏‏و خاک، خاک پذیرنده اشارتیست به آرامش.</t>
  </si>
  <si>
    <t>RT @DaeeHassan: اگر با جامعه جهانی گفتگو ‌کنی، نتیجه‌اش میشود #برجام ؛ آن وقت اگر یکی مثل #ترامپ نقض عهد کرد؛ میتونی بیای در #سازمان_ملل و سینه سپر کنی از حقوق مردم #ایران دفاع کنی؛ اروپا ؛ روسیه و چین را همراه ببینی ! اینها نتیجه رفتار منطقی در صحنه بین‌الملل است ! #سخنرانی_روحانی</t>
  </si>
  <si>
    <t>سحر حیدری</t>
  </si>
  <si>
    <t>Mahboobeh</t>
  </si>
  <si>
    <t>spor&amp; • music • law student📚</t>
  </si>
  <si>
    <t>سمن خاتمی</t>
  </si>
  <si>
    <t>After a hurricane, comes a rainbow! 🌈</t>
  </si>
  <si>
    <t>#AFreeIranian</t>
  </si>
  <si>
    <t>#IraniansWantRegimeChangeدرحالیکه درایران #دلاربه مرزِ ۲۰هزار تومان نزدیک شده ودیگر مردم توان خریدمواداولیه زندگی راهم ندارند، دغدغهِ اصلی #روحانی دراجلاسِ سازمانِ ملل ؛ یمن وفلسطین است..</t>
  </si>
  <si>
    <t>سوچلا</t>
  </si>
  <si>
    <t>ورود مجاهد ممنوع,اگنوستیک</t>
  </si>
  <si>
    <t>🏳️ویرجینیا فاکس🏳️#ساعت ۶</t>
  </si>
  <si>
    <t>‏‏‏‏‏ورود مجاهدین خلق عرزشی واصلاح طلب و اصولگرا =بلاک و 🚫🚫 ورود هر چی ربات برانداز مجاهدین خلق=بلاک🚫🚫کراش داشتن روی من🚫سوال پرسیدن راجب مسائل شخصی من🚫🚫</t>
  </si>
  <si>
    <t>﮼‌خـودم‌هسدم ‌ #رئـالیسم</t>
  </si>
  <si>
    <t>عـشئ</t>
  </si>
  <si>
    <t>دانشجوی کارشناسی ارشد برق. طرفدار #شاهزاده #رضاپهلوی ورود عرزشی ⛔️و مجاهد📛⛔️</t>
  </si>
  <si>
    <t>yazdan goodarzi</t>
  </si>
  <si>
    <t>freedom-seeker💙👑💙</t>
  </si>
  <si>
    <t>یک مهندس الکترونیک و کارشناس ارشد روابط بین الملل دو زیست...</t>
  </si>
  <si>
    <t>مفهوم وضعیت فعلی کشور اینه که #دولت ساقط شده... پس اون بیشرفی که بعنوان نماینده #ملت این روزها در سازمان ملل حضور داره دقیقا چکاره ست؟!.. . #روحانی #تدبیر_و_امید</t>
  </si>
  <si>
    <t>Mehdi Mehri</t>
  </si>
  <si>
    <t>‏‏‏‏‏‏‏‏‏‏‏‏‏‏‏‏‏‏‏‏‏به امید بازگشت ایران به سکولاریسم و حکومتی مبتنی بر پادشاهی مشروطه. 👑حامی رضاشاه دوم👑</t>
  </si>
  <si>
    <t>بانوی پارسه👑➰</t>
  </si>
  <si>
    <t>باران آریایی</t>
  </si>
  <si>
    <t>‏‏پیاده روی دویدن رو دوست دارم چون بهم احساس آزادی میده..پابند دین ومذهب خاصی نیستم و هیچ تعصبی ندارم... خنده های من التیام دهنده قلب بابامه..و همین بسه.برانداز</t>
  </si>
  <si>
    <t>Qasedak</t>
  </si>
  <si>
    <t>http://t.me/hicch</t>
  </si>
  <si>
    <t>‏فیلسوف اهل هیچ دسته فکری نیست. فیلسوف بودن او به همین است.</t>
  </si>
  <si>
    <t>RT @sadeq_hosseini: بخش های طلایی سخنرانی کوبنده #روحانی در سازمان ملل: سخن ما روشن است؛ تعهد در برابر تعهد، تهدید در برابر تهدید، گام در برابر گام/ #تحریم و تکفیر؛ ۲ روی یک سکه است./ گفتگو را از اینجا آغاز می‌کنم./ جهان دوستی بهتر از #ایران نخواهد داشت اگر #صلح آرمان شماست. #weStand4Iran</t>
  </si>
  <si>
    <t>محمد وحیدی🇮🇷‏</t>
  </si>
  <si>
    <t>‏‏💙خدا💙</t>
  </si>
  <si>
    <t>mobin.m</t>
  </si>
  <si>
    <t>سیاست ما عین دیانت ما نیست</t>
  </si>
  <si>
    <t>محمد سلیمانی</t>
  </si>
  <si>
    <t>‏‏‏‏براندازم/یاغی/ طرفدار نظام پادشاهی/ یا مرگ یا آزادی/ می سازمت وطن</t>
  </si>
  <si>
    <t>👑براندازم👑</t>
  </si>
  <si>
    <t>علاقه من ب شیمی- دنیای دیجیتال-سخت در حال تلاش برای فرار از روزمرگی</t>
  </si>
  <si>
    <t>RT @tvazaadi: گزیده سخنان #روحانی در مجمع عمومی سازمان ملل @tvazaadi</t>
  </si>
  <si>
    <t>هایزنبرگ</t>
  </si>
  <si>
    <t>IN GOD WE TRUST</t>
  </si>
  <si>
    <t xml:space="preserve">EARTH </t>
  </si>
  <si>
    <t>Ahmad Javidan</t>
  </si>
  <si>
    <t>‏‏‏برازنده لقب ‎‎‎#براندازم</t>
  </si>
  <si>
    <t>بیحال باحال</t>
  </si>
  <si>
    <t>‏‏‏‏‏‏فرهنگیه، انقلابیه،عاشق سید علی (رهسپاریم با ولایت تا شهادت) ما زنده به آنیم که آرام نگیریم* موجیم که آسودگی ماست</t>
  </si>
  <si>
    <t>مهدی یار</t>
  </si>
  <si>
    <t>http://Instagram.com/mahdihadavandkhani</t>
  </si>
  <si>
    <t>Architect and Photographer in Iran | Architetto e fotografo che abita nell’Iran</t>
  </si>
  <si>
    <t>https://pbs.twimg.com/media/DoBKBDjXsAANJdj.jpg</t>
  </si>
  <si>
    <t>در آوردن کفش در سازمان ملل متحد و نشان دادن کف پا در جلسه شورای امنیت! #روحانی #UNGA #دلار</t>
  </si>
  <si>
    <t>Mahdi HadavandKhani</t>
  </si>
  <si>
    <t>http://www.generation-s.fr</t>
  </si>
  <si>
    <t>Belge passionné de #politique française et #informatique #DirectAN #DirectSenat #SenatBE 😎 Soutien à toutes les luttes et #BH Les "Bons Humanistes👍.M1717:) G.🙂#</t>
  </si>
  <si>
    <t>Partout</t>
  </si>
  <si>
    <t>RT @mahdihadavandkh: در آوردن کفش در سازمان ملل متحد و نشان دادن کف پا در جلسه شورای امنیت! #روحانی #UNGA #دلار</t>
  </si>
  <si>
    <t>Politique 4.0 #10 🇧🇪🇫🇷🇪🇺🇯🇵🇰🇷🇮🇳</t>
  </si>
  <si>
    <t>حسین رنجبر</t>
  </si>
  <si>
    <t>‎#براندازم</t>
  </si>
  <si>
    <t>SHAMLOO</t>
  </si>
  <si>
    <t>هر کجا هستم باشم آسمان مال من است ،پنجره، فکر ،هوا، عشق، زمین مال من است چه اهمیت دارد؟ گاه اگر میرویند قارچهای غربت؟</t>
  </si>
  <si>
    <t>saharp1101</t>
  </si>
  <si>
    <t>فالو كردن و بك دادن،تو اولويتهاي من نيست عشقش رو ندارم هوادارِ شاهزاده رضا پهلوي💙 #برندازم</t>
  </si>
  <si>
    <t>جان كازال</t>
  </si>
  <si>
    <t>https://pbs.twimg.com/media/DoBRr2rXcAEcc_l.jpg</t>
  </si>
  <si>
    <t>سخنان رئیس جمهور ایران در #سازمان_ملل خطاب به آمریکا #روحانی</t>
  </si>
  <si>
    <t>‏صلاح کار کجا، من ِ خراب کجا</t>
  </si>
  <si>
    <t>تکیه بر #اخلاق و #حقوق در #سیاست برای تغییر رویکرد مستبدان داخلی و خارجی در مقایسه با اثر #موازنه_قدرت ناچیز است. لذا نطق #روحانی در #سازمان_ملل همانقدر در ترامپ اثر دارد که نطق‌های مشابه در دعوت از ارباب قدرت به رعایت حقوق مردم و #عدالت، رفع #تبعیض و پایان ظلم؛ #یاسین_در_گوش_خر</t>
  </si>
  <si>
    <t>Pedram Sohrabloo</t>
  </si>
  <si>
    <t>darya</t>
  </si>
  <si>
    <t>علاقه‌مند سینما و نویسندگی ، سفر و باغبانی وبمستری و کارآفرینی و خلاقیت - cryptocurrency 🇧🇷برزیل و رئال #تالکین #علیمحمدافغانی #جلال‌آل‌احمد #صمدبهرنگی #ارول</t>
  </si>
  <si>
    <t>Rivendell - Imladris</t>
  </si>
  <si>
    <t>ملت از بغض احمدی نژاد چه ها که نمیکنند سخنرانی #روحانی مفت نمی ارزه ، همه کشورهای اروپایی حتی در ظاهر هم برای روحانی دست بزنند امریکا و ترامپ رو ول نمیکنند سازمان ملل برای یمن که زیر شدیدترین شکنجه هست چه کاری کرد که برای تحریم های ایران بکنه ؟</t>
  </si>
  <si>
    <t>javad th</t>
  </si>
  <si>
    <t>building builder, researcher</t>
  </si>
  <si>
    <t>asedzade86💙</t>
  </si>
  <si>
    <t>sepidar</t>
  </si>
  <si>
    <t>#براندازم #پادشاهی_پارلمانی_سکولار_دموکرات</t>
  </si>
  <si>
    <t>👑aria sorush1👑</t>
  </si>
  <si>
    <t>https://pbs.twimg.com/media/DoBSBpxVsAAWPmo.jpg</t>
  </si>
  <si>
    <t>http://tn.ai/1837992</t>
  </si>
  <si>
    <t>آیت‌الله #جنتی با اشاره به نطق آقای #روحانی در مجمع عمومی #سازمان_ملل، سخنان عزتمندانه‌ی آقای #رئیس‌جمهور را علیه مواضع خصمانه‌ #آمریکا ستود و آن را از موضع قدرت دانست</t>
  </si>
  <si>
    <t>‏‏فعال و حامی حقوق خودم / تکنولوژیست جراحی</t>
  </si>
  <si>
    <t xml:space="preserve"> iran</t>
  </si>
  <si>
    <t>عامر</t>
  </si>
  <si>
    <t>http://www.iranintl.com</t>
  </si>
  <si>
    <t>شبكه خبرى ايران اينترنشنال</t>
  </si>
  <si>
    <t>London, England</t>
  </si>
  <si>
    <t>http://fal.cn/V7Qo</t>
  </si>
  <si>
    <t>احمد #جنتی، دبیر شورای نگهبان، که پیش از سفر #روحانی به #نیویورک درمورد امکان ملاقات او با #ترامپ واکنش تندی نشان داده بود، سخنان روحانی را در #سازمان‌_ملل_متحد «عزت‌مندانه» و «از موضع قدرت» مقابل «موضع خصمانه آمریکا» توصیف کرد.</t>
  </si>
  <si>
    <t>ايران اينترنشنال</t>
  </si>
  <si>
    <t>RT @Tasnimnews_Fa: آیت‌الله #جنتی با اشاره به نطق آقای #روحانی در مجمع عمومی #سازمان_ملل، سخنان عزتمندانه‌ی آقای #رئیس‌جمهور را علیه مواضع خصمانه‌ #آمریکا ستود و آن را از موضع قدرت دانست</t>
  </si>
  <si>
    <t>Ali Barati</t>
  </si>
  <si>
    <t>در جوانی مارکسیست بودم ولی فهمیدم وعده ساختن بهشت، نتیجه ای جز دوزخ نخواهد داشت</t>
  </si>
  <si>
    <t>Tehran- Iran</t>
  </si>
  <si>
    <t>دلخوشی مردم در این حد است که #رییس_جمهور در سخنرانی مشت محکمی به دهن استکبار بزند! همه صحبت از پیروزی می کنند! در صورتی که آنچه باعث پیروزی و سربلندی می شود شاخص های اقتصادی و معیشتی است. #روحانی #سازمان_ملل‌_متحد</t>
  </si>
  <si>
    <t>Reza Moshiry</t>
  </si>
  <si>
    <t>Sa</t>
  </si>
  <si>
    <t>‏دور باش اما نزدیک... من از نزدیک بودنهای دور می ترسم.. احمد شاملو</t>
  </si>
  <si>
    <t>ALI REZA</t>
  </si>
  <si>
    <t>RT @IranIntl: احمد #جنتی، دبیر شورای نگهبان، که پیش از سفر #روحانی به #نیویورک درمورد امکان ملاقات او با #ترامپ واکنش تندی نشان داده بود، سخنان روحانی را در #سازمان‌_ملل_متحد «عزت‌مندانه» و «از موضع قدرت» مقابل «موضع خصمانه آمریکا» توصیف کرد.</t>
  </si>
  <si>
    <t>batool</t>
  </si>
  <si>
    <t>https://pbs.twimg.com/media/DoBStJ-XcAAXZZh.jpg</t>
  </si>
  <si>
    <t>#جنتی از #روحانی تقدیر کرد #دبير_شورای نگهبان سخنان #حسن_روحانی در مجمع عمومی سازمان ملل را عزتمندانه و از موضع قدرت دانست و از آن قدردانی كرد @</t>
  </si>
  <si>
    <t>#FreePalestine ⚽️🇮🇷🏐</t>
  </si>
  <si>
    <t>RT @jamejamCPI: سخنان رئیس جمهور ایران در #سازمان_ملل خطاب به آمریکا #روحانی</t>
  </si>
  <si>
    <t>حميــــــــد</t>
  </si>
  <si>
    <t>‏May hear about me a lot in near future :) علاقمند به سیاست ، اکانت دومم: ‎@aliamini313</t>
  </si>
  <si>
    <t>ع . ا .ر</t>
  </si>
  <si>
    <t>Volkano</t>
  </si>
  <si>
    <t># براندازم ورود مجاهد و ارزشی به شدت ممنوع</t>
  </si>
  <si>
    <t>Repubic of iran</t>
  </si>
  <si>
    <t>MontanA</t>
  </si>
  <si>
    <t xml:space="preserve">یجای اشتباه مثل ایران </t>
  </si>
  <si>
    <t>لارگاردین ۱۰۰</t>
  </si>
  <si>
    <t>‏‏سربازی که روی هموطن اسلحه بکشه لیاقت زنده موندن رو نداره. 👑شاهنشاهی ام👑</t>
  </si>
  <si>
    <t>Smiling Panda</t>
  </si>
  <si>
    <t>aminrashid</t>
  </si>
  <si>
    <t>Travis Bickle</t>
  </si>
  <si>
    <t>http://www.jamaran.ir/</t>
  </si>
  <si>
    <t>pic.twitter.com/yQEZNd978f</t>
  </si>
  <si>
    <t>🎥 مهمترین بخش های سخنرانی شب گذشته رییس جمهور #روحانی در صحن علنی سازمان ملل متحد</t>
  </si>
  <si>
    <t>پایگاه خبری جماران</t>
  </si>
  <si>
    <t>‏‏‏ جایی که شعور به بن بست میرسد، این شور ناشی از جنون هست ک میتازد..!</t>
  </si>
  <si>
    <t>👑FANOSS👑</t>
  </si>
  <si>
    <t>آدم ها بـراي هـم سنگ تمـام مـي گذارنـد، اما نـه وقـي کــه در ميانشــان هســتي، آنجــا کــه در ميــان خـاک خوابيــدي، "سنـــگِ تمــام" را ميگذارنـد و مــي رونــد</t>
  </si>
  <si>
    <t>واقعا از انتشار سالن خالی سازمان ملل در زمان سخنرانی #روحانی لذت می برید؟ برای من نه سالن خالی در زمان #احمدی_نژاد لذت بخش و جذاب بود نه سالن خالی روحانی</t>
  </si>
  <si>
    <t>چرک نویس</t>
  </si>
  <si>
    <t>من تازه داخل ٣٠ يا١٠٠ شدم!هنوز سوادى در حد ١&amp;٢ دارم!</t>
  </si>
  <si>
    <t>Mani</t>
  </si>
  <si>
    <t>RT @Nahid_Tajedin: روحانی در #مجمع_عمومی_سازمان_ملل به وجدان جمعی ملل متحد تلنگر زد، سخنرانی #روحانی برای همه آنها که در جهان اندکی وجدان و انصاف داشته باشند کلاس درس حقوق بین الملل بود. در کنار این دست سخنان سنجیده نیازمند بهره گیری از دیپلماسی عمومی و ترجمه این سخنان به #نان شب مردم هستیم.</t>
  </si>
  <si>
    <t>خسته ام مثل لاک پشتی که یک خیابان را اشتباه رفته است...</t>
  </si>
  <si>
    <t>Dokhtare Freud</t>
  </si>
  <si>
    <t>متنفر از خايمالى واسه فالو و ريتوييت و انبه و مشتقات انبه. واسه دل خودم می نویسم اینجا **اكانت تازه پس گرفته شده**</t>
  </si>
  <si>
    <t>در جستجوى بنزين سوپر</t>
  </si>
  <si>
    <t>دوستم چند وقت پيش يه مقدارى پول ميخواست خيلى ضرورى ١٠٠٠ #دلار از من گرفت موقعى كه ٦تومن بود. الان مونده توش چجورى پس بده ميگه نزول ميكردم به صرفه تر بود :)) #روحانی_مچکریم #سازمان_ملل‌_متحد</t>
  </si>
  <si>
    <t>كوزه گر بى فوت :)</t>
  </si>
  <si>
    <t>http://nejhadegan.blogspirit.com</t>
  </si>
  <si>
    <t>A desperate Magus at an extinguished fire temple | Chemical Engineer | Visual Artist | Political Blogger</t>
  </si>
  <si>
    <t>Sassan Bahmanabadi</t>
  </si>
  <si>
    <t>🤓😶🤓 #Pluviophile ما هیچ ,ما نگاه...</t>
  </si>
  <si>
    <t>🗺</t>
  </si>
  <si>
    <t>👁️👁️</t>
  </si>
  <si>
    <t>فعال فرهنگی</t>
  </si>
  <si>
    <t xml:space="preserve"> karaj </t>
  </si>
  <si>
    <t>masoudsaketof</t>
  </si>
  <si>
    <t>faryad bidar</t>
  </si>
  <si>
    <t>[ثبت است بر جریده عالم دوام ما]</t>
  </si>
  <si>
    <t>faride</t>
  </si>
  <si>
    <t>‏‏مطیع امر رهبرم</t>
  </si>
  <si>
    <t>همین اطراف</t>
  </si>
  <si>
    <t>salma</t>
  </si>
  <si>
    <t>آلن دلون</t>
  </si>
  <si>
    <t>#توییتر_سیاسی</t>
  </si>
  <si>
    <t>توییتر سیاسی</t>
  </si>
  <si>
    <t>🇮🇷🇮🇷🇮🇷🇮🇷🇮🇷مصطفی🇮🇷🇮🇷🇮🇷🇮🇷🇮🇷</t>
  </si>
  <si>
    <t>lost is a game #iran</t>
  </si>
  <si>
    <t>#خبرفوری #حسن_روحانى ریس جمهور #جمهوري_اسلامي دیشب در #سازمان_ملل مورد #تجاوز وحشیانه بصورت #گنگ_بنگ قرار گرفت😅</t>
  </si>
  <si>
    <t>آزادی  Freedom</t>
  </si>
  <si>
    <t>Atheist🤔 , Humanist / اگه کسی رو فالو کردم به منزله تایید اون شخص یا گرایش سیاسیش نیست😊</t>
  </si>
  <si>
    <t>وضعیت یه جوریه که اگه #ترامپ ، روحانی رو اتفاقی تو راهروهای سازمان ملل یا حتی سرویس بهداشتی ببینه و یه انگشت فاک🖕🏽بهش نشون بده #دلار تو ایران ۲هزار تومن دیگه گرون میشه! #IraniansWantRegimeChange</t>
  </si>
  <si>
    <t>🌞🦁💙 يار ‌دبستانى💙🏳️‍🌈</t>
  </si>
  <si>
    <t>ناشناسم ولی خایه مال نیستم #براندازم</t>
  </si>
  <si>
    <t>RT @YaarDabestaani: وضعیت یه جوریه که اگه #ترامپ ، روحانی رو اتفاقی تو راهروهای سازمان ملل یا حتی سرویس بهداشتی ببینه و یه انگشت فاک🖕🏽بهش نشون بده #دلار تو ایران ۲هزار تومن دیگه گرون میشه! #IraniansWantRegimeChange</t>
  </si>
  <si>
    <t>ناشناس</t>
  </si>
  <si>
    <t>مدفون شده در بازوانش بار دگر زنده شده با بوسه‌هایش. Dandelion Wine</t>
  </si>
  <si>
    <t>Somewhere Over The Sea</t>
  </si>
  <si>
    <t>The Village Lantern</t>
  </si>
  <si>
    <t>بستر فراهم شده رنسانس ایرانی را می بایست وامدار عملکرد چهل ساله فاشیسم دینی بود که چهره واقعی اسلام را بدرستی بر ملت دین زده ایران هویدا کرد.</t>
  </si>
  <si>
    <t>پادشاهان ملک صبحگهیم</t>
  </si>
  <si>
    <t>Iran Renaissance👑👸</t>
  </si>
  <si>
    <t>‏‏‏‏یک عدد شمالیِ بی ادبِ باشعور, کورغوغو=جغد, بسیار منشن دهنده و ریت کننده ^__^, لطفا عرزشی پرزشی فالو نکنند, مرسی اَه, اصلاح طلب هم نیستم !!</t>
  </si>
  <si>
    <t>کورغوغو</t>
  </si>
  <si>
    <t>تا آخرین نفس برای آزادی، چه در واقعی چه در مجازی</t>
  </si>
  <si>
    <t>sin city</t>
  </si>
  <si>
    <t>(pale blue)</t>
  </si>
  <si>
    <t>بي خبر از همه جا🤷🏼‍♀️😁 دانشجوي مترجمي زبان 📚✏️📖مثل سيگارخطرناك ترين دودم باش...</t>
  </si>
  <si>
    <t>ماه بي هَمتا🌙🍓</t>
  </si>
  <si>
    <t>‏‏‏‏‏آزادی خواه، فمنیست</t>
  </si>
  <si>
    <t>سرزمین نفرین شده</t>
  </si>
  <si>
    <t>Artemis💙👑</t>
  </si>
  <si>
    <t>I am a #human rights activist. I am trying to establish #freedom and# democracy in #Iran.with# MaryamRajavi #FreeIran</t>
  </si>
  <si>
    <t>Nasrin Akbari</t>
  </si>
  <si>
    <t>فعلا در همین حد بگم که: ⛔️مجاهد⛔️عرزشی⛔️ری استارت⛔️</t>
  </si>
  <si>
    <t>گربه نره</t>
  </si>
  <si>
    <t>مجاهدی از تبار فاتحین در حسرت دیدار روی یار</t>
  </si>
  <si>
    <t>mahdi</t>
  </si>
  <si>
    <t>💏💍❤🦁☀🌻🌵🌲🍁✌🕊⚖🕯📚</t>
  </si>
  <si>
    <t>persia</t>
  </si>
  <si>
    <t>sunshine</t>
  </si>
  <si>
    <t>https://telegram.me/HarfBeManBot?start=MzU0MDY5NDA2</t>
  </si>
  <si>
    <t>شنیدم داد میزد: دلبر...دلبر... نرو غرق میشی</t>
  </si>
  <si>
    <t>https://pbs.twimg.com/media/DoBBaeEU4AUTz0z.jpg</t>
  </si>
  <si>
    <t>RT @NoorNegar: #عكس_جالب از خانم "جیشیندا آردرن"، نخست وزیر نیوزیلند برای سخنرانی در نشست #سازمان_ملل‌_متحد كه همراه با همسر و فرزند نوزادش در این مراسم حضور یافت. . #روحانى #ترامپ</t>
  </si>
  <si>
    <t>N3g4r</t>
  </si>
  <si>
    <t>‏‏‏‏(‏‏‏‏‏‏‏‏‏‏ماهی ز سر گَنده گردد نی ز دُم*فتنه از عمامه خیزد نی ز خُم) بلاک شده توسط یامین پور و مریم رجوی و علیز</t>
  </si>
  <si>
    <t>Italy</t>
  </si>
  <si>
    <t>☜حاج آقا زرد قناری☞</t>
  </si>
  <si>
    <t>‏‏‏‏شیر و خورشید♡ آریایی♡ برانداز♡ وطنمون رو دوباره آباد میکنیم♡</t>
  </si>
  <si>
    <t>جمهوری ایران</t>
  </si>
  <si>
    <t>aHMaDi</t>
  </si>
  <si>
    <t>👑 👑 👑Anahita 👑 👑 👑</t>
  </si>
  <si>
    <t>‏‏‏‏برای جنگ پول دارند ولی برای سیر کردن فقرا نه! شاید بشه یک انقلابی را بازداشت کرد ولی نمیتوان یک انقلاب را بازداشت کرد 🚫مجاهد🚫عرزشی🚫</t>
  </si>
  <si>
    <t>Iran Revival</t>
  </si>
  <si>
    <t>➰👑Shakur👑➰</t>
  </si>
  <si>
    <t>يك آدم عامى</t>
  </si>
  <si>
    <t>Iran, Turk</t>
  </si>
  <si>
    <t>saVas</t>
  </si>
  <si>
    <t>Workless</t>
  </si>
  <si>
    <t>‏ورود مجاهدین ⛔دلقکهای ری استارت⛔</t>
  </si>
  <si>
    <t>طویله ای به نام بیت رهبری</t>
  </si>
  <si>
    <t>#رهبر_ بی_ پروستات  🏳</t>
  </si>
  <si>
    <t>‏‏‏اتحاد رمز پیروزی</t>
  </si>
  <si>
    <t>سرزمین سوخته</t>
  </si>
  <si>
    <t>Anti-ideology whether religious, communism, Nazism or any other isms. Pro Liberal Democracy and constitutional monarchy. ارزشى🚫مجاهد🚫اصلاحطلب🚫</t>
  </si>
  <si>
    <t>👑MEH DI👑🦁☀️</t>
  </si>
  <si>
    <t>Architect</t>
  </si>
  <si>
    <t>تعجب میکنم از فرمایشات جناب #روحاني در #سازمان_ملل که از تاریخ و فرهنگ چندهزار ساله ایران صحبت فرمودند در حالیکه چهل ساله دارن با همین تاریخ و فرهنگ مبارزه می کنند</t>
  </si>
  <si>
    <t>Kevin Malekzad</t>
  </si>
  <si>
    <t>Not in here!</t>
  </si>
  <si>
    <t>Mars</t>
  </si>
  <si>
    <t>The Middle Finger</t>
  </si>
  <si>
    <t>هدف دارم، وسيله ندارم</t>
  </si>
  <si>
    <t>دغدغه‌م حاجی هست‌ش</t>
  </si>
  <si>
    <t>آنقدر هست که بانگ جرسی می آید !</t>
  </si>
  <si>
    <t>ایران آزاد ✌️</t>
  </si>
  <si>
    <t>Franny Glass</t>
  </si>
  <si>
    <t>‏‏‏‏‏Poor Kids of Iran</t>
  </si>
  <si>
    <t>زاده‌ی روستا، اسیر در شهر</t>
  </si>
  <si>
    <t>کِنی مک کورمیک🏳🇮🇱</t>
  </si>
  <si>
    <t>‏‏به قبل 57 بر میگردیم ، با یاری هموطنان میهن دوست.</t>
  </si>
  <si>
    <t>capitanecond</t>
  </si>
  <si>
    <t>‏‏‏‏‏‏‏‏‏‏‏‏‏‏‏هوادار پادشاهی پارلمانی و وفادار به خاندان ایران ساز پهلوی. Liverpool _ Persepolis _ Atheist</t>
  </si>
  <si>
    <t>روزگار خوش آزادی</t>
  </si>
  <si>
    <t>Jakob Karimian</t>
  </si>
  <si>
    <t>Daenerys Targaryen</t>
  </si>
  <si>
    <t>‏Feminist/ bi💜/dream maker and books lover☘ آزادی، در کدامین جزیره متروک یا سرزمین کشف نشده، خواهمت یافت؟</t>
  </si>
  <si>
    <t>دلِ بیابان</t>
  </si>
  <si>
    <t>FaHiMaH</t>
  </si>
  <si>
    <t>http://zabet.ir</t>
  </si>
  <si>
    <t>طراحی وب و اپلیکیشن http://zabet.ir</t>
  </si>
  <si>
    <t>Babolsar</t>
  </si>
  <si>
    <t>Meysam Zabet</t>
  </si>
  <si>
    <t>انقلابى پشيمان</t>
  </si>
  <si>
    <t>برانداز ‌؛ جمهوری خواه؛ طرفدار رضا پهلوی بعنوان محور اتحاد #فرشگرد</t>
  </si>
  <si>
    <t>آذرمیدخت</t>
  </si>
  <si>
    <t>🕊</t>
  </si>
  <si>
    <t>🌏🌍🌎</t>
  </si>
  <si>
    <t>gajala</t>
  </si>
  <si>
    <t>شیرِ خُفته</t>
  </si>
  <si>
    <t>باهم بودن</t>
  </si>
  <si>
    <t>حسن  خزایی پور</t>
  </si>
  <si>
    <t>http://www.facebook.com/ghobadsafari</t>
  </si>
  <si>
    <t>Cyclist &amp; Traveler lover of nature and peace</t>
  </si>
  <si>
    <t>سخنان #روحانی در #سازمان_ملل شاکیانی در تهران دارد، آنجا که گفت: «سیاست #اقتدارگرایانه یقینا محکوم به شکست است» «آمریکا فکر می‌کند چون #زور دارد #حق هم دارد» همچنین بخش «#وفای_به_عهد» و «#مشورت_با_نخبگان»</t>
  </si>
  <si>
    <t>Ghobad Safari</t>
  </si>
  <si>
    <t>سرگردان بى حاصل:)</t>
  </si>
  <si>
    <t>Nikki</t>
  </si>
  <si>
    <t>هر دشمن جمهوري اسلامي،لزوما دوست من نيست!</t>
  </si>
  <si>
    <t>https://pbs.twimg.com/media/DoBNrntXoAEa2ap.jpg</t>
  </si>
  <si>
    <t>RT @gol_agha71: #حسن_روحانى: جهان، دوستی بهتر از ایران نخواهد داشت! #روحانی_در_سازمان_ملل #روحانی #نيويورك</t>
  </si>
  <si>
    <t>i'm here...</t>
  </si>
  <si>
    <t xml:space="preserve">Tehran . شهرک نفت </t>
  </si>
  <si>
    <t>REZA DIBA</t>
  </si>
  <si>
    <t>HomerS</t>
  </si>
  <si>
    <t>برنا شفيعي، فرزند ايران زمين.</t>
  </si>
  <si>
    <t>سخنرانی #روحانی در سازمان ملل عالی بود. هر چقدر پختگی در صحبت مقامات و گفتمان دیپلماسی ایران دیده می‌شه، رفتار و گفتار آمریکا زننده، ساده‌لوحانه و باعث توهین‌ به شعور آدمه. انگار برگشتیم ۴۰ سال عقب فقط جای ایران و آمریکا عوض شده. #NoWarNoSanction #نه_جنگ_نه_تحریم #ترامپ_دیوانه</t>
  </si>
  <si>
    <t>Borna</t>
  </si>
  <si>
    <t>‏‏۶‏‏‏سربلندی و پایداری ایران عزیز آرزوی ماست.! وقتی گوسفندها به یک سمت میرند ما به سمت مخالف میرم.! توییتر آشغالی، تحت عنوان آزادی بیان.! تحقیر شما تفریح ماست</t>
  </si>
  <si>
    <t>Hossein1984</t>
  </si>
  <si>
    <t>خیلی کارا میشه کرد اما قرار نیست</t>
  </si>
  <si>
    <t>Islamic Republic of Iran🇮🇷</t>
  </si>
  <si>
    <t>🇮🇷Mahdi jianpanah🇮🇷</t>
  </si>
  <si>
    <t>Secular humanism /انسانگرایی سکولار</t>
  </si>
  <si>
    <t>ramon pardis</t>
  </si>
  <si>
    <t>زندگي ادامه داره</t>
  </si>
  <si>
    <t>HhghaHh</t>
  </si>
  <si>
    <t>‏‏‏‎#یکتاپرست ، #شاه_دوست ، #میهن_دوست</t>
  </si>
  <si>
    <t>👑💎دریادل💎👑️</t>
  </si>
  <si>
    <t>👑زِ شَه مُلك و ملت بود پايدار👑.</t>
  </si>
  <si>
    <t>👑بانو 👑</t>
  </si>
  <si>
    <t>a person who born in bad time in bad place</t>
  </si>
  <si>
    <t>ناخدا اسماج</t>
  </si>
  <si>
    <t>‏‏‏‏‏‏‏‏‏عاشق ایران ,بدنبال حقیقت,علاقمندبه تاریخ پرافتخارایران وخواستاربازگشت به روزهای اوج واون افتخارات غرورافرینی که هویت واقعی ایرانیست.خواستار اتحاد اقوام</t>
  </si>
  <si>
    <t>ایران اریایی</t>
  </si>
  <si>
    <t>Navid Navid🏳👑👑</t>
  </si>
  <si>
    <t>Iranika</t>
  </si>
  <si>
    <t>بِسمِ اللهِ الرَّحمنِ الرَّحی‏‏‏مِ من انقلابی ام</t>
  </si>
  <si>
    <t>سادات</t>
  </si>
  <si>
    <t>Nowhere</t>
  </si>
  <si>
    <t>Osho</t>
  </si>
  <si>
    <t>‏‏‏‏‏‏‏‏‏صفایی ندارد ‎‎‎‎‎‎‎‎‎#ارسطو شدن/خوشا پرکشیدن ‎‎‎‎‎‎‎‎‎#پرستو شدن/sarbaz_shomarey_314...انقلابی ام/با افتخار…فدایی صاحب الزمان…یازهــــرا</t>
  </si>
  <si>
    <t>زهــرا حسینی</t>
  </si>
  <si>
    <t>‏‏‏‏‏‏‏‏‏‏‏یک فروند بیش فعال سیاسی/پدر/حاج احمد متوسلیان/💗/صد سال تنهایی/رستگاری در شاوشنگ/آژانس شیشه ای/من او</t>
  </si>
  <si>
    <t>محمد رضی  ⁦ 🇮🇷⁩⁦⁦ 🇵🇸⁩</t>
  </si>
  <si>
    <t>#برانداز ( #جمهوریخواهم ) - رهبر حزب #گاییسم</t>
  </si>
  <si>
    <t>شاه آندروود</t>
  </si>
  <si>
    <t>mati am</t>
  </si>
  <si>
    <t>nothingelsematters..</t>
  </si>
  <si>
    <t>Denizli, Turkey</t>
  </si>
  <si>
    <t>rOmina</t>
  </si>
  <si>
    <t>paris,london,Tabriz</t>
  </si>
  <si>
    <t>ne_gar...</t>
  </si>
  <si>
    <t>Ahmad saburi</t>
  </si>
  <si>
    <t>Meshgiمشگي</t>
  </si>
  <si>
    <t>‏‏‏‏‏‏انقلابی ام .. همین..</t>
  </si>
  <si>
    <t>iran_tehran_ray</t>
  </si>
  <si>
    <t>🇮🇷rahmat_khalili🇯🇴</t>
  </si>
  <si>
    <t>https://www.instagram.com/alitabatabaei14</t>
  </si>
  <si>
    <t>مربی بسکتبال،تاتو آرتیست شاید نقاش یاطراح لباس یه وقتایی هم عکاس و ادیتور،تو خونه مامانم مهندس صدام میکنه یادم نره IT خوندم .ولی در کل به خودت نناز به تبی بندی</t>
  </si>
  <si>
    <t>همین گوشه کنار های شرق</t>
  </si>
  <si>
    <t>ترسناک ترین جمله میرسه به آمریکا هیچ غلطی نمی تواند بکند [قیمت ارز ثانیه‌ای تغییر میکند] #ایران #آمریکا #دلار #یورو #ارز #سازمان_ملل #روحانی #ترامپ</t>
  </si>
  <si>
    <t>آرتیست اَلَکی</t>
  </si>
  <si>
    <t>Sina🏳️</t>
  </si>
  <si>
    <t>ما آزموده ایم در این شهر بخت خویش #### بیرون کشید باید از این ورطه رخت خویش</t>
  </si>
  <si>
    <t>خاموش</t>
  </si>
  <si>
    <t>به تعبیر گل‌آقا یک دهان دارم دوتا دندان لق، میزنم تا زنده هستم حرف حق</t>
  </si>
  <si>
    <t>Morteza Naemeh 🇮🇷</t>
  </si>
  <si>
    <t>sh.h</t>
  </si>
  <si>
    <t>نخ وصل نيست به سرم</t>
  </si>
  <si>
    <t>ماتريكسيستيَن</t>
  </si>
  <si>
    <t>رویایی دارم ٬ رویای آزادی ٬ رویای یک رقص بی وقفه از شادی ٬ رویایی که غیرممکن نیست ٬ دنیایی که پاکه از تابلوهای ایست...</t>
  </si>
  <si>
    <t>شاید کره خاکی</t>
  </si>
  <si>
    <t>گیسو کمند مبارز</t>
  </si>
  <si>
    <t>‏‏‏‏‏‏‏‏مدافع حقوق بشر-✈عشق پرواز باهواپیما🛩 بهنام نیارکی مهماندار هواپیمایی آسمان😔(خدایا سالهاست عبور کرده ام از خویش یادم بخیر)</t>
  </si>
  <si>
    <t>فرودگاه✈</t>
  </si>
  <si>
    <t>pilot</t>
  </si>
  <si>
    <t>اینکا</t>
  </si>
  <si>
    <t>‏‏‏master of computer science / خواستار و کنشگر ایجاد آگاهی عمومی و جهش فرهنگی /فعال اصلاح طلب</t>
  </si>
  <si>
    <t>Mashhad. Iran</t>
  </si>
  <si>
    <t>Hosnie mardani</t>
  </si>
  <si>
    <t>http://love106.ir</t>
  </si>
  <si>
    <t>‏‏‏‏‏‏‏‏متغیرالفاز/سراااااااسر هیجان</t>
  </si>
  <si>
    <t>Republic of Iran</t>
  </si>
  <si>
    <t>چپ دست 🦄</t>
  </si>
  <si>
    <t>‏‏و زندگی به مزخرف ترین حالت ممکن داره میگذره</t>
  </si>
  <si>
    <t>هدهد</t>
  </si>
  <si>
    <t>‏‏‏‏فی الحال میخوانم.</t>
  </si>
  <si>
    <t>in gell</t>
  </si>
  <si>
    <t>👑مثی👑</t>
  </si>
  <si>
    <t>Viva</t>
  </si>
  <si>
    <t>خنگول بچه ديروز</t>
  </si>
  <si>
    <t>حق پذیر و حق گو اگر خدا بخواهد ....</t>
  </si>
  <si>
    <t>مشهدالرضا</t>
  </si>
  <si>
    <t>احمد حجتی پور</t>
  </si>
  <si>
    <t>http://tlg.me/alireza_pir</t>
  </si>
  <si>
    <t>‏‏خدایا تو این دنیا به این کثیفی این دل پاک چی بود به من دادی؟؟؟</t>
  </si>
  <si>
    <t>#وزیر_اقتصاد که نداریم #وزیر_کار هم که هیچ،توی #چین و#هندهم سفیر نداریم #روحانی_در_سازمان_ملل هست. میخواهیدتواین اوضاع #دلار سربه فلک نکشه، #خودت_بمال برای خودت ازاین دولت آبی گرم نمیشه #دلار18000تومانی #روحانی_مچکریم #سکه #روحانی_مچکریم #دلار_فضائی #دلار_۱۸۰۰۰ #دلار۱۹۰۰۰تومانی</t>
  </si>
  <si>
    <t>be chokh rafte</t>
  </si>
  <si>
    <t>‏‏‏‏‏‏‏‏‏‏‏‏‏‏‏‏‏‏‏‏‏‏‏‏‏‏‏‏‏ اصلا هر چی تو بگی</t>
  </si>
  <si>
    <t>Niederfischbach, Deutschland</t>
  </si>
  <si>
    <t>Parse🇩🇪</t>
  </si>
  <si>
    <t>‏‎#جمهوری_خواهم</t>
  </si>
  <si>
    <t>RT @ReformistBoy: جناب رئیس جمهور #روحانی @Rouhani_ir صادقانه میگویم #راضی‌ام_ازت #سازمان_ملل #نشست_مجمع_عمومی_سازمان_ملل</t>
  </si>
  <si>
    <t>‏‏‎‎#exmuslem ‏‏‏آتئیست تحقیقی، خردگرا، سکولار، لیبرال، ضد تحجر و حکومت ایدئولوگ ‎#براندازم و حال و حوصله کل کل با عرزشی و مجاهدین رو ندارم برو دام بر مرغی دگر</t>
  </si>
  <si>
    <t>ایالات متحده نیک اندیشی</t>
  </si>
  <si>
    <t>Persian renaissance  رنسانس ایرانی</t>
  </si>
  <si>
    <t>‏‏‏‏‏‏‏‏نه توییت فاخر دارم نه از نوع فیواسترش</t>
  </si>
  <si>
    <t>Ur m i a</t>
  </si>
  <si>
    <t>The Punisher</t>
  </si>
  <si>
    <t>ژنده پوشی که برو نام تقدس دادند .... دیرگاهیست که در فسق و فجور استاد است</t>
  </si>
  <si>
    <t>Shishimato</t>
  </si>
  <si>
    <t>Developer , Atheist , #RezaPahlavi Supporter</t>
  </si>
  <si>
    <t>MazYar</t>
  </si>
  <si>
    <t>Hospital Nurse,Rn, BSN...پرستار I want the world to be better...</t>
  </si>
  <si>
    <t>🇮🇷Mohsen Razavi</t>
  </si>
  <si>
    <t>RT @Alireza_pir: #وزیر_اقتصاد که نداریم #وزیر_کار هم که هیچ،توی #چین و#هندهم سفیر نداریم #روحانی_در_سازمان_ملل هست. میخواهیدتواین اوضاع #دلار سربه فلک نکشه، #خودت_بمال برای خودت ازاین دولت آبی گرم نمیشه #دلار18000تومانی #روحانی_مچکریم #سکه #روحانی_مچکریم #دلار_فضائی #دلار_۱۸۰۰۰ #دلار۱۹۰۰۰تومانی</t>
  </si>
  <si>
    <t>amin</t>
  </si>
  <si>
    <t>Art lover Photography lover Animal lover Freedom lover</t>
  </si>
  <si>
    <t>In my clothes</t>
  </si>
  <si>
    <t>parse💙</t>
  </si>
  <si>
    <t>اگر آزاده نیستید، لااقل دین هم نداشته باشید</t>
  </si>
  <si>
    <t>مستقيم نرسيده به اونورتر</t>
  </si>
  <si>
    <t>ميرزا علي اكبر خان 🇮🇷</t>
  </si>
  <si>
    <t>king 👑🤴👑 Sahar Hny Real</t>
  </si>
  <si>
    <t>http://instagram.com/peyman_lotfipics</t>
  </si>
  <si>
    <t>peymanlotfi</t>
  </si>
  <si>
    <t>‏‏چشمی و سرینی اینچنین خوب بر هر دونبشته غیر المغضوب</t>
  </si>
  <si>
    <t>رضا</t>
  </si>
  <si>
    <t>بیکار اما مترجم. نگران حقوق بشر و زنان وکودکان. آزادی خواه. سرخورده از این دنیای وانفسا.</t>
  </si>
  <si>
    <t xml:space="preserve">جاهای خیلی دور </t>
  </si>
  <si>
    <t>پرواز</t>
  </si>
  <si>
    <t>خدایا مملکت را از دروغ و خیانت دور کن. سعی کرده ام طرفدار حقیقت باشم به دور از تعصب کورکورانه .هیچکس و هیچ عقیده ای مقدس نیست</t>
  </si>
  <si>
    <t>خط خطي ها</t>
  </si>
  <si>
    <t>‏‏‏گر هیچ مرا در دلِ تو جاست، بگو... گر هست بگو، نیست بگو، راست بگو... 👤 مولانا</t>
  </si>
  <si>
    <t>$@£€D</t>
  </si>
  <si>
    <t>‏‏درپی ایران پیشرفته واباد مسلمان سکولار فالو=فالوبک</t>
  </si>
  <si>
    <t>زاغه ها</t>
  </si>
  <si>
    <t>آذرخش</t>
  </si>
  <si>
    <t>Nahid Aslanian</t>
  </si>
  <si>
    <t>RT @alizahedi_ir: از رییس جمهوری که با سخنرانی اش در سازمان ملل ۴۰ دلار هر بشکه نفت گران تر می شد رسیده ایم به رییس جمهوری که مردم از او می خواهند در سخنرانی اش هیچ نگوید تا وضع از این بدتر نشود. تاریخ راجع به این روزهای ما چه خواهد نوشت ؟ #احمدی_نژاد #مشایی #بقایی #بهار #روحانی #نفت #دلار #مردم</t>
  </si>
  <si>
    <t>Mesha</t>
  </si>
  <si>
    <t>https://retech.blog.ir/#Free.Palestine</t>
  </si>
  <si>
    <t>@UniFormaTech On the Net. Be a friend to working better. 😀#Humanity,#Programming,#Data,#Net,#OS,#Security,#Innovation,#Business,#Startup,#Blockchain,#RUP,#Web 🏴</t>
  </si>
  <si>
    <t>UniFormaTech🇮🇷🇮🇶☫</t>
  </si>
  <si>
    <t>https://www.facebook.com/mullah.hater</t>
  </si>
  <si>
    <t>Human rights advocate. Anti mullah's regime in Iran. Secular. ضد رژیم اخوندی ایران.</t>
  </si>
  <si>
    <t>لاندِن لَندَنِ سابق</t>
  </si>
  <si>
    <t>گروچو</t>
  </si>
  <si>
    <t>اکانت قبلی به دلیل فراموشی پسورد غیر فعال 😢</t>
  </si>
  <si>
    <t>سارابانو</t>
  </si>
  <si>
    <t>‏‏‏‏‏آی فرزندان آدم ، عالم محضر خداست ، در محضر خدا فضولی زندگی بقیه رو نکنید 😑 متأهل است این مخ نزنیدش! 💍 😑😑😑</t>
  </si>
  <si>
    <t>tehran . iran</t>
  </si>
  <si>
    <t>S@h@r</t>
  </si>
  <si>
    <t>‏‏‏آنچه را که بر خود نمی پسندی بردیگران نیز مپسند.</t>
  </si>
  <si>
    <t>شهاب</t>
  </si>
  <si>
    <t>☫ دهه هفتادی 🇮🇷 انقلابی 🇾🇪 لبیک یا خامنه ای</t>
  </si>
  <si>
    <t>Abbas</t>
  </si>
  <si>
    <t>‏خدای را ببر از یاد که بر او پناهی نیست 🌈</t>
  </si>
  <si>
    <t>Earth</t>
  </si>
  <si>
    <t>Raven</t>
  </si>
  <si>
    <t>‏‏‏ایران عرفان کیهانی حماسه ادبیات</t>
  </si>
  <si>
    <t>جهان  زمین  ایران   Iran</t>
  </si>
  <si>
    <t>english translating. arcitecture</t>
  </si>
  <si>
    <t>fafa</t>
  </si>
  <si>
    <t>yootab</t>
  </si>
  <si>
    <t>به هر روی...</t>
  </si>
  <si>
    <t>ایستاده با مشت</t>
  </si>
  <si>
    <t>‏فالو=بک است</t>
  </si>
  <si>
    <t>خاک وطن</t>
  </si>
  <si>
    <t>جمشید آریا(فالو کنید ریتویتتون کنم)</t>
  </si>
  <si>
    <t>https://telegram.me/harfbemanbot?start=MjEzMjQxNjQ4</t>
  </si>
  <si>
    <t>‏‏‏ما رویایی داریم که غیرممکن نیست</t>
  </si>
  <si>
    <t>🏳دیکتاتور دیده</t>
  </si>
  <si>
    <t>keyone ku</t>
  </si>
  <si>
    <t>‏‏‏‏‏‏‏‏‏‏‏‏‏‏‏‏‏‏سایه ای در میان مردم /جمع نقیضینم👑/منشن به معنای لاس.خیانت. جیندا بازیو غیره نیس... :)/.تازه وارد هستم بک بدین لطفا</t>
  </si>
  <si>
    <t>کرج^_^</t>
  </si>
  <si>
    <t>ماری ملکه اسکاتلند👑🍫</t>
  </si>
  <si>
    <t>RT @ahmadinejad95: بعد از #حمله_تروریستی_اهواز دیدید که بعضیا گفتند این اتفاق بخاطر اینه که #روحانی در سخنرانی سازمان ملل بگه "ما خودمان قربانی #تروریسم هستیم" دیشب که روحانی با اشاره به این حمله این حرفو زد آب روغن قاطی کردم! بابا حداقل ظاهرو حفظ کنید!</t>
  </si>
  <si>
    <t>seniorita</t>
  </si>
  <si>
    <t>Life is a comedy ,written by a sadistic writer though.</t>
  </si>
  <si>
    <t>H4554N</t>
  </si>
  <si>
    <t>حیدری</t>
  </si>
  <si>
    <t>http://hoder.com</t>
  </si>
  <si>
    <t>نويسنده، مترجم، و تحليل‌گر رسانه. جهان‌شهریِ آزادی‌خواهِ استقلال‌طلبِ عدالت‌گرا، و مخالف اکراه در دین. ریتویت به معنی تایید نیست.</t>
  </si>
  <si>
    <t>حسین درخشان 💈</t>
  </si>
  <si>
    <t>کلیله و دمنه</t>
  </si>
  <si>
    <t>‏‏‏‏‏‏‏‏ای مـهــرِ تــو از روز ازَل، سَـهــمِ دلِ مــن... آمـیخـتـه بـا عـشــقِ وَطـن، آب و گـِــلِ مَــن...</t>
  </si>
  <si>
    <t>بــــر بــاد رفـتــه</t>
  </si>
  <si>
    <t>عالم به علم لدني، محقق مذهبي در زمينه ي سوزاك و سفليس و سايرِ بيماري هاي مقاربتي، شكارچيِ پرنده ابابيل، مسلمان گريز و اسلام هراسِ كهنه كار</t>
  </si>
  <si>
    <t>جمهوري اشتباهي ايران!</t>
  </si>
  <si>
    <t>عالِمِ بي عَمَلْ</t>
  </si>
  <si>
    <t>⛔️#سکوت_ممنوع⛔️#نه_به_اعدام_رامین_حسین_پناهی #آزادی #اتحاد #متحد_شویم #براندازم</t>
  </si>
  <si>
    <t>👈🏼مــُصــيــبــَت🤦🏻‍♀️</t>
  </si>
  <si>
    <t>neurologist</t>
  </si>
  <si>
    <t>RT @dunkirkkkkk: موضوع برنامه ی تحلیلی بی بی سی فارسی: "برنده جدال دیپلماتیک #روحانی و #ترامپ در #سازمان_ملل که بود؟" برنده رو نمیدونم ولی بازنده ی اصلی ما مردمیم.</t>
  </si>
  <si>
    <t>Elahe MhGh</t>
  </si>
  <si>
    <t>‏وای به حالتان دکتر احمدی نژاد حکم جهادم دهد</t>
  </si>
  <si>
    <t>Mohamad</t>
  </si>
  <si>
    <t>مستاجری در آلمان غربی</t>
  </si>
  <si>
    <t>"آمریکا فکر میکند چون زور دارد،حق هم دارد" انشای حسن روحانی ، ۱۰ ساله ، نیویورک #IraniansWantRegimeChange #روحانی_خفه_شو #روحانی #سازمان_ملل #جمهوری_اسلامی_انتخاب_من_نیست #سپاه</t>
  </si>
  <si>
    <t>دانیالوگرام</t>
  </si>
  <si>
    <t>am</t>
  </si>
  <si>
    <t>‏‏‏۶‏‏‏سربلندی و پایداری ایران عزیز آرزوی ماست.! وقتی گوسفندها به یک سمت میرند ما به سمت مخالف میریم! توییتر آشغالی، تحت عنوان آزادی بیان.! تحقیر شما تفریح ماس</t>
  </si>
  <si>
    <t>‏‏‏‏‏‏‏‏‏اگه بجنگید ممکنه بمیرید، فرار کنید زنده میمونید، حداقل برای یه مدتی … و بعد ها توی تختاتون میمیرید. ( شجاع دل )</t>
  </si>
  <si>
    <t>پیسر شجاع🕕</t>
  </si>
  <si>
    <t>❤️ #perspolis ❤️ #براندازم</t>
  </si>
  <si>
    <t>اَلٰهُمَّ عَجِّلْ لِوَلیکَ الْفَرَجْ</t>
  </si>
  <si>
    <t>آقای #روحانی! از حرفهایتان در سازمان ملل ناراضی نیستیم اما ایستادگی با حرف قوی و کارضعیف محقق نمیشود وضروریست جهت ترمیم تیم فکری و اجرایی #اقتصادی خود کاری کنید وسیاستها ومشاوران اقتصادی رفوزه را کنارگذارید و افراد کارآزموده‌ای مثل طهماسب مظاهری را بکارگیرید. #دلار۱۷۰۰۰تومانی</t>
  </si>
  <si>
    <t>navvab shamsi</t>
  </si>
  <si>
    <t>http://Khamenei.ir</t>
  </si>
  <si>
    <t>Free Your Mind , Please / Still Searching ...</t>
  </si>
  <si>
    <t>khashayar 🇮🇷🇵🇸</t>
  </si>
  <si>
    <t>‏‏‏‏‏شدم یه مرد مرده بین زنده ها///همیشه تک و تنها دور از اجتماع ‏‏‏I love my freedom but I risk it anywhere I see them ✊✊👊 فالو بی دلیل ممنوع</t>
  </si>
  <si>
    <t>RT @K179981829: "آمریکا فکر میکند چون زور دارد،حق هم دارد" انشای حسن روحانی ، ۱۰ ساله ، نیویورک #IraniansWantRegimeChange #روحانی_خفه_شو #روحانی #سازمان_ملل #جمهوری_اسلامی_انتخاب_من_نیست #سپاه</t>
  </si>
  <si>
    <t>مرده متحرک</t>
  </si>
  <si>
    <t>اینجا جای عرزشی و مجاهد نیست.</t>
  </si>
  <si>
    <t>نیچه بزرگوار</t>
  </si>
  <si>
    <t>‏‏مقام اصلی ما گوشه خرابات است خداش خیر دهاد آن که این عمارت کرد</t>
  </si>
  <si>
    <t>جیمی فِلویْد هاسِلْبَنک</t>
  </si>
  <si>
    <t>هییییییییچ راهی نیست، جز براندازی</t>
  </si>
  <si>
    <t>Richmond, British Columbia</t>
  </si>
  <si>
    <t>دیویداوووووف</t>
  </si>
  <si>
    <t>‏‏‏‏‏‏من خودم آنجا بودم, در قلب حادثه, من ایرانم...</t>
  </si>
  <si>
    <t>شاهد عینی</t>
  </si>
  <si>
    <t>https://pbs.twimg.com/media/DoBs2BTXkAAwwke.jpg</t>
  </si>
  <si>
    <t>تعداد حاضرین در جلسه #سازمان_ملل‌_متحد موقع سخنرانی #ترامپ و #روحانى 😬😅🤦🏻‍♂️ #مرگ_بر_اصل_ولایت_فقیه #مرگ_بر_خامنه_ای #نه_به_جمهوری_اسلامی #جمهوری_اسلامی_انتخاب_من_نیست #فرقه_تبهکار #IraniansWantRegimeChange #IslamicRegimeMustGo #IranRegimeChange</t>
  </si>
  <si>
    <t>Morteza Ezzati</t>
  </si>
  <si>
    <t>sahariii</t>
  </si>
  <si>
    <t>آچار فرانسه</t>
  </si>
  <si>
    <t>https://BestFarsi.com</t>
  </si>
  <si>
    <t>بازنشر بی‌درنگ توییت‌های فارسی که بیشتر از ۱۰۰۰ لایک و ۱۵۰ ریتوییت در کمتر از ۲۴ ساعت می‌گیرند. پرسش یا آمار بیشتر در دایرکت. اعداد بعد هشتگ‌ها تعداد توییت نیست</t>
  </si>
  <si>
    <t>توییتر فارسی</t>
  </si>
  <si>
    <t>soroosh</t>
  </si>
  <si>
    <t>ماله بذر هویت ماست .......</t>
  </si>
  <si>
    <t>ماله</t>
  </si>
  <si>
    <t>منم هستم</t>
  </si>
  <si>
    <t>Helen 🏳🏳️‍🌈</t>
  </si>
  <si>
    <t>««‏ورود مجاهد و عرزشی ممنوع»»</t>
  </si>
  <si>
    <t xml:space="preserve"> Iran</t>
  </si>
  <si>
    <t>‏‏‏‏‏‏‏‏‏‏یک ‎‎‎‎‎‎#آتئیست، کسی که به اعتقاد دیگران هیچ احترامی نمیذاره. ورود دینداران بخصوص ‎‎‎‎‎‎#مسلمانان وحشی بالاخص از نوع ‎‎‎‎‎#عرزشی ممنوع ⛔🚫🔞</t>
  </si>
  <si>
    <t>Loading Location...</t>
  </si>
  <si>
    <t>منبع ناشناس ♋💯</t>
  </si>
  <si>
    <t>Kerman</t>
  </si>
  <si>
    <t>#روحانی در سازمان ملل: من از همینجا گفت وگو رو شروع میکنم. تازه شروع کرد، #دلار شد ۱۹۰۰۰ نخواهیم حرف بزنی کیو باید ببینیم؟!؟ #دلار19000تومانی #تا_1400_با_روحانی</t>
  </si>
  <si>
    <t>ٺمــــاݩــــــة</t>
  </si>
  <si>
    <t>‏‏یک عدد برانداز 😊 فالو بک دهنده</t>
  </si>
  <si>
    <t>سراب</t>
  </si>
  <si>
    <t>‏‏بنده به هیچ چیز اعتقاد ندارم لطفا من ر به اعتقاداتم قسم ندید</t>
  </si>
  <si>
    <t>بی سرزمین تر از باد</t>
  </si>
  <si>
    <t>🏳Parivana براندازم🏳</t>
  </si>
  <si>
    <t>حاج خانم صلواتی</t>
  </si>
  <si>
    <t>abi azad</t>
  </si>
  <si>
    <t>‏این جماعت که شرارت از بیضه هایشان میبارد ، من به چِیِ اینها دل خوش کنم؟‏‏ نیمچه شاعر — نیهیلیسم</t>
  </si>
  <si>
    <t>ویرانه آباد</t>
  </si>
  <si>
    <t>‏‏‏‏‏‏‏‏‏‏Spring Life Style / زندگی به سبک ‎‎بهار / مهندس شیمی / pv=nRt</t>
  </si>
  <si>
    <t>بیت بیابانی مهدی</t>
  </si>
  <si>
    <t>https://pbs.twimg.com/media/DoBvouSXoAI2cAq.jpg</t>
  </si>
  <si>
    <t>زمانی که #احمدی_نژاد در #سازمان_ملل سخنرانی میکرد جمعیت زیادی در سالن بود و وقتی شروع میکرد به ایراد سخنان مهدوی، عدالتخواهانه و ضد نژادپرستی و صهیونیسم، جمعیت سالن رو ترک میکردن جناب #روحانی با #عزت_ملی چه کرده که بدون سخنان عدالتخواهی و ضدصهیونیسم، سالن از همان اول خالی بود؟</t>
  </si>
  <si>
    <t>Seyed Ali</t>
  </si>
  <si>
    <t>‏‏‏‏‏‏‏‏‏‏‏‏‏‏‏‏‏‏‏‏‏‏‏‏‏‏‏‏‏‏#حسین عشق است.... ‏‏‏‏‏‏</t>
  </si>
  <si>
    <t>جمهوری اسلامی ایران  #تهران</t>
  </si>
  <si>
    <t>#ریتوئیتر _انقلابی_ولایی🏴</t>
  </si>
  <si>
    <t>كوليس👌👌</t>
  </si>
  <si>
    <t>Sh. Zehtab</t>
  </si>
  <si>
    <t>Ingratitude is the prerogative of the masses</t>
  </si>
  <si>
    <t>Spain</t>
  </si>
  <si>
    <t>shared zest</t>
  </si>
  <si>
    <t>أنا معارض ايراني أمير ألمسعودي اناشط لإسقاط نظام ملالي ألمجرمين ألحاكمين في بلدي إيران وصديق لشعب ألسوري ألبطل وألاخوة ألعرب ألشرفاء</t>
  </si>
  <si>
    <t>لندن - بريطانيا</t>
  </si>
  <si>
    <t>https://pbs.twimg.com/media/DoBwxWkXcAACnv3.jpg</t>
  </si>
  <si>
    <t>@OrgIAC @SecPompeo @VOAIran @VP @nikkihaley @UANI روحانی شیاد حرام زاده زمانی اومده سازمان ملل وقیافه آدمها رو بخودش میگیره که همین چند ماه پیش مامورشو که می خواست تو مراسم سازمان #مجاهدین تو #پاریس بمب بگذاره دستگیر کردن پس مرگ بر #خامنه‌ای #روحانی زنده باد خانم #مريم_رجوي</t>
  </si>
  <si>
    <t>امير المسعودي</t>
  </si>
  <si>
    <t>من زنم به همان اندازه از هوا سهم میبرم که ریه های تو، دردآور است که آزاد نباشم تا تو به گناه نیفتی</t>
  </si>
  <si>
    <t>رها</t>
  </si>
  <si>
    <t>احترام به بعضی عقاید توهین به شعور خودم محسوب میشه</t>
  </si>
  <si>
    <t>Malaga, Spain</t>
  </si>
  <si>
    <t>reza</t>
  </si>
  <si>
    <t>شَرْ💙🌹</t>
  </si>
  <si>
    <t>ئه‌یوب</t>
  </si>
  <si>
    <t>👑Naii👑➰</t>
  </si>
  <si>
    <t>سعي ما بود بهر ابادي اين سامان</t>
  </si>
  <si>
    <t>وطن</t>
  </si>
  <si>
    <t>hamidreza</t>
  </si>
  <si>
    <t>ناکجا آباد سفلا</t>
  </si>
  <si>
    <t>V for IRAN</t>
  </si>
  <si>
    <t>یکی بود یکی نبود خدا هم نبود.</t>
  </si>
  <si>
    <t>Bahram</t>
  </si>
  <si>
    <t>From the point of view of the people who hold power, they commit the crime of what others commit</t>
  </si>
  <si>
    <t>Proxima</t>
  </si>
  <si>
    <t>‏کارشناس HSE/ ژان ژاک راسو: ... توصیه های ایمنی را جدی بگیرید!</t>
  </si>
  <si>
    <t>کاش روحانی از سازمان ملل به کشوری که فکر میکنه رئیس جمهورش هست(سوئیس) برگرده نه کشوری ما داریم توش زندگی میکنیم. #دلار #دلار18000تومانی</t>
  </si>
  <si>
    <t>آقوی ایمنی 🏴</t>
  </si>
  <si>
    <t>‏‏‏سالهای غفلت گذشت، سالهای تغافل در پیش</t>
  </si>
  <si>
    <t>نه برانداز نه ارزشی</t>
  </si>
  <si>
    <t>صیاد</t>
  </si>
  <si>
    <t>Atheist, Radical,Isolate Person With Poetry Emotions</t>
  </si>
  <si>
    <t>Underworld</t>
  </si>
  <si>
    <t>HADES (God's Of Underworlds)</t>
  </si>
  <si>
    <t>Gringofficiall</t>
  </si>
  <si>
    <t>https://pbs.twimg.com/media/DoBx6CkWsAEnU90.jpg</t>
  </si>
  <si>
    <t>تبریک عرض میکنم مردم #دلار هجده هزار و پانصد تومن رو هم رد کرد و به سرعت به سمت بیست هزار تومن پیش میره #لطفا جک های جدیدتون رو بسازین تا دور هم بخندیم #التماس_تفکر #سازمان_ملل #روحانی #ظریف #فقر #ایران</t>
  </si>
  <si>
    <t>http://pooriast.wordpress.com</t>
  </si>
  <si>
    <t>A Believer in Friendship &amp; Helpfulness; Entrepreneur Playing with #SocialMedia &amp; #BigData Analysis. #TwitterForIran</t>
  </si>
  <si>
    <t>Pooria Asteraky ⁦🇮🇷⁩</t>
  </si>
  <si>
    <t>persianboy</t>
  </si>
  <si>
    <t>‏‏‏براندازم ، مستقل تو مبارزه،مدافع حقوق زنان،جویای حقوق قانونی،ضد حکومت دینی وآخوندی،اتحاد اپوزسیون = رمز پیروزی،// عرزشی🚫</t>
  </si>
  <si>
    <t>💎shahrzadeirani💎</t>
  </si>
  <si>
    <t>یکی از خس و خاشاک و لات و لوت ها هستم. هدف خاصی در زندگی ندارم به جز نابودی حکومت ولایی و رسیدن به آزادی.</t>
  </si>
  <si>
    <t>تحقیرستان</t>
  </si>
  <si>
    <t>ندهد سر جز به راه آزادی</t>
  </si>
  <si>
    <t>mohammad solymani</t>
  </si>
  <si>
    <t>هم موشک، هم مذاکره</t>
  </si>
  <si>
    <t>Rasa Parsa</t>
  </si>
  <si>
    <t>Amir Ali</t>
  </si>
  <si>
    <t>#hairstyler #آرایشگر #badminton #بدمینتون</t>
  </si>
  <si>
    <t>Saeideh</t>
  </si>
  <si>
    <t>‏یکی آمد با پتک سیاه پرواز را کشت...</t>
  </si>
  <si>
    <t>آزادی کو ...؟</t>
  </si>
  <si>
    <t>kamal</t>
  </si>
  <si>
    <t>nooshin</t>
  </si>
  <si>
    <t>RT @Alirezahse: کاش روحانی از سازمان ملل به کشوری که فکر میکنه رئیس جمهورش هست(سوئیس) برگرده نه کشوری ما داریم توش زندگی میکنیم. #دلار #دلار18000تومانی</t>
  </si>
  <si>
    <t>‏‏‏‌ما بر آن شده‌ایم تا سر بر میله‌ها بکوبیم. سرهای بیشماری خواهند شکست. اما روزی میله‌ها می‌شکنند!</t>
  </si>
  <si>
    <t>straße</t>
  </si>
  <si>
    <t>اغای #روحانی خسته نباشی!نمیشد شما هم بری تو #سازمان_ملل یه جُک تعریف کنی تا سران به شما هم #بخندند؟! اخه هر وقت شما عزتمندانه صحبت میکنی این شلوار ملته که در میاد! فکر کنم شما اگه ده دقیقه دیگه نطقت را ادامه میدادی #دلار بیست هزار تومان</t>
  </si>
  <si>
    <t>‏‏‏‏من با خودم بد جور به هم زدم؛ سیاسی نیستم ولی عاقل شدم. 👑درود بر خاندان پهلوی👑</t>
  </si>
  <si>
    <t>aria</t>
  </si>
  <si>
    <t>Mom, wife, Conservative, Chem Eng, focused on Iran, هوادارپادشاهی شاید نباشم ولی به عنوان یک ایرانی، خود را مدیون خانواده پهلوی می دانم #براندازم</t>
  </si>
  <si>
    <t>Shabnam</t>
  </si>
  <si>
    <t>Profile Image</t>
  </si>
  <si>
    <t>Timezone</t>
  </si>
  <si>
    <t>Website</t>
  </si>
  <si>
    <t>Bio</t>
  </si>
  <si>
    <t>User Since</t>
  </si>
  <si>
    <t>Verfied</t>
  </si>
  <si>
    <t>Listed</t>
  </si>
  <si>
    <t>Follows</t>
  </si>
  <si>
    <t>Followers</t>
  </si>
  <si>
    <t>App</t>
  </si>
  <si>
    <t>Media</t>
  </si>
  <si>
    <t>Link(s)</t>
  </si>
  <si>
    <t>Tweet ID</t>
  </si>
  <si>
    <t>Tweet Text</t>
  </si>
  <si>
    <t>Full Name</t>
  </si>
  <si>
    <t>Screen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</si>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</sst>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font>
      <sz val="10"/>
      <color rgb="FF000000"/>
      <name val="Arial"/>
    </font>
    <font>
      <sz val="8"/>
      <name val="Droid Sans"/>
    </font>
    <font>
      <u/>
      <sz val="8"/>
      <color rgb="FF0000FF"/>
      <name val="Droid Sans"/>
    </font>
    <font>
      <sz val="8"/>
      <color rgb="FFFFFFFF"/>
      <name val="Droid Sans"/>
    </font>
  </fonts>
  <fills count="3">
    <fill>
      <patternFill patternType="none"/>
    </fill>
    <fill>
      <patternFill patternType="gray125"/>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vertical="center"/>
    </xf>
    <xf numFmtId="164" fontId="1" fillId="0" borderId="0" xfId="0" applyNumberFormat="1"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 fillId="0" borderId="0" xfId="0" quotePrefix="1"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pbs.twimg.com/media/DoBBaeEU4AUTz0z.jpg" TargetMode="External"/><Relationship Id="rId671" Type="http://schemas.openxmlformats.org/officeDocument/2006/relationships/hyperlink" Target="http://pic.twitter.com/08Wiq2eIO2" TargetMode="External"/><Relationship Id="rId21" Type="http://schemas.openxmlformats.org/officeDocument/2006/relationships/hyperlink" Target="https://pbs.twimg.com/media/DoBvouSXoAI2cAq.jpg" TargetMode="External"/><Relationship Id="rId324" Type="http://schemas.openxmlformats.org/officeDocument/2006/relationships/hyperlink" Target="http://pic.twitter.com/m8Gm0iH9c4" TargetMode="External"/><Relationship Id="rId531" Type="http://schemas.openxmlformats.org/officeDocument/2006/relationships/hyperlink" Target="https://pbs.twimg.com/media/Dn_Zks6U8AAYPQm.jpg" TargetMode="External"/><Relationship Id="rId629" Type="http://schemas.openxmlformats.org/officeDocument/2006/relationships/hyperlink" Target="https://www.instagram.com/world_stock/?hl=en" TargetMode="External"/><Relationship Id="rId170" Type="http://schemas.openxmlformats.org/officeDocument/2006/relationships/hyperlink" Target="https://pbs.twimg.com/media/DoBBVW7U0AADI7R.jpg" TargetMode="External"/><Relationship Id="rId268" Type="http://schemas.openxmlformats.org/officeDocument/2006/relationships/hyperlink" Target="http://www.jamejamonline.ir/" TargetMode="External"/><Relationship Id="rId475" Type="http://schemas.openxmlformats.org/officeDocument/2006/relationships/hyperlink" Target="http://pic.twitter.com/lfIvHahhjl" TargetMode="External"/><Relationship Id="rId682" Type="http://schemas.openxmlformats.org/officeDocument/2006/relationships/hyperlink" Target="https://pbs.twimg.com/media/Dn9olKMXUAESEKp.jpg" TargetMode="External"/><Relationship Id="rId32" Type="http://schemas.openxmlformats.org/officeDocument/2006/relationships/hyperlink" Target="https://pbs.twimg.com/media/DoBBVW7U0AADI7R.jpg" TargetMode="External"/><Relationship Id="rId128" Type="http://schemas.openxmlformats.org/officeDocument/2006/relationships/hyperlink" Target="http://nejhadegan.blogspirit.com/" TargetMode="External"/><Relationship Id="rId335" Type="http://schemas.openxmlformats.org/officeDocument/2006/relationships/hyperlink" Target="http://shatr.blog.ir/" TargetMode="External"/><Relationship Id="rId542" Type="http://schemas.openxmlformats.org/officeDocument/2006/relationships/hyperlink" Target="http://aparat.com/mavoo" TargetMode="External"/><Relationship Id="rId181" Type="http://schemas.openxmlformats.org/officeDocument/2006/relationships/hyperlink" Target="https://pbs.twimg.com/media/DoBBVW7U0AADI7R.jpg" TargetMode="External"/><Relationship Id="rId402" Type="http://schemas.openxmlformats.org/officeDocument/2006/relationships/hyperlink" Target="http://www.cs-leiteracy.ir/" TargetMode="External"/><Relationship Id="rId279" Type="http://schemas.openxmlformats.org/officeDocument/2006/relationships/hyperlink" Target="https://pbs.twimg.com/media/DoAyNyTXsAAuTW0.jpg" TargetMode="External"/><Relationship Id="rId486" Type="http://schemas.openxmlformats.org/officeDocument/2006/relationships/hyperlink" Target="http://t.me/mostafa_sharif" TargetMode="External"/><Relationship Id="rId693" Type="http://schemas.openxmlformats.org/officeDocument/2006/relationships/hyperlink" Target="http://www.kanokhbegan.com/" TargetMode="External"/><Relationship Id="rId707" Type="http://schemas.openxmlformats.org/officeDocument/2006/relationships/hyperlink" Target="https://pbs.twimg.com/media/Dn-NpbWWsAArFg0.jpg" TargetMode="External"/><Relationship Id="rId43" Type="http://schemas.openxmlformats.org/officeDocument/2006/relationships/hyperlink" Target="https://pbs.twimg.com/media/Dn96j_sX0AAU1zr.jpg" TargetMode="External"/><Relationship Id="rId139" Type="http://schemas.openxmlformats.org/officeDocument/2006/relationships/hyperlink" Target="http://tn.ai/1837992" TargetMode="External"/><Relationship Id="rId346" Type="http://schemas.openxmlformats.org/officeDocument/2006/relationships/hyperlink" Target="http://pic.twitter.com/ReSFQ60YJP" TargetMode="External"/><Relationship Id="rId553" Type="http://schemas.openxmlformats.org/officeDocument/2006/relationships/hyperlink" Target="http://radiozamaneh.com/" TargetMode="External"/><Relationship Id="rId192" Type="http://schemas.openxmlformats.org/officeDocument/2006/relationships/hyperlink" Target="https://pbs.twimg.com/media/DoBBVW7U0AADI7R.jpg" TargetMode="External"/><Relationship Id="rId206" Type="http://schemas.openxmlformats.org/officeDocument/2006/relationships/hyperlink" Target="https://pbs.twimg.com/media/DoBBVW7U0AADI7R.jpg" TargetMode="External"/><Relationship Id="rId413" Type="http://schemas.openxmlformats.org/officeDocument/2006/relationships/hyperlink" Target="https://www.iranntv.com/2018/09/24/%da%a9%d8%a7%d8%b1%d8%b2%d8%a7%d8%b1-%d8%a7%d8%b4%d8%b1%d9%81-%d9%86%d8%b4%d8%a7%d9%86%d8%a7%d9%86-%d8%af%d8%b1-%d9%86%db%8c%d9%88%db%8c%d9%88%d8%b1%da%a9-%d8%a7%d8%b9%d8%aa%d8%b1%d8%a7%d8%b6-%d8%a8/" TargetMode="External"/><Relationship Id="rId497" Type="http://schemas.openxmlformats.org/officeDocument/2006/relationships/hyperlink" Target="http://bit.ly/2AXdsjn" TargetMode="External"/><Relationship Id="rId620" Type="http://schemas.openxmlformats.org/officeDocument/2006/relationships/hyperlink" Target="https://pbs.twimg.com/media/Dn94r5MWsAApUZ-.jpg" TargetMode="External"/><Relationship Id="rId718" Type="http://schemas.openxmlformats.org/officeDocument/2006/relationships/hyperlink" Target="https://pbs.twimg.com/media/Dn9-UPPXcAAgdd_.jpg" TargetMode="External"/><Relationship Id="rId357" Type="http://schemas.openxmlformats.org/officeDocument/2006/relationships/hyperlink" Target="http://pic.twitter.com/zmv21GKCFi" TargetMode="External"/><Relationship Id="rId54" Type="http://schemas.openxmlformats.org/officeDocument/2006/relationships/hyperlink" Target="https://pbs.twimg.com/media/DoBBVW7U0AADI7R.jpg" TargetMode="External"/><Relationship Id="rId217" Type="http://schemas.openxmlformats.org/officeDocument/2006/relationships/hyperlink" Target="https://pbs.twimg.com/media/DoA4eFAV4AAjZeh.jpg" TargetMode="External"/><Relationship Id="rId564" Type="http://schemas.openxmlformats.org/officeDocument/2006/relationships/hyperlink" Target="https://t.me/Taghadom" TargetMode="External"/><Relationship Id="rId424" Type="http://schemas.openxmlformats.org/officeDocument/2006/relationships/hyperlink" Target="http://pic.twitter.com/0JBhw3l2XI" TargetMode="External"/><Relationship Id="rId631" Type="http://schemas.openxmlformats.org/officeDocument/2006/relationships/hyperlink" Target="https://twitter.com/Hannahkaviani/status/1044622696569589761" TargetMode="External"/><Relationship Id="rId729" Type="http://schemas.openxmlformats.org/officeDocument/2006/relationships/hyperlink" Target="http://mohammadalitaheri.news/" TargetMode="External"/><Relationship Id="rId270" Type="http://schemas.openxmlformats.org/officeDocument/2006/relationships/hyperlink" Target="http://entekhab.ir/" TargetMode="External"/><Relationship Id="rId65" Type="http://schemas.openxmlformats.org/officeDocument/2006/relationships/hyperlink" Target="https://pbs.twimg.com/media/DoBBVW7U0AADI7R.jpg" TargetMode="External"/><Relationship Id="rId130" Type="http://schemas.openxmlformats.org/officeDocument/2006/relationships/hyperlink" Target="https://pbs.twimg.com/media/DoBBVW7U0AADI7R.jpg" TargetMode="External"/><Relationship Id="rId368" Type="http://schemas.openxmlformats.org/officeDocument/2006/relationships/hyperlink" Target="http://pic.twitter.com/BoH37cBDuQ" TargetMode="External"/><Relationship Id="rId575" Type="http://schemas.openxmlformats.org/officeDocument/2006/relationships/hyperlink" Target="http://pic.twitter.com/Oup6lvcBJ8" TargetMode="External"/><Relationship Id="rId228" Type="http://schemas.openxmlformats.org/officeDocument/2006/relationships/hyperlink" Target="https://pbs.twimg.com/media/DoBBVW7U0AADI7R.jpg" TargetMode="External"/><Relationship Id="rId435" Type="http://schemas.openxmlformats.org/officeDocument/2006/relationships/hyperlink" Target="https://pbs.twimg.com/media/Dn_Ycx-XoAA7jMw.jpg" TargetMode="External"/><Relationship Id="rId642" Type="http://schemas.openxmlformats.org/officeDocument/2006/relationships/hyperlink" Target="https://twitter.com/Hannahkaviani/status/1044622696569589761" TargetMode="External"/><Relationship Id="rId281" Type="http://schemas.openxmlformats.org/officeDocument/2006/relationships/hyperlink" Target="https://t.me/amirhoseinmosalla" TargetMode="External"/><Relationship Id="rId502" Type="http://schemas.openxmlformats.org/officeDocument/2006/relationships/hyperlink" Target="http://pic.twitter.com/ReSFQ60YJP" TargetMode="External"/><Relationship Id="rId76" Type="http://schemas.openxmlformats.org/officeDocument/2006/relationships/hyperlink" Target="https://pbs.twimg.com/media/DoBBVW7U0AADI7R.jpg" TargetMode="External"/><Relationship Id="rId141" Type="http://schemas.openxmlformats.org/officeDocument/2006/relationships/hyperlink" Target="https://pbs.twimg.com/media/DoBRr2rXcAEcc_l.jpg" TargetMode="External"/><Relationship Id="rId379" Type="http://schemas.openxmlformats.org/officeDocument/2006/relationships/hyperlink" Target="http://pic.twitter.com/0JBhw3l2XI" TargetMode="External"/><Relationship Id="rId586" Type="http://schemas.openxmlformats.org/officeDocument/2006/relationships/hyperlink" Target="https://pbs.twimg.com/media/Dn9VX22XUAIHy0M.jpg" TargetMode="External"/><Relationship Id="rId7" Type="http://schemas.openxmlformats.org/officeDocument/2006/relationships/hyperlink" Target="https://pbs.twimg.com/media/DoBBVW7U0AADI7R.jpg" TargetMode="External"/><Relationship Id="rId239" Type="http://schemas.openxmlformats.org/officeDocument/2006/relationships/hyperlink" Target="https://pbs.twimg.com/media/DoBBVW7U0AADI7R.jpg" TargetMode="External"/><Relationship Id="rId446" Type="http://schemas.openxmlformats.org/officeDocument/2006/relationships/hyperlink" Target="http://jalilyonline.ir/" TargetMode="External"/><Relationship Id="rId653" Type="http://schemas.openxmlformats.org/officeDocument/2006/relationships/hyperlink" Target="http://pic.twitter.com/ReSFQ60YJP" TargetMode="External"/><Relationship Id="rId292" Type="http://schemas.openxmlformats.org/officeDocument/2006/relationships/hyperlink" Target="https://twitter.com/Tahlilgaran/status/1044877267342626818" TargetMode="External"/><Relationship Id="rId306" Type="http://schemas.openxmlformats.org/officeDocument/2006/relationships/hyperlink" Target="http://kafereeshgh.blogfa.com/" TargetMode="External"/><Relationship Id="rId87" Type="http://schemas.openxmlformats.org/officeDocument/2006/relationships/hyperlink" Target="https://www.instagram.com/alitabatabaei14" TargetMode="External"/><Relationship Id="rId513" Type="http://schemas.openxmlformats.org/officeDocument/2006/relationships/hyperlink" Target="http://www.khoshmard.ir/" TargetMode="External"/><Relationship Id="rId597" Type="http://schemas.openxmlformats.org/officeDocument/2006/relationships/hyperlink" Target="http://instagram.com/pcpfiber" TargetMode="External"/><Relationship Id="rId720" Type="http://schemas.openxmlformats.org/officeDocument/2006/relationships/hyperlink" Target="https://pbs.twimg.com/media/Dn-K582XcAcCFNE.jpg" TargetMode="External"/><Relationship Id="rId152" Type="http://schemas.openxmlformats.org/officeDocument/2006/relationships/hyperlink" Target="https://pbs.twimg.com/media/DoBSBpxVsAAWPmo.jpg" TargetMode="External"/><Relationship Id="rId457" Type="http://schemas.openxmlformats.org/officeDocument/2006/relationships/hyperlink" Target="https://shahrvand-yar.com/" TargetMode="External"/><Relationship Id="rId664" Type="http://schemas.openxmlformats.org/officeDocument/2006/relationships/hyperlink" Target="http://pic.twitter.com/YusTfbuwkM" TargetMode="External"/><Relationship Id="rId14" Type="http://schemas.openxmlformats.org/officeDocument/2006/relationships/hyperlink" Target="https://pbs.twimg.com/media/DoBBVW7U0AADI7R.jpg" TargetMode="External"/><Relationship Id="rId317" Type="http://schemas.openxmlformats.org/officeDocument/2006/relationships/hyperlink" Target="http://www.telegram.me/amir_texts" TargetMode="External"/><Relationship Id="rId524" Type="http://schemas.openxmlformats.org/officeDocument/2006/relationships/hyperlink" Target="https://twitter.com/Hannahkaviani/status/1044623696948862981" TargetMode="External"/><Relationship Id="rId731" Type="http://schemas.openxmlformats.org/officeDocument/2006/relationships/hyperlink" Target="http://inthephilosophy.blogspot.com/" TargetMode="External"/><Relationship Id="rId98" Type="http://schemas.openxmlformats.org/officeDocument/2006/relationships/hyperlink" Target="https://twitter.com/Hannahkaviani/status/1044623696948862981" TargetMode="External"/><Relationship Id="rId163" Type="http://schemas.openxmlformats.org/officeDocument/2006/relationships/hyperlink" Target="http://www.generation-s.fr/" TargetMode="External"/><Relationship Id="rId370" Type="http://schemas.openxmlformats.org/officeDocument/2006/relationships/hyperlink" Target="http://pic.twitter.com/R1vUNfAnWp" TargetMode="External"/><Relationship Id="rId230" Type="http://schemas.openxmlformats.org/officeDocument/2006/relationships/hyperlink" Target="https://pbs.twimg.com/media/DoBBVW7U0AADI7R.jpg" TargetMode="External"/><Relationship Id="rId468" Type="http://schemas.openxmlformats.org/officeDocument/2006/relationships/hyperlink" Target="https://www.radiozamaneh.com/413520" TargetMode="External"/><Relationship Id="rId675" Type="http://schemas.openxmlformats.org/officeDocument/2006/relationships/hyperlink" Target="https://www.iranntv.com/2018/09/24/%da%a9%d8%a7%d8%b1%d8%b2%d8%a7%d8%b1-%d8%a7%d8%b4%d8%b1%d9%81-%d9%86%d8%b4%d8%a7%d9%86%d8%a7%d9%86-%d8%af%d8%b1-%d9%86%db%8c%d9%88%db%8c%d9%88%d8%b1%da%a9-%d8%a7%d8%b9%d8%aa%d8%b1%d8%a7%d8%b6-%d8%a8/" TargetMode="External"/><Relationship Id="rId25" Type="http://schemas.openxmlformats.org/officeDocument/2006/relationships/hyperlink" Target="https://pbs.twimg.com/media/DoBBVW7U0AADI7R.jpg" TargetMode="External"/><Relationship Id="rId328" Type="http://schemas.openxmlformats.org/officeDocument/2006/relationships/hyperlink" Target="http://shatr.blog.ir/" TargetMode="External"/><Relationship Id="rId535" Type="http://schemas.openxmlformats.org/officeDocument/2006/relationships/hyperlink" Target="https://pbs.twimg.com/media/Dn_Ycx-XoAA7jMw.jpg" TargetMode="External"/><Relationship Id="rId742" Type="http://schemas.openxmlformats.org/officeDocument/2006/relationships/hyperlink" Target="https://pbs.twimg.com/media/Dn9WksoU8AEYX2i.jpg" TargetMode="External"/><Relationship Id="rId174" Type="http://schemas.openxmlformats.org/officeDocument/2006/relationships/hyperlink" Target="https://pbs.twimg.com/media/DoBBVW7U0AADI7R.jpg" TargetMode="External"/><Relationship Id="rId381" Type="http://schemas.openxmlformats.org/officeDocument/2006/relationships/hyperlink" Target="http://pic.twitter.com/08Wiq2eIO2" TargetMode="External"/><Relationship Id="rId602" Type="http://schemas.openxmlformats.org/officeDocument/2006/relationships/hyperlink" Target="https://m.facebook.com/Mohammad.Yousefnejad" TargetMode="External"/><Relationship Id="rId241" Type="http://schemas.openxmlformats.org/officeDocument/2006/relationships/hyperlink" Target="http://pic.twitter.com/wFbZnSaejp" TargetMode="External"/><Relationship Id="rId479" Type="http://schemas.openxmlformats.org/officeDocument/2006/relationships/hyperlink" Target="https://pbs.twimg.com/media/Dn_ydAUXkAA-JaL.jpg" TargetMode="External"/><Relationship Id="rId686" Type="http://schemas.openxmlformats.org/officeDocument/2006/relationships/hyperlink" Target="http://www.kanokhbegan.com/" TargetMode="External"/><Relationship Id="rId36" Type="http://schemas.openxmlformats.org/officeDocument/2006/relationships/hyperlink" Target="https://pbs.twimg.com/media/Dn96j_sX0AAU1zr.jpg" TargetMode="External"/><Relationship Id="rId339" Type="http://schemas.openxmlformats.org/officeDocument/2006/relationships/hyperlink" Target="https://pbs.twimg.com/media/Dn4JEMNXsAAObgH.jpg" TargetMode="External"/><Relationship Id="rId546" Type="http://schemas.openxmlformats.org/officeDocument/2006/relationships/hyperlink" Target="https://www.radiozamaneh.com/413520" TargetMode="External"/><Relationship Id="rId101" Type="http://schemas.openxmlformats.org/officeDocument/2006/relationships/hyperlink" Target="https://pbs.twimg.com/media/DoA4eFAV4AAjZeh.jpg" TargetMode="External"/><Relationship Id="rId185" Type="http://schemas.openxmlformats.org/officeDocument/2006/relationships/hyperlink" Target="https://pbs.twimg.com/media/DoA4eFAV4AAjZeh.jpg" TargetMode="External"/><Relationship Id="rId406" Type="http://schemas.openxmlformats.org/officeDocument/2006/relationships/hyperlink" Target="http://www.batabi.com/" TargetMode="External"/><Relationship Id="rId392" Type="http://schemas.openxmlformats.org/officeDocument/2006/relationships/hyperlink" Target="https://pbs.twimg.com/media/Dn-v92gUcAAc-AI.jpg" TargetMode="External"/><Relationship Id="rId613" Type="http://schemas.openxmlformats.org/officeDocument/2006/relationships/hyperlink" Target="http://pic.twitter.com/Yidt4zC9zY" TargetMode="External"/><Relationship Id="rId697" Type="http://schemas.openxmlformats.org/officeDocument/2006/relationships/hyperlink" Target="https://pbs.twimg.com/media/Dn-LURgWkAEeOQ8.jpg" TargetMode="External"/><Relationship Id="rId252" Type="http://schemas.openxmlformats.org/officeDocument/2006/relationships/hyperlink" Target="http://entekhab.ir/" TargetMode="External"/><Relationship Id="rId47" Type="http://schemas.openxmlformats.org/officeDocument/2006/relationships/hyperlink" Target="https://pbs.twimg.com/media/DoBBVW7U0AADI7R.jpg" TargetMode="External"/><Relationship Id="rId112" Type="http://schemas.openxmlformats.org/officeDocument/2006/relationships/hyperlink" Target="https://pbs.twimg.com/media/DoBBVW7U0AADI7R.jpg" TargetMode="External"/><Relationship Id="rId557" Type="http://schemas.openxmlformats.org/officeDocument/2006/relationships/hyperlink" Target="https://pbs.twimg.com/media/Dn-v92gUcAAc-AI.jpg" TargetMode="External"/><Relationship Id="rId196" Type="http://schemas.openxmlformats.org/officeDocument/2006/relationships/hyperlink" Target="https://pbs.twimg.com/media/DoBBVW7U0AADI7R.jpg" TargetMode="External"/><Relationship Id="rId417" Type="http://schemas.openxmlformats.org/officeDocument/2006/relationships/hyperlink" Target="http://pic.twitter.com/da0Rg2pdNN" TargetMode="External"/><Relationship Id="rId624" Type="http://schemas.openxmlformats.org/officeDocument/2006/relationships/hyperlink" Target="https://pbs.twimg.com/media/Dn-v92gUcAAc-AI.jpg" TargetMode="External"/><Relationship Id="rId263" Type="http://schemas.openxmlformats.org/officeDocument/2006/relationships/hyperlink" Target="https://pbs.twimg.com/media/Dn9c_hMU8AErn8i.jpg" TargetMode="External"/><Relationship Id="rId470" Type="http://schemas.openxmlformats.org/officeDocument/2006/relationships/hyperlink" Target="https://pbs.twimg.com/media/Dn96j_sX0AAU1zr.jpg" TargetMode="External"/><Relationship Id="rId58" Type="http://schemas.openxmlformats.org/officeDocument/2006/relationships/hyperlink" Target="https://pbs.twimg.com/media/DoBBVW7U0AADI7R.jpg" TargetMode="External"/><Relationship Id="rId123" Type="http://schemas.openxmlformats.org/officeDocument/2006/relationships/hyperlink" Target="http://tn.ai/1837992" TargetMode="External"/><Relationship Id="rId330" Type="http://schemas.openxmlformats.org/officeDocument/2006/relationships/hyperlink" Target="https://pbs.twimg.com/media/Dn_952iXgAAv4hs.jpg" TargetMode="External"/><Relationship Id="rId568" Type="http://schemas.openxmlformats.org/officeDocument/2006/relationships/hyperlink" Target="https://www.radiozamaneh.com/413510" TargetMode="External"/><Relationship Id="rId428" Type="http://schemas.openxmlformats.org/officeDocument/2006/relationships/hyperlink" Target="https://pbs.twimg.com/media/Dn9ZsJzWkAEt52x.jpg" TargetMode="External"/><Relationship Id="rId635" Type="http://schemas.openxmlformats.org/officeDocument/2006/relationships/hyperlink" Target="https://pbs.twimg.com/media/Dn94r5MWsAApUZ-.jpg" TargetMode="External"/><Relationship Id="rId274" Type="http://schemas.openxmlformats.org/officeDocument/2006/relationships/hyperlink" Target="http://www.jamejamonline.ir/" TargetMode="External"/><Relationship Id="rId481" Type="http://schemas.openxmlformats.org/officeDocument/2006/relationships/hyperlink" Target="https://www.instagram.com/saeedardeshiri60/" TargetMode="External"/><Relationship Id="rId702" Type="http://schemas.openxmlformats.org/officeDocument/2006/relationships/hyperlink" Target="https://pbs.twimg.com/media/Dn9d7u_V4AAHaB0.jpg" TargetMode="External"/><Relationship Id="rId69" Type="http://schemas.openxmlformats.org/officeDocument/2006/relationships/hyperlink" Target="http://tn.ai/1837992" TargetMode="External"/><Relationship Id="rId134" Type="http://schemas.openxmlformats.org/officeDocument/2006/relationships/hyperlink" Target="https://pbs.twimg.com/media/DoBBVW7U0AADI7R.jpg" TargetMode="External"/><Relationship Id="rId579" Type="http://schemas.openxmlformats.org/officeDocument/2006/relationships/hyperlink" Target="http://pic.twitter.com/4a99mzL4yk" TargetMode="External"/><Relationship Id="rId341" Type="http://schemas.openxmlformats.org/officeDocument/2006/relationships/hyperlink" Target="https://pbs.twimg.com/media/DoAbSZ9W0AANLM7.jpg" TargetMode="External"/><Relationship Id="rId439" Type="http://schemas.openxmlformats.org/officeDocument/2006/relationships/hyperlink" Target="http://pic.twitter.com/08Wiq2eIO2" TargetMode="External"/><Relationship Id="rId646" Type="http://schemas.openxmlformats.org/officeDocument/2006/relationships/hyperlink" Target="https://pbs.twimg.com/media/Dn94r5MWsAApUZ-.jpg" TargetMode="External"/><Relationship Id="rId201" Type="http://schemas.openxmlformats.org/officeDocument/2006/relationships/hyperlink" Target="https://pbs.twimg.com/media/DoBBVW7U0AADI7R.jpg" TargetMode="External"/><Relationship Id="rId285" Type="http://schemas.openxmlformats.org/officeDocument/2006/relationships/hyperlink" Target="https://pbs.twimg.com/media/Dn-v92gUcAAc-AI.jpg" TargetMode="External"/><Relationship Id="rId506" Type="http://schemas.openxmlformats.org/officeDocument/2006/relationships/hyperlink" Target="http://www.inistageram.com/javadafshari.zanjani" TargetMode="External"/><Relationship Id="rId492" Type="http://schemas.openxmlformats.org/officeDocument/2006/relationships/hyperlink" Target="https://pbs.twimg.com/media/Dn7DQEFWsAAVIGN.jpg" TargetMode="External"/><Relationship Id="rId713" Type="http://schemas.openxmlformats.org/officeDocument/2006/relationships/hyperlink" Target="https://pbs.twimg.com/media/Dn9lGJ6XgAAoKuv.jpg" TargetMode="External"/><Relationship Id="rId145" Type="http://schemas.openxmlformats.org/officeDocument/2006/relationships/hyperlink" Target="https://pbs.twimg.com/media/DoBBVW7U0AADI7R.jpg" TargetMode="External"/><Relationship Id="rId352" Type="http://schemas.openxmlformats.org/officeDocument/2006/relationships/hyperlink" Target="http://mjhaghshenas.ir/" TargetMode="External"/><Relationship Id="rId212" Type="http://schemas.openxmlformats.org/officeDocument/2006/relationships/hyperlink" Target="https://pbs.twimg.com/media/DoBBVW7U0AADI7R.jpg" TargetMode="External"/><Relationship Id="rId657" Type="http://schemas.openxmlformats.org/officeDocument/2006/relationships/hyperlink" Target="https://pbs.twimg.com/media/Dn6t8M-XkAAukKq.jpg" TargetMode="External"/><Relationship Id="rId296" Type="http://schemas.openxmlformats.org/officeDocument/2006/relationships/hyperlink" Target="http://pic.twitter.com/ReSFQ60YJP" TargetMode="External"/><Relationship Id="rId517" Type="http://schemas.openxmlformats.org/officeDocument/2006/relationships/hyperlink" Target="https://pbs.twimg.com/media/Dn_gzUwW0AA3f9B.jpg" TargetMode="External"/><Relationship Id="rId724" Type="http://schemas.openxmlformats.org/officeDocument/2006/relationships/hyperlink" Target="http://www.kampain.info/archive/24352.htm" TargetMode="External"/><Relationship Id="rId60" Type="http://schemas.openxmlformats.org/officeDocument/2006/relationships/hyperlink" Target="https://www.facebook.com/mullah.hater" TargetMode="External"/><Relationship Id="rId156" Type="http://schemas.openxmlformats.org/officeDocument/2006/relationships/hyperlink" Target="https://pbs.twimg.com/media/Dn-v92gUcAAc-AI.jpg" TargetMode="External"/><Relationship Id="rId363" Type="http://schemas.openxmlformats.org/officeDocument/2006/relationships/hyperlink" Target="https://pbs.twimg.com/media/DoAK4kiWkAAdGCR.jpg" TargetMode="External"/><Relationship Id="rId570" Type="http://schemas.openxmlformats.org/officeDocument/2006/relationships/hyperlink" Target="https://www.radiozamaneh.com/413511" TargetMode="External"/><Relationship Id="rId223" Type="http://schemas.openxmlformats.org/officeDocument/2006/relationships/hyperlink" Target="https://pbs.twimg.com/media/DoBBVW7U0AADI7R.jpg" TargetMode="External"/><Relationship Id="rId430" Type="http://schemas.openxmlformats.org/officeDocument/2006/relationships/hyperlink" Target="http://instagram.com/kazeruni" TargetMode="External"/><Relationship Id="rId668" Type="http://schemas.openxmlformats.org/officeDocument/2006/relationships/hyperlink" Target="http://pic.twitter.com/08Wiq2eIO2" TargetMode="External"/><Relationship Id="rId18" Type="http://schemas.openxmlformats.org/officeDocument/2006/relationships/hyperlink" Target="https://pbs.twimg.com/media/DoBBVW7U0AADI7R.jpg" TargetMode="External"/><Relationship Id="rId528" Type="http://schemas.openxmlformats.org/officeDocument/2006/relationships/hyperlink" Target="https://t.me/joinchat/Fvy98RCuzFeRsEed6Ssf2g" TargetMode="External"/><Relationship Id="rId735" Type="http://schemas.openxmlformats.org/officeDocument/2006/relationships/hyperlink" Target="http://www.kampain.info/archive/24352.htm" TargetMode="External"/><Relationship Id="rId167" Type="http://schemas.openxmlformats.org/officeDocument/2006/relationships/hyperlink" Target="https://pbs.twimg.com/media/DoBBVW7U0AADI7R.jpg" TargetMode="External"/><Relationship Id="rId374" Type="http://schemas.openxmlformats.org/officeDocument/2006/relationships/hyperlink" Target="https://pbs.twimg.com/media/Dn_952iXgAAv4hs.jpg" TargetMode="External"/><Relationship Id="rId581" Type="http://schemas.openxmlformats.org/officeDocument/2006/relationships/hyperlink" Target="https://pbs.twimg.com/media/Dn85s78WsAI-Zom.jpg" TargetMode="External"/><Relationship Id="rId71" Type="http://schemas.openxmlformats.org/officeDocument/2006/relationships/hyperlink" Target="http://instagram.com/peyman_lotfipics" TargetMode="External"/><Relationship Id="rId234" Type="http://schemas.openxmlformats.org/officeDocument/2006/relationships/hyperlink" Target="https://pbs.twimg.com/media/DoBBVW7U0AADI7R.jpg" TargetMode="External"/><Relationship Id="rId679" Type="http://schemas.openxmlformats.org/officeDocument/2006/relationships/hyperlink" Target="https://pbs.twimg.com/media/Dn94r5MWsAApUZ-.jpg" TargetMode="External"/><Relationship Id="rId2" Type="http://schemas.openxmlformats.org/officeDocument/2006/relationships/hyperlink" Target="https://pbs.twimg.com/media/DoBBVW7U0AADI7R.jpg" TargetMode="External"/><Relationship Id="rId29" Type="http://schemas.openxmlformats.org/officeDocument/2006/relationships/hyperlink" Target="https://pbs.twimg.com/media/DoBBVW7U0AADI7R.jpg" TargetMode="External"/><Relationship Id="rId441" Type="http://schemas.openxmlformats.org/officeDocument/2006/relationships/hyperlink" Target="https://sapp.ir/afsarejavanejangenarm1" TargetMode="External"/><Relationship Id="rId539" Type="http://schemas.openxmlformats.org/officeDocument/2006/relationships/hyperlink" Target="http://instagram.com/man.enqelaabiam" TargetMode="External"/><Relationship Id="rId746" Type="http://schemas.openxmlformats.org/officeDocument/2006/relationships/hyperlink" Target="http://www.kampain.info/archive/24352.htm" TargetMode="External"/><Relationship Id="rId178" Type="http://schemas.openxmlformats.org/officeDocument/2006/relationships/hyperlink" Target="https://pbs.twimg.com/media/DoBBVW7U0AADI7R.jpg" TargetMode="External"/><Relationship Id="rId301" Type="http://schemas.openxmlformats.org/officeDocument/2006/relationships/hyperlink" Target="https://www.iranntv.com/2018/09/24/%da%a9%d8%a7%d8%b1%d8%b2%d8%a7%d8%b1-%d8%a7%d8%b4%d8%b1%d9%81-%d9%86%d8%b4%d8%a7%d9%86%d8%a7%d9%86-%d8%af%d8%b1-%d9%86%db%8c%d9%88%db%8c%d9%88%d8%b1%da%a9-%d8%a7%d8%b9%d8%aa%d8%b1%d8%a7%d8%b6-%d8%a8/" TargetMode="External"/><Relationship Id="rId82" Type="http://schemas.openxmlformats.org/officeDocument/2006/relationships/hyperlink" Target="https://pbs.twimg.com/media/DoBBVW7U0AADI7R.jpg" TargetMode="External"/><Relationship Id="rId385" Type="http://schemas.openxmlformats.org/officeDocument/2006/relationships/hyperlink" Target="https://pbs.twimg.com/media/Dn-LURgWkAEeOQ8.jpg" TargetMode="External"/><Relationship Id="rId592" Type="http://schemas.openxmlformats.org/officeDocument/2006/relationships/hyperlink" Target="https://t.me/Taghadom" TargetMode="External"/><Relationship Id="rId606" Type="http://schemas.openxmlformats.org/officeDocument/2006/relationships/hyperlink" Target="http://pic.twitter.com/zmv21GKCFi" TargetMode="External"/><Relationship Id="rId245" Type="http://schemas.openxmlformats.org/officeDocument/2006/relationships/hyperlink" Target="https://pbs.twimg.com/media/DoA6-8tWkAAqIkA.jpg" TargetMode="External"/><Relationship Id="rId452" Type="http://schemas.openxmlformats.org/officeDocument/2006/relationships/hyperlink" Target="http://garargah.blog.ir/" TargetMode="External"/><Relationship Id="rId105" Type="http://schemas.openxmlformats.org/officeDocument/2006/relationships/hyperlink" Target="https://pbs.twimg.com/media/DoBBVW7U0AADI7R.jpg" TargetMode="External"/><Relationship Id="rId312" Type="http://schemas.openxmlformats.org/officeDocument/2006/relationships/hyperlink" Target="http://pic.twitter.com/ReSFQ60YJP" TargetMode="External"/><Relationship Id="rId93" Type="http://schemas.openxmlformats.org/officeDocument/2006/relationships/hyperlink" Target="http://pic.twitter.com/5VdLRDLUdQ" TargetMode="External"/><Relationship Id="rId189" Type="http://schemas.openxmlformats.org/officeDocument/2006/relationships/hyperlink" Target="https://pbs.twimg.com/media/DoBBVW7U0AADI7R.jpg" TargetMode="External"/><Relationship Id="rId396" Type="http://schemas.openxmlformats.org/officeDocument/2006/relationships/hyperlink" Target="https://pbs.twimg.com/media/DoALeSZWsAAoqgI.jpg" TargetMode="External"/><Relationship Id="rId617" Type="http://schemas.openxmlformats.org/officeDocument/2006/relationships/hyperlink" Target="https://twitter.com/Hannahkaviani/status/1044622696569589761" TargetMode="External"/><Relationship Id="rId256" Type="http://schemas.openxmlformats.org/officeDocument/2006/relationships/hyperlink" Target="https://pbs.twimg.com/media/DoAkU8TXoAEnKyv.jpg" TargetMode="External"/><Relationship Id="rId463" Type="http://schemas.openxmlformats.org/officeDocument/2006/relationships/hyperlink" Target="https://shahrvand-yar.com/" TargetMode="External"/><Relationship Id="rId670" Type="http://schemas.openxmlformats.org/officeDocument/2006/relationships/hyperlink" Target="http://pic.twitter.com/ReSFQ60YJP" TargetMode="External"/><Relationship Id="rId116" Type="http://schemas.openxmlformats.org/officeDocument/2006/relationships/hyperlink" Target="https://pbs.twimg.com/media/DoBBVW7U0AADI7R.jpg" TargetMode="External"/><Relationship Id="rId323" Type="http://schemas.openxmlformats.org/officeDocument/2006/relationships/hyperlink" Target="https://twitter.com/AyoubMohammed85/status/1044846603973087232" TargetMode="External"/><Relationship Id="rId530" Type="http://schemas.openxmlformats.org/officeDocument/2006/relationships/hyperlink" Target="https://t.me/javad59_92" TargetMode="External"/><Relationship Id="rId20" Type="http://schemas.openxmlformats.org/officeDocument/2006/relationships/hyperlink" Target="https://pbs.twimg.com/media/DoBBVW7U0AADI7R.jpg" TargetMode="External"/><Relationship Id="rId628" Type="http://schemas.openxmlformats.org/officeDocument/2006/relationships/hyperlink" Target="http://youtube.com/glassceilingtv" TargetMode="External"/><Relationship Id="rId225" Type="http://schemas.openxmlformats.org/officeDocument/2006/relationships/hyperlink" Target="https://pbs.twimg.com/media/DoBBVW7U0AADI7R.jpg" TargetMode="External"/><Relationship Id="rId267" Type="http://schemas.openxmlformats.org/officeDocument/2006/relationships/hyperlink" Target="http://www.jamejamonline.ir/" TargetMode="External"/><Relationship Id="rId432" Type="http://schemas.openxmlformats.org/officeDocument/2006/relationships/hyperlink" Target="http://pic.twitter.com/R1vUNfAnWp" TargetMode="External"/><Relationship Id="rId474" Type="http://schemas.openxmlformats.org/officeDocument/2006/relationships/hyperlink" Target="https://pbs.twimg.com/media/Dn96j_sX0AAU1zr.jpg" TargetMode="External"/><Relationship Id="rId127" Type="http://schemas.openxmlformats.org/officeDocument/2006/relationships/hyperlink" Target="https://pbs.twimg.com/media/DoBBVW7U0AADI7R.jpg" TargetMode="External"/><Relationship Id="rId681" Type="http://schemas.openxmlformats.org/officeDocument/2006/relationships/hyperlink" Target="http://www.isna.ir/photo/97070302110" TargetMode="External"/><Relationship Id="rId737" Type="http://schemas.openxmlformats.org/officeDocument/2006/relationships/hyperlink" Target="http://pic.twitter.com/Yidt4zC9zY" TargetMode="External"/><Relationship Id="rId31" Type="http://schemas.openxmlformats.org/officeDocument/2006/relationships/hyperlink" Target="https://bestfarsi.com/" TargetMode="External"/><Relationship Id="rId73" Type="http://schemas.openxmlformats.org/officeDocument/2006/relationships/hyperlink" Target="http://pic.twitter.com/IGOvbPY3Dw" TargetMode="External"/><Relationship Id="rId169" Type="http://schemas.openxmlformats.org/officeDocument/2006/relationships/hyperlink" Target="https://pbs.twimg.com/media/DoBBVW7U0AADI7R.jpg" TargetMode="External"/><Relationship Id="rId334" Type="http://schemas.openxmlformats.org/officeDocument/2006/relationships/hyperlink" Target="https://pbs.twimg.com/media/DoAcuBvXoAASo2L.jpg" TargetMode="External"/><Relationship Id="rId376" Type="http://schemas.openxmlformats.org/officeDocument/2006/relationships/hyperlink" Target="https://www.facebook.com/DastNeveshte.Hamid.Taheri" TargetMode="External"/><Relationship Id="rId541" Type="http://schemas.openxmlformats.org/officeDocument/2006/relationships/hyperlink" Target="http://www.www.com/" TargetMode="External"/><Relationship Id="rId583" Type="http://schemas.openxmlformats.org/officeDocument/2006/relationships/hyperlink" Target="https://twitter.com/Hannahkaviani/status/1044622696569589761" TargetMode="External"/><Relationship Id="rId639" Type="http://schemas.openxmlformats.org/officeDocument/2006/relationships/hyperlink" Target="http://pic.twitter.com/wrtOEmCMlx" TargetMode="External"/><Relationship Id="rId4" Type="http://schemas.openxmlformats.org/officeDocument/2006/relationships/hyperlink" Target="https://pbs.twimg.com/media/Dn96j_sX0AAU1zr.jpg" TargetMode="External"/><Relationship Id="rId180" Type="http://schemas.openxmlformats.org/officeDocument/2006/relationships/hyperlink" Target="https://pbs.twimg.com/media/DoBBVW7U0AADI7R.jpg" TargetMode="External"/><Relationship Id="rId236" Type="http://schemas.openxmlformats.org/officeDocument/2006/relationships/hyperlink" Target="https://pbs.twimg.com/media/DoBBVW7U0AADI7R.jpg" TargetMode="External"/><Relationship Id="rId278" Type="http://schemas.openxmlformats.org/officeDocument/2006/relationships/hyperlink" Target="https://t.me/Khabar_Fouri/123399" TargetMode="External"/><Relationship Id="rId401" Type="http://schemas.openxmlformats.org/officeDocument/2006/relationships/hyperlink" Target="https://pbs.twimg.com/media/DoALeSZWsAAoqgI.jpg" TargetMode="External"/><Relationship Id="rId443" Type="http://schemas.openxmlformats.org/officeDocument/2006/relationships/hyperlink" Target="https://pbs.twimg.com/media/Dn__WTZXkAAkrsD.jpg" TargetMode="External"/><Relationship Id="rId650" Type="http://schemas.openxmlformats.org/officeDocument/2006/relationships/hyperlink" Target="http://pic.twitter.com/ReSFQ60YJP" TargetMode="External"/><Relationship Id="rId303" Type="http://schemas.openxmlformats.org/officeDocument/2006/relationships/hyperlink" Target="https://pbs.twimg.com/media/DoAnMRHX0AEo-tU.jpg" TargetMode="External"/><Relationship Id="rId485" Type="http://schemas.openxmlformats.org/officeDocument/2006/relationships/hyperlink" Target="https://t.me/ALIJAZAYERI82" TargetMode="External"/><Relationship Id="rId692" Type="http://schemas.openxmlformats.org/officeDocument/2006/relationships/hyperlink" Target="https://pbs.twimg.com/media/Dn-RxgPXoAEZwaA.jpg" TargetMode="External"/><Relationship Id="rId706" Type="http://schemas.openxmlformats.org/officeDocument/2006/relationships/hyperlink" Target="https://pbs.twimg.com/media/Dn9c_hMU8AErn8i.jpg" TargetMode="External"/><Relationship Id="rId748" Type="http://schemas.openxmlformats.org/officeDocument/2006/relationships/hyperlink" Target="https://pbs.twimg.com/media/Dn96j_sX0AAU1zr.jpg" TargetMode="External"/><Relationship Id="rId42" Type="http://schemas.openxmlformats.org/officeDocument/2006/relationships/hyperlink" Target="https://pbs.twimg.com/media/DoBBVW7U0AADI7R.jpg" TargetMode="External"/><Relationship Id="rId84" Type="http://schemas.openxmlformats.org/officeDocument/2006/relationships/hyperlink" Target="https://pbs.twimg.com/media/DoBBVW7U0AADI7R.jpg" TargetMode="External"/><Relationship Id="rId138" Type="http://schemas.openxmlformats.org/officeDocument/2006/relationships/hyperlink" Target="https://pbs.twimg.com/media/DoBBVW7U0AADI7R.jpg" TargetMode="External"/><Relationship Id="rId345" Type="http://schemas.openxmlformats.org/officeDocument/2006/relationships/hyperlink" Target="http://www.3sootjobs.com/" TargetMode="External"/><Relationship Id="rId387" Type="http://schemas.openxmlformats.org/officeDocument/2006/relationships/hyperlink" Target="http://sinslife.com/" TargetMode="External"/><Relationship Id="rId510" Type="http://schemas.openxmlformats.org/officeDocument/2006/relationships/hyperlink" Target="https://pbs.twimg.com/media/Dn_l4S0XUAU6lid.jpg" TargetMode="External"/><Relationship Id="rId552" Type="http://schemas.openxmlformats.org/officeDocument/2006/relationships/hyperlink" Target="https://pbs.twimg.com/media/Dn_N4MOXkAE36u1.jpg" TargetMode="External"/><Relationship Id="rId594" Type="http://schemas.openxmlformats.org/officeDocument/2006/relationships/hyperlink" Target="http://instagram.com/pcpfiber" TargetMode="External"/><Relationship Id="rId608" Type="http://schemas.openxmlformats.org/officeDocument/2006/relationships/hyperlink" Target="https://pbs.twimg.com/media/Dn-v92gUcAAc-AI.jpg" TargetMode="External"/><Relationship Id="rId191" Type="http://schemas.openxmlformats.org/officeDocument/2006/relationships/hyperlink" Target="https://pbs.twimg.com/media/DoBBVW7U0AADI7R.jpg" TargetMode="External"/><Relationship Id="rId205" Type="http://schemas.openxmlformats.org/officeDocument/2006/relationships/hyperlink" Target="http://pic.twitter.com/wFbZnSaejp" TargetMode="External"/><Relationship Id="rId247" Type="http://schemas.openxmlformats.org/officeDocument/2006/relationships/hyperlink" Target="https://pbs.twimg.com/media/Dn-v92gUcAAc-AI.jpg" TargetMode="External"/><Relationship Id="rId412" Type="http://schemas.openxmlformats.org/officeDocument/2006/relationships/hyperlink" Target="https://pbs.twimg.com/media/DoAK4kiWkAAdGCR.jpg" TargetMode="External"/><Relationship Id="rId107" Type="http://schemas.openxmlformats.org/officeDocument/2006/relationships/hyperlink" Target="https://pbs.twimg.com/media/DoBBVW7U0AADI7R.jpg" TargetMode="External"/><Relationship Id="rId289" Type="http://schemas.openxmlformats.org/officeDocument/2006/relationships/hyperlink" Target="http://pic.twitter.com/BoH37cBDuQ" TargetMode="External"/><Relationship Id="rId454" Type="http://schemas.openxmlformats.org/officeDocument/2006/relationships/hyperlink" Target="https://t.me/biosarchive" TargetMode="External"/><Relationship Id="rId496" Type="http://schemas.openxmlformats.org/officeDocument/2006/relationships/hyperlink" Target="http://pic.twitter.com/9nKGpj8WVi" TargetMode="External"/><Relationship Id="rId661" Type="http://schemas.openxmlformats.org/officeDocument/2006/relationships/hyperlink" Target="https://t.me/e31sound" TargetMode="External"/><Relationship Id="rId717" Type="http://schemas.openxmlformats.org/officeDocument/2006/relationships/hyperlink" Target="https://pbs.twimg.com/media/Dn9d7u_V4AAHaB0.jpg" TargetMode="External"/><Relationship Id="rId11" Type="http://schemas.openxmlformats.org/officeDocument/2006/relationships/hyperlink" Target="https://pbs.twimg.com/media/DoBx6CkWsAEnU90.jpg" TargetMode="External"/><Relationship Id="rId53" Type="http://schemas.openxmlformats.org/officeDocument/2006/relationships/hyperlink" Target="https://pbs.twimg.com/media/DoBBVW7U0AADI7R.jpg" TargetMode="External"/><Relationship Id="rId149" Type="http://schemas.openxmlformats.org/officeDocument/2006/relationships/hyperlink" Target="http://fal.cn/V7Qo" TargetMode="External"/><Relationship Id="rId314" Type="http://schemas.openxmlformats.org/officeDocument/2006/relationships/hyperlink" Target="https://ello.co/drdej2016" TargetMode="External"/><Relationship Id="rId356" Type="http://schemas.openxmlformats.org/officeDocument/2006/relationships/hyperlink" Target="http://pic.twitter.com/9nKGpj8WVi" TargetMode="External"/><Relationship Id="rId398" Type="http://schemas.openxmlformats.org/officeDocument/2006/relationships/hyperlink" Target="http://www.abdigroup.com/" TargetMode="External"/><Relationship Id="rId521" Type="http://schemas.openxmlformats.org/officeDocument/2006/relationships/hyperlink" Target="https://t.me/Seyedmahdihashemizadeh" TargetMode="External"/><Relationship Id="rId563" Type="http://schemas.openxmlformats.org/officeDocument/2006/relationships/hyperlink" Target="http://pic.twitter.com/CnihnZ3XeA" TargetMode="External"/><Relationship Id="rId619" Type="http://schemas.openxmlformats.org/officeDocument/2006/relationships/hyperlink" Target="http://pic.twitter.com/wrtOEmCMlx" TargetMode="External"/><Relationship Id="rId95" Type="http://schemas.openxmlformats.org/officeDocument/2006/relationships/hyperlink" Target="http://pic.twitter.com/IGOvbPY3Dw" TargetMode="External"/><Relationship Id="rId160" Type="http://schemas.openxmlformats.org/officeDocument/2006/relationships/hyperlink" Target="https://pbs.twimg.com/media/DoBBVW7U0AADI7R.jpg" TargetMode="External"/><Relationship Id="rId216" Type="http://schemas.openxmlformats.org/officeDocument/2006/relationships/hyperlink" Target="https://pbs.twimg.com/media/DoBBVW7U0AADI7R.jpg" TargetMode="External"/><Relationship Id="rId423" Type="http://schemas.openxmlformats.org/officeDocument/2006/relationships/hyperlink" Target="https://pbs.twimg.com/media/Dn_952iXgAAv4hs.jpg" TargetMode="External"/><Relationship Id="rId258" Type="http://schemas.openxmlformats.org/officeDocument/2006/relationships/hyperlink" Target="https://pbs.twimg.com/media/DoA4eFAV4AAjZeh.jpg" TargetMode="External"/><Relationship Id="rId465" Type="http://schemas.openxmlformats.org/officeDocument/2006/relationships/hyperlink" Target="https://pbs.twimg.com/media/Dn96j_sX0AAU1zr.jpg" TargetMode="External"/><Relationship Id="rId630" Type="http://schemas.openxmlformats.org/officeDocument/2006/relationships/hyperlink" Target="https://pbs.twimg.com/media/Dn-rD3XXkAAthaS.jpg" TargetMode="External"/><Relationship Id="rId672" Type="http://schemas.openxmlformats.org/officeDocument/2006/relationships/hyperlink" Target="http://pic.twitter.com/LM28RuzmCk" TargetMode="External"/><Relationship Id="rId728" Type="http://schemas.openxmlformats.org/officeDocument/2006/relationships/hyperlink" Target="http://www.kampain.info/archive/24352.htm" TargetMode="External"/><Relationship Id="rId22" Type="http://schemas.openxmlformats.org/officeDocument/2006/relationships/hyperlink" Target="https://pbs.twimg.com/media/DoBBVW7U0AADI7R.jpg" TargetMode="External"/><Relationship Id="rId64" Type="http://schemas.openxmlformats.org/officeDocument/2006/relationships/hyperlink" Target="https://pbs.twimg.com/media/DoBBVW7U0AADI7R.jpg" TargetMode="External"/><Relationship Id="rId118" Type="http://schemas.openxmlformats.org/officeDocument/2006/relationships/hyperlink" Target="https://telegram.me/HarfBeManBot?start=MzU0MDY5NDA2" TargetMode="External"/><Relationship Id="rId325" Type="http://schemas.openxmlformats.org/officeDocument/2006/relationships/hyperlink" Target="https://pbs.twimg.com/media/DoAfEfvXkAEpc_b.jpg" TargetMode="External"/><Relationship Id="rId367" Type="http://schemas.openxmlformats.org/officeDocument/2006/relationships/hyperlink" Target="https://www.iranntv.com/2018/09/24/%da%a9%d8%a7%d8%b1%d8%b2%d8%a7%d8%b1-%d8%a7%d8%b4%d8%b1%d9%81-%d9%86%d8%b4%d8%a7%d9%86%d8%a7%d9%86-%d8%af%d8%b1-%d9%86%db%8c%d9%88%db%8c%d9%88%d8%b1%da%a9-%d8%a7%d8%b9%d8%aa%d8%b1%d8%a7%d8%b6-%d8%a8/" TargetMode="External"/><Relationship Id="rId532" Type="http://schemas.openxmlformats.org/officeDocument/2006/relationships/hyperlink" Target="http://t.me/baghe_kaghazi" TargetMode="External"/><Relationship Id="rId574" Type="http://schemas.openxmlformats.org/officeDocument/2006/relationships/hyperlink" Target="https://pbs.twimg.com/media/Dn9fVl8WsAA7YEM.jpg" TargetMode="External"/><Relationship Id="rId171" Type="http://schemas.openxmlformats.org/officeDocument/2006/relationships/hyperlink" Target="http://pic.twitter.com/IGOvbPY3Dw" TargetMode="External"/><Relationship Id="rId227" Type="http://schemas.openxmlformats.org/officeDocument/2006/relationships/hyperlink" Target="http://www.moltafet.ir/" TargetMode="External"/><Relationship Id="rId269" Type="http://schemas.openxmlformats.org/officeDocument/2006/relationships/hyperlink" Target="https://pbs.twimg.com/media/DoA1HVCW0AEyXGq.jpg" TargetMode="External"/><Relationship Id="rId434" Type="http://schemas.openxmlformats.org/officeDocument/2006/relationships/hyperlink" Target="https://pbs.twimg.com/media/DoADkZAXkAA_XOk.jpg" TargetMode="External"/><Relationship Id="rId476" Type="http://schemas.openxmlformats.org/officeDocument/2006/relationships/hyperlink" Target="https://pbs.twimg.com/media/Dn_yt1UX0AEQkWS.jpg" TargetMode="External"/><Relationship Id="rId641" Type="http://schemas.openxmlformats.org/officeDocument/2006/relationships/hyperlink" Target="https://pbs.twimg.com/media/Dn6t8M-XkAAukKq.jpg" TargetMode="External"/><Relationship Id="rId683" Type="http://schemas.openxmlformats.org/officeDocument/2006/relationships/hyperlink" Target="https://pbs.twimg.com/media/Dn-RxgPXoAEZwaA.jpg" TargetMode="External"/><Relationship Id="rId739" Type="http://schemas.openxmlformats.org/officeDocument/2006/relationships/hyperlink" Target="https://www.shiachat.com/" TargetMode="External"/><Relationship Id="rId33" Type="http://schemas.openxmlformats.org/officeDocument/2006/relationships/hyperlink" Target="https://pbs.twimg.com/media/DoBs2BTXkAAwwke.jpg" TargetMode="External"/><Relationship Id="rId129" Type="http://schemas.openxmlformats.org/officeDocument/2006/relationships/hyperlink" Target="https://pbs.twimg.com/media/DoBBVW7U0AADI7R.jpg" TargetMode="External"/><Relationship Id="rId280" Type="http://schemas.openxmlformats.org/officeDocument/2006/relationships/hyperlink" Target="https://t.me/saeidnajafiasli" TargetMode="External"/><Relationship Id="rId336" Type="http://schemas.openxmlformats.org/officeDocument/2006/relationships/hyperlink" Target="http://pic.twitter.com/ReSFQ60YJP" TargetMode="External"/><Relationship Id="rId501" Type="http://schemas.openxmlformats.org/officeDocument/2006/relationships/hyperlink" Target="http://pic.twitter.com/da0Rg2pdNN" TargetMode="External"/><Relationship Id="rId543" Type="http://schemas.openxmlformats.org/officeDocument/2006/relationships/hyperlink" Target="http://aparat.com/mavoo" TargetMode="External"/><Relationship Id="rId75" Type="http://schemas.openxmlformats.org/officeDocument/2006/relationships/hyperlink" Target="https://pbs.twimg.com/media/DoBBVW7U0AADI7R.jpg" TargetMode="External"/><Relationship Id="rId140" Type="http://schemas.openxmlformats.org/officeDocument/2006/relationships/hyperlink" Target="https://pbs.twimg.com/media/DoBSBpxVsAAWPmo.jpg" TargetMode="External"/><Relationship Id="rId182" Type="http://schemas.openxmlformats.org/officeDocument/2006/relationships/hyperlink" Target="https://pbs.twimg.com/media/DoBBVW7U0AADI7R.jpg" TargetMode="External"/><Relationship Id="rId378" Type="http://schemas.openxmlformats.org/officeDocument/2006/relationships/hyperlink" Target="http://fb.com/Freedom.Messenger" TargetMode="External"/><Relationship Id="rId403" Type="http://schemas.openxmlformats.org/officeDocument/2006/relationships/hyperlink" Target="https://pbs.twimg.com/media/DoALeSZWsAAoqgI.jpg" TargetMode="External"/><Relationship Id="rId585" Type="http://schemas.openxmlformats.org/officeDocument/2006/relationships/hyperlink" Target="http://pic.twitter.com/9nKGpj8WVi" TargetMode="External"/><Relationship Id="rId750" Type="http://schemas.openxmlformats.org/officeDocument/2006/relationships/hyperlink" Target="https://www.shiachat.com/" TargetMode="External"/><Relationship Id="rId6" Type="http://schemas.openxmlformats.org/officeDocument/2006/relationships/hyperlink" Target="https://pbs.twimg.com/media/DoBBVW7U0AADI7R.jpg" TargetMode="External"/><Relationship Id="rId238" Type="http://schemas.openxmlformats.org/officeDocument/2006/relationships/hyperlink" Target="https://pbs.twimg.com/media/DoBBVW7U0AADI7R.jpg" TargetMode="External"/><Relationship Id="rId445" Type="http://schemas.openxmlformats.org/officeDocument/2006/relationships/hyperlink" Target="https://pbs.twimg.com/media/Dn96j_sX0AAU1zr.jpg" TargetMode="External"/><Relationship Id="rId487" Type="http://schemas.openxmlformats.org/officeDocument/2006/relationships/hyperlink" Target="http://aryanavision.com/" TargetMode="External"/><Relationship Id="rId610" Type="http://schemas.openxmlformats.org/officeDocument/2006/relationships/hyperlink" Target="http://pic.twitter.com/ReSFQ60YJP" TargetMode="External"/><Relationship Id="rId652" Type="http://schemas.openxmlformats.org/officeDocument/2006/relationships/hyperlink" Target="https://pbs.twimg.com/media/Dn-eHBnX0AAflVU.jpg" TargetMode="External"/><Relationship Id="rId694" Type="http://schemas.openxmlformats.org/officeDocument/2006/relationships/hyperlink" Target="http://pic.twitter.com/wrtOEmCMlx" TargetMode="External"/><Relationship Id="rId708" Type="http://schemas.openxmlformats.org/officeDocument/2006/relationships/hyperlink" Target="https://twitter.com/UANI/status/1044691663401226241" TargetMode="External"/><Relationship Id="rId291" Type="http://schemas.openxmlformats.org/officeDocument/2006/relationships/hyperlink" Target="https://pbs.twimg.com/media/DoAqbFJWkAAAMwi.jpg" TargetMode="External"/><Relationship Id="rId305" Type="http://schemas.openxmlformats.org/officeDocument/2006/relationships/hyperlink" Target="https://pbs.twimg.com/media/DoAmsluWsAIjTZZ.jpg" TargetMode="External"/><Relationship Id="rId347" Type="http://schemas.openxmlformats.org/officeDocument/2006/relationships/hyperlink" Target="https://pbs.twimg.com/media/Dn-v92gUcAAc-AI.jpg" TargetMode="External"/><Relationship Id="rId512" Type="http://schemas.openxmlformats.org/officeDocument/2006/relationships/hyperlink" Target="http://pic.twitter.com/zmv21GKCFi" TargetMode="External"/><Relationship Id="rId44" Type="http://schemas.openxmlformats.org/officeDocument/2006/relationships/hyperlink" Target="http://hoder.com/" TargetMode="External"/><Relationship Id="rId86" Type="http://schemas.openxmlformats.org/officeDocument/2006/relationships/hyperlink" Target="http://pic.twitter.com/IGOvbPY3Dw" TargetMode="External"/><Relationship Id="rId151" Type="http://schemas.openxmlformats.org/officeDocument/2006/relationships/hyperlink" Target="http://tn.ai/1837992" TargetMode="External"/><Relationship Id="rId389" Type="http://schemas.openxmlformats.org/officeDocument/2006/relationships/hyperlink" Target="http://pic.twitter.com/ReSFQ60YJP" TargetMode="External"/><Relationship Id="rId554" Type="http://schemas.openxmlformats.org/officeDocument/2006/relationships/hyperlink" Target="https://pbs.twimg.com/media/Dn-v92gUcAAc-AI.jpg" TargetMode="External"/><Relationship Id="rId596" Type="http://schemas.openxmlformats.org/officeDocument/2006/relationships/hyperlink" Target="https://pbs.twimg.com/media/Dn-9VdZXkAA9hZs.jpg" TargetMode="External"/><Relationship Id="rId193" Type="http://schemas.openxmlformats.org/officeDocument/2006/relationships/hyperlink" Target="https://pbs.twimg.com/media/DoBBVW7U0AADI7R.jpg" TargetMode="External"/><Relationship Id="rId207" Type="http://schemas.openxmlformats.org/officeDocument/2006/relationships/hyperlink" Target="https://pbs.twimg.com/media/DoBBVW7U0AADI7R.jpg" TargetMode="External"/><Relationship Id="rId249" Type="http://schemas.openxmlformats.org/officeDocument/2006/relationships/hyperlink" Target="https://pbs.twimg.com/media/DoA7A6WWsAAlxi5.jpg" TargetMode="External"/><Relationship Id="rId414" Type="http://schemas.openxmlformats.org/officeDocument/2006/relationships/hyperlink" Target="http://pic.twitter.com/BoH37cBDuQ" TargetMode="External"/><Relationship Id="rId456" Type="http://schemas.openxmlformats.org/officeDocument/2006/relationships/hyperlink" Target="https://pbs.twimg.com/media/Dn_952iXgAAv4hs.jpg" TargetMode="External"/><Relationship Id="rId498" Type="http://schemas.openxmlformats.org/officeDocument/2006/relationships/hyperlink" Target="https://www.instagram.com/mojtaba_ahmadii_/" TargetMode="External"/><Relationship Id="rId621" Type="http://schemas.openxmlformats.org/officeDocument/2006/relationships/hyperlink" Target="https://pbs.twimg.com/media/Dn3-ovSXcAQE6KQ.jpg" TargetMode="External"/><Relationship Id="rId663" Type="http://schemas.openxmlformats.org/officeDocument/2006/relationships/hyperlink" Target="https://t.me/e31sound" TargetMode="External"/><Relationship Id="rId13" Type="http://schemas.openxmlformats.org/officeDocument/2006/relationships/hyperlink" Target="https://pbs.twimg.com/media/DoBBVW7U0AADI7R.jpg" TargetMode="External"/><Relationship Id="rId109" Type="http://schemas.openxmlformats.org/officeDocument/2006/relationships/hyperlink" Target="https://pbs.twimg.com/media/DoBBVW7U0AADI7R.jpg" TargetMode="External"/><Relationship Id="rId260" Type="http://schemas.openxmlformats.org/officeDocument/2006/relationships/hyperlink" Target="http://www.arashazizi.com/" TargetMode="External"/><Relationship Id="rId316" Type="http://schemas.openxmlformats.org/officeDocument/2006/relationships/hyperlink" Target="http://pic.twitter.com/ReSFQ60YJP" TargetMode="External"/><Relationship Id="rId523" Type="http://schemas.openxmlformats.org/officeDocument/2006/relationships/hyperlink" Target="https://pbs.twimg.com/media/Dn-C75wXgAUpPC2.jpg" TargetMode="External"/><Relationship Id="rId719" Type="http://schemas.openxmlformats.org/officeDocument/2006/relationships/hyperlink" Target="https://pbs.twimg.com/media/Dn-LURgWkAEeOQ8.jpg" TargetMode="External"/><Relationship Id="rId55" Type="http://schemas.openxmlformats.org/officeDocument/2006/relationships/hyperlink" Target="http://pic.twitter.com/IGOvbPY3Dw" TargetMode="External"/><Relationship Id="rId97" Type="http://schemas.openxmlformats.org/officeDocument/2006/relationships/hyperlink" Target="https://pbs.twimg.com/media/DoBBVW7U0AADI7R.jpg" TargetMode="External"/><Relationship Id="rId120" Type="http://schemas.openxmlformats.org/officeDocument/2006/relationships/hyperlink" Target="http://pic.twitter.com/IGOvbPY3Dw" TargetMode="External"/><Relationship Id="rId358" Type="http://schemas.openxmlformats.org/officeDocument/2006/relationships/hyperlink" Target="http://pic.twitter.com/9nKGpj8WVi" TargetMode="External"/><Relationship Id="rId565" Type="http://schemas.openxmlformats.org/officeDocument/2006/relationships/hyperlink" Target="http://www.bagherii.ir/" TargetMode="External"/><Relationship Id="rId730" Type="http://schemas.openxmlformats.org/officeDocument/2006/relationships/hyperlink" Target="https://pbs.twimg.com/media/Dn9-UPPXcAAgdd_.jpg" TargetMode="External"/><Relationship Id="rId162" Type="http://schemas.openxmlformats.org/officeDocument/2006/relationships/hyperlink" Target="https://pbs.twimg.com/media/DoBKBDjXsAANJdj.jpg" TargetMode="External"/><Relationship Id="rId218" Type="http://schemas.openxmlformats.org/officeDocument/2006/relationships/hyperlink" Target="https://pbs.twimg.com/media/DoBBVW7U0AADI7R.jpg" TargetMode="External"/><Relationship Id="rId425" Type="http://schemas.openxmlformats.org/officeDocument/2006/relationships/hyperlink" Target="https://pbs.twimg.com/media/DoADns9W0AAb-NM.jpg" TargetMode="External"/><Relationship Id="rId467" Type="http://schemas.openxmlformats.org/officeDocument/2006/relationships/hyperlink" Target="https://pbs.twimg.com/media/Dn7DQEFWsAAVIGN.jpg" TargetMode="External"/><Relationship Id="rId632" Type="http://schemas.openxmlformats.org/officeDocument/2006/relationships/hyperlink" Target="http://instagram.com/matin.bn" TargetMode="External"/><Relationship Id="rId271" Type="http://schemas.openxmlformats.org/officeDocument/2006/relationships/hyperlink" Target="http://www.jamejamonline.ir/" TargetMode="External"/><Relationship Id="rId674" Type="http://schemas.openxmlformats.org/officeDocument/2006/relationships/hyperlink" Target="http://www.cpimlm.com/" TargetMode="External"/><Relationship Id="rId24" Type="http://schemas.openxmlformats.org/officeDocument/2006/relationships/hyperlink" Target="https://pbs.twimg.com/media/DoBBVW7U0AADI7R.jpg" TargetMode="External"/><Relationship Id="rId66" Type="http://schemas.openxmlformats.org/officeDocument/2006/relationships/hyperlink" Target="http://pic.twitter.com/sAwUFih04e" TargetMode="External"/><Relationship Id="rId131" Type="http://schemas.openxmlformats.org/officeDocument/2006/relationships/hyperlink" Target="https://pbs.twimg.com/media/DoBBVW7U0AADI7R.jpg" TargetMode="External"/><Relationship Id="rId327" Type="http://schemas.openxmlformats.org/officeDocument/2006/relationships/hyperlink" Target="https://pbs.twimg.com/media/DoAM1euWsAI05_V.jpg" TargetMode="External"/><Relationship Id="rId369" Type="http://schemas.openxmlformats.org/officeDocument/2006/relationships/hyperlink" Target="http://bit.ly/2iRB9R4" TargetMode="External"/><Relationship Id="rId534" Type="http://schemas.openxmlformats.org/officeDocument/2006/relationships/hyperlink" Target="https://pbs.twimg.com/media/Dn_XjJXXgAA38Hc.jpg" TargetMode="External"/><Relationship Id="rId576" Type="http://schemas.openxmlformats.org/officeDocument/2006/relationships/hyperlink" Target="https://t.me/Taghadom" TargetMode="External"/><Relationship Id="rId741" Type="http://schemas.openxmlformats.org/officeDocument/2006/relationships/hyperlink" Target="https://pbs.twimg.com/media/Dn9d7u_V4AAHaB0.jpg" TargetMode="External"/><Relationship Id="rId173" Type="http://schemas.openxmlformats.org/officeDocument/2006/relationships/hyperlink" Target="https://pbs.twimg.com/media/DoBBVW7U0AADI7R.jpg" TargetMode="External"/><Relationship Id="rId229" Type="http://schemas.openxmlformats.org/officeDocument/2006/relationships/hyperlink" Target="http://pic.twitter.com/wFbZnSaejp" TargetMode="External"/><Relationship Id="rId380" Type="http://schemas.openxmlformats.org/officeDocument/2006/relationships/hyperlink" Target="https://pbs.twimg.com/media/DoAQZWDXoAAAeWJ.jpg" TargetMode="External"/><Relationship Id="rId436" Type="http://schemas.openxmlformats.org/officeDocument/2006/relationships/hyperlink" Target="http://t.me/montazeran_zuhhur" TargetMode="External"/><Relationship Id="rId601" Type="http://schemas.openxmlformats.org/officeDocument/2006/relationships/hyperlink" Target="https://pbs.twimg.com/media/Dn9olKMXUAESEKp.jpg" TargetMode="External"/><Relationship Id="rId643" Type="http://schemas.openxmlformats.org/officeDocument/2006/relationships/hyperlink" Target="http://pic.twitter.com/LM28RuzmCk" TargetMode="External"/><Relationship Id="rId240" Type="http://schemas.openxmlformats.org/officeDocument/2006/relationships/hyperlink" Target="https://pbs.twimg.com/media/DoBBVW7U0AADI7R.jpg" TargetMode="External"/><Relationship Id="rId478" Type="http://schemas.openxmlformats.org/officeDocument/2006/relationships/hyperlink" Target="https://www.jaaar.com/archive/iran" TargetMode="External"/><Relationship Id="rId685" Type="http://schemas.openxmlformats.org/officeDocument/2006/relationships/hyperlink" Target="https://pbs.twimg.com/media/Dn-LURgWkAEeOQ8.jpg" TargetMode="External"/><Relationship Id="rId35" Type="http://schemas.openxmlformats.org/officeDocument/2006/relationships/hyperlink" Target="https://pbs.twimg.com/media/DoBBVW7U0AADI7R.jpg" TargetMode="External"/><Relationship Id="rId77" Type="http://schemas.openxmlformats.org/officeDocument/2006/relationships/hyperlink" Target="https://pbs.twimg.com/media/DoBBVW7U0AADI7R.jpg" TargetMode="External"/><Relationship Id="rId100" Type="http://schemas.openxmlformats.org/officeDocument/2006/relationships/hyperlink" Target="http://www.facebook.com/ghobadsafari" TargetMode="External"/><Relationship Id="rId282" Type="http://schemas.openxmlformats.org/officeDocument/2006/relationships/hyperlink" Target="https://pbs.twimg.com/media/DoAxzfxXkAAzw2h.jpg" TargetMode="External"/><Relationship Id="rId338" Type="http://schemas.openxmlformats.org/officeDocument/2006/relationships/hyperlink" Target="http://pic.twitter.com/08Wiq2eIO2" TargetMode="External"/><Relationship Id="rId503" Type="http://schemas.openxmlformats.org/officeDocument/2006/relationships/hyperlink" Target="https://twitter.com/UANI/status/1044691663401226241" TargetMode="External"/><Relationship Id="rId545" Type="http://schemas.openxmlformats.org/officeDocument/2006/relationships/hyperlink" Target="http://pic.twitter.com/Yidt4zC9zY" TargetMode="External"/><Relationship Id="rId587" Type="http://schemas.openxmlformats.org/officeDocument/2006/relationships/hyperlink" Target="http://aminkhosroshahi.com/" TargetMode="External"/><Relationship Id="rId710" Type="http://schemas.openxmlformats.org/officeDocument/2006/relationships/hyperlink" Target="http://www.kampain.info/archive/24352.htm" TargetMode="External"/><Relationship Id="rId8" Type="http://schemas.openxmlformats.org/officeDocument/2006/relationships/hyperlink" Target="https://pbs.twimg.com/media/DoBBVW7U0AADI7R.jpg" TargetMode="External"/><Relationship Id="rId142" Type="http://schemas.openxmlformats.org/officeDocument/2006/relationships/hyperlink" Target="https://pbs.twimg.com/media/DoBStJ-XcAAXZZh.jpg" TargetMode="External"/><Relationship Id="rId184" Type="http://schemas.openxmlformats.org/officeDocument/2006/relationships/hyperlink" Target="http://pic.twitter.com/ReSFQ60YJP" TargetMode="External"/><Relationship Id="rId391" Type="http://schemas.openxmlformats.org/officeDocument/2006/relationships/hyperlink" Target="https://pbs.twimg.com/media/Dn9lGJ6XgAAoKuv.jpg" TargetMode="External"/><Relationship Id="rId405" Type="http://schemas.openxmlformats.org/officeDocument/2006/relationships/hyperlink" Target="http://pic.twitter.com/08Wiq2eIO2" TargetMode="External"/><Relationship Id="rId447" Type="http://schemas.openxmlformats.org/officeDocument/2006/relationships/hyperlink" Target="https://pbs.twimg.com/media/Dn96j_sX0AAU1zr.jpg" TargetMode="External"/><Relationship Id="rId612" Type="http://schemas.openxmlformats.org/officeDocument/2006/relationships/hyperlink" Target="https://pbs.twimg.com/media/Dn9lGJ6XgAAoKuv.jpg" TargetMode="External"/><Relationship Id="rId251" Type="http://schemas.openxmlformats.org/officeDocument/2006/relationships/hyperlink" Target="https://pbs.twimg.com/media/DoA6n0DXcAEA1vb.jpg" TargetMode="External"/><Relationship Id="rId489" Type="http://schemas.openxmlformats.org/officeDocument/2006/relationships/hyperlink" Target="http://www.sobhemahallat.ir/" TargetMode="External"/><Relationship Id="rId654" Type="http://schemas.openxmlformats.org/officeDocument/2006/relationships/hyperlink" Target="http://pic.twitter.com/ReSFQ60YJP" TargetMode="External"/><Relationship Id="rId696" Type="http://schemas.openxmlformats.org/officeDocument/2006/relationships/hyperlink" Target="https://pbs.twimg.com/media/Dn-RxgPXoAEZwaA.jpg" TargetMode="External"/><Relationship Id="rId46" Type="http://schemas.openxmlformats.org/officeDocument/2006/relationships/hyperlink" Target="https://pbs.twimg.com/media/DoBBVW7U0AADI7R.jpg" TargetMode="External"/><Relationship Id="rId293" Type="http://schemas.openxmlformats.org/officeDocument/2006/relationships/hyperlink" Target="http://tn.ai/1837012" TargetMode="External"/><Relationship Id="rId307" Type="http://schemas.openxmlformats.org/officeDocument/2006/relationships/hyperlink" Target="https://pbs.twimg.com/media/Dn9gfXBWsAIKjmb.jpg" TargetMode="External"/><Relationship Id="rId349" Type="http://schemas.openxmlformats.org/officeDocument/2006/relationships/hyperlink" Target="http://fb.com/Freedom.Messenger" TargetMode="External"/><Relationship Id="rId514" Type="http://schemas.openxmlformats.org/officeDocument/2006/relationships/hyperlink" Target="https://www.hbojnordi.ir/" TargetMode="External"/><Relationship Id="rId556" Type="http://schemas.openxmlformats.org/officeDocument/2006/relationships/hyperlink" Target="https://pbs.twimg.com/media/Dn-v92gUcAAc-AI.jpg" TargetMode="External"/><Relationship Id="rId721" Type="http://schemas.openxmlformats.org/officeDocument/2006/relationships/hyperlink" Target="http://forsan.news/" TargetMode="External"/><Relationship Id="rId88" Type="http://schemas.openxmlformats.org/officeDocument/2006/relationships/hyperlink" Target="https://pbs.twimg.com/media/DoBBVW7U0AADI7R.jpg" TargetMode="External"/><Relationship Id="rId111" Type="http://schemas.openxmlformats.org/officeDocument/2006/relationships/hyperlink" Target="https://pbs.twimg.com/media/DoBBVW7U0AADI7R.jpg" TargetMode="External"/><Relationship Id="rId153" Type="http://schemas.openxmlformats.org/officeDocument/2006/relationships/hyperlink" Target="http://www.tasnimnews.com/" TargetMode="External"/><Relationship Id="rId195" Type="http://schemas.openxmlformats.org/officeDocument/2006/relationships/hyperlink" Target="http://www.iranthisway.com/" TargetMode="External"/><Relationship Id="rId209" Type="http://schemas.openxmlformats.org/officeDocument/2006/relationships/hyperlink" Target="http://pic.twitter.com/R1vUNfAnWp" TargetMode="External"/><Relationship Id="rId360" Type="http://schemas.openxmlformats.org/officeDocument/2006/relationships/hyperlink" Target="https://pbs.twimg.com/media/DoAVbEsXsAAsj2R.jpg" TargetMode="External"/><Relationship Id="rId416" Type="http://schemas.openxmlformats.org/officeDocument/2006/relationships/hyperlink" Target="http://pic.twitter.com/BoH37cBDuQ" TargetMode="External"/><Relationship Id="rId598" Type="http://schemas.openxmlformats.org/officeDocument/2006/relationships/hyperlink" Target="https://twitter.com/smaeel_azari96/status/1043612939440275457" TargetMode="External"/><Relationship Id="rId220" Type="http://schemas.openxmlformats.org/officeDocument/2006/relationships/hyperlink" Target="https://pbs.twimg.com/media/DoA4eFAV4AAjZeh.jpg" TargetMode="External"/><Relationship Id="rId458" Type="http://schemas.openxmlformats.org/officeDocument/2006/relationships/hyperlink" Target="https://pbs.twimg.com/media/Dn96j_sX0AAU1zr.jpg" TargetMode="External"/><Relationship Id="rId623" Type="http://schemas.openxmlformats.org/officeDocument/2006/relationships/hyperlink" Target="https://pbs.twimg.com/media/Dn-v92gUcAAc-AI.jpg" TargetMode="External"/><Relationship Id="rId665" Type="http://schemas.openxmlformats.org/officeDocument/2006/relationships/hyperlink" Target="http://esden.site11.com/" TargetMode="External"/><Relationship Id="rId15" Type="http://schemas.openxmlformats.org/officeDocument/2006/relationships/hyperlink" Target="https://pbs.twimg.com/media/DoBBVW7U0AADI7R.jpg" TargetMode="External"/><Relationship Id="rId57" Type="http://schemas.openxmlformats.org/officeDocument/2006/relationships/hyperlink" Target="http://pic.twitter.com/sAwUFih04e" TargetMode="External"/><Relationship Id="rId262" Type="http://schemas.openxmlformats.org/officeDocument/2006/relationships/hyperlink" Target="https://twitter.com/USAdarFarsi/status/1044687590782316544" TargetMode="External"/><Relationship Id="rId318" Type="http://schemas.openxmlformats.org/officeDocument/2006/relationships/hyperlink" Target="https://www.sazinco.ir/" TargetMode="External"/><Relationship Id="rId525" Type="http://schemas.openxmlformats.org/officeDocument/2006/relationships/hyperlink" Target="http://pmsk313.blogfa.com/" TargetMode="External"/><Relationship Id="rId567" Type="http://schemas.openxmlformats.org/officeDocument/2006/relationships/hyperlink" Target="https://pbs.twimg.com/media/Dn6t8M-XkAAukKq.jpg" TargetMode="External"/><Relationship Id="rId732" Type="http://schemas.openxmlformats.org/officeDocument/2006/relationships/hyperlink" Target="https://pbs.twimg.com/media/Dn96j_sX0AAU1zr.jpg" TargetMode="External"/><Relationship Id="rId99" Type="http://schemas.openxmlformats.org/officeDocument/2006/relationships/hyperlink" Target="https://pbs.twimg.com/media/DoBNrntXoAEa2ap.jpg" TargetMode="External"/><Relationship Id="rId122" Type="http://schemas.openxmlformats.org/officeDocument/2006/relationships/hyperlink" Target="https://pbs.twimg.com/media/DoBBVW7U0AADI7R.jpg" TargetMode="External"/><Relationship Id="rId164" Type="http://schemas.openxmlformats.org/officeDocument/2006/relationships/hyperlink" Target="https://pbs.twimg.com/media/DoBKBDjXsAANJdj.jpg" TargetMode="External"/><Relationship Id="rId371" Type="http://schemas.openxmlformats.org/officeDocument/2006/relationships/hyperlink" Target="https://pbs.twimg.com/media/DoATGqwW0AIf6ax.jpg" TargetMode="External"/><Relationship Id="rId427" Type="http://schemas.openxmlformats.org/officeDocument/2006/relationships/hyperlink" Target="https://pbs.twimg.com/media/Dn9wA4KW0AAGLsX.jpg" TargetMode="External"/><Relationship Id="rId469" Type="http://schemas.openxmlformats.org/officeDocument/2006/relationships/hyperlink" Target="https://pbs.twimg.com/media/Dn_N4MOXkAE36u1.jpg" TargetMode="External"/><Relationship Id="rId634" Type="http://schemas.openxmlformats.org/officeDocument/2006/relationships/hyperlink" Target="http://pic.twitter.com/ReSFQ60YJP" TargetMode="External"/><Relationship Id="rId676" Type="http://schemas.openxmlformats.org/officeDocument/2006/relationships/hyperlink" Target="http://pic.twitter.com/BoH37cBDuQ" TargetMode="External"/><Relationship Id="rId26" Type="http://schemas.openxmlformats.org/officeDocument/2006/relationships/hyperlink" Target="https://pbs.twimg.com/media/DoBBVW7U0AADI7R.jpg" TargetMode="External"/><Relationship Id="rId231" Type="http://schemas.openxmlformats.org/officeDocument/2006/relationships/hyperlink" Target="http://www.sadeghimoghadam.ir/" TargetMode="External"/><Relationship Id="rId273" Type="http://schemas.openxmlformats.org/officeDocument/2006/relationships/hyperlink" Target="http://jjo.ir/anahhjxi" TargetMode="External"/><Relationship Id="rId329" Type="http://schemas.openxmlformats.org/officeDocument/2006/relationships/hyperlink" Target="https://pbs.twimg.com/media/DoAeIfCWsAARWpf.jpg" TargetMode="External"/><Relationship Id="rId480" Type="http://schemas.openxmlformats.org/officeDocument/2006/relationships/hyperlink" Target="http://www.jaaar.com/" TargetMode="External"/><Relationship Id="rId536" Type="http://schemas.openxmlformats.org/officeDocument/2006/relationships/hyperlink" Target="http://pic.twitter.com/08Wiq2eIO2" TargetMode="External"/><Relationship Id="rId701" Type="http://schemas.openxmlformats.org/officeDocument/2006/relationships/hyperlink" Target="http://pic.twitter.com/ReSFQ60YJP" TargetMode="External"/><Relationship Id="rId68" Type="http://schemas.openxmlformats.org/officeDocument/2006/relationships/hyperlink" Target="https://pbs.twimg.com/media/DoBBVW7U0AADI7R.jpg" TargetMode="External"/><Relationship Id="rId133" Type="http://schemas.openxmlformats.org/officeDocument/2006/relationships/hyperlink" Target="http://www.jamaran.ir/" TargetMode="External"/><Relationship Id="rId175" Type="http://schemas.openxmlformats.org/officeDocument/2006/relationships/hyperlink" Target="https://pbs.twimg.com/media/DoBBVW7U0AADI7R.jpg" TargetMode="External"/><Relationship Id="rId340" Type="http://schemas.openxmlformats.org/officeDocument/2006/relationships/hyperlink" Target="https://pbs.twimg.com/media/Dn_952iXgAAv4hs.jpg" TargetMode="External"/><Relationship Id="rId578" Type="http://schemas.openxmlformats.org/officeDocument/2006/relationships/hyperlink" Target="http://pic.twitter.com/ReSFQ60YJP" TargetMode="External"/><Relationship Id="rId743" Type="http://schemas.openxmlformats.org/officeDocument/2006/relationships/hyperlink" Target="https://twitter.com/YaarDabestaani/status/1044583849748037633" TargetMode="External"/><Relationship Id="rId200" Type="http://schemas.openxmlformats.org/officeDocument/2006/relationships/hyperlink" Target="https://pbs.twimg.com/media/DoBBVW7U0AADI7R.jpg" TargetMode="External"/><Relationship Id="rId382" Type="http://schemas.openxmlformats.org/officeDocument/2006/relationships/hyperlink" Target="http://www.larak.blogsky.com/" TargetMode="External"/><Relationship Id="rId438" Type="http://schemas.openxmlformats.org/officeDocument/2006/relationships/hyperlink" Target="http://fb.com/Freedom.Messenger" TargetMode="External"/><Relationship Id="rId603" Type="http://schemas.openxmlformats.org/officeDocument/2006/relationships/hyperlink" Target="https://pbs.twimg.com/media/Dn-v92gUcAAc-AI.jpg" TargetMode="External"/><Relationship Id="rId645" Type="http://schemas.openxmlformats.org/officeDocument/2006/relationships/hyperlink" Target="http://pic.twitter.com/da0Rg2pdNN" TargetMode="External"/><Relationship Id="rId687" Type="http://schemas.openxmlformats.org/officeDocument/2006/relationships/hyperlink" Target="http://pic.twitter.com/ReSFQ60YJP" TargetMode="External"/><Relationship Id="rId242" Type="http://schemas.openxmlformats.org/officeDocument/2006/relationships/hyperlink" Target="https://pbs.twimg.com/media/DoBBVW7U0AADI7R.jpg" TargetMode="External"/><Relationship Id="rId284" Type="http://schemas.openxmlformats.org/officeDocument/2006/relationships/hyperlink" Target="https://pbs.twimg.com/media/Dn9l1EbWsAEaPtN.jpg" TargetMode="External"/><Relationship Id="rId491" Type="http://schemas.openxmlformats.org/officeDocument/2006/relationships/hyperlink" Target="https://twitter.com/Hannahkaviani/status/1044622696569589761" TargetMode="External"/><Relationship Id="rId505" Type="http://schemas.openxmlformats.org/officeDocument/2006/relationships/hyperlink" Target="https://pbs.twimg.com/media/Dn_oZTYW0AMCpSX.jpg" TargetMode="External"/><Relationship Id="rId712" Type="http://schemas.openxmlformats.org/officeDocument/2006/relationships/hyperlink" Target="http://pic.twitter.com/LM28RuzmCk" TargetMode="External"/><Relationship Id="rId37" Type="http://schemas.openxmlformats.org/officeDocument/2006/relationships/hyperlink" Target="https://pbs.twimg.com/media/DoBBVW7U0AADI7R.jpg" TargetMode="External"/><Relationship Id="rId79" Type="http://schemas.openxmlformats.org/officeDocument/2006/relationships/hyperlink" Target="https://pbs.twimg.com/media/DoBBVW7U0AADI7R.jpg" TargetMode="External"/><Relationship Id="rId102" Type="http://schemas.openxmlformats.org/officeDocument/2006/relationships/hyperlink" Target="https://pbs.twimg.com/media/DoBBVW7U0AADI7R.jpg" TargetMode="External"/><Relationship Id="rId144" Type="http://schemas.openxmlformats.org/officeDocument/2006/relationships/hyperlink" Target="http://pic.twitter.com/IGOvbPY3Dw" TargetMode="External"/><Relationship Id="rId547" Type="http://schemas.openxmlformats.org/officeDocument/2006/relationships/hyperlink" Target="https://pbs.twimg.com/media/Dn_N4MOXkAE36u1.jpg" TargetMode="External"/><Relationship Id="rId589" Type="http://schemas.openxmlformats.org/officeDocument/2006/relationships/hyperlink" Target="https://t.me/Taghadom" TargetMode="External"/><Relationship Id="rId90" Type="http://schemas.openxmlformats.org/officeDocument/2006/relationships/hyperlink" Target="https://pbs.twimg.com/media/DoBBVW7U0AADI7R.jpg" TargetMode="External"/><Relationship Id="rId186" Type="http://schemas.openxmlformats.org/officeDocument/2006/relationships/hyperlink" Target="https://pbs.twimg.com/media/DoBBVW7U0AADI7R.jpg" TargetMode="External"/><Relationship Id="rId351" Type="http://schemas.openxmlformats.org/officeDocument/2006/relationships/hyperlink" Target="https://pbs.twimg.com/media/Dn_952iXgAAv4hs.jpg" TargetMode="External"/><Relationship Id="rId393" Type="http://schemas.openxmlformats.org/officeDocument/2006/relationships/hyperlink" Target="http://pic.twitter.com/R1vUNfAnWp" TargetMode="External"/><Relationship Id="rId407" Type="http://schemas.openxmlformats.org/officeDocument/2006/relationships/hyperlink" Target="http://www.7sobh.com/" TargetMode="External"/><Relationship Id="rId449" Type="http://schemas.openxmlformats.org/officeDocument/2006/relationships/hyperlink" Target="http://www.instagram.com/denabarmas" TargetMode="External"/><Relationship Id="rId614" Type="http://schemas.openxmlformats.org/officeDocument/2006/relationships/hyperlink" Target="http://pic.twitter.com/wrtOEmCMlx" TargetMode="External"/><Relationship Id="rId656" Type="http://schemas.openxmlformats.org/officeDocument/2006/relationships/hyperlink" Target="https://pbs.twimg.com/media/Dn81Y3iXkAAL88I.jpg" TargetMode="External"/><Relationship Id="rId211" Type="http://schemas.openxmlformats.org/officeDocument/2006/relationships/hyperlink" Target="https://pbs.twimg.com/media/DoBBVW7U0AADI7R.jpg" TargetMode="External"/><Relationship Id="rId253" Type="http://schemas.openxmlformats.org/officeDocument/2006/relationships/hyperlink" Target="http://www.mehrnews.com/" TargetMode="External"/><Relationship Id="rId295" Type="http://schemas.openxmlformats.org/officeDocument/2006/relationships/hyperlink" Target="https://pbs.twimg.com/media/DoAqbFJWkAAAMwi.jpg" TargetMode="External"/><Relationship Id="rId309" Type="http://schemas.openxmlformats.org/officeDocument/2006/relationships/hyperlink" Target="http://www.jamejamonline.ir/" TargetMode="External"/><Relationship Id="rId460" Type="http://schemas.openxmlformats.org/officeDocument/2006/relationships/hyperlink" Target="https://pbs.twimg.com/media/Dn_2bDOXkAAt3eh.jpg" TargetMode="External"/><Relationship Id="rId516" Type="http://schemas.openxmlformats.org/officeDocument/2006/relationships/hyperlink" Target="http://pic.twitter.com/ReSFQ60YJP" TargetMode="External"/><Relationship Id="rId698" Type="http://schemas.openxmlformats.org/officeDocument/2006/relationships/hyperlink" Target="http://pic.twitter.com/9nKGpj8WVi" TargetMode="External"/><Relationship Id="rId48" Type="http://schemas.openxmlformats.org/officeDocument/2006/relationships/hyperlink" Target="https://pbs.twimg.com/media/DoBBVW7U0AADI7R.jpg" TargetMode="External"/><Relationship Id="rId113" Type="http://schemas.openxmlformats.org/officeDocument/2006/relationships/hyperlink" Target="https://pbs.twimg.com/media/DoBBVW7U0AADI7R.jpg" TargetMode="External"/><Relationship Id="rId320" Type="http://schemas.openxmlformats.org/officeDocument/2006/relationships/hyperlink" Target="http://toofargan.ir/" TargetMode="External"/><Relationship Id="rId558" Type="http://schemas.openxmlformats.org/officeDocument/2006/relationships/hyperlink" Target="https://pbs.twimg.com/media/Dn96j_sX0AAU1zr.jpg" TargetMode="External"/><Relationship Id="rId723" Type="http://schemas.openxmlformats.org/officeDocument/2006/relationships/hyperlink" Target="https://pbs.twimg.com/media/Dn9182ZXkAAXWAs.jpg" TargetMode="External"/><Relationship Id="rId155" Type="http://schemas.openxmlformats.org/officeDocument/2006/relationships/hyperlink" Target="https://pbs.twimg.com/media/DoBBVW7U0AADI7R.jpg" TargetMode="External"/><Relationship Id="rId197" Type="http://schemas.openxmlformats.org/officeDocument/2006/relationships/hyperlink" Target="https://pbs.twimg.com/media/DoBBVW7U0AADI7R.jpg" TargetMode="External"/><Relationship Id="rId362" Type="http://schemas.openxmlformats.org/officeDocument/2006/relationships/hyperlink" Target="http://iransepid.ir/" TargetMode="External"/><Relationship Id="rId418" Type="http://schemas.openxmlformats.org/officeDocument/2006/relationships/hyperlink" Target="https://pbs.twimg.com/media/Dn96j_sX0AAU1zr.jpg" TargetMode="External"/><Relationship Id="rId625" Type="http://schemas.openxmlformats.org/officeDocument/2006/relationships/hyperlink" Target="https://pbs.twimg.com/media/Dn-v92gUcAAc-AI.jpg" TargetMode="External"/><Relationship Id="rId222" Type="http://schemas.openxmlformats.org/officeDocument/2006/relationships/hyperlink" Target="https://pbs.twimg.com/media/DoBBVW7U0AADI7R.jpg" TargetMode="External"/><Relationship Id="rId264" Type="http://schemas.openxmlformats.org/officeDocument/2006/relationships/hyperlink" Target="http://www.jamejamonline.ir/" TargetMode="External"/><Relationship Id="rId471" Type="http://schemas.openxmlformats.org/officeDocument/2006/relationships/hyperlink" Target="http://instagram.com/litmuschannel" TargetMode="External"/><Relationship Id="rId667" Type="http://schemas.openxmlformats.org/officeDocument/2006/relationships/hyperlink" Target="http://www.kanokhbegan.com/" TargetMode="External"/><Relationship Id="rId17" Type="http://schemas.openxmlformats.org/officeDocument/2006/relationships/hyperlink" Target="https://pbs.twimg.com/media/DoBwxWkXcAACnv3.jpg" TargetMode="External"/><Relationship Id="rId59" Type="http://schemas.openxmlformats.org/officeDocument/2006/relationships/hyperlink" Target="https://pbs.twimg.com/media/DoBBVW7U0AADI7R.jpg" TargetMode="External"/><Relationship Id="rId124" Type="http://schemas.openxmlformats.org/officeDocument/2006/relationships/hyperlink" Target="https://pbs.twimg.com/media/DoBSBpxVsAAWPmo.jpg" TargetMode="External"/><Relationship Id="rId527" Type="http://schemas.openxmlformats.org/officeDocument/2006/relationships/hyperlink" Target="https://pbs.twimg.com/media/Dn-v92gUcAAc-AI.jpg" TargetMode="External"/><Relationship Id="rId569" Type="http://schemas.openxmlformats.org/officeDocument/2006/relationships/hyperlink" Target="https://pbs.twimg.com/media/Dn9bpHmXsAATHRu.jpg" TargetMode="External"/><Relationship Id="rId734" Type="http://schemas.openxmlformats.org/officeDocument/2006/relationships/hyperlink" Target="http://pic.twitter.com/DQwrjs20vT" TargetMode="External"/><Relationship Id="rId70" Type="http://schemas.openxmlformats.org/officeDocument/2006/relationships/hyperlink" Target="https://pbs.twimg.com/media/DoBSBpxVsAAWPmo.jpg" TargetMode="External"/><Relationship Id="rId166" Type="http://schemas.openxmlformats.org/officeDocument/2006/relationships/hyperlink" Target="https://pbs.twimg.com/media/DoBBVW7U0AADI7R.jpg" TargetMode="External"/><Relationship Id="rId331" Type="http://schemas.openxmlformats.org/officeDocument/2006/relationships/hyperlink" Target="http://shahr2ad.wordpress.com/" TargetMode="External"/><Relationship Id="rId373" Type="http://schemas.openxmlformats.org/officeDocument/2006/relationships/hyperlink" Target="http://pic.twitter.com/zmv21GKCFi" TargetMode="External"/><Relationship Id="rId429" Type="http://schemas.openxmlformats.org/officeDocument/2006/relationships/hyperlink" Target="https://pbs.twimg.com/media/DoAEdBxXsAEm0PN.jpg" TargetMode="External"/><Relationship Id="rId580" Type="http://schemas.openxmlformats.org/officeDocument/2006/relationships/hyperlink" Target="https://t.me/Taghadom" TargetMode="External"/><Relationship Id="rId636" Type="http://schemas.openxmlformats.org/officeDocument/2006/relationships/hyperlink" Target="http://pic.twitter.com/ReSFQ60YJP" TargetMode="External"/><Relationship Id="rId1" Type="http://schemas.openxmlformats.org/officeDocument/2006/relationships/hyperlink" Target="https://pbs.twimg.com/media/DoBBVW7U0AADI7R.jpg" TargetMode="External"/><Relationship Id="rId233" Type="http://schemas.openxmlformats.org/officeDocument/2006/relationships/hyperlink" Target="https://pbs.twimg.com/media/DoBBVW7U0AADI7R.jpg" TargetMode="External"/><Relationship Id="rId440" Type="http://schemas.openxmlformats.org/officeDocument/2006/relationships/hyperlink" Target="http://pic.twitter.com/ReSFQ60YJP" TargetMode="External"/><Relationship Id="rId678" Type="http://schemas.openxmlformats.org/officeDocument/2006/relationships/hyperlink" Target="http://pic.twitter.com/wrtOEmCMlx" TargetMode="External"/><Relationship Id="rId28" Type="http://schemas.openxmlformats.org/officeDocument/2006/relationships/hyperlink" Target="https://pbs.twimg.com/media/DoBBVW7U0AADI7R.jpg" TargetMode="External"/><Relationship Id="rId275" Type="http://schemas.openxmlformats.org/officeDocument/2006/relationships/hyperlink" Target="https://pbs.twimg.com/media/DoAx13oXoAAdVS3.jpg" TargetMode="External"/><Relationship Id="rId300" Type="http://schemas.openxmlformats.org/officeDocument/2006/relationships/hyperlink" Target="https://mcaf.ee/l6w8mb" TargetMode="External"/><Relationship Id="rId482" Type="http://schemas.openxmlformats.org/officeDocument/2006/relationships/hyperlink" Target="https://pbs.twimg.com/media/Dn96j_sX0AAU1zr.jpg" TargetMode="External"/><Relationship Id="rId538" Type="http://schemas.openxmlformats.org/officeDocument/2006/relationships/hyperlink" Target="http://instagram.com/man.enqelaabiam" TargetMode="External"/><Relationship Id="rId703" Type="http://schemas.openxmlformats.org/officeDocument/2006/relationships/hyperlink" Target="https://pbs.twimg.com/media/Dn-OOD_WsAEb2Vl.jpg" TargetMode="External"/><Relationship Id="rId745" Type="http://schemas.openxmlformats.org/officeDocument/2006/relationships/hyperlink" Target="http://masaf.ir/" TargetMode="External"/><Relationship Id="rId81" Type="http://schemas.openxmlformats.org/officeDocument/2006/relationships/hyperlink" Target="http://love106.ir/" TargetMode="External"/><Relationship Id="rId135" Type="http://schemas.openxmlformats.org/officeDocument/2006/relationships/hyperlink" Target="https://pbs.twimg.com/media/DoBBVW7U0AADI7R.jpg" TargetMode="External"/><Relationship Id="rId177" Type="http://schemas.openxmlformats.org/officeDocument/2006/relationships/hyperlink" Target="https://pbs.twimg.com/media/DoBBVW7U0AADI7R.jpg" TargetMode="External"/><Relationship Id="rId342" Type="http://schemas.openxmlformats.org/officeDocument/2006/relationships/hyperlink" Target="http://www.khabgard.com/" TargetMode="External"/><Relationship Id="rId384" Type="http://schemas.openxmlformats.org/officeDocument/2006/relationships/hyperlink" Target="http://pic.twitter.com/9nKGpj8WVi" TargetMode="External"/><Relationship Id="rId591" Type="http://schemas.openxmlformats.org/officeDocument/2006/relationships/hyperlink" Target="http://pic.twitter.com/C11OgTqguO" TargetMode="External"/><Relationship Id="rId605" Type="http://schemas.openxmlformats.org/officeDocument/2006/relationships/hyperlink" Target="https://pbs.twimg.com/media/Dn-v92gUcAAc-AI.jpg" TargetMode="External"/><Relationship Id="rId202" Type="http://schemas.openxmlformats.org/officeDocument/2006/relationships/hyperlink" Target="https://pbs.twimg.com/media/DoBBVW7U0AADI7R.jpg" TargetMode="External"/><Relationship Id="rId244" Type="http://schemas.openxmlformats.org/officeDocument/2006/relationships/hyperlink" Target="https://www.facebook.com/a.mazaheri" TargetMode="External"/><Relationship Id="rId647" Type="http://schemas.openxmlformats.org/officeDocument/2006/relationships/hyperlink" Target="http://pic.twitter.com/wrtOEmCMlx" TargetMode="External"/><Relationship Id="rId689" Type="http://schemas.openxmlformats.org/officeDocument/2006/relationships/hyperlink" Target="http://t.me/azarmansouri" TargetMode="External"/><Relationship Id="rId39" Type="http://schemas.openxmlformats.org/officeDocument/2006/relationships/hyperlink" Target="https://pbs.twimg.com/media/DoBBVW7U0AADI7R.jpg" TargetMode="External"/><Relationship Id="rId286" Type="http://schemas.openxmlformats.org/officeDocument/2006/relationships/hyperlink" Target="https://pbs.twimg.com/media/Dn__WTZXkAAkrsD.jpg" TargetMode="External"/><Relationship Id="rId451" Type="http://schemas.openxmlformats.org/officeDocument/2006/relationships/hyperlink" Target="https://pbs.twimg.com/media/Dn96j_sX0AAU1zr.jpg" TargetMode="External"/><Relationship Id="rId493" Type="http://schemas.openxmlformats.org/officeDocument/2006/relationships/hyperlink" Target="http://bit.ly/2AXdsjn" TargetMode="External"/><Relationship Id="rId507" Type="http://schemas.openxmlformats.org/officeDocument/2006/relationships/hyperlink" Target="http://instagram.com/goodarz.t" TargetMode="External"/><Relationship Id="rId549" Type="http://schemas.openxmlformats.org/officeDocument/2006/relationships/hyperlink" Target="https://twitter.com/Khamenei_fa?s=09" TargetMode="External"/><Relationship Id="rId714" Type="http://schemas.openxmlformats.org/officeDocument/2006/relationships/hyperlink" Target="http://pic.twitter.com/ReSFQ60YJP" TargetMode="External"/><Relationship Id="rId50" Type="http://schemas.openxmlformats.org/officeDocument/2006/relationships/hyperlink" Target="https://telegram.me/harfbemanbot?start=MjEzMjQxNjQ4" TargetMode="External"/><Relationship Id="rId104" Type="http://schemas.openxmlformats.org/officeDocument/2006/relationships/hyperlink" Target="https://pbs.twimg.com/media/DoBBVW7U0AADI7R.jpg" TargetMode="External"/><Relationship Id="rId146" Type="http://schemas.openxmlformats.org/officeDocument/2006/relationships/hyperlink" Target="https://pbs.twimg.com/media/DoBBVW7U0AADI7R.jpg" TargetMode="External"/><Relationship Id="rId188" Type="http://schemas.openxmlformats.org/officeDocument/2006/relationships/hyperlink" Target="https://pbs.twimg.com/media/DoBBVW7U0AADI7R.jpg" TargetMode="External"/><Relationship Id="rId311" Type="http://schemas.openxmlformats.org/officeDocument/2006/relationships/hyperlink" Target="https://pbs.twimg.com/media/DoAkU8TXoAEnKyv.jpg" TargetMode="External"/><Relationship Id="rId353" Type="http://schemas.openxmlformats.org/officeDocument/2006/relationships/hyperlink" Target="http://etehadonline.com/news/717363/" TargetMode="External"/><Relationship Id="rId395" Type="http://schemas.openxmlformats.org/officeDocument/2006/relationships/hyperlink" Target="https://pbs.twimg.com/media/Dn9d7u_V4AAHaB0.jpg" TargetMode="External"/><Relationship Id="rId409" Type="http://schemas.openxmlformats.org/officeDocument/2006/relationships/hyperlink" Target="http://pic.twitter.com/9nKGpj8WVi" TargetMode="External"/><Relationship Id="rId560" Type="http://schemas.openxmlformats.org/officeDocument/2006/relationships/hyperlink" Target="https://pbs.twimg.com/media/Dn-v92gUcAAc-AI.jpg" TargetMode="External"/><Relationship Id="rId92" Type="http://schemas.openxmlformats.org/officeDocument/2006/relationships/hyperlink" Target="https://pbs.twimg.com/media/DoBBVW7U0AADI7R.jpg" TargetMode="External"/><Relationship Id="rId213" Type="http://schemas.openxmlformats.org/officeDocument/2006/relationships/hyperlink" Target="https://twitter.com/Hannahkaviani/status/1044623696948862981" TargetMode="External"/><Relationship Id="rId420" Type="http://schemas.openxmlformats.org/officeDocument/2006/relationships/hyperlink" Target="https://pbs.twimg.com/media/DoAEdBxXsAEm0PN.jpg" TargetMode="External"/><Relationship Id="rId616" Type="http://schemas.openxmlformats.org/officeDocument/2006/relationships/hyperlink" Target="https://pbs.twimg.com/media/Dn-v92gUcAAc-AI.jpg" TargetMode="External"/><Relationship Id="rId658" Type="http://schemas.openxmlformats.org/officeDocument/2006/relationships/hyperlink" Target="https://pbs.twimg.com/media/Dn9d7u_V4AAHaB0.jpg" TargetMode="External"/><Relationship Id="rId255" Type="http://schemas.openxmlformats.org/officeDocument/2006/relationships/hyperlink" Target="https://pbs.twimg.com/media/DoAx13oXoAAdVS3.jpg" TargetMode="External"/><Relationship Id="rId297" Type="http://schemas.openxmlformats.org/officeDocument/2006/relationships/hyperlink" Target="http://e.kh/" TargetMode="External"/><Relationship Id="rId462" Type="http://schemas.openxmlformats.org/officeDocument/2006/relationships/hyperlink" Target="https://pbs.twimg.com/media/Dn_2AW1XgAEcwXW.jpg" TargetMode="External"/><Relationship Id="rId518" Type="http://schemas.openxmlformats.org/officeDocument/2006/relationships/hyperlink" Target="https://pbs.twimg.com/media/Dn_XjJXXgAA38Hc.jpg" TargetMode="External"/><Relationship Id="rId725" Type="http://schemas.openxmlformats.org/officeDocument/2006/relationships/hyperlink" Target="https://twitter.com/Hannahkaviani/status/1044622696569589761" TargetMode="External"/><Relationship Id="rId115" Type="http://schemas.openxmlformats.org/officeDocument/2006/relationships/hyperlink" Target="https://www.instagram.com/munzzz/" TargetMode="External"/><Relationship Id="rId157" Type="http://schemas.openxmlformats.org/officeDocument/2006/relationships/hyperlink" Target="https://pbs.twimg.com/media/DoBBVW7U0AADI7R.jpg" TargetMode="External"/><Relationship Id="rId322" Type="http://schemas.openxmlformats.org/officeDocument/2006/relationships/hyperlink" Target="http://www.ostomaan.org/" TargetMode="External"/><Relationship Id="rId364" Type="http://schemas.openxmlformats.org/officeDocument/2006/relationships/hyperlink" Target="https://pbs.twimg.com/media/DoAVvDBWkAIqsFx.jpg" TargetMode="External"/><Relationship Id="rId61" Type="http://schemas.openxmlformats.org/officeDocument/2006/relationships/hyperlink" Target="https://pbs.twimg.com/media/DoBBVW7U0AADI7R.jpg" TargetMode="External"/><Relationship Id="rId199" Type="http://schemas.openxmlformats.org/officeDocument/2006/relationships/hyperlink" Target="https://pbs.twimg.com/media/DoBBVW7U0AADI7R.jpg" TargetMode="External"/><Relationship Id="rId571" Type="http://schemas.openxmlformats.org/officeDocument/2006/relationships/hyperlink" Target="https://pbs.twimg.com/media/Dn9dDG0X0AA86fD.jpg" TargetMode="External"/><Relationship Id="rId627" Type="http://schemas.openxmlformats.org/officeDocument/2006/relationships/hyperlink" Target="http://pic.twitter.com/k3747vA20H" TargetMode="External"/><Relationship Id="rId669" Type="http://schemas.openxmlformats.org/officeDocument/2006/relationships/hyperlink" Target="http://www.lufthansa-flight-training.com/" TargetMode="External"/><Relationship Id="rId19" Type="http://schemas.openxmlformats.org/officeDocument/2006/relationships/hyperlink" Target="https://pbs.twimg.com/media/DoBBVW7U0AADI7R.jpg" TargetMode="External"/><Relationship Id="rId224" Type="http://schemas.openxmlformats.org/officeDocument/2006/relationships/hyperlink" Target="http://instagram.com/hamidsahra" TargetMode="External"/><Relationship Id="rId266" Type="http://schemas.openxmlformats.org/officeDocument/2006/relationships/hyperlink" Target="http://www.jamejamonline.ir/" TargetMode="External"/><Relationship Id="rId431" Type="http://schemas.openxmlformats.org/officeDocument/2006/relationships/hyperlink" Target="http://atlascg.ir/" TargetMode="External"/><Relationship Id="rId473" Type="http://schemas.openxmlformats.org/officeDocument/2006/relationships/hyperlink" Target="http://pic.twitter.com/ReSFQ60YJP" TargetMode="External"/><Relationship Id="rId529" Type="http://schemas.openxmlformats.org/officeDocument/2006/relationships/hyperlink" Target="https://telegram.me/smtpoet" TargetMode="External"/><Relationship Id="rId680" Type="http://schemas.openxmlformats.org/officeDocument/2006/relationships/hyperlink" Target="https://twitter.com/Hannahkaviani/status/1044622696569589761" TargetMode="External"/><Relationship Id="rId736" Type="http://schemas.openxmlformats.org/officeDocument/2006/relationships/hyperlink" Target="https://www.shiachat.com/" TargetMode="External"/><Relationship Id="rId30" Type="http://schemas.openxmlformats.org/officeDocument/2006/relationships/hyperlink" Target="https://pbs.twimg.com/media/DoBBVW7U0AADI7R.jpg" TargetMode="External"/><Relationship Id="rId126" Type="http://schemas.openxmlformats.org/officeDocument/2006/relationships/hyperlink" Target="https://pbs.twimg.com/media/DoBBVW7U0AADI7R.jpg" TargetMode="External"/><Relationship Id="rId168" Type="http://schemas.openxmlformats.org/officeDocument/2006/relationships/hyperlink" Target="https://pbs.twimg.com/media/DoA7A6WWsAAlxi5.jpg" TargetMode="External"/><Relationship Id="rId333" Type="http://schemas.openxmlformats.org/officeDocument/2006/relationships/hyperlink" Target="http://pic.twitter.com/ReSFQ60YJP" TargetMode="External"/><Relationship Id="rId540" Type="http://schemas.openxmlformats.org/officeDocument/2006/relationships/hyperlink" Target="https://soundcloud.com/arash-ghomeishi" TargetMode="External"/><Relationship Id="rId72" Type="http://schemas.openxmlformats.org/officeDocument/2006/relationships/hyperlink" Target="https://pbs.twimg.com/media/DoBBVW7U0AADI7R.jpg" TargetMode="External"/><Relationship Id="rId375" Type="http://schemas.openxmlformats.org/officeDocument/2006/relationships/hyperlink" Target="https://pbs.twimg.com/media/DoAEdBxXsAEm0PN.jpg" TargetMode="External"/><Relationship Id="rId582" Type="http://schemas.openxmlformats.org/officeDocument/2006/relationships/hyperlink" Target="https://pbs.twimg.com/media/Dn8uMGbXcAAJtIL.jpg" TargetMode="External"/><Relationship Id="rId638" Type="http://schemas.openxmlformats.org/officeDocument/2006/relationships/hyperlink" Target="https://pbs.twimg.com/media/Dn94r5MWsAApUZ-.jpg" TargetMode="External"/><Relationship Id="rId3" Type="http://schemas.openxmlformats.org/officeDocument/2006/relationships/hyperlink" Target="https://pbs.twimg.com/media/DoBBVW7U0AADI7R.jpg" TargetMode="External"/><Relationship Id="rId235" Type="http://schemas.openxmlformats.org/officeDocument/2006/relationships/hyperlink" Target="https://pbs.twimg.com/media/DoBBVW7U0AADI7R.jpg" TargetMode="External"/><Relationship Id="rId277" Type="http://schemas.openxmlformats.org/officeDocument/2006/relationships/hyperlink" Target="http://pic.twitter.com/0JBhw3l2XI" TargetMode="External"/><Relationship Id="rId400" Type="http://schemas.openxmlformats.org/officeDocument/2006/relationships/hyperlink" Target="https://pbs.twimg.com/media/Dn-v92gUcAAc-AI.jpg" TargetMode="External"/><Relationship Id="rId442" Type="http://schemas.openxmlformats.org/officeDocument/2006/relationships/hyperlink" Target="http://pic.twitter.com/ReSFQ60YJP" TargetMode="External"/><Relationship Id="rId484" Type="http://schemas.openxmlformats.org/officeDocument/2006/relationships/hyperlink" Target="https://pbs.twimg.com/media/Dn96j_sX0AAU1zr.jpg" TargetMode="External"/><Relationship Id="rId705" Type="http://schemas.openxmlformats.org/officeDocument/2006/relationships/hyperlink" Target="https://pbs.twimg.com/media/Dn-OcSGV4AA_4AX.jpg" TargetMode="External"/><Relationship Id="rId137" Type="http://schemas.openxmlformats.org/officeDocument/2006/relationships/hyperlink" Target="https://pbs.twimg.com/media/DoBBVW7U0AADI7R.jpg" TargetMode="External"/><Relationship Id="rId302" Type="http://schemas.openxmlformats.org/officeDocument/2006/relationships/hyperlink" Target="http://pic.twitter.com/BoH37cBDuQ" TargetMode="External"/><Relationship Id="rId344" Type="http://schemas.openxmlformats.org/officeDocument/2006/relationships/hyperlink" Target="https://pbs.twimg.com/media/Dn_952iXgAAv4hs.jpg" TargetMode="External"/><Relationship Id="rId691" Type="http://schemas.openxmlformats.org/officeDocument/2006/relationships/hyperlink" Target="https://pbs.twimg.com/media/Dn-LURgWkAEeOQ8.jpg" TargetMode="External"/><Relationship Id="rId747" Type="http://schemas.openxmlformats.org/officeDocument/2006/relationships/hyperlink" Target="http://www.kampain.info/" TargetMode="External"/><Relationship Id="rId41" Type="http://schemas.openxmlformats.org/officeDocument/2006/relationships/hyperlink" Target="https://pbs.twimg.com/media/DoBBVW7U0AADI7R.jpg" TargetMode="External"/><Relationship Id="rId83" Type="http://schemas.openxmlformats.org/officeDocument/2006/relationships/hyperlink" Target="https://pbs.twimg.com/media/DoBBVW7U0AADI7R.jpg" TargetMode="External"/><Relationship Id="rId179" Type="http://schemas.openxmlformats.org/officeDocument/2006/relationships/hyperlink" Target="https://pbs.twimg.com/media/DoBBVW7U0AADI7R.jpg" TargetMode="External"/><Relationship Id="rId386" Type="http://schemas.openxmlformats.org/officeDocument/2006/relationships/hyperlink" Target="https://pbs.twimg.com/media/DoAPRH5XUAUIhFh.jpg" TargetMode="External"/><Relationship Id="rId551" Type="http://schemas.openxmlformats.org/officeDocument/2006/relationships/hyperlink" Target="https://www.radiozamaneh.com/413520" TargetMode="External"/><Relationship Id="rId593" Type="http://schemas.openxmlformats.org/officeDocument/2006/relationships/hyperlink" Target="http://pic.twitter.com/08Wiq2eIO2" TargetMode="External"/><Relationship Id="rId607" Type="http://schemas.openxmlformats.org/officeDocument/2006/relationships/hyperlink" Target="https://pbs.twimg.com/media/Dn-v92gUcAAc-AI.jpg" TargetMode="External"/><Relationship Id="rId649" Type="http://schemas.openxmlformats.org/officeDocument/2006/relationships/hyperlink" Target="http://pic.twitter.com/9nKGpj8WVi" TargetMode="External"/><Relationship Id="rId190" Type="http://schemas.openxmlformats.org/officeDocument/2006/relationships/hyperlink" Target="https://www.instagram.com/world_stock/?hl=en" TargetMode="External"/><Relationship Id="rId204" Type="http://schemas.openxmlformats.org/officeDocument/2006/relationships/hyperlink" Target="https://pbs.twimg.com/media/DoBBVW7U0AADI7R.jpg" TargetMode="External"/><Relationship Id="rId246" Type="http://schemas.openxmlformats.org/officeDocument/2006/relationships/hyperlink" Target="https://pbs.twimg.com/media/Dn-v92gUcAAc-AI.jpg" TargetMode="External"/><Relationship Id="rId288" Type="http://schemas.openxmlformats.org/officeDocument/2006/relationships/hyperlink" Target="https://www.iranntv.com/2018/09/24/%da%a9%d8%a7%d8%b1%d8%b2%d8%a7%d8%b1-%d8%a7%d8%b4%d8%b1%d9%81-%d9%86%d8%b4%d8%a7%d9%86%d8%a7%d9%86-%d8%af%d8%b1-%d9%86%db%8c%d9%88%db%8c%d9%88%d8%b1%da%a9-%d8%a7%d8%b9%d8%aa%d8%b1%d8%a7%d8%b6-%d8%a8/" TargetMode="External"/><Relationship Id="rId411" Type="http://schemas.openxmlformats.org/officeDocument/2006/relationships/hyperlink" Target="https://pbs.twimg.com/media/DoALBo4X0AA5OzP.jpg" TargetMode="External"/><Relationship Id="rId453" Type="http://schemas.openxmlformats.org/officeDocument/2006/relationships/hyperlink" Target="https://pbs.twimg.com/media/Dn__WTZXkAAkrsD.jpg" TargetMode="External"/><Relationship Id="rId509" Type="http://schemas.openxmlformats.org/officeDocument/2006/relationships/hyperlink" Target="http://sobhe-no.ir/" TargetMode="External"/><Relationship Id="rId660" Type="http://schemas.openxmlformats.org/officeDocument/2006/relationships/hyperlink" Target="http://pic.twitter.com/ReSFQ60YJP" TargetMode="External"/><Relationship Id="rId106" Type="http://schemas.openxmlformats.org/officeDocument/2006/relationships/hyperlink" Target="http://zabet.ir/" TargetMode="External"/><Relationship Id="rId313" Type="http://schemas.openxmlformats.org/officeDocument/2006/relationships/hyperlink" Target="https://iranazadie.blogspot.fr/" TargetMode="External"/><Relationship Id="rId495" Type="http://schemas.openxmlformats.org/officeDocument/2006/relationships/hyperlink" Target="http://pic.twitter.com/ReSFQ60YJP" TargetMode="External"/><Relationship Id="rId716" Type="http://schemas.openxmlformats.org/officeDocument/2006/relationships/hyperlink" Target="http://pic.twitter.com/9nKGpj8WVi" TargetMode="External"/><Relationship Id="rId10" Type="http://schemas.openxmlformats.org/officeDocument/2006/relationships/hyperlink" Target="http://pooriast.wordpress.com/" TargetMode="External"/><Relationship Id="rId52" Type="http://schemas.openxmlformats.org/officeDocument/2006/relationships/hyperlink" Target="https://pbs.twimg.com/media/DoBBVW7U0AADI7R.jpg" TargetMode="External"/><Relationship Id="rId94" Type="http://schemas.openxmlformats.org/officeDocument/2006/relationships/hyperlink" Target="https://pbs.twimg.com/media/DoBBVW7U0AADI7R.jpg" TargetMode="External"/><Relationship Id="rId148" Type="http://schemas.openxmlformats.org/officeDocument/2006/relationships/hyperlink" Target="https://pbs.twimg.com/media/DoBSBpxVsAAWPmo.jpg" TargetMode="External"/><Relationship Id="rId355" Type="http://schemas.openxmlformats.org/officeDocument/2006/relationships/hyperlink" Target="http://iharf.me/?start=1918751124" TargetMode="External"/><Relationship Id="rId397" Type="http://schemas.openxmlformats.org/officeDocument/2006/relationships/hyperlink" Target="https://pbs.twimg.com/media/DoAM1euWsAI05_V.jpg" TargetMode="External"/><Relationship Id="rId520" Type="http://schemas.openxmlformats.org/officeDocument/2006/relationships/hyperlink" Target="http://markazi.irib.ir/" TargetMode="External"/><Relationship Id="rId562" Type="http://schemas.openxmlformats.org/officeDocument/2006/relationships/hyperlink" Target="https://pbs.twimg.com/media/Dn-v92gUcAAc-AI.jpg" TargetMode="External"/><Relationship Id="rId618" Type="http://schemas.openxmlformats.org/officeDocument/2006/relationships/hyperlink" Target="http://bit.ly/2spGvnO" TargetMode="External"/><Relationship Id="rId215" Type="http://schemas.openxmlformats.org/officeDocument/2006/relationships/hyperlink" Target="https://pbs.twimg.com/media/DoBBVW7U0AADI7R.jpg" TargetMode="External"/><Relationship Id="rId257" Type="http://schemas.openxmlformats.org/officeDocument/2006/relationships/hyperlink" Target="http://soheil.fa/" TargetMode="External"/><Relationship Id="rId422" Type="http://schemas.openxmlformats.org/officeDocument/2006/relationships/hyperlink" Target="http://newspaper.hamshahri.org/" TargetMode="External"/><Relationship Id="rId464" Type="http://schemas.openxmlformats.org/officeDocument/2006/relationships/hyperlink" Target="http://jalilyonline.ir/" TargetMode="External"/><Relationship Id="rId299" Type="http://schemas.openxmlformats.org/officeDocument/2006/relationships/hyperlink" Target="https://pbs.twimg.com/media/DoAnMRHX0AEo-tU.jpg" TargetMode="External"/><Relationship Id="rId727" Type="http://schemas.openxmlformats.org/officeDocument/2006/relationships/hyperlink" Target="https://pbs.twimg.com/media/Dn6t8M-XkAAukKq.jpg" TargetMode="External"/><Relationship Id="rId63" Type="http://schemas.openxmlformats.org/officeDocument/2006/relationships/hyperlink" Target="https://retech.blog.ir/" TargetMode="External"/><Relationship Id="rId159" Type="http://schemas.openxmlformats.org/officeDocument/2006/relationships/hyperlink" Target="http://www.jamejamonline.ir/" TargetMode="External"/><Relationship Id="rId366" Type="http://schemas.openxmlformats.org/officeDocument/2006/relationships/hyperlink" Target="https://pbs.twimg.com/media/DoAVbEsXsAAsj2R.jpg" TargetMode="External"/><Relationship Id="rId573" Type="http://schemas.openxmlformats.org/officeDocument/2006/relationships/hyperlink" Target="https://www.radiozamaneh.com/413513" TargetMode="External"/><Relationship Id="rId226" Type="http://schemas.openxmlformats.org/officeDocument/2006/relationships/hyperlink" Target="https://pbs.twimg.com/media/DoBBVW7U0AADI7R.jpg" TargetMode="External"/><Relationship Id="rId433" Type="http://schemas.openxmlformats.org/officeDocument/2006/relationships/hyperlink" Target="https://pbs.twimg.com/media/DoADns9W0AAb-NM.jpg" TargetMode="External"/><Relationship Id="rId640" Type="http://schemas.openxmlformats.org/officeDocument/2006/relationships/hyperlink" Target="https://t.me/Ramtinjafari" TargetMode="External"/><Relationship Id="rId738" Type="http://schemas.openxmlformats.org/officeDocument/2006/relationships/hyperlink" Target="http://noavardgah.ir/" TargetMode="External"/><Relationship Id="rId74" Type="http://schemas.openxmlformats.org/officeDocument/2006/relationships/hyperlink" Target="https://pbs.twimg.com/media/DoBBVW7U0AADI7R.jpg" TargetMode="External"/><Relationship Id="rId377" Type="http://schemas.openxmlformats.org/officeDocument/2006/relationships/hyperlink" Target="https://pbs.twimg.com/media/DoARLmjW0AAj8By.jpg" TargetMode="External"/><Relationship Id="rId500" Type="http://schemas.openxmlformats.org/officeDocument/2006/relationships/hyperlink" Target="https://pbs.twimg.com/media/Dn_sv6jXkAE3-nT.jpg" TargetMode="External"/><Relationship Id="rId584" Type="http://schemas.openxmlformats.org/officeDocument/2006/relationships/hyperlink" Target="http://pic.twitter.com/da0Rg2pdNN" TargetMode="External"/><Relationship Id="rId5" Type="http://schemas.openxmlformats.org/officeDocument/2006/relationships/hyperlink" Target="http://pic.twitter.com/IGOvbPY3Dw" TargetMode="External"/><Relationship Id="rId237" Type="http://schemas.openxmlformats.org/officeDocument/2006/relationships/hyperlink" Target="https://pbs.twimg.com/media/DoBBVW7U0AADI7R.jpg" TargetMode="External"/><Relationship Id="rId444" Type="http://schemas.openxmlformats.org/officeDocument/2006/relationships/hyperlink" Target="https://pbs.twimg.com/media/Dn96j_sX0AAU1zr.jpg" TargetMode="External"/><Relationship Id="rId651" Type="http://schemas.openxmlformats.org/officeDocument/2006/relationships/hyperlink" Target="http://www.kampain.info/archive/24352.htm" TargetMode="External"/><Relationship Id="rId749" Type="http://schemas.openxmlformats.org/officeDocument/2006/relationships/hyperlink" Target="https://pbs.twimg.com/media/Dn-C75wXgAUpPC2.jpg" TargetMode="External"/><Relationship Id="rId290" Type="http://schemas.openxmlformats.org/officeDocument/2006/relationships/hyperlink" Target="http://pic.twitter.com/ReSFQ60YJP" TargetMode="External"/><Relationship Id="rId304" Type="http://schemas.openxmlformats.org/officeDocument/2006/relationships/hyperlink" Target="https://t.me/simorgh31" TargetMode="External"/><Relationship Id="rId388" Type="http://schemas.openxmlformats.org/officeDocument/2006/relationships/hyperlink" Target="http://pic.twitter.com/ReSFQ60YJP" TargetMode="External"/><Relationship Id="rId511" Type="http://schemas.openxmlformats.org/officeDocument/2006/relationships/hyperlink" Target="https://pbs.twimg.com/media/Dn_XjJXXgAA38Hc.jpg" TargetMode="External"/><Relationship Id="rId609" Type="http://schemas.openxmlformats.org/officeDocument/2006/relationships/hyperlink" Target="http://t.me/atheism1985" TargetMode="External"/><Relationship Id="rId85" Type="http://schemas.openxmlformats.org/officeDocument/2006/relationships/hyperlink" Target="http://pic.twitter.com/ReSFQ60YJP" TargetMode="External"/><Relationship Id="rId150" Type="http://schemas.openxmlformats.org/officeDocument/2006/relationships/hyperlink" Target="http://www.iranintl.com/" TargetMode="External"/><Relationship Id="rId595" Type="http://schemas.openxmlformats.org/officeDocument/2006/relationships/hyperlink" Target="http://www.amirmehdipour.com/" TargetMode="External"/><Relationship Id="rId248" Type="http://schemas.openxmlformats.org/officeDocument/2006/relationships/hyperlink" Target="https://pbs.twimg.com/media/DoA6-8tWkAAqIkA.jpg" TargetMode="External"/><Relationship Id="rId455" Type="http://schemas.openxmlformats.org/officeDocument/2006/relationships/hyperlink" Target="http://www.kevinspacey.com/" TargetMode="External"/><Relationship Id="rId662" Type="http://schemas.openxmlformats.org/officeDocument/2006/relationships/hyperlink" Target="https://pbs.twimg.com/media/Dn-aPESXcAA_Sbh.jpg" TargetMode="External"/><Relationship Id="rId12" Type="http://schemas.openxmlformats.org/officeDocument/2006/relationships/hyperlink" Target="https://pbs.twimg.com/media/DoBBVW7U0AADI7R.jpg" TargetMode="External"/><Relationship Id="rId108" Type="http://schemas.openxmlformats.org/officeDocument/2006/relationships/hyperlink" Target="https://pbs.twimg.com/media/DoBBVW7U0AADI7R.jpg" TargetMode="External"/><Relationship Id="rId315" Type="http://schemas.openxmlformats.org/officeDocument/2006/relationships/hyperlink" Target="https://pbs.twimg.com/media/DoATGqwW0AIf6ax.jpg" TargetMode="External"/><Relationship Id="rId522" Type="http://schemas.openxmlformats.org/officeDocument/2006/relationships/hyperlink" Target="http://pic.twitter.com/sAwUFih04e" TargetMode="External"/><Relationship Id="rId96" Type="http://schemas.openxmlformats.org/officeDocument/2006/relationships/hyperlink" Target="http://pic.twitter.com/IGOvbPY3Dw" TargetMode="External"/><Relationship Id="rId161" Type="http://schemas.openxmlformats.org/officeDocument/2006/relationships/hyperlink" Target="http://pic.twitter.com/wFbZnSaejp" TargetMode="External"/><Relationship Id="rId399" Type="http://schemas.openxmlformats.org/officeDocument/2006/relationships/hyperlink" Target="https://pbs.twimg.com/media/Dn-v92gUcAAc-AI.jpg" TargetMode="External"/><Relationship Id="rId259" Type="http://schemas.openxmlformats.org/officeDocument/2006/relationships/hyperlink" Target="https://telegram.me/HidenChat_bot?start=466925824" TargetMode="External"/><Relationship Id="rId466" Type="http://schemas.openxmlformats.org/officeDocument/2006/relationships/hyperlink" Target="http://pic.twitter.com/ReSFQ60YJP" TargetMode="External"/><Relationship Id="rId673" Type="http://schemas.openxmlformats.org/officeDocument/2006/relationships/hyperlink" Target="http://pic.twitter.com/ReSFQ60YJP" TargetMode="External"/><Relationship Id="rId23" Type="http://schemas.openxmlformats.org/officeDocument/2006/relationships/hyperlink" Target="https://pbs.twimg.com/media/DoBBVW7U0AADI7R.jpg" TargetMode="External"/><Relationship Id="rId119" Type="http://schemas.openxmlformats.org/officeDocument/2006/relationships/hyperlink" Target="http://pic.twitter.com/ReSFQ60YJP" TargetMode="External"/><Relationship Id="rId326" Type="http://schemas.openxmlformats.org/officeDocument/2006/relationships/hyperlink" Target="https://pbs.twimg.com/media/Dn96j_sX0AAU1zr.jpg" TargetMode="External"/><Relationship Id="rId533" Type="http://schemas.openxmlformats.org/officeDocument/2006/relationships/hyperlink" Target="http://t.me/baghe_kaghazi" TargetMode="External"/><Relationship Id="rId740" Type="http://schemas.openxmlformats.org/officeDocument/2006/relationships/hyperlink" Target="https://pbs.twimg.com/media/Dn9d7u_V4AAHaB0.jpg" TargetMode="External"/><Relationship Id="rId172" Type="http://schemas.openxmlformats.org/officeDocument/2006/relationships/hyperlink" Target="http://t.me/hicch" TargetMode="External"/><Relationship Id="rId477" Type="http://schemas.openxmlformats.org/officeDocument/2006/relationships/hyperlink" Target="http://pic.twitter.com/08Wiq2eIO2" TargetMode="External"/><Relationship Id="rId600" Type="http://schemas.openxmlformats.org/officeDocument/2006/relationships/hyperlink" Target="https://pbs.twimg.com/media/Dn-v92gUcAAc-AI.jpg" TargetMode="External"/><Relationship Id="rId684" Type="http://schemas.openxmlformats.org/officeDocument/2006/relationships/hyperlink" Target="http://pic.twitter.com/ReSFQ60YJP" TargetMode="External"/><Relationship Id="rId337" Type="http://schemas.openxmlformats.org/officeDocument/2006/relationships/hyperlink" Target="https://pbs.twimg.com/media/Dn96j_sX0AAU1zr.jpg" TargetMode="External"/><Relationship Id="rId34" Type="http://schemas.openxmlformats.org/officeDocument/2006/relationships/hyperlink" Target="http://khamenei.ir/" TargetMode="External"/><Relationship Id="rId544" Type="http://schemas.openxmlformats.org/officeDocument/2006/relationships/hyperlink" Target="https://pbs.twimg.com/media/Dn9lGJ6XgAAoKuv.jpg" TargetMode="External"/><Relationship Id="rId183" Type="http://schemas.openxmlformats.org/officeDocument/2006/relationships/hyperlink" Target="https://pbs.twimg.com/media/DoA4eFAV4AAjZeh.jpg" TargetMode="External"/><Relationship Id="rId390" Type="http://schemas.openxmlformats.org/officeDocument/2006/relationships/hyperlink" Target="http://t.me/pooyanmoghaddassi" TargetMode="External"/><Relationship Id="rId404" Type="http://schemas.openxmlformats.org/officeDocument/2006/relationships/hyperlink" Target="http://www.mohammadalisaleh.com/" TargetMode="External"/><Relationship Id="rId611" Type="http://schemas.openxmlformats.org/officeDocument/2006/relationships/hyperlink" Target="https://pbs.twimg.com/media/Dn-v92gUcAAc-AI.jpg" TargetMode="External"/><Relationship Id="rId250" Type="http://schemas.openxmlformats.org/officeDocument/2006/relationships/hyperlink" Target="https://pbs.twimg.com/media/Dn-v92gUcAAc-AI.jpg" TargetMode="External"/><Relationship Id="rId488" Type="http://schemas.openxmlformats.org/officeDocument/2006/relationships/hyperlink" Target="http://instagram.com/alizohrabi" TargetMode="External"/><Relationship Id="rId695" Type="http://schemas.openxmlformats.org/officeDocument/2006/relationships/hyperlink" Target="https://pbs.twimg.com/media/Dn94r5MWsAApUZ-.jpg" TargetMode="External"/><Relationship Id="rId709" Type="http://schemas.openxmlformats.org/officeDocument/2006/relationships/hyperlink" Target="https://pbs.twimg.com/media/Dn99fxsXsAAunhU.jpg" TargetMode="External"/><Relationship Id="rId45" Type="http://schemas.openxmlformats.org/officeDocument/2006/relationships/hyperlink" Target="https://pbs.twimg.com/media/DoBBVW7U0AADI7R.jpg" TargetMode="External"/><Relationship Id="rId110" Type="http://schemas.openxmlformats.org/officeDocument/2006/relationships/hyperlink" Target="http://pic.twitter.com/IGOvbPY3Dw" TargetMode="External"/><Relationship Id="rId348" Type="http://schemas.openxmlformats.org/officeDocument/2006/relationships/hyperlink" Target="https://www.youtube.com/watch?v=Jm_Qzly2iqo" TargetMode="External"/><Relationship Id="rId555" Type="http://schemas.openxmlformats.org/officeDocument/2006/relationships/hyperlink" Target="http://pic.twitter.com/YusTfbuwkM" TargetMode="External"/><Relationship Id="rId194" Type="http://schemas.openxmlformats.org/officeDocument/2006/relationships/hyperlink" Target="http://pic.twitter.com/IGOvbPY3Dw" TargetMode="External"/><Relationship Id="rId208" Type="http://schemas.openxmlformats.org/officeDocument/2006/relationships/hyperlink" Target="https://pbs.twimg.com/media/Dn-v92gUcAAc-AI.jpg" TargetMode="External"/><Relationship Id="rId415" Type="http://schemas.openxmlformats.org/officeDocument/2006/relationships/hyperlink" Target="https://www.iranntv.com/2018/09/24/%da%a9%d8%a7%d8%b1%d8%b2%d8%a7%d8%b1-%d8%a7%d8%b4%d8%b1%d9%81-%d9%86%d8%b4%d8%a7%d9%86%d8%a7%d9%86-%d8%af%d8%b1-%d9%86%db%8c%d9%88%db%8c%d9%88%d8%b1%da%a9-%d8%a7%d8%b9%d8%aa%d8%b1%d8%a7%d8%b6-%d8%a8/" TargetMode="External"/><Relationship Id="rId622" Type="http://schemas.openxmlformats.org/officeDocument/2006/relationships/hyperlink" Target="http://pic.twitter.com/ReSFQ60YJP" TargetMode="External"/><Relationship Id="rId261" Type="http://schemas.openxmlformats.org/officeDocument/2006/relationships/hyperlink" Target="https://pbs.twimg.com/media/DoA3g5AXoAEy44v.jpg" TargetMode="External"/><Relationship Id="rId499" Type="http://schemas.openxmlformats.org/officeDocument/2006/relationships/hyperlink" Target="https://buff.ly/2QZysus" TargetMode="External"/><Relationship Id="rId56" Type="http://schemas.openxmlformats.org/officeDocument/2006/relationships/hyperlink" Target="https://pbs.twimg.com/media/DoBBVW7U0AADI7R.jpg" TargetMode="External"/><Relationship Id="rId359" Type="http://schemas.openxmlformats.org/officeDocument/2006/relationships/hyperlink" Target="http://pic.twitter.com/ReSFQ60YJP" TargetMode="External"/><Relationship Id="rId566" Type="http://schemas.openxmlformats.org/officeDocument/2006/relationships/hyperlink" Target="http://pic.twitter.com/HxIXCBDIlc" TargetMode="External"/><Relationship Id="rId121" Type="http://schemas.openxmlformats.org/officeDocument/2006/relationships/hyperlink" Target="http://pic.twitter.com/sAwUFih04e" TargetMode="External"/><Relationship Id="rId219" Type="http://schemas.openxmlformats.org/officeDocument/2006/relationships/hyperlink" Target="https://pbs.twimg.com/media/DoBBVW7U0AADI7R.jpg" TargetMode="External"/><Relationship Id="rId426" Type="http://schemas.openxmlformats.org/officeDocument/2006/relationships/hyperlink" Target="https://gitlab.com/danialbehzadi/mirspreader" TargetMode="External"/><Relationship Id="rId633" Type="http://schemas.openxmlformats.org/officeDocument/2006/relationships/hyperlink" Target="http://masaf.ir/" TargetMode="External"/><Relationship Id="rId67" Type="http://schemas.openxmlformats.org/officeDocument/2006/relationships/hyperlink" Target="https://pbs.twimg.com/media/DoBNrntXoAEa2ap.jpg" TargetMode="External"/><Relationship Id="rId272" Type="http://schemas.openxmlformats.org/officeDocument/2006/relationships/hyperlink" Target="http://jjo.ir/anahhjxi" TargetMode="External"/><Relationship Id="rId577" Type="http://schemas.openxmlformats.org/officeDocument/2006/relationships/hyperlink" Target="https://pbs.twimg.com/media/Dn9lGJ6XgAAoKuv.jpg" TargetMode="External"/><Relationship Id="rId700" Type="http://schemas.openxmlformats.org/officeDocument/2006/relationships/hyperlink" Target="http://pic.twitter.com/BoH37cBDuQ" TargetMode="External"/><Relationship Id="rId132" Type="http://schemas.openxmlformats.org/officeDocument/2006/relationships/hyperlink" Target="http://pic.twitter.com/yQEZNd978f" TargetMode="External"/><Relationship Id="rId437" Type="http://schemas.openxmlformats.org/officeDocument/2006/relationships/hyperlink" Target="http://pic.twitter.com/R1vUNfAnWp" TargetMode="External"/><Relationship Id="rId644" Type="http://schemas.openxmlformats.org/officeDocument/2006/relationships/hyperlink" Target="http://pic.twitter.com/sAwUFih04e" TargetMode="External"/><Relationship Id="rId283" Type="http://schemas.openxmlformats.org/officeDocument/2006/relationships/hyperlink" Target="http://tehrannews.ir/" TargetMode="External"/><Relationship Id="rId490" Type="http://schemas.openxmlformats.org/officeDocument/2006/relationships/hyperlink" Target="http://pic.twitter.com/ReSFQ60YJP" TargetMode="External"/><Relationship Id="rId504" Type="http://schemas.openxmlformats.org/officeDocument/2006/relationships/hyperlink" Target="http://www.sadeghimoghadam.ir/" TargetMode="External"/><Relationship Id="rId711" Type="http://schemas.openxmlformats.org/officeDocument/2006/relationships/hyperlink" Target="http://pic.twitter.com/08Wiq2eIO2" TargetMode="External"/><Relationship Id="rId78" Type="http://schemas.openxmlformats.org/officeDocument/2006/relationships/hyperlink" Target="http://tlg.me/alireza_pir" TargetMode="External"/><Relationship Id="rId143" Type="http://schemas.openxmlformats.org/officeDocument/2006/relationships/hyperlink" Target="http://fal.cn/V7Qo" TargetMode="External"/><Relationship Id="rId350" Type="http://schemas.openxmlformats.org/officeDocument/2006/relationships/hyperlink" Target="https://pbs.twimg.com/media/DoAZhUVXkAI-THv.jpg" TargetMode="External"/><Relationship Id="rId588" Type="http://schemas.openxmlformats.org/officeDocument/2006/relationships/hyperlink" Target="http://pic.twitter.com/9nx9kZay4o" TargetMode="External"/><Relationship Id="rId9" Type="http://schemas.openxmlformats.org/officeDocument/2006/relationships/hyperlink" Target="http://pic.twitter.com/IGOvbPY3Dw" TargetMode="External"/><Relationship Id="rId210" Type="http://schemas.openxmlformats.org/officeDocument/2006/relationships/hyperlink" Target="http://shirinnariman.blogspot.com/" TargetMode="External"/><Relationship Id="rId448" Type="http://schemas.openxmlformats.org/officeDocument/2006/relationships/hyperlink" Target="http://iran-newspaper.com/" TargetMode="External"/><Relationship Id="rId655" Type="http://schemas.openxmlformats.org/officeDocument/2006/relationships/hyperlink" Target="http://pic.twitter.com/rcTkZAdxGW" TargetMode="External"/><Relationship Id="rId294" Type="http://schemas.openxmlformats.org/officeDocument/2006/relationships/hyperlink" Target="https://pbs.twimg.com/media/Dn8FwjHUcAApqG8.jpg" TargetMode="External"/><Relationship Id="rId308" Type="http://schemas.openxmlformats.org/officeDocument/2006/relationships/hyperlink" Target="https://t.me/joinchat/D0YoNT0zfmY4PWVe1cxmbg" TargetMode="External"/><Relationship Id="rId515" Type="http://schemas.openxmlformats.org/officeDocument/2006/relationships/hyperlink" Target="http://www.tabyincenter.ir/" TargetMode="External"/><Relationship Id="rId722" Type="http://schemas.openxmlformats.org/officeDocument/2006/relationships/hyperlink" Target="https://twitter.com/Hannahkaviani/status/1044622696569589761" TargetMode="External"/><Relationship Id="rId89" Type="http://schemas.openxmlformats.org/officeDocument/2006/relationships/hyperlink" Target="http://pic.twitter.com/sAwUFih04e" TargetMode="External"/><Relationship Id="rId154" Type="http://schemas.openxmlformats.org/officeDocument/2006/relationships/hyperlink" Target="https://pbs.twimg.com/media/DoBBVW7U0AADI7R.jpg" TargetMode="External"/><Relationship Id="rId361" Type="http://schemas.openxmlformats.org/officeDocument/2006/relationships/hyperlink" Target="https://pbs.twimg.com/media/Dn96j_sX0AAU1zr.jpg" TargetMode="External"/><Relationship Id="rId599" Type="http://schemas.openxmlformats.org/officeDocument/2006/relationships/hyperlink" Target="https://pbs.twimg.com/media/DnuoOzLXsAEiOOY.jpg" TargetMode="External"/><Relationship Id="rId459" Type="http://schemas.openxmlformats.org/officeDocument/2006/relationships/hyperlink" Target="https://pbs.twimg.com/media/Dn_2AW1XgAEcwXW.jpg" TargetMode="External"/><Relationship Id="rId666" Type="http://schemas.openxmlformats.org/officeDocument/2006/relationships/hyperlink" Target="http://www.kampain.info/archive/24352.htm" TargetMode="External"/><Relationship Id="rId16" Type="http://schemas.openxmlformats.org/officeDocument/2006/relationships/hyperlink" Target="https://pbs.twimg.com/media/DoBBVW7U0AADI7R.jpg" TargetMode="External"/><Relationship Id="rId221" Type="http://schemas.openxmlformats.org/officeDocument/2006/relationships/hyperlink" Target="https://pbs.twimg.com/media/DoBBVW7U0AADI7R.jpg" TargetMode="External"/><Relationship Id="rId319" Type="http://schemas.openxmlformats.org/officeDocument/2006/relationships/hyperlink" Target="https://t.me/ALIJAZAYERI82" TargetMode="External"/><Relationship Id="rId526" Type="http://schemas.openxmlformats.org/officeDocument/2006/relationships/hyperlink" Target="http://pic.twitter.com/0JBhw3l2XI" TargetMode="External"/><Relationship Id="rId733" Type="http://schemas.openxmlformats.org/officeDocument/2006/relationships/hyperlink" Target="http://www.instagram.com/mahmoodakbarikia" TargetMode="External"/><Relationship Id="rId165" Type="http://schemas.openxmlformats.org/officeDocument/2006/relationships/hyperlink" Target="http://instagram.com/mahdihadavandkhani" TargetMode="External"/><Relationship Id="rId372" Type="http://schemas.openxmlformats.org/officeDocument/2006/relationships/hyperlink" Target="http://entekhab.ir/" TargetMode="External"/><Relationship Id="rId677" Type="http://schemas.openxmlformats.org/officeDocument/2006/relationships/hyperlink" Target="https://www.instagram.com/munzzz/" TargetMode="External"/><Relationship Id="rId232" Type="http://schemas.openxmlformats.org/officeDocument/2006/relationships/hyperlink" Target="http://pic.twitter.com/wFbZnSaejp" TargetMode="External"/><Relationship Id="rId27" Type="http://schemas.openxmlformats.org/officeDocument/2006/relationships/hyperlink" Target="https://pbs.twimg.com/media/DoBBVW7U0AADI7R.jpg" TargetMode="External"/><Relationship Id="rId537" Type="http://schemas.openxmlformats.org/officeDocument/2006/relationships/hyperlink" Target="https://pbs.twimg.com/media/Dn_XiC9X0AAcg6Q.jpg" TargetMode="External"/><Relationship Id="rId744" Type="http://schemas.openxmlformats.org/officeDocument/2006/relationships/hyperlink" Target="https://pbs.twimg.com/media/Dn965Q9XgAA-u_J.jpg" TargetMode="External"/><Relationship Id="rId80" Type="http://schemas.openxmlformats.org/officeDocument/2006/relationships/hyperlink" Target="https://pbs.twimg.com/media/DoBBVW7U0AADI7R.jpg" TargetMode="External"/><Relationship Id="rId176" Type="http://schemas.openxmlformats.org/officeDocument/2006/relationships/hyperlink" Target="https://pbs.twimg.com/media/DoBBVW7U0AADI7R.jpg" TargetMode="External"/><Relationship Id="rId383" Type="http://schemas.openxmlformats.org/officeDocument/2006/relationships/hyperlink" Target="http://pic.twitter.com/R1vUNfAnWp" TargetMode="External"/><Relationship Id="rId590" Type="http://schemas.openxmlformats.org/officeDocument/2006/relationships/hyperlink" Target="https://telegram.me/harfbzanbot?start=VLVXKlM" TargetMode="External"/><Relationship Id="rId604" Type="http://schemas.openxmlformats.org/officeDocument/2006/relationships/hyperlink" Target="http://pic.twitter.com/ReSFQ60YJP" TargetMode="External"/><Relationship Id="rId243" Type="http://schemas.openxmlformats.org/officeDocument/2006/relationships/hyperlink" Target="https://pbs.twimg.com/media/DoBBVW7U0AADI7R.jpg" TargetMode="External"/><Relationship Id="rId450" Type="http://schemas.openxmlformats.org/officeDocument/2006/relationships/hyperlink" Target="https://pbs.twimg.com/media/Dn_952iXgAAv4hs.jpg" TargetMode="External"/><Relationship Id="rId688" Type="http://schemas.openxmlformats.org/officeDocument/2006/relationships/hyperlink" Target="https://pbs.twimg.com/media/Dn9182ZXkAAXWAs.jpg" TargetMode="External"/><Relationship Id="rId38" Type="http://schemas.openxmlformats.org/officeDocument/2006/relationships/hyperlink" Target="http://www.sadeghimoghadam.ir/" TargetMode="External"/><Relationship Id="rId103" Type="http://schemas.openxmlformats.org/officeDocument/2006/relationships/hyperlink" Target="https://pbs.twimg.com/media/DoBBVW7U0AADI7R.jpg" TargetMode="External"/><Relationship Id="rId310" Type="http://schemas.openxmlformats.org/officeDocument/2006/relationships/hyperlink" Target="http://t.me/pooyanmoghaddassi" TargetMode="External"/><Relationship Id="rId548" Type="http://schemas.openxmlformats.org/officeDocument/2006/relationships/hyperlink" Target="https://gitlab.com/danialbehzadi/mirspreader" TargetMode="External"/><Relationship Id="rId91" Type="http://schemas.openxmlformats.org/officeDocument/2006/relationships/hyperlink" Target="https://pbs.twimg.com/media/DoBBVW7U0AADI7R.jpg" TargetMode="External"/><Relationship Id="rId187" Type="http://schemas.openxmlformats.org/officeDocument/2006/relationships/hyperlink" Target="https://pbs.twimg.com/media/DoBBVW7U0AADI7R.jpg" TargetMode="External"/><Relationship Id="rId394" Type="http://schemas.openxmlformats.org/officeDocument/2006/relationships/hyperlink" Target="http://zahrakeshvari.blogfa.com/" TargetMode="External"/><Relationship Id="rId408" Type="http://schemas.openxmlformats.org/officeDocument/2006/relationships/hyperlink" Target="http://www.sadeghimoghadam.ir/" TargetMode="External"/><Relationship Id="rId615" Type="http://schemas.openxmlformats.org/officeDocument/2006/relationships/hyperlink" Target="https://pbs.twimg.com/media/Dn94r5MWsAApUZ-.jpg" TargetMode="External"/><Relationship Id="rId254" Type="http://schemas.openxmlformats.org/officeDocument/2006/relationships/hyperlink" Target="https://pbs.twimg.com/media/Dn-v92gUcAAc-AI.jpg" TargetMode="External"/><Relationship Id="rId699" Type="http://schemas.openxmlformats.org/officeDocument/2006/relationships/hyperlink" Target="https://www.iranntv.com/2018/09/24/%da%a9%d8%a7%d8%b1%d8%b2%d8%a7%d8%b1-%d8%a7%d8%b4%d8%b1%d9%81-%d9%86%d8%b4%d8%a7%d9%86%d8%a7%d9%86-%d8%af%d8%b1-%d9%86%db%8c%d9%88%db%8c%d9%88%d8%b1%da%a9-%d8%a7%d8%b9%d8%aa%d8%b1%d8%a7%d8%b6-%d8%a8/" TargetMode="External"/><Relationship Id="rId49" Type="http://schemas.openxmlformats.org/officeDocument/2006/relationships/hyperlink" Target="https://telegram.me/harfbemanbot?start=MjEzMjQxNjQ4" TargetMode="External"/><Relationship Id="rId114" Type="http://schemas.openxmlformats.org/officeDocument/2006/relationships/hyperlink" Target="https://pbs.twimg.com/media/DoBBVW7U0AADI7R.jpg" TargetMode="External"/><Relationship Id="rId461" Type="http://schemas.openxmlformats.org/officeDocument/2006/relationships/hyperlink" Target="http://pic.twitter.com/0JBhw3l2XI" TargetMode="External"/><Relationship Id="rId559" Type="http://schemas.openxmlformats.org/officeDocument/2006/relationships/hyperlink" Target="https://pbs.twimg.com/media/Dn-v92gUcAAc-AI.jpg" TargetMode="External"/><Relationship Id="rId198" Type="http://schemas.openxmlformats.org/officeDocument/2006/relationships/hyperlink" Target="https://pbs.twimg.com/media/DoBBVW7U0AADI7R.jpg" TargetMode="External"/><Relationship Id="rId321" Type="http://schemas.openxmlformats.org/officeDocument/2006/relationships/hyperlink" Target="https://pbs.twimg.com/media/DoAgWyeWkAEd2ly.jpg" TargetMode="External"/><Relationship Id="rId419" Type="http://schemas.openxmlformats.org/officeDocument/2006/relationships/hyperlink" Target="http://www.a-rezaei.com/" TargetMode="External"/><Relationship Id="rId626" Type="http://schemas.openxmlformats.org/officeDocument/2006/relationships/hyperlink" Target="https://pbs.twimg.com/media/Dn-v92gUcAAc-AI.jpg" TargetMode="External"/><Relationship Id="rId265" Type="http://schemas.openxmlformats.org/officeDocument/2006/relationships/hyperlink" Target="http://www.jamejamonline.ir/" TargetMode="External"/><Relationship Id="rId472" Type="http://schemas.openxmlformats.org/officeDocument/2006/relationships/hyperlink" Target="http://pic.twitter.com/ReSFQ60YJP" TargetMode="External"/><Relationship Id="rId125" Type="http://schemas.openxmlformats.org/officeDocument/2006/relationships/hyperlink" Target="http://pic.twitter.com/IGOvbPY3Dw" TargetMode="External"/><Relationship Id="rId332" Type="http://schemas.openxmlformats.org/officeDocument/2006/relationships/hyperlink" Target="http://sooroosh.me/" TargetMode="External"/><Relationship Id="rId637" Type="http://schemas.openxmlformats.org/officeDocument/2006/relationships/hyperlink" Target="https://pbs.twimg.com/media/Dn94r5MWsAApUZ-.jpg" TargetMode="External"/><Relationship Id="rId276" Type="http://schemas.openxmlformats.org/officeDocument/2006/relationships/hyperlink" Target="https://t.me/maniranam01" TargetMode="External"/><Relationship Id="rId483" Type="http://schemas.openxmlformats.org/officeDocument/2006/relationships/hyperlink" Target="http://instagram.com/aliaalei" TargetMode="External"/><Relationship Id="rId690" Type="http://schemas.openxmlformats.org/officeDocument/2006/relationships/hyperlink" Target="https://pbs.twimg.com/media/Dn-RxgPXoAEZwaA.jpg" TargetMode="External"/><Relationship Id="rId704" Type="http://schemas.openxmlformats.org/officeDocument/2006/relationships/hyperlink" Target="http://forsan.news/" TargetMode="External"/><Relationship Id="rId40" Type="http://schemas.openxmlformats.org/officeDocument/2006/relationships/hyperlink" Target="https://pbs.twimg.com/media/DoBBVW7U0AADI7R.jpg" TargetMode="External"/><Relationship Id="rId136" Type="http://schemas.openxmlformats.org/officeDocument/2006/relationships/hyperlink" Target="https://pbs.twimg.com/media/DoBBVW7U0AADI7R.jpg" TargetMode="External"/><Relationship Id="rId343" Type="http://schemas.openxmlformats.org/officeDocument/2006/relationships/hyperlink" Target="https://www.instagram.com/mohsen_ghorbaniii" TargetMode="External"/><Relationship Id="rId550" Type="http://schemas.openxmlformats.org/officeDocument/2006/relationships/hyperlink" Target="https://pbs.twimg.com/media/Dn9d7u_V4AAHaB0.jpg" TargetMode="External"/><Relationship Id="rId203" Type="http://schemas.openxmlformats.org/officeDocument/2006/relationships/hyperlink" Target="https://pbs.twimg.com/media/DoBBVW7U0AADI7R.jpg" TargetMode="External"/><Relationship Id="rId648" Type="http://schemas.openxmlformats.org/officeDocument/2006/relationships/hyperlink" Target="http://pic.twitter.com/5VdLRDLUdQ" TargetMode="External"/><Relationship Id="rId287" Type="http://schemas.openxmlformats.org/officeDocument/2006/relationships/hyperlink" Target="https://pbs.twimg.com/media/Dn-v92gUcAAc-AI.jpg" TargetMode="External"/><Relationship Id="rId410" Type="http://schemas.openxmlformats.org/officeDocument/2006/relationships/hyperlink" Target="http://pic.twitter.com/R1vUNfAnWp" TargetMode="External"/><Relationship Id="rId494" Type="http://schemas.openxmlformats.org/officeDocument/2006/relationships/hyperlink" Target="https://twitter.com/UANI/status/1044691663401226241" TargetMode="External"/><Relationship Id="rId508" Type="http://schemas.openxmlformats.org/officeDocument/2006/relationships/hyperlink" Target="https://pbs.twimg.com/media/Dn_oD-oX0AA61da.jpg" TargetMode="External"/><Relationship Id="rId715" Type="http://schemas.openxmlformats.org/officeDocument/2006/relationships/hyperlink" Target="https://www.sazinco.ir/" TargetMode="External"/><Relationship Id="rId147" Type="http://schemas.openxmlformats.org/officeDocument/2006/relationships/hyperlink" Target="http://tn.ai/1837992" TargetMode="External"/><Relationship Id="rId354" Type="http://schemas.openxmlformats.org/officeDocument/2006/relationships/hyperlink" Target="http://www.etehadonline.com/" TargetMode="External"/><Relationship Id="rId51" Type="http://schemas.openxmlformats.org/officeDocument/2006/relationships/hyperlink" Target="http://pic.twitter.com/IGOvbPY3Dw" TargetMode="External"/><Relationship Id="rId561" Type="http://schemas.openxmlformats.org/officeDocument/2006/relationships/hyperlink" Target="https://pbs.twimg.com/media/Dn-v92gUcAAc-AI.jpg" TargetMode="External"/><Relationship Id="rId659" Type="http://schemas.openxmlformats.org/officeDocument/2006/relationships/hyperlink" Target="http://pic.twitter.com/ReSFQ60YJP" TargetMode="External"/><Relationship Id="rId214" Type="http://schemas.openxmlformats.org/officeDocument/2006/relationships/hyperlink" Target="http://mcaf.ee/o8ulm0?SBarshandeh" TargetMode="External"/><Relationship Id="rId298" Type="http://schemas.openxmlformats.org/officeDocument/2006/relationships/hyperlink" Target="http://iransepid.ir/" TargetMode="External"/><Relationship Id="rId421" Type="http://schemas.openxmlformats.org/officeDocument/2006/relationships/hyperlink" Target="http://goo.gl/2bhpyg" TargetMode="External"/><Relationship Id="rId519" Type="http://schemas.openxmlformats.org/officeDocument/2006/relationships/hyperlink" Target="http://mohammad.gh/" TargetMode="External"/><Relationship Id="rId158" Type="http://schemas.openxmlformats.org/officeDocument/2006/relationships/hyperlink" Target="https://pbs.twimg.com/media/DoBRr2rXcAEcc_l.jpg" TargetMode="External"/><Relationship Id="rId726" Type="http://schemas.openxmlformats.org/officeDocument/2006/relationships/hyperlink" Target="http://www.gozaar.net/a/5179" TargetMode="External"/><Relationship Id="rId62" Type="http://schemas.openxmlformats.org/officeDocument/2006/relationships/hyperlink" Target="http://pic.twitter.com/sAwUFih04e" TargetMode="External"/><Relationship Id="rId365" Type="http://schemas.openxmlformats.org/officeDocument/2006/relationships/hyperlink" Target="http://hoveat.blogfa.com/" TargetMode="External"/><Relationship Id="rId572" Type="http://schemas.openxmlformats.org/officeDocument/2006/relationships/hyperlink" Target="https://pbs.twimg.com/media/Dn9VX22XUAIHy0M.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522"/>
  <sheetViews>
    <sheetView tabSelected="1" workbookViewId="0">
      <pane ySplit="1" topLeftCell="A2" activePane="bottomLeft" state="frozen"/>
      <selection pane="bottomLeft" activeCell="D4" sqref="D4"/>
    </sheetView>
  </sheetViews>
  <sheetFormatPr defaultColWidth="14.453125" defaultRowHeight="15.75" customHeight="1"/>
  <cols>
    <col min="1" max="1" width="15.26953125" style="1" customWidth="1"/>
    <col min="2" max="2" width="14.453125" style="1"/>
    <col min="3" max="3" width="16.26953125" style="1" customWidth="1"/>
    <col min="4" max="4" width="41.54296875" style="1" customWidth="1"/>
    <col min="5" max="5" width="17.7265625" style="1" customWidth="1"/>
    <col min="6" max="9" width="16.08984375" style="1" customWidth="1"/>
    <col min="10" max="14" width="11.08984375" style="1" customWidth="1"/>
    <col min="15" max="15" width="14.453125" style="1"/>
    <col min="16" max="16" width="34.26953125" style="1" customWidth="1"/>
    <col min="17" max="17" width="19.7265625" style="1" customWidth="1"/>
    <col min="18" max="19" width="12" style="1" customWidth="1"/>
    <col min="20" max="16384" width="14.453125" style="1"/>
  </cols>
  <sheetData>
    <row r="1" spans="1:19" ht="29.25" customHeight="1">
      <c r="A1" s="15" t="s">
        <v>3278</v>
      </c>
      <c r="B1" s="13" t="s">
        <v>3277</v>
      </c>
      <c r="C1" s="13" t="s">
        <v>3276</v>
      </c>
      <c r="D1" s="14" t="s">
        <v>3275</v>
      </c>
      <c r="E1" s="13" t="s">
        <v>3274</v>
      </c>
      <c r="F1" s="13" t="s">
        <v>3273</v>
      </c>
      <c r="G1" s="13" t="s">
        <v>3272</v>
      </c>
      <c r="H1" s="13" t="s">
        <v>1452</v>
      </c>
      <c r="I1" s="13" t="s">
        <v>3271</v>
      </c>
      <c r="J1" s="13" t="s">
        <v>3270</v>
      </c>
      <c r="K1" s="13" t="s">
        <v>3269</v>
      </c>
      <c r="L1" s="13" t="s">
        <v>3268</v>
      </c>
      <c r="M1" s="13" t="s">
        <v>3267</v>
      </c>
      <c r="N1" s="13" t="s">
        <v>3266</v>
      </c>
      <c r="O1" s="13" t="s">
        <v>1452</v>
      </c>
      <c r="P1" s="14" t="s">
        <v>3265</v>
      </c>
      <c r="Q1" s="13" t="s">
        <v>3264</v>
      </c>
      <c r="R1" s="13" t="s">
        <v>3263</v>
      </c>
      <c r="S1" s="13" t="s">
        <v>3262</v>
      </c>
    </row>
    <row r="2" spans="1:19" ht="40">
      <c r="A2" s="8">
        <v>43369.762731481482</v>
      </c>
      <c r="B2" s="11" t="str">
        <f>HYPERLINK("https://twitter.com/Shabnam727","@Shabnam727")</f>
        <v>@Shabnam727</v>
      </c>
      <c r="C2" s="6" t="s">
        <v>3261</v>
      </c>
      <c r="D2" s="5" t="s">
        <v>2846</v>
      </c>
      <c r="E2" s="9" t="str">
        <f>HYPERLINK("https://twitter.com/Shabnam727/status/1044961877984309248","1044961877984309248")</f>
        <v>1044961877984309248</v>
      </c>
      <c r="F2" s="4"/>
      <c r="G2" s="4"/>
      <c r="H2" s="4"/>
      <c r="I2" s="10" t="str">
        <f>HYPERLINK("http://twitter.com/download/iphone","Twitter for iPhone")</f>
        <v>Twitter for iPhone</v>
      </c>
      <c r="J2" s="2">
        <v>194</v>
      </c>
      <c r="K2" s="2">
        <v>207</v>
      </c>
      <c r="L2" s="2">
        <v>0</v>
      </c>
      <c r="M2" s="2"/>
      <c r="N2" s="8">
        <v>42760.017881944441</v>
      </c>
      <c r="O2" s="4"/>
      <c r="P2" s="3" t="s">
        <v>3260</v>
      </c>
      <c r="Q2" s="4"/>
      <c r="R2" s="4"/>
      <c r="S2" s="9" t="str">
        <f>HYPERLINK("https://pbs.twimg.com/profile_images/993737321542443008/EMj0k0_j.jpg","View")</f>
        <v>View</v>
      </c>
    </row>
    <row r="3" spans="1:19" ht="30">
      <c r="A3" s="8">
        <v>43369.76262731482</v>
      </c>
      <c r="B3" s="11" t="str">
        <f>HYPERLINK("https://twitter.com/irani_azad_abad","@irani_azad_abad")</f>
        <v>@irani_azad_abad</v>
      </c>
      <c r="C3" s="6" t="s">
        <v>3259</v>
      </c>
      <c r="D3" s="5" t="s">
        <v>2559</v>
      </c>
      <c r="E3" s="9" t="str">
        <f>HYPERLINK("https://twitter.com/irani_azad_abad/status/1044961839908614145","1044961839908614145")</f>
        <v>1044961839908614145</v>
      </c>
      <c r="F3" s="4"/>
      <c r="G3" s="10" t="s">
        <v>2558</v>
      </c>
      <c r="H3" s="4"/>
      <c r="I3" s="10" t="str">
        <f>HYPERLINK("http://twitter.com/download/android","Twitter for Android")</f>
        <v>Twitter for Android</v>
      </c>
      <c r="J3" s="2">
        <v>2348</v>
      </c>
      <c r="K3" s="2">
        <v>1959</v>
      </c>
      <c r="L3" s="2">
        <v>2</v>
      </c>
      <c r="M3" s="2"/>
      <c r="N3" s="8">
        <v>42971.466481481482</v>
      </c>
      <c r="O3" s="4"/>
      <c r="P3" s="3" t="s">
        <v>3258</v>
      </c>
      <c r="Q3" s="4"/>
      <c r="R3" s="4"/>
      <c r="S3" s="9" t="str">
        <f>HYPERLINK("https://pbs.twimg.com/profile_images/1027094699826397184/-PYZxV19.jpg","View")</f>
        <v>View</v>
      </c>
    </row>
    <row r="4" spans="1:19" ht="40">
      <c r="A4" s="8">
        <v>43369.762592592597</v>
      </c>
      <c r="B4" s="11" t="str">
        <f>HYPERLINK("https://twitter.com/IranTehran313","@IranTehran313")</f>
        <v>@IranTehran313</v>
      </c>
      <c r="C4" s="6">
        <v>13</v>
      </c>
      <c r="D4" s="5" t="s">
        <v>3257</v>
      </c>
      <c r="E4" s="9" t="str">
        <f>HYPERLINK("https://twitter.com/IranTehran313/status/1044961826507710464","1044961826507710464")</f>
        <v>1044961826507710464</v>
      </c>
      <c r="F4" s="4"/>
      <c r="G4" s="4"/>
      <c r="H4" s="4"/>
      <c r="I4" s="10" t="str">
        <f>HYPERLINK("http://twitter.com/download/iphone","Twitter for iPhone")</f>
        <v>Twitter for iPhone</v>
      </c>
      <c r="J4" s="2">
        <v>4</v>
      </c>
      <c r="K4" s="2">
        <v>0</v>
      </c>
      <c r="L4" s="2">
        <v>0</v>
      </c>
      <c r="M4" s="2"/>
      <c r="N4" s="8">
        <v>41757.120173611111</v>
      </c>
      <c r="O4" s="4"/>
      <c r="P4" s="3"/>
      <c r="Q4" s="4"/>
      <c r="R4" s="4"/>
      <c r="S4" s="9" t="str">
        <f>HYPERLINK("https://pbs.twimg.com/profile_images/461247865600221184/SdwNsg8d.jpeg","View")</f>
        <v>View</v>
      </c>
    </row>
    <row r="5" spans="1:19" ht="40">
      <c r="A5" s="8">
        <v>43369.762303240743</v>
      </c>
      <c r="B5" s="11" t="str">
        <f>HYPERLINK("https://twitter.com/Saman_gh6","@Saman_gh6")</f>
        <v>@Saman_gh6</v>
      </c>
      <c r="C5" s="6" t="s">
        <v>3256</v>
      </c>
      <c r="D5" s="5" t="s">
        <v>2846</v>
      </c>
      <c r="E5" s="9" t="str">
        <f>HYPERLINK("https://twitter.com/Saman_gh6/status/1044961723122405376","1044961723122405376")</f>
        <v>1044961723122405376</v>
      </c>
      <c r="F5" s="4"/>
      <c r="G5" s="4"/>
      <c r="H5" s="4"/>
      <c r="I5" s="10" t="str">
        <f>HYPERLINK("http://twitter.com/download/android","Twitter for Android")</f>
        <v>Twitter for Android</v>
      </c>
      <c r="J5" s="2">
        <v>64</v>
      </c>
      <c r="K5" s="2">
        <v>78</v>
      </c>
      <c r="L5" s="2">
        <v>1</v>
      </c>
      <c r="M5" s="2"/>
      <c r="N5" s="8">
        <v>43104.650925925926</v>
      </c>
      <c r="O5" s="4"/>
      <c r="P5" s="3" t="s">
        <v>3255</v>
      </c>
      <c r="Q5" s="4"/>
      <c r="R5" s="4"/>
      <c r="S5" s="9" t="str">
        <f>HYPERLINK("https://pbs.twimg.com/profile_images/1042160563273388032/XGdr6j0-.jpg","View")</f>
        <v>View</v>
      </c>
    </row>
    <row r="6" spans="1:19" ht="30">
      <c r="A6" s="8">
        <v>43369.76226851852</v>
      </c>
      <c r="B6" s="11" t="str">
        <f>HYPERLINK("https://twitter.com/mohaam110","@mohaam110")</f>
        <v>@mohaam110</v>
      </c>
      <c r="C6" s="6" t="s">
        <v>2096</v>
      </c>
      <c r="D6" s="5" t="s">
        <v>3254</v>
      </c>
      <c r="E6" s="9" t="str">
        <f>HYPERLINK("https://twitter.com/mohaam110/status/1044961707599298562","1044961707599298562")</f>
        <v>1044961707599298562</v>
      </c>
      <c r="F6" s="4"/>
      <c r="G6" s="4"/>
      <c r="H6" s="4"/>
      <c r="I6" s="10" t="str">
        <f>HYPERLINK("http://twitter.com/download/android","Twitter for Android")</f>
        <v>Twitter for Android</v>
      </c>
      <c r="J6" s="2">
        <v>894</v>
      </c>
      <c r="K6" s="2">
        <v>900</v>
      </c>
      <c r="L6" s="2">
        <v>0</v>
      </c>
      <c r="M6" s="2"/>
      <c r="N6" s="8">
        <v>43091.127928240741</v>
      </c>
      <c r="O6" s="4" t="s">
        <v>1</v>
      </c>
      <c r="P6" s="3" t="s">
        <v>2095</v>
      </c>
      <c r="Q6" s="4"/>
      <c r="R6" s="4"/>
      <c r="S6" s="9" t="str">
        <f>HYPERLINK("https://pbs.twimg.com/profile_images/1038737459079733253/8PRCUOyt.jpg","View")</f>
        <v>View</v>
      </c>
    </row>
    <row r="7" spans="1:19" ht="40">
      <c r="A7" s="8">
        <v>43369.762222222227</v>
      </c>
      <c r="B7" s="11" t="str">
        <f>HYPERLINK("https://twitter.com/clairboat","@clairboat")</f>
        <v>@clairboat</v>
      </c>
      <c r="C7" s="6" t="s">
        <v>3253</v>
      </c>
      <c r="D7" s="5" t="s">
        <v>2846</v>
      </c>
      <c r="E7" s="9" t="str">
        <f>HYPERLINK("https://twitter.com/clairboat/status/1044961690960433152","1044961690960433152")</f>
        <v>1044961690960433152</v>
      </c>
      <c r="F7" s="4"/>
      <c r="G7" s="4"/>
      <c r="H7" s="4"/>
      <c r="I7" s="10" t="str">
        <f>HYPERLINK("http://twitter.com/download/iphone","Twitter for iPhone")</f>
        <v>Twitter for iPhone</v>
      </c>
      <c r="J7" s="2">
        <v>52</v>
      </c>
      <c r="K7" s="2">
        <v>398</v>
      </c>
      <c r="L7" s="2">
        <v>0</v>
      </c>
      <c r="M7" s="2"/>
      <c r="N7" s="8">
        <v>43270.621805555551</v>
      </c>
      <c r="O7" s="4"/>
      <c r="P7" s="3"/>
      <c r="Q7" s="4"/>
      <c r="R7" s="4"/>
      <c r="S7" s="9" t="str">
        <f>HYPERLINK("https://pbs.twimg.com/profile_images/1009023176385449984/xMdpEHTU.jpg","View")</f>
        <v>View</v>
      </c>
    </row>
    <row r="8" spans="1:19" ht="20">
      <c r="A8" s="8">
        <v>43369.761840277773</v>
      </c>
      <c r="B8" s="11" t="str">
        <f>HYPERLINK("https://twitter.com/kamal56378363","@kamal56378363")</f>
        <v>@kamal56378363</v>
      </c>
      <c r="C8" s="6" t="s">
        <v>3252</v>
      </c>
      <c r="D8" s="5" t="s">
        <v>79</v>
      </c>
      <c r="E8" s="9" t="str">
        <f>HYPERLINK("https://twitter.com/kamal56378363/status/1044961552959451137","1044961552959451137")</f>
        <v>1044961552959451137</v>
      </c>
      <c r="F8" s="4"/>
      <c r="G8" s="4"/>
      <c r="H8" s="4"/>
      <c r="I8" s="10" t="str">
        <f>HYPERLINK("http://twitter.com/download/iphone","Twitter for iPhone")</f>
        <v>Twitter for iPhone</v>
      </c>
      <c r="J8" s="2">
        <v>173</v>
      </c>
      <c r="K8" s="2">
        <v>150</v>
      </c>
      <c r="L8" s="2">
        <v>0</v>
      </c>
      <c r="M8" s="2"/>
      <c r="N8" s="8">
        <v>43305.042696759258</v>
      </c>
      <c r="O8" s="4"/>
      <c r="P8" s="3"/>
      <c r="Q8" s="4"/>
      <c r="R8" s="4"/>
      <c r="S8" s="9" t="str">
        <f>HYPERLINK("https://pbs.twimg.com/profile_images/1022766298873442304/HETQC5ac.jpg","View")</f>
        <v>View</v>
      </c>
    </row>
    <row r="9" spans="1:19" ht="30">
      <c r="A9" s="8">
        <v>43369.761678240742</v>
      </c>
      <c r="B9" s="11" t="str">
        <f>HYPERLINK("https://twitter.com/mardegharib","@mardegharib")</f>
        <v>@mardegharib</v>
      </c>
      <c r="C9" s="6" t="s">
        <v>3251</v>
      </c>
      <c r="D9" s="5" t="s">
        <v>2559</v>
      </c>
      <c r="E9" s="9" t="str">
        <f>HYPERLINK("https://twitter.com/mardegharib/status/1044961495816261632","1044961495816261632")</f>
        <v>1044961495816261632</v>
      </c>
      <c r="F9" s="4"/>
      <c r="G9" s="10" t="s">
        <v>2558</v>
      </c>
      <c r="H9" s="4"/>
      <c r="I9" s="10" t="str">
        <f>HYPERLINK("http://twitter.com/download/android","Twitter for Android")</f>
        <v>Twitter for Android</v>
      </c>
      <c r="J9" s="2">
        <v>35</v>
      </c>
      <c r="K9" s="2">
        <v>45</v>
      </c>
      <c r="L9" s="2">
        <v>0</v>
      </c>
      <c r="M9" s="2"/>
      <c r="N9" s="8">
        <v>43056.904363425929</v>
      </c>
      <c r="O9" s="4"/>
      <c r="P9" s="3" t="s">
        <v>3250</v>
      </c>
      <c r="Q9" s="4"/>
      <c r="R9" s="4"/>
      <c r="S9" s="9" t="str">
        <f>HYPERLINK("https://pbs.twimg.com/profile_images/941960541525995520/NgHwUcO9.jpg","View")</f>
        <v>View</v>
      </c>
    </row>
    <row r="10" spans="1:19" ht="20">
      <c r="A10" s="8">
        <v>43369.761655092589</v>
      </c>
      <c r="B10" s="11" t="str">
        <f>HYPERLINK("https://twitter.com/Saeideh58872565","@Saeideh58872565")</f>
        <v>@Saeideh58872565</v>
      </c>
      <c r="C10" s="6" t="s">
        <v>3249</v>
      </c>
      <c r="D10" s="5" t="s">
        <v>102</v>
      </c>
      <c r="E10" s="9" t="str">
        <f>HYPERLINK("https://twitter.com/Saeideh58872565/status/1044961487582896129","1044961487582896129")</f>
        <v>1044961487582896129</v>
      </c>
      <c r="F10" s="4"/>
      <c r="G10" s="4"/>
      <c r="H10" s="4"/>
      <c r="I10" s="10" t="str">
        <f>HYPERLINK("http://twitter.com/download/android","Twitter for Android")</f>
        <v>Twitter for Android</v>
      </c>
      <c r="J10" s="2">
        <v>435</v>
      </c>
      <c r="K10" s="2">
        <v>661</v>
      </c>
      <c r="L10" s="2">
        <v>0</v>
      </c>
      <c r="M10" s="2"/>
      <c r="N10" s="8">
        <v>43243.620381944449</v>
      </c>
      <c r="O10" s="4"/>
      <c r="P10" s="3" t="s">
        <v>3248</v>
      </c>
      <c r="Q10" s="4"/>
      <c r="R10" s="4"/>
      <c r="S10" s="9" t="str">
        <f>HYPERLINK("https://pbs.twimg.com/profile_images/1013376680864468992/5Vbm_KlK.jpg","View")</f>
        <v>View</v>
      </c>
    </row>
    <row r="11" spans="1:19" ht="40">
      <c r="A11" s="8">
        <v>43369.761446759258</v>
      </c>
      <c r="B11" s="11" t="str">
        <f>HYPERLINK("https://twitter.com/dabal_khazai","@dabal_khazai")</f>
        <v>@dabal_khazai</v>
      </c>
      <c r="C11" s="6" t="s">
        <v>121</v>
      </c>
      <c r="D11" s="5" t="s">
        <v>2846</v>
      </c>
      <c r="E11" s="9" t="str">
        <f>HYPERLINK("https://twitter.com/dabal_khazai/status/1044961411854733313","1044961411854733313")</f>
        <v>1044961411854733313</v>
      </c>
      <c r="F11" s="4"/>
      <c r="G11" s="4"/>
      <c r="H11" s="4"/>
      <c r="I11" s="10" t="str">
        <f>HYPERLINK("http://twitter.com/download/iphone","Twitter for iPhone")</f>
        <v>Twitter for iPhone</v>
      </c>
      <c r="J11" s="2">
        <v>559</v>
      </c>
      <c r="K11" s="2">
        <v>128</v>
      </c>
      <c r="L11" s="2">
        <v>3</v>
      </c>
      <c r="M11" s="2"/>
      <c r="N11" s="8">
        <v>42530.962384259255</v>
      </c>
      <c r="O11" s="4" t="s">
        <v>120</v>
      </c>
      <c r="P11" s="3" t="s">
        <v>119</v>
      </c>
      <c r="Q11" s="4"/>
      <c r="R11" s="4"/>
      <c r="S11" s="9" t="str">
        <f>HYPERLINK("https://pbs.twimg.com/profile_images/990086248793505792/j_p7CIsR.jpg","View")</f>
        <v>View</v>
      </c>
    </row>
    <row r="12" spans="1:19" ht="30">
      <c r="A12" s="8">
        <v>43369.761122685188</v>
      </c>
      <c r="B12" s="11" t="str">
        <f>HYPERLINK("https://twitter.com/AmirAli70189330","@AmirAli70189330")</f>
        <v>@AmirAli70189330</v>
      </c>
      <c r="C12" s="6" t="s">
        <v>3247</v>
      </c>
      <c r="D12" s="5" t="s">
        <v>2559</v>
      </c>
      <c r="E12" s="9" t="str">
        <f>HYPERLINK("https://twitter.com/AmirAli70189330/status/1044961294372212736","1044961294372212736")</f>
        <v>1044961294372212736</v>
      </c>
      <c r="F12" s="4"/>
      <c r="G12" s="10" t="s">
        <v>2558</v>
      </c>
      <c r="H12" s="4"/>
      <c r="I12" s="10" t="str">
        <f>HYPERLINK("http://twitter.com/download/android","Twitter for Android")</f>
        <v>Twitter for Android</v>
      </c>
      <c r="J12" s="2">
        <v>83</v>
      </c>
      <c r="K12" s="2">
        <v>172</v>
      </c>
      <c r="L12" s="2">
        <v>0</v>
      </c>
      <c r="M12" s="2"/>
      <c r="N12" s="8">
        <v>43331.745324074072</v>
      </c>
      <c r="O12" s="4"/>
      <c r="P12" s="3"/>
      <c r="Q12" s="4"/>
      <c r="R12" s="4"/>
      <c r="S12" s="9" t="str">
        <f>HYPERLINK("https://pbs.twimg.com/profile_images/1041911338967224320/e5MlKuaZ.jpg","View")</f>
        <v>View</v>
      </c>
    </row>
    <row r="13" spans="1:19" ht="20">
      <c r="A13" s="8">
        <v>43369.761030092588</v>
      </c>
      <c r="B13" s="11" t="str">
        <f>HYPERLINK("https://twitter.com/ParsaRasa","@ParsaRasa")</f>
        <v>@ParsaRasa</v>
      </c>
      <c r="C13" s="6" t="s">
        <v>3246</v>
      </c>
      <c r="D13" s="5" t="s">
        <v>185</v>
      </c>
      <c r="E13" s="9" t="str">
        <f>HYPERLINK("https://twitter.com/ParsaRasa/status/1044961260855529472","1044961260855529472")</f>
        <v>1044961260855529472</v>
      </c>
      <c r="F13" s="4"/>
      <c r="G13" s="10" t="s">
        <v>177</v>
      </c>
      <c r="H13" s="4"/>
      <c r="I13" s="10" t="str">
        <f>HYPERLINK("http://twitter.com","Twitter Web Client")</f>
        <v>Twitter Web Client</v>
      </c>
      <c r="J13" s="2">
        <v>120</v>
      </c>
      <c r="K13" s="2">
        <v>1543</v>
      </c>
      <c r="L13" s="2">
        <v>0</v>
      </c>
      <c r="M13" s="2"/>
      <c r="N13" s="8">
        <v>43354.682453703703</v>
      </c>
      <c r="O13" s="4"/>
      <c r="P13" s="3" t="s">
        <v>3245</v>
      </c>
      <c r="Q13" s="4"/>
      <c r="R13" s="4"/>
      <c r="S13" s="9" t="str">
        <f>HYPERLINK("https://pbs.twimg.com/profile_images/1039483676738940928/cV5Kof3Z.jpg","View")</f>
        <v>View</v>
      </c>
    </row>
    <row r="14" spans="1:19" ht="50">
      <c r="A14" s="8">
        <v>43369.760787037041</v>
      </c>
      <c r="B14" s="11" t="str">
        <f>HYPERLINK("https://twitter.com/msolymani13","@msolymani13")</f>
        <v>@msolymani13</v>
      </c>
      <c r="C14" s="6" t="s">
        <v>3244</v>
      </c>
      <c r="D14" s="5" t="s">
        <v>2712</v>
      </c>
      <c r="E14" s="9" t="str">
        <f>HYPERLINK("https://twitter.com/msolymani13/status/1044961172632621056","1044961172632621056")</f>
        <v>1044961172632621056</v>
      </c>
      <c r="F14" s="4"/>
      <c r="G14" s="10" t="s">
        <v>2659</v>
      </c>
      <c r="H14" s="4"/>
      <c r="I14" s="10" t="str">
        <f>HYPERLINK("http://twitter.com/download/android","Twitter for Android")</f>
        <v>Twitter for Android</v>
      </c>
      <c r="J14" s="2">
        <v>1022</v>
      </c>
      <c r="K14" s="2">
        <v>401</v>
      </c>
      <c r="L14" s="2">
        <v>8</v>
      </c>
      <c r="M14" s="2"/>
      <c r="N14" s="8">
        <v>42697.926678240736</v>
      </c>
      <c r="O14" s="4" t="s">
        <v>62</v>
      </c>
      <c r="P14" s="3"/>
      <c r="Q14" s="4"/>
      <c r="R14" s="4"/>
      <c r="S14" s="9" t="str">
        <f>HYPERLINK("https://pbs.twimg.com/profile_images/801503197848367104/jZQ0ynI5.jpg","View")</f>
        <v>View</v>
      </c>
    </row>
    <row r="15" spans="1:19" ht="40">
      <c r="A15" s="8">
        <v>43369.760682870372</v>
      </c>
      <c r="B15" s="11" t="str">
        <f>HYPERLINK("https://twitter.com/Moshtologh","@Moshtologh")</f>
        <v>@Moshtologh</v>
      </c>
      <c r="C15" s="6" t="s">
        <v>3243</v>
      </c>
      <c r="D15" s="5" t="s">
        <v>2846</v>
      </c>
      <c r="E15" s="9" t="str">
        <f>HYPERLINK("https://twitter.com/Moshtologh/status/1044961132824457216","1044961132824457216")</f>
        <v>1044961132824457216</v>
      </c>
      <c r="F15" s="4"/>
      <c r="G15" s="4"/>
      <c r="H15" s="4"/>
      <c r="I15" s="10" t="str">
        <f>HYPERLINK("http://twitter.com","Twitter Web Client")</f>
        <v>Twitter Web Client</v>
      </c>
      <c r="J15" s="2">
        <v>183</v>
      </c>
      <c r="K15" s="2">
        <v>188</v>
      </c>
      <c r="L15" s="2">
        <v>0</v>
      </c>
      <c r="M15" s="2"/>
      <c r="N15" s="8">
        <v>43102.14707175926</v>
      </c>
      <c r="O15" s="4" t="s">
        <v>3242</v>
      </c>
      <c r="P15" s="3" t="s">
        <v>3241</v>
      </c>
      <c r="Q15" s="4"/>
      <c r="R15" s="4"/>
      <c r="S15" s="9" t="str">
        <f>HYPERLINK("https://pbs.twimg.com/profile_images/947982586915278849/Wfgm3PqC.jpg","View")</f>
        <v>View</v>
      </c>
    </row>
    <row r="16" spans="1:19" ht="30">
      <c r="A16" s="8">
        <v>43369.760081018518</v>
      </c>
      <c r="B16" s="11" t="str">
        <f>HYPERLINK("https://twitter.com/shahriyareirani","@shahriyareirani")</f>
        <v>@shahriyareirani</v>
      </c>
      <c r="C16" s="6" t="s">
        <v>3240</v>
      </c>
      <c r="D16" s="5" t="s">
        <v>2559</v>
      </c>
      <c r="E16" s="9" t="str">
        <f>HYPERLINK("https://twitter.com/shahriyareirani/status/1044960916096389120","1044960916096389120")</f>
        <v>1044960916096389120</v>
      </c>
      <c r="F16" s="4"/>
      <c r="G16" s="10" t="s">
        <v>2558</v>
      </c>
      <c r="H16" s="4"/>
      <c r="I16" s="10" t="str">
        <f>HYPERLINK("http://twitter.com/download/android","Twitter for Android")</f>
        <v>Twitter for Android</v>
      </c>
      <c r="J16" s="2">
        <v>796</v>
      </c>
      <c r="K16" s="2">
        <v>1676</v>
      </c>
      <c r="L16" s="2">
        <v>0</v>
      </c>
      <c r="M16" s="2"/>
      <c r="N16" s="8">
        <v>41020.912893518514</v>
      </c>
      <c r="O16" s="4"/>
      <c r="P16" s="3" t="s">
        <v>3239</v>
      </c>
      <c r="Q16" s="4"/>
      <c r="R16" s="4"/>
      <c r="S16" s="9" t="str">
        <f>HYPERLINK("https://pbs.twimg.com/profile_images/1025121557369303041/OxbnYVvP.jpg","View")</f>
        <v>View</v>
      </c>
    </row>
    <row r="17" spans="1:19" ht="30">
      <c r="A17" s="8">
        <v>43369.759664351848</v>
      </c>
      <c r="B17" s="11" t="str">
        <f>HYPERLINK("https://twitter.com/Ramin80165270","@Ramin80165270")</f>
        <v>@Ramin80165270</v>
      </c>
      <c r="C17" s="6" t="s">
        <v>783</v>
      </c>
      <c r="D17" s="5" t="s">
        <v>2559</v>
      </c>
      <c r="E17" s="9" t="str">
        <f>HYPERLINK("https://twitter.com/Ramin80165270/status/1044960763968917504","1044960763968917504")</f>
        <v>1044960763968917504</v>
      </c>
      <c r="F17" s="4"/>
      <c r="G17" s="10" t="s">
        <v>2558</v>
      </c>
      <c r="H17" s="4"/>
      <c r="I17" s="10" t="str">
        <f>HYPERLINK("http://twitter.com/download/android","Twitter for Android")</f>
        <v>Twitter for Android</v>
      </c>
      <c r="J17" s="2">
        <v>38</v>
      </c>
      <c r="K17" s="2">
        <v>39</v>
      </c>
      <c r="L17" s="2">
        <v>0</v>
      </c>
      <c r="M17" s="2"/>
      <c r="N17" s="8">
        <v>43106.742337962962</v>
      </c>
      <c r="O17" s="4" t="s">
        <v>782</v>
      </c>
      <c r="P17" s="3" t="s">
        <v>781</v>
      </c>
      <c r="Q17" s="4"/>
      <c r="R17" s="4"/>
      <c r="S17" s="9" t="str">
        <f>HYPERLINK("https://pbs.twimg.com/profile_images/1039774592263442432/ekisYitm.jpg","View")</f>
        <v>View</v>
      </c>
    </row>
    <row r="18" spans="1:19" ht="30">
      <c r="A18" s="8">
        <v>43369.759594907402</v>
      </c>
      <c r="B18" s="11" t="str">
        <f>HYPERLINK("https://twitter.com/persian54139808","@persian54139808")</f>
        <v>@persian54139808</v>
      </c>
      <c r="C18" s="6" t="s">
        <v>3238</v>
      </c>
      <c r="D18" s="5" t="s">
        <v>2559</v>
      </c>
      <c r="E18" s="9" t="str">
        <f>HYPERLINK("https://twitter.com/persian54139808/status/1044960738127884288","1044960738127884288")</f>
        <v>1044960738127884288</v>
      </c>
      <c r="F18" s="4"/>
      <c r="G18" s="10" t="s">
        <v>2558</v>
      </c>
      <c r="H18" s="4"/>
      <c r="I18" s="10" t="str">
        <f>HYPERLINK("http://twitter.com","Twitter Web Client")</f>
        <v>Twitter Web Client</v>
      </c>
      <c r="J18" s="2">
        <v>75</v>
      </c>
      <c r="K18" s="2">
        <v>139</v>
      </c>
      <c r="L18" s="2">
        <v>0</v>
      </c>
      <c r="M18" s="2"/>
      <c r="N18" s="8">
        <v>43291.963784722218</v>
      </c>
      <c r="O18" s="4"/>
      <c r="P18" s="3"/>
      <c r="Q18" s="4"/>
      <c r="R18" s="4"/>
      <c r="S18" s="9" t="str">
        <f>HYPERLINK("https://pbs.twimg.com/profile_images/1016777730405224448/V-1mP2gh.jpg","View")</f>
        <v>View</v>
      </c>
    </row>
    <row r="19" spans="1:19" ht="40">
      <c r="A19" s="8">
        <v>43369.759502314817</v>
      </c>
      <c r="B19" s="11" t="str">
        <f>HYPERLINK("https://twitter.com/voidvolano","@voidvolano")</f>
        <v>@voidvolano</v>
      </c>
      <c r="C19" s="6" t="s">
        <v>2792</v>
      </c>
      <c r="D19" s="5" t="s">
        <v>2846</v>
      </c>
      <c r="E19" s="9" t="str">
        <f>HYPERLINK("https://twitter.com/voidvolano/status/1044960704808325120","1044960704808325120")</f>
        <v>1044960704808325120</v>
      </c>
      <c r="F19" s="4"/>
      <c r="G19" s="4"/>
      <c r="H19" s="4"/>
      <c r="I19" s="10" t="str">
        <f>HYPERLINK("http://twitter.com/download/android","Twitter for Android")</f>
        <v>Twitter for Android</v>
      </c>
      <c r="J19" s="2">
        <v>161</v>
      </c>
      <c r="K19" s="2">
        <v>357</v>
      </c>
      <c r="L19" s="2">
        <v>0</v>
      </c>
      <c r="M19" s="2"/>
      <c r="N19" s="8">
        <v>43298.574675925927</v>
      </c>
      <c r="O19" s="4"/>
      <c r="P19" s="3"/>
      <c r="Q19" s="4"/>
      <c r="R19" s="4"/>
      <c r="S19" s="9" t="str">
        <f>HYPERLINK("https://pbs.twimg.com/profile_images/1025315684358602752/Ce_Ujloo.jpg","View")</f>
        <v>View</v>
      </c>
    </row>
    <row r="20" spans="1:19" ht="50">
      <c r="A20" s="8">
        <v>43369.759386574078</v>
      </c>
      <c r="B20" s="11" t="str">
        <f>HYPERLINK("https://twitter.com/pooriast","@pooriast")</f>
        <v>@pooriast</v>
      </c>
      <c r="C20" s="6" t="s">
        <v>3237</v>
      </c>
      <c r="D20" s="5" t="s">
        <v>2712</v>
      </c>
      <c r="E20" s="9" t="str">
        <f>HYPERLINK("https://twitter.com/pooriast/status/1044960662445682688","1044960662445682688")</f>
        <v>1044960662445682688</v>
      </c>
      <c r="F20" s="4"/>
      <c r="G20" s="10" t="s">
        <v>2659</v>
      </c>
      <c r="H20" s="4"/>
      <c r="I20" s="10" t="str">
        <f>HYPERLINK("http://twitter.com/download/android","Twitter for Android")</f>
        <v>Twitter for Android</v>
      </c>
      <c r="J20" s="2">
        <v>14541</v>
      </c>
      <c r="K20" s="2">
        <v>2555</v>
      </c>
      <c r="L20" s="2">
        <v>256</v>
      </c>
      <c r="M20" s="2"/>
      <c r="N20" s="8">
        <v>41144.852407407408</v>
      </c>
      <c r="O20" s="4"/>
      <c r="P20" s="3" t="s">
        <v>3236</v>
      </c>
      <c r="Q20" s="10" t="s">
        <v>3235</v>
      </c>
      <c r="R20" s="4"/>
      <c r="S20" s="9" t="str">
        <f>HYPERLINK("https://pbs.twimg.com/profile_images/1038515602070089728/-vbtqztf.jpg","View")</f>
        <v>View</v>
      </c>
    </row>
    <row r="21" spans="1:19" ht="40">
      <c r="A21" s="8">
        <v>43369.758703703701</v>
      </c>
      <c r="B21" s="11" t="str">
        <f>HYPERLINK("https://twitter.com/DavoudiBahram","@DavoudiBahram")</f>
        <v>@DavoudiBahram</v>
      </c>
      <c r="C21" s="6" t="s">
        <v>3220</v>
      </c>
      <c r="D21" s="5" t="s">
        <v>2846</v>
      </c>
      <c r="E21" s="9" t="str">
        <f>HYPERLINK("https://twitter.com/DavoudiBahram/status/1044960418911932421","1044960418911932421")</f>
        <v>1044960418911932421</v>
      </c>
      <c r="F21" s="4"/>
      <c r="G21" s="4"/>
      <c r="H21" s="4"/>
      <c r="I21" s="10" t="str">
        <f>HYPERLINK("http://twitter.com/#!/download/ipad","Twitter for iPad")</f>
        <v>Twitter for iPad</v>
      </c>
      <c r="J21" s="2">
        <v>114</v>
      </c>
      <c r="K21" s="2">
        <v>113</v>
      </c>
      <c r="L21" s="2">
        <v>0</v>
      </c>
      <c r="M21" s="2"/>
      <c r="N21" s="8">
        <v>42866.982349537036</v>
      </c>
      <c r="O21" s="4"/>
      <c r="P21" s="3" t="s">
        <v>3219</v>
      </c>
      <c r="Q21" s="4"/>
      <c r="R21" s="4"/>
      <c r="S21" s="9" t="str">
        <f>HYPERLINK("https://pbs.twimg.com/profile_images/1034718687536791552/r8ljwmKm.jpg","View")</f>
        <v>View</v>
      </c>
    </row>
    <row r="22" spans="1:19" ht="30">
      <c r="A22" s="8">
        <v>43369.758564814816</v>
      </c>
      <c r="B22" s="11" t="str">
        <f>HYPERLINK("https://twitter.com/hamid45299622","@hamid45299622")</f>
        <v>@hamid45299622</v>
      </c>
      <c r="C22" s="6" t="s">
        <v>81</v>
      </c>
      <c r="D22" s="5" t="s">
        <v>3234</v>
      </c>
      <c r="E22" s="9" t="str">
        <f>HYPERLINK("https://twitter.com/hamid45299622/status/1044960366374129664","1044960366374129664")</f>
        <v>1044960366374129664</v>
      </c>
      <c r="F22" s="4"/>
      <c r="G22" s="10" t="s">
        <v>3233</v>
      </c>
      <c r="H22" s="4"/>
      <c r="I22" s="10" t="str">
        <f>HYPERLINK("http://twitter.com/download/iphone","Twitter for iPhone")</f>
        <v>Twitter for iPhone</v>
      </c>
      <c r="J22" s="2">
        <v>110</v>
      </c>
      <c r="K22" s="2">
        <v>85</v>
      </c>
      <c r="L22" s="2">
        <v>0</v>
      </c>
      <c r="M22" s="2"/>
      <c r="N22" s="8">
        <v>43302.092187499999</v>
      </c>
      <c r="O22" s="4" t="s">
        <v>2489</v>
      </c>
      <c r="P22" s="3" t="s">
        <v>3232</v>
      </c>
      <c r="Q22" s="4"/>
      <c r="R22" s="4"/>
      <c r="S22" s="9" t="str">
        <f>HYPERLINK("https://pbs.twimg.com/profile_images/1038085817003069441/7HTcEx03.jpg","View")</f>
        <v>View</v>
      </c>
    </row>
    <row r="23" spans="1:19" ht="30">
      <c r="A23" s="8">
        <v>43369.758483796293</v>
      </c>
      <c r="B23" s="11" t="str">
        <f>HYPERLINK("https://twitter.com/King_CSA","@King_CSA")</f>
        <v>@King_CSA</v>
      </c>
      <c r="C23" s="6" t="s">
        <v>3231</v>
      </c>
      <c r="D23" s="5" t="s">
        <v>2559</v>
      </c>
      <c r="E23" s="9" t="str">
        <f>HYPERLINK("https://twitter.com/King_CSA/status/1044960337492103168","1044960337492103168")</f>
        <v>1044960337492103168</v>
      </c>
      <c r="F23" s="4"/>
      <c r="G23" s="10" t="s">
        <v>2558</v>
      </c>
      <c r="H23" s="4"/>
      <c r="I23" s="10" t="str">
        <f>HYPERLINK("https://mobile.twitter.com","Twitter Lite")</f>
        <v>Twitter Lite</v>
      </c>
      <c r="J23" s="2">
        <v>91</v>
      </c>
      <c r="K23" s="2">
        <v>102</v>
      </c>
      <c r="L23" s="2">
        <v>0</v>
      </c>
      <c r="M23" s="2"/>
      <c r="N23" s="8">
        <v>41190.615520833337</v>
      </c>
      <c r="O23" s="4" t="s">
        <v>3230</v>
      </c>
      <c r="P23" s="3" t="s">
        <v>3229</v>
      </c>
      <c r="Q23" s="4"/>
      <c r="R23" s="4"/>
      <c r="S23" s="9" t="str">
        <f>HYPERLINK("https://pbs.twimg.com/profile_images/956397373009342464/yck98kM5.jpg","View")</f>
        <v>View</v>
      </c>
    </row>
    <row r="24" spans="1:19" ht="30">
      <c r="A24" s="8">
        <v>43369.758460648147</v>
      </c>
      <c r="B24" s="11" t="str">
        <f>HYPERLINK("https://twitter.com/khoshkonline","@khoshkonline")</f>
        <v>@khoshkonline</v>
      </c>
      <c r="C24" s="6" t="s">
        <v>3228</v>
      </c>
      <c r="D24" s="5" t="s">
        <v>3128</v>
      </c>
      <c r="E24" s="9" t="str">
        <f>HYPERLINK("https://twitter.com/khoshkonline/status/1044960328285597696","1044960328285597696")</f>
        <v>1044960328285597696</v>
      </c>
      <c r="F24" s="4"/>
      <c r="G24" s="4"/>
      <c r="H24" s="4"/>
      <c r="I24" s="10" t="str">
        <f>HYPERLINK("http://twitter.com/download/android","Twitter for Android")</f>
        <v>Twitter for Android</v>
      </c>
      <c r="J24" s="2">
        <v>567</v>
      </c>
      <c r="K24" s="2">
        <v>523</v>
      </c>
      <c r="L24" s="2">
        <v>0</v>
      </c>
      <c r="M24" s="2"/>
      <c r="N24" s="8">
        <v>43125.715613425928</v>
      </c>
      <c r="O24" s="4" t="s">
        <v>3227</v>
      </c>
      <c r="P24" s="3" t="s">
        <v>3226</v>
      </c>
      <c r="Q24" s="4"/>
      <c r="R24" s="4"/>
      <c r="S24" s="9" t="str">
        <f>HYPERLINK("https://pbs.twimg.com/profile_images/970396659560734721/MdsodKG_.jpg","View")</f>
        <v>View</v>
      </c>
    </row>
    <row r="25" spans="1:19" ht="30">
      <c r="A25" s="8">
        <v>43369.758287037039</v>
      </c>
      <c r="B25" s="11" t="str">
        <f>HYPERLINK("https://twitter.com/Alirezahse","@Alirezahse")</f>
        <v>@Alirezahse</v>
      </c>
      <c r="C25" s="6" t="s">
        <v>3225</v>
      </c>
      <c r="D25" s="5" t="s">
        <v>3224</v>
      </c>
      <c r="E25" s="9" t="str">
        <f>HYPERLINK("https://twitter.com/Alirezahse/status/1044960266285469697","1044960266285469697")</f>
        <v>1044960266285469697</v>
      </c>
      <c r="F25" s="4"/>
      <c r="G25" s="4"/>
      <c r="H25" s="4"/>
      <c r="I25" s="10" t="str">
        <f>HYPERLINK("http://twitter.com/download/android","Twitter for Android")</f>
        <v>Twitter for Android</v>
      </c>
      <c r="J25" s="2">
        <v>1975</v>
      </c>
      <c r="K25" s="2">
        <v>2559</v>
      </c>
      <c r="L25" s="2">
        <v>0</v>
      </c>
      <c r="M25" s="2"/>
      <c r="N25" s="8">
        <v>42903.015092592592</v>
      </c>
      <c r="O25" s="4" t="s">
        <v>1779</v>
      </c>
      <c r="P25" s="3" t="s">
        <v>3223</v>
      </c>
      <c r="Q25" s="4"/>
      <c r="R25" s="4"/>
      <c r="S25" s="9" t="str">
        <f>HYPERLINK("https://pbs.twimg.com/profile_images/1030737993743704064/ppFs6E7w.jpg","View")</f>
        <v>View</v>
      </c>
    </row>
    <row r="26" spans="1:19" ht="40">
      <c r="A26" s="8">
        <v>43369.757928240739</v>
      </c>
      <c r="B26" s="11" t="str">
        <f>HYPERLINK("https://twitter.com/sahariii10","@sahariii10")</f>
        <v>@sahariii10</v>
      </c>
      <c r="C26" s="6" t="s">
        <v>3161</v>
      </c>
      <c r="D26" s="5" t="s">
        <v>2846</v>
      </c>
      <c r="E26" s="9" t="str">
        <f>HYPERLINK("https://twitter.com/sahariii10/status/1044960137256079361","1044960137256079361")</f>
        <v>1044960137256079361</v>
      </c>
      <c r="F26" s="4"/>
      <c r="G26" s="4"/>
      <c r="H26" s="4"/>
      <c r="I26" s="10" t="str">
        <f>HYPERLINK("http://twitter.com/download/iphone","Twitter for iPhone")</f>
        <v>Twitter for iPhone</v>
      </c>
      <c r="J26" s="2">
        <v>51</v>
      </c>
      <c r="K26" s="2">
        <v>46</v>
      </c>
      <c r="L26" s="2">
        <v>0</v>
      </c>
      <c r="M26" s="2"/>
      <c r="N26" s="8">
        <v>43295.877071759256</v>
      </c>
      <c r="O26" s="4"/>
      <c r="P26" s="3"/>
      <c r="Q26" s="4"/>
      <c r="R26" s="4"/>
      <c r="S26" s="2" t="s">
        <v>21</v>
      </c>
    </row>
    <row r="27" spans="1:19" ht="40">
      <c r="A27" s="8">
        <v>43369.757835648154</v>
      </c>
      <c r="B27" s="11" t="str">
        <f>HYPERLINK("https://twitter.com/FANOSS4","@FANOSS4")</f>
        <v>@FANOSS4</v>
      </c>
      <c r="C27" s="6" t="s">
        <v>2807</v>
      </c>
      <c r="D27" s="5" t="s">
        <v>2846</v>
      </c>
      <c r="E27" s="9" t="str">
        <f>HYPERLINK("https://twitter.com/FANOSS4/status/1044960101042475008","1044960101042475008")</f>
        <v>1044960101042475008</v>
      </c>
      <c r="F27" s="4"/>
      <c r="G27" s="4"/>
      <c r="H27" s="4"/>
      <c r="I27" s="10" t="str">
        <f>HYPERLINK("http://twitter.com/download/android","Twitter for Android")</f>
        <v>Twitter for Android</v>
      </c>
      <c r="J27" s="2">
        <v>47</v>
      </c>
      <c r="K27" s="2">
        <v>89</v>
      </c>
      <c r="L27" s="2">
        <v>0</v>
      </c>
      <c r="M27" s="2"/>
      <c r="N27" s="8">
        <v>43347.510405092587</v>
      </c>
      <c r="O27" s="4"/>
      <c r="P27" s="3" t="s">
        <v>2806</v>
      </c>
      <c r="Q27" s="4"/>
      <c r="R27" s="4"/>
      <c r="S27" s="9" t="str">
        <f>HYPERLINK("https://pbs.twimg.com/profile_images/1038337847147876352/WBHuBx4O.jpg","View")</f>
        <v>View</v>
      </c>
    </row>
    <row r="28" spans="1:19" ht="40">
      <c r="A28" s="8">
        <v>43369.757696759261</v>
      </c>
      <c r="B28" s="11" t="str">
        <f>HYPERLINK("https://twitter.com/bittercoffee97","@bittercoffee97")</f>
        <v>@bittercoffee97</v>
      </c>
      <c r="C28" s="6" t="s">
        <v>3222</v>
      </c>
      <c r="D28" s="5" t="s">
        <v>2846</v>
      </c>
      <c r="E28" s="9" t="str">
        <f>HYPERLINK("https://twitter.com/bittercoffee97/status/1044960053336387584","1044960053336387584")</f>
        <v>1044960053336387584</v>
      </c>
      <c r="F28" s="4"/>
      <c r="G28" s="4"/>
      <c r="H28" s="4"/>
      <c r="I28" s="10" t="str">
        <f>HYPERLINK("http://twitter.com/download/android","Twitter for Android")</f>
        <v>Twitter for Android</v>
      </c>
      <c r="J28" s="2">
        <v>160</v>
      </c>
      <c r="K28" s="2">
        <v>376</v>
      </c>
      <c r="L28" s="2">
        <v>0</v>
      </c>
      <c r="M28" s="2"/>
      <c r="N28" s="8">
        <v>43362.117743055554</v>
      </c>
      <c r="O28" s="4"/>
      <c r="P28" s="3" t="s">
        <v>3221</v>
      </c>
      <c r="Q28" s="4"/>
      <c r="R28" s="4"/>
      <c r="S28" s="9" t="str">
        <f>HYPERLINK("https://pbs.twimg.com/profile_images/1042746118008987648/uz8aBf4U.jpg","View")</f>
        <v>View</v>
      </c>
    </row>
    <row r="29" spans="1:19" ht="30">
      <c r="A29" s="8">
        <v>43369.757222222222</v>
      </c>
      <c r="B29" s="11" t="str">
        <f>HYPERLINK("https://twitter.com/DavoudiBahram","@DavoudiBahram")</f>
        <v>@DavoudiBahram</v>
      </c>
      <c r="C29" s="6" t="s">
        <v>3220</v>
      </c>
      <c r="D29" s="5" t="s">
        <v>2559</v>
      </c>
      <c r="E29" s="9" t="str">
        <f>HYPERLINK("https://twitter.com/DavoudiBahram/status/1044959878224261121","1044959878224261121")</f>
        <v>1044959878224261121</v>
      </c>
      <c r="F29" s="4"/>
      <c r="G29" s="10" t="s">
        <v>2558</v>
      </c>
      <c r="H29" s="4"/>
      <c r="I29" s="10" t="str">
        <f>HYPERLINK("http://twitter.com/#!/download/ipad","Twitter for iPad")</f>
        <v>Twitter for iPad</v>
      </c>
      <c r="J29" s="2">
        <v>114</v>
      </c>
      <c r="K29" s="2">
        <v>113</v>
      </c>
      <c r="L29" s="2">
        <v>0</v>
      </c>
      <c r="M29" s="2"/>
      <c r="N29" s="8">
        <v>42866.982349537036</v>
      </c>
      <c r="O29" s="4"/>
      <c r="P29" s="3" t="s">
        <v>3219</v>
      </c>
      <c r="Q29" s="4"/>
      <c r="R29" s="4"/>
      <c r="S29" s="9" t="str">
        <f>HYPERLINK("https://pbs.twimg.com/profile_images/1034718687536791552/r8ljwmKm.jpg","View")</f>
        <v>View</v>
      </c>
    </row>
    <row r="30" spans="1:19" ht="40">
      <c r="A30" s="8">
        <v>43369.75717592593</v>
      </c>
      <c r="B30" s="11" t="str">
        <f>HYPERLINK("https://twitter.com/V_2018_","@V_2018_")</f>
        <v>@V_2018_</v>
      </c>
      <c r="C30" s="6" t="s">
        <v>3218</v>
      </c>
      <c r="D30" s="5" t="s">
        <v>2846</v>
      </c>
      <c r="E30" s="9" t="str">
        <f>HYPERLINK("https://twitter.com/V_2018_/status/1044959863871336449","1044959863871336449")</f>
        <v>1044959863871336449</v>
      </c>
      <c r="F30" s="4"/>
      <c r="G30" s="4"/>
      <c r="H30" s="4"/>
      <c r="I30" s="10" t="str">
        <f>HYPERLINK("http://twitter.com/download/android","Twitter for Android")</f>
        <v>Twitter for Android</v>
      </c>
      <c r="J30" s="2">
        <v>41</v>
      </c>
      <c r="K30" s="2">
        <v>175</v>
      </c>
      <c r="L30" s="2">
        <v>0</v>
      </c>
      <c r="M30" s="2"/>
      <c r="N30" s="8">
        <v>43199.588182870371</v>
      </c>
      <c r="O30" s="4" t="s">
        <v>3217</v>
      </c>
      <c r="P30" s="3"/>
      <c r="Q30" s="4"/>
      <c r="R30" s="4"/>
      <c r="S30" s="9" t="str">
        <f>HYPERLINK("https://pbs.twimg.com/profile_images/1010957396653625344/fputu_D-.jpg","View")</f>
        <v>View</v>
      </c>
    </row>
    <row r="31" spans="1:19" ht="40">
      <c r="A31" s="8">
        <v>43369.756898148145</v>
      </c>
      <c r="B31" s="11" t="str">
        <f>HYPERLINK("https://twitter.com/AmiriHamid88","@AmiriHamid88")</f>
        <v>@AmiriHamid88</v>
      </c>
      <c r="C31" s="6" t="s">
        <v>3216</v>
      </c>
      <c r="D31" s="5" t="s">
        <v>1556</v>
      </c>
      <c r="E31" s="9" t="str">
        <f>HYPERLINK("https://twitter.com/AmiriHamid88/status/1044959762956394496","1044959762956394496")</f>
        <v>1044959762956394496</v>
      </c>
      <c r="F31" s="4"/>
      <c r="G31" s="4"/>
      <c r="H31" s="4"/>
      <c r="I31" s="10" t="str">
        <f>HYPERLINK("http://twitter.com/download/iphone","Twitter for iPhone")</f>
        <v>Twitter for iPhone</v>
      </c>
      <c r="J31" s="2">
        <v>220</v>
      </c>
      <c r="K31" s="2">
        <v>344</v>
      </c>
      <c r="L31" s="2">
        <v>1</v>
      </c>
      <c r="M31" s="2"/>
      <c r="N31" s="8">
        <v>42779.873506944445</v>
      </c>
      <c r="O31" s="4" t="s">
        <v>3215</v>
      </c>
      <c r="P31" s="3" t="s">
        <v>3214</v>
      </c>
      <c r="Q31" s="4"/>
      <c r="R31" s="4"/>
      <c r="S31" s="9" t="str">
        <f>HYPERLINK("https://pbs.twimg.com/profile_images/850136339949514753/jEoPLOp7.jpg","View")</f>
        <v>View</v>
      </c>
    </row>
    <row r="32" spans="1:19" ht="40">
      <c r="A32" s="8">
        <v>43369.756273148145</v>
      </c>
      <c r="B32" s="11" t="str">
        <f>HYPERLINK("https://twitter.com/navaiinaii3","@navaiinaii3")</f>
        <v>@navaiinaii3</v>
      </c>
      <c r="C32" s="6" t="s">
        <v>3213</v>
      </c>
      <c r="D32" s="5" t="s">
        <v>2846</v>
      </c>
      <c r="E32" s="9" t="str">
        <f>HYPERLINK("https://twitter.com/navaiinaii3/status/1044959535549607937","1044959535549607937")</f>
        <v>1044959535549607937</v>
      </c>
      <c r="F32" s="4"/>
      <c r="G32" s="4"/>
      <c r="H32" s="4"/>
      <c r="I32" s="10" t="str">
        <f>HYPERLINK("http://twitter.com/download/android","Twitter for Android")</f>
        <v>Twitter for Android</v>
      </c>
      <c r="J32" s="2">
        <v>487</v>
      </c>
      <c r="K32" s="2">
        <v>617</v>
      </c>
      <c r="L32" s="2">
        <v>0</v>
      </c>
      <c r="M32" s="2"/>
      <c r="N32" s="8">
        <v>43205.044351851851</v>
      </c>
      <c r="O32" s="4" t="s">
        <v>16</v>
      </c>
      <c r="P32" s="3"/>
      <c r="Q32" s="4"/>
      <c r="R32" s="4"/>
      <c r="S32" s="9" t="str">
        <f>HYPERLINK("https://pbs.twimg.com/profile_images/1012341643377364992/PBy1IMqn.jpg","View")</f>
        <v>View</v>
      </c>
    </row>
    <row r="33" spans="1:19" ht="40">
      <c r="A33" s="8">
        <v>43369.756053240737</v>
      </c>
      <c r="B33" s="11" t="str">
        <f>HYPERLINK("https://twitter.com/ayoub_absurd","@ayoub_absurd")</f>
        <v>@ayoub_absurd</v>
      </c>
      <c r="C33" s="6" t="s">
        <v>3212</v>
      </c>
      <c r="D33" s="5" t="s">
        <v>2846</v>
      </c>
      <c r="E33" s="9" t="str">
        <f>HYPERLINK("https://twitter.com/ayoub_absurd/status/1044959458395394048","1044959458395394048")</f>
        <v>1044959458395394048</v>
      </c>
      <c r="F33" s="4"/>
      <c r="G33" s="4"/>
      <c r="H33" s="4"/>
      <c r="I33" s="10" t="str">
        <f>HYPERLINK("http://twitter.com/download/iphone","Twitter for iPhone")</f>
        <v>Twitter for iPhone</v>
      </c>
      <c r="J33" s="2">
        <v>368</v>
      </c>
      <c r="K33" s="2">
        <v>989</v>
      </c>
      <c r="L33" s="2">
        <v>0</v>
      </c>
      <c r="M33" s="2"/>
      <c r="N33" s="8">
        <v>41086.678078703706</v>
      </c>
      <c r="O33" s="4"/>
      <c r="P33" s="3" t="s">
        <v>3211</v>
      </c>
      <c r="Q33" s="4"/>
      <c r="R33" s="4"/>
      <c r="S33" s="9" t="str">
        <f>HYPERLINK("https://pbs.twimg.com/profile_images/1041146215688298496/Nc2U1_8J.jpg","View")</f>
        <v>View</v>
      </c>
    </row>
    <row r="34" spans="1:19" ht="30">
      <c r="A34" s="8">
        <v>43369.755555555559</v>
      </c>
      <c r="B34" s="11" t="str">
        <f>HYPERLINK("https://twitter.com/sedreza11","@sedreza11")</f>
        <v>@sedreza11</v>
      </c>
      <c r="C34" s="6" t="s">
        <v>3210</v>
      </c>
      <c r="D34" s="5" t="s">
        <v>2559</v>
      </c>
      <c r="E34" s="9" t="str">
        <f>HYPERLINK("https://twitter.com/sedreza11/status/1044959278178676736","1044959278178676736")</f>
        <v>1044959278178676736</v>
      </c>
      <c r="F34" s="4"/>
      <c r="G34" s="10" t="s">
        <v>2558</v>
      </c>
      <c r="H34" s="4"/>
      <c r="I34" s="10" t="str">
        <f>HYPERLINK("http://twitter.com/download/iphone","Twitter for iPhone")</f>
        <v>Twitter for iPhone</v>
      </c>
      <c r="J34" s="2">
        <v>106</v>
      </c>
      <c r="K34" s="2">
        <v>199</v>
      </c>
      <c r="L34" s="2">
        <v>0</v>
      </c>
      <c r="M34" s="2"/>
      <c r="N34" s="8">
        <v>42594.1644212963</v>
      </c>
      <c r="O34" s="4" t="s">
        <v>3209</v>
      </c>
      <c r="P34" s="3" t="s">
        <v>3208</v>
      </c>
      <c r="Q34" s="4"/>
      <c r="R34" s="4"/>
      <c r="S34" s="9" t="str">
        <f>HYPERLINK("https://pbs.twimg.com/profile_images/875626607993475072/o6mOBOz1.jpg","View")</f>
        <v>View</v>
      </c>
    </row>
    <row r="35" spans="1:19" ht="30">
      <c r="A35" s="8">
        <v>43369.755185185189</v>
      </c>
      <c r="B35" s="11" t="str">
        <f>HYPERLINK("https://twitter.com/fadaimihan","@fadaimihan")</f>
        <v>@fadaimihan</v>
      </c>
      <c r="C35" s="6" t="s">
        <v>83</v>
      </c>
      <c r="D35" s="5" t="s">
        <v>2559</v>
      </c>
      <c r="E35" s="9" t="str">
        <f>HYPERLINK("https://twitter.com/fadaimihan/status/1044959143864545281","1044959143864545281")</f>
        <v>1044959143864545281</v>
      </c>
      <c r="F35" s="4"/>
      <c r="G35" s="10" t="s">
        <v>2558</v>
      </c>
      <c r="H35" s="4"/>
      <c r="I35" s="10" t="str">
        <f>HYPERLINK("http://twitter.com/download/android","Twitter for Android")</f>
        <v>Twitter for Android</v>
      </c>
      <c r="J35" s="2">
        <v>2010</v>
      </c>
      <c r="K35" s="2">
        <v>2364</v>
      </c>
      <c r="L35" s="2">
        <v>4</v>
      </c>
      <c r="M35" s="2"/>
      <c r="N35" s="8">
        <v>43108.092592592591</v>
      </c>
      <c r="O35" s="4"/>
      <c r="P35" s="3" t="s">
        <v>82</v>
      </c>
      <c r="Q35" s="4"/>
      <c r="R35" s="4"/>
      <c r="S35" s="9" t="str">
        <f>HYPERLINK("https://pbs.twimg.com/profile_images/1025862753460871168/2nJx98hx.jpg","View")</f>
        <v>View</v>
      </c>
    </row>
    <row r="36" spans="1:19" ht="30">
      <c r="A36" s="8">
        <v>43369.75513888889</v>
      </c>
      <c r="B36" s="11" t="str">
        <f>HYPERLINK("https://twitter.com/ferferiran","@ferferiran")</f>
        <v>@ferferiran</v>
      </c>
      <c r="C36" s="6" t="s">
        <v>3207</v>
      </c>
      <c r="D36" s="5" t="s">
        <v>2559</v>
      </c>
      <c r="E36" s="9" t="str">
        <f>HYPERLINK("https://twitter.com/ferferiran/status/1044959125988429824","1044959125988429824")</f>
        <v>1044959125988429824</v>
      </c>
      <c r="F36" s="4"/>
      <c r="G36" s="10" t="s">
        <v>2558</v>
      </c>
      <c r="H36" s="4"/>
      <c r="I36" s="10" t="str">
        <f>HYPERLINK("http://twitter.com/download/android","Twitter for Android")</f>
        <v>Twitter for Android</v>
      </c>
      <c r="J36" s="2">
        <v>37</v>
      </c>
      <c r="K36" s="2">
        <v>166</v>
      </c>
      <c r="L36" s="2">
        <v>0</v>
      </c>
      <c r="M36" s="2"/>
      <c r="N36" s="8">
        <v>43104.746261574073</v>
      </c>
      <c r="O36" s="4" t="s">
        <v>16</v>
      </c>
      <c r="P36" s="3" t="s">
        <v>3206</v>
      </c>
      <c r="Q36" s="4"/>
      <c r="R36" s="4"/>
      <c r="S36" s="9" t="str">
        <f>HYPERLINK("https://pbs.twimg.com/profile_images/1036475358315507712/Pepb7rep.jpg","View")</f>
        <v>View</v>
      </c>
    </row>
    <row r="37" spans="1:19" ht="50">
      <c r="A37" s="8">
        <v>43369.755115740743</v>
      </c>
      <c r="B37" s="11" t="str">
        <f>HYPERLINK("https://twitter.com/amiralmasoodi","@amiralmasoodi")</f>
        <v>@amiralmasoodi</v>
      </c>
      <c r="C37" s="6" t="s">
        <v>3205</v>
      </c>
      <c r="D37" s="5" t="s">
        <v>3204</v>
      </c>
      <c r="E37" s="9" t="str">
        <f>HYPERLINK("https://twitter.com/amiralmasoodi/status/1044959118199582721","1044959118199582721")</f>
        <v>1044959118199582721</v>
      </c>
      <c r="F37" s="4"/>
      <c r="G37" s="10" t="s">
        <v>3203</v>
      </c>
      <c r="H37" s="4"/>
      <c r="I37" s="10" t="str">
        <f>HYPERLINK("http://twitter.com","Twitter Web Client")</f>
        <v>Twitter Web Client</v>
      </c>
      <c r="J37" s="2">
        <v>347</v>
      </c>
      <c r="K37" s="2">
        <v>360</v>
      </c>
      <c r="L37" s="2">
        <v>1</v>
      </c>
      <c r="M37" s="2"/>
      <c r="N37" s="8">
        <v>42719.518657407403</v>
      </c>
      <c r="O37" s="4" t="s">
        <v>3202</v>
      </c>
      <c r="P37" s="3" t="s">
        <v>3201</v>
      </c>
      <c r="Q37" s="4"/>
      <c r="R37" s="4"/>
      <c r="S37" s="9" t="str">
        <f>HYPERLINK("https://pbs.twimg.com/profile_images/997388426335825920/ulekEpV-.jpg","View")</f>
        <v>View</v>
      </c>
    </row>
    <row r="38" spans="1:19" ht="30">
      <c r="A38" s="8">
        <v>43369.754826388889</v>
      </c>
      <c r="B38" s="11" t="str">
        <f>HYPERLINK("https://twitter.com/sharedzest","@sharedzest")</f>
        <v>@sharedzest</v>
      </c>
      <c r="C38" s="6" t="s">
        <v>3200</v>
      </c>
      <c r="D38" s="5" t="s">
        <v>2559</v>
      </c>
      <c r="E38" s="9" t="str">
        <f>HYPERLINK("https://twitter.com/sharedzest/status/1044959013828526081","1044959013828526081")</f>
        <v>1044959013828526081</v>
      </c>
      <c r="F38" s="4"/>
      <c r="G38" s="10" t="s">
        <v>2558</v>
      </c>
      <c r="H38" s="4"/>
      <c r="I38" s="10" t="str">
        <f>HYPERLINK("http://twitter.com/download/iphone","Twitter for iPhone")</f>
        <v>Twitter for iPhone</v>
      </c>
      <c r="J38" s="2">
        <v>76</v>
      </c>
      <c r="K38" s="2">
        <v>103</v>
      </c>
      <c r="L38" s="2">
        <v>0</v>
      </c>
      <c r="M38" s="2"/>
      <c r="N38" s="8">
        <v>41732.694097222222</v>
      </c>
      <c r="O38" s="4" t="s">
        <v>3199</v>
      </c>
      <c r="P38" s="3" t="s">
        <v>3198</v>
      </c>
      <c r="Q38" s="4"/>
      <c r="R38" s="4"/>
      <c r="S38" s="9" t="str">
        <f>HYPERLINK("https://pbs.twimg.com/profile_images/1039131703418269697/uITwe7k2.jpg","View")</f>
        <v>View</v>
      </c>
    </row>
    <row r="39" spans="1:19" ht="30">
      <c r="A39" s="8">
        <v>43369.754780092597</v>
      </c>
      <c r="B39" s="11" t="str">
        <f>HYPERLINK("https://twitter.com/shiraz200910","@shiraz200910")</f>
        <v>@shiraz200910</v>
      </c>
      <c r="C39" s="6" t="s">
        <v>1887</v>
      </c>
      <c r="D39" s="5" t="s">
        <v>2559</v>
      </c>
      <c r="E39" s="9" t="str">
        <f>HYPERLINK("https://twitter.com/shiraz200910/status/1044958995864334337","1044958995864334337")</f>
        <v>1044958995864334337</v>
      </c>
      <c r="F39" s="4"/>
      <c r="G39" s="10" t="s">
        <v>2558</v>
      </c>
      <c r="H39" s="4"/>
      <c r="I39" s="10" t="str">
        <f>HYPERLINK("http://twitter.com/download/iphone","Twitter for iPhone")</f>
        <v>Twitter for iPhone</v>
      </c>
      <c r="J39" s="2">
        <v>59</v>
      </c>
      <c r="K39" s="2">
        <v>134</v>
      </c>
      <c r="L39" s="2">
        <v>0</v>
      </c>
      <c r="M39" s="2"/>
      <c r="N39" s="8">
        <v>42494.891886574071</v>
      </c>
      <c r="O39" s="4"/>
      <c r="P39" s="3"/>
      <c r="Q39" s="4"/>
      <c r="R39" s="4"/>
      <c r="S39" s="9" t="str">
        <f>HYPERLINK("https://pbs.twimg.com/profile_images/727906095830814721/XGpRpOV2.jpg","View")</f>
        <v>View</v>
      </c>
    </row>
    <row r="40" spans="1:19" ht="30">
      <c r="A40" s="8">
        <v>43369.754710648151</v>
      </c>
      <c r="B40" s="11" t="str">
        <f>HYPERLINK("https://twitter.com/ShZehtab","@ShZehtab")</f>
        <v>@ShZehtab</v>
      </c>
      <c r="C40" s="6" t="s">
        <v>3197</v>
      </c>
      <c r="D40" s="5" t="s">
        <v>2559</v>
      </c>
      <c r="E40" s="9" t="str">
        <f>HYPERLINK("https://twitter.com/ShZehtab/status/1044958967909224448","1044958967909224448")</f>
        <v>1044958967909224448</v>
      </c>
      <c r="F40" s="4"/>
      <c r="G40" s="10" t="s">
        <v>2558</v>
      </c>
      <c r="H40" s="4"/>
      <c r="I40" s="10" t="str">
        <f>HYPERLINK("http://twitter.com/download/android","Twitter for Android")</f>
        <v>Twitter for Android</v>
      </c>
      <c r="J40" s="2">
        <v>10</v>
      </c>
      <c r="K40" s="2">
        <v>46</v>
      </c>
      <c r="L40" s="2">
        <v>0</v>
      </c>
      <c r="M40" s="2"/>
      <c r="N40" s="8">
        <v>43221.70894675926</v>
      </c>
      <c r="O40" s="4"/>
      <c r="P40" s="3"/>
      <c r="Q40" s="4"/>
      <c r="R40" s="4"/>
      <c r="S40" s="9" t="str">
        <f>HYPERLINK("https://pbs.twimg.com/profile_images/1037544172759089152/SSB5poTR.jpg","View")</f>
        <v>View</v>
      </c>
    </row>
    <row r="41" spans="1:19" ht="40">
      <c r="A41" s="8">
        <v>43369.754525462966</v>
      </c>
      <c r="B41" s="11" t="str">
        <f>HYPERLINK("https://twitter.com/Pokerfacesk","@Pokerfacesk")</f>
        <v>@Pokerfacesk</v>
      </c>
      <c r="C41" s="6" t="s">
        <v>1592</v>
      </c>
      <c r="D41" s="5" t="s">
        <v>2846</v>
      </c>
      <c r="E41" s="9" t="str">
        <f>HYPERLINK("https://twitter.com/Pokerfacesk/status/1044958902369095680","1044958902369095680")</f>
        <v>1044958902369095680</v>
      </c>
      <c r="F41" s="4"/>
      <c r="G41" s="4"/>
      <c r="H41" s="4"/>
      <c r="I41" s="10" t="str">
        <f>HYPERLINK("http://twitter.com/download/iphone","Twitter for iPhone")</f>
        <v>Twitter for iPhone</v>
      </c>
      <c r="J41" s="2">
        <v>343</v>
      </c>
      <c r="K41" s="2">
        <v>356</v>
      </c>
      <c r="L41" s="2">
        <v>0</v>
      </c>
      <c r="M41" s="2"/>
      <c r="N41" s="8">
        <v>42555.836597222224</v>
      </c>
      <c r="O41" s="4" t="s">
        <v>1591</v>
      </c>
      <c r="P41" s="3" t="s">
        <v>1590</v>
      </c>
      <c r="Q41" s="4"/>
      <c r="R41" s="4"/>
      <c r="S41" s="9" t="str">
        <f>HYPERLINK("https://pbs.twimg.com/profile_images/1043530307033554944/CKLDRPEr.jpg","View")</f>
        <v>View</v>
      </c>
    </row>
    <row r="42" spans="1:19" ht="40">
      <c r="A42" s="8">
        <v>43369.75409722222</v>
      </c>
      <c r="B42" s="11" t="str">
        <f>HYPERLINK("https://twitter.com/Mehdi_Mrzi","@Mehdi_Mrzi")</f>
        <v>@Mehdi_Mrzi</v>
      </c>
      <c r="C42" s="6" t="s">
        <v>3196</v>
      </c>
      <c r="D42" s="5" t="s">
        <v>2846</v>
      </c>
      <c r="E42" s="9" t="str">
        <f>HYPERLINK("https://twitter.com/Mehdi_Mrzi/status/1044958746605232129","1044958746605232129")</f>
        <v>1044958746605232129</v>
      </c>
      <c r="F42" s="4"/>
      <c r="G42" s="4"/>
      <c r="H42" s="4"/>
      <c r="I42" s="10" t="str">
        <f>HYPERLINK("http://twitter.com/download/iphone","Twitter for iPhone")</f>
        <v>Twitter for iPhone</v>
      </c>
      <c r="J42" s="2">
        <v>72</v>
      </c>
      <c r="K42" s="2">
        <v>112</v>
      </c>
      <c r="L42" s="2">
        <v>0</v>
      </c>
      <c r="M42" s="2"/>
      <c r="N42" s="8">
        <v>42987.548761574071</v>
      </c>
      <c r="O42" s="4"/>
      <c r="P42" s="3"/>
      <c r="Q42" s="4"/>
      <c r="R42" s="4"/>
      <c r="S42" s="9" t="str">
        <f>HYPERLINK("https://pbs.twimg.com/profile_images/978937869212573697/TqJTEMLj.jpg","View")</f>
        <v>View</v>
      </c>
    </row>
    <row r="43" spans="1:19" ht="40">
      <c r="A43" s="8">
        <v>43369.753206018519</v>
      </c>
      <c r="B43" s="11" t="str">
        <f>HYPERLINK("https://twitter.com/farvehar97","@farvehar97")</f>
        <v>@farvehar97</v>
      </c>
      <c r="C43" s="6" t="s">
        <v>80</v>
      </c>
      <c r="D43" s="5" t="s">
        <v>2846</v>
      </c>
      <c r="E43" s="9" t="str">
        <f>HYPERLINK("https://twitter.com/farvehar97/status/1044958423773843457","1044958423773843457")</f>
        <v>1044958423773843457</v>
      </c>
      <c r="F43" s="4"/>
      <c r="G43" s="4"/>
      <c r="H43" s="4"/>
      <c r="I43" s="10" t="str">
        <f>HYPERLINK("http://twitter.com/download/android","Twitter for Android")</f>
        <v>Twitter for Android</v>
      </c>
      <c r="J43" s="2">
        <v>75</v>
      </c>
      <c r="K43" s="2">
        <v>180</v>
      </c>
      <c r="L43" s="2">
        <v>0</v>
      </c>
      <c r="M43" s="2"/>
      <c r="N43" s="8">
        <v>43133.654537037037</v>
      </c>
      <c r="O43" s="4"/>
      <c r="P43" s="3"/>
      <c r="Q43" s="4"/>
      <c r="R43" s="4"/>
      <c r="S43" s="9" t="str">
        <f>HYPERLINK("https://pbs.twimg.com/profile_images/1027236953345994752/0nZs3na9.jpg","View")</f>
        <v>View</v>
      </c>
    </row>
    <row r="44" spans="1:19" ht="40">
      <c r="A44" s="8">
        <v>43369.75271990741</v>
      </c>
      <c r="B44" s="11" t="str">
        <f>HYPERLINK("https://twitter.com/javan_1396","@javan_1396")</f>
        <v>@javan_1396</v>
      </c>
      <c r="C44" s="6" t="s">
        <v>3195</v>
      </c>
      <c r="D44" s="5" t="s">
        <v>1473</v>
      </c>
      <c r="E44" s="9" t="str">
        <f>HYPERLINK("https://twitter.com/javan_1396/status/1044958248338706432","1044958248338706432")</f>
        <v>1044958248338706432</v>
      </c>
      <c r="F44" s="4"/>
      <c r="G44" s="4"/>
      <c r="H44" s="4"/>
      <c r="I44" s="10" t="str">
        <f>HYPERLINK("http://twitter.com/download/android","Twitter for Android")</f>
        <v>Twitter for Android</v>
      </c>
      <c r="J44" s="2">
        <v>2746</v>
      </c>
      <c r="K44" s="2">
        <v>2569</v>
      </c>
      <c r="L44" s="2">
        <v>6</v>
      </c>
      <c r="M44" s="2"/>
      <c r="N44" s="8">
        <v>43121.492291666669</v>
      </c>
      <c r="O44" s="4" t="s">
        <v>3194</v>
      </c>
      <c r="P44" s="3" t="s">
        <v>3193</v>
      </c>
      <c r="Q44" s="4"/>
      <c r="R44" s="4"/>
      <c r="S44" s="9" t="str">
        <f>HYPERLINK("https://pbs.twimg.com/profile_images/1039077322303975424/KT6ak9XH.jpg","View")</f>
        <v>View</v>
      </c>
    </row>
    <row r="45" spans="1:19" ht="40">
      <c r="A45" s="8">
        <v>43369.752662037034</v>
      </c>
      <c r="B45" s="11" t="str">
        <f>HYPERLINK("https://twitter.com/pezhmansailor","@pezhmansailor")</f>
        <v>@pezhmansailor</v>
      </c>
      <c r="C45" s="6" t="s">
        <v>137</v>
      </c>
      <c r="D45" s="5" t="s">
        <v>2846</v>
      </c>
      <c r="E45" s="9" t="str">
        <f>HYPERLINK("https://twitter.com/pezhmansailor/status/1044958229644627973","1044958229644627973")</f>
        <v>1044958229644627973</v>
      </c>
      <c r="F45" s="4"/>
      <c r="G45" s="4"/>
      <c r="H45" s="4"/>
      <c r="I45" s="10" t="str">
        <f>HYPERLINK("http://twitter.com/download/android","Twitter for Android")</f>
        <v>Twitter for Android</v>
      </c>
      <c r="J45" s="2">
        <v>166</v>
      </c>
      <c r="K45" s="2">
        <v>902</v>
      </c>
      <c r="L45" s="2">
        <v>4</v>
      </c>
      <c r="M45" s="2"/>
      <c r="N45" s="8">
        <v>42456.104629629626</v>
      </c>
      <c r="O45" s="4" t="s">
        <v>136</v>
      </c>
      <c r="P45" s="3" t="s">
        <v>135</v>
      </c>
      <c r="Q45" s="4"/>
      <c r="R45" s="4"/>
      <c r="S45" s="9" t="str">
        <f>HYPERLINK("https://pbs.twimg.com/profile_images/1042154284647890944/GWVaQLdY.jpg","View")</f>
        <v>View</v>
      </c>
    </row>
    <row r="46" spans="1:19" ht="40">
      <c r="A46" s="8">
        <v>43369.751793981486</v>
      </c>
      <c r="B46" s="11" t="str">
        <f>HYPERLINK("https://twitter.com/SeyedAli_1992","@SeyedAli_1992")</f>
        <v>@SeyedAli_1992</v>
      </c>
      <c r="C46" s="6" t="s">
        <v>3192</v>
      </c>
      <c r="D46" s="5" t="s">
        <v>3191</v>
      </c>
      <c r="E46" s="9" t="str">
        <f>HYPERLINK("https://twitter.com/SeyedAli_1992/status/1044957914685943809","1044957914685943809")</f>
        <v>1044957914685943809</v>
      </c>
      <c r="F46" s="4"/>
      <c r="G46" s="10" t="s">
        <v>3190</v>
      </c>
      <c r="H46" s="4"/>
      <c r="I46" s="10" t="str">
        <f>HYPERLINK("http://twitter.com/download/android","Twitter for Android")</f>
        <v>Twitter for Android</v>
      </c>
      <c r="J46" s="2">
        <v>356</v>
      </c>
      <c r="K46" s="2">
        <v>327</v>
      </c>
      <c r="L46" s="2">
        <v>2</v>
      </c>
      <c r="M46" s="2"/>
      <c r="N46" s="8">
        <v>43175.711261574077</v>
      </c>
      <c r="O46" s="4" t="s">
        <v>3189</v>
      </c>
      <c r="P46" s="3" t="s">
        <v>3188</v>
      </c>
      <c r="Q46" s="4"/>
      <c r="R46" s="4"/>
      <c r="S46" s="9" t="str">
        <f>HYPERLINK("https://pbs.twimg.com/profile_images/994963828168384512/bA_KwOkE.jpg","View")</f>
        <v>View</v>
      </c>
    </row>
    <row r="47" spans="1:19" ht="40">
      <c r="A47" s="8">
        <v>43369.750972222224</v>
      </c>
      <c r="B47" s="11" t="str">
        <f>HYPERLINK("https://twitter.com/A1vaeC5pux8KBjy","@A1vaeC5pux8KBjy")</f>
        <v>@A1vaeC5pux8KBjy</v>
      </c>
      <c r="C47" s="6" t="s">
        <v>3187</v>
      </c>
      <c r="D47" s="5" t="s">
        <v>2846</v>
      </c>
      <c r="E47" s="9" t="str">
        <f>HYPERLINK("https://twitter.com/A1vaeC5pux8KBjy/status/1044957613212012545","1044957613212012545")</f>
        <v>1044957613212012545</v>
      </c>
      <c r="F47" s="4"/>
      <c r="G47" s="4"/>
      <c r="H47" s="4"/>
      <c r="I47" s="10" t="str">
        <f>HYPERLINK("http://twitter.com/download/android","Twitter for Android")</f>
        <v>Twitter for Android</v>
      </c>
      <c r="J47" s="2">
        <v>35</v>
      </c>
      <c r="K47" s="2">
        <v>48</v>
      </c>
      <c r="L47" s="2">
        <v>0</v>
      </c>
      <c r="M47" s="2"/>
      <c r="N47" s="8">
        <v>42776.685370370367</v>
      </c>
      <c r="O47" s="4"/>
      <c r="P47" s="3" t="s">
        <v>3186</v>
      </c>
      <c r="Q47" s="4"/>
      <c r="R47" s="4"/>
      <c r="S47" s="9" t="str">
        <f>HYPERLINK("https://pbs.twimg.com/profile_images/1043958071838560256/1cTeSGjT.jpg","View")</f>
        <v>View</v>
      </c>
    </row>
    <row r="48" spans="1:19" ht="40">
      <c r="A48" s="8">
        <v>43369.750844907408</v>
      </c>
      <c r="B48" s="11" t="str">
        <f>HYPERLINK("https://twitter.com/abiazad2","@abiazad2")</f>
        <v>@abiazad2</v>
      </c>
      <c r="C48" s="6" t="s">
        <v>3185</v>
      </c>
      <c r="D48" s="5" t="s">
        <v>337</v>
      </c>
      <c r="E48" s="9" t="str">
        <f>HYPERLINK("https://twitter.com/abiazad2/status/1044957569050005504","1044957569050005504")</f>
        <v>1044957569050005504</v>
      </c>
      <c r="F48" s="4"/>
      <c r="G48" s="4"/>
      <c r="H48" s="4"/>
      <c r="I48" s="10" t="str">
        <f>HYPERLINK("http://twitter.com/download/iphone","Twitter for iPhone")</f>
        <v>Twitter for iPhone</v>
      </c>
      <c r="J48" s="2">
        <v>3</v>
      </c>
      <c r="K48" s="2">
        <v>24</v>
      </c>
      <c r="L48" s="2">
        <v>0</v>
      </c>
      <c r="M48" s="2"/>
      <c r="N48" s="8">
        <v>43224.807812500003</v>
      </c>
      <c r="O48" s="4"/>
      <c r="P48" s="3"/>
      <c r="Q48" s="4"/>
      <c r="R48" s="4"/>
      <c r="S48" s="2" t="s">
        <v>21</v>
      </c>
    </row>
    <row r="49" spans="1:19" ht="30">
      <c r="A49" s="8">
        <v>43369.750532407408</v>
      </c>
      <c r="B49" s="11" t="str">
        <f>HYPERLINK("https://twitter.com/jigsawirani","@jigsawirani")</f>
        <v>@jigsawirani</v>
      </c>
      <c r="C49" s="6" t="s">
        <v>61</v>
      </c>
      <c r="D49" s="5" t="s">
        <v>2559</v>
      </c>
      <c r="E49" s="9" t="str">
        <f>HYPERLINK("https://twitter.com/jigsawirani/status/1044957455493533696","1044957455493533696")</f>
        <v>1044957455493533696</v>
      </c>
      <c r="F49" s="4"/>
      <c r="G49" s="10" t="s">
        <v>2558</v>
      </c>
      <c r="H49" s="4"/>
      <c r="I49" s="10" t="str">
        <f>HYPERLINK("http://twitter.com/download/android","Twitter for Android")</f>
        <v>Twitter for Android</v>
      </c>
      <c r="J49" s="2">
        <v>4126</v>
      </c>
      <c r="K49" s="2">
        <v>4818</v>
      </c>
      <c r="L49" s="2">
        <v>2</v>
      </c>
      <c r="M49" s="2"/>
      <c r="N49" s="8">
        <v>43224.007326388892</v>
      </c>
      <c r="O49" s="4" t="s">
        <v>60</v>
      </c>
      <c r="P49" s="3" t="s">
        <v>59</v>
      </c>
      <c r="Q49" s="4"/>
      <c r="R49" s="4"/>
      <c r="S49" s="9" t="str">
        <f>HYPERLINK("https://pbs.twimg.com/profile_images/992128402864951296/JQDQdmq-.jpg","View")</f>
        <v>View</v>
      </c>
    </row>
    <row r="50" spans="1:19" ht="30">
      <c r="A50" s="8">
        <v>43369.750243055554</v>
      </c>
      <c r="B50" s="11" t="str">
        <f>HYPERLINK("https://twitter.com/007Iranazad","@007Iranazad")</f>
        <v>@007Iranazad</v>
      </c>
      <c r="C50" s="6">
        <v>7</v>
      </c>
      <c r="D50" s="5" t="s">
        <v>2559</v>
      </c>
      <c r="E50" s="9" t="str">
        <f>HYPERLINK("https://twitter.com/007Iranazad/status/1044957350065405953","1044957350065405953")</f>
        <v>1044957350065405953</v>
      </c>
      <c r="F50" s="4"/>
      <c r="G50" s="10" t="s">
        <v>2558</v>
      </c>
      <c r="H50" s="4"/>
      <c r="I50" s="10" t="str">
        <f>HYPERLINK("http://twitter.com/download/android","Twitter for Android")</f>
        <v>Twitter for Android</v>
      </c>
      <c r="J50" s="2">
        <v>503</v>
      </c>
      <c r="K50" s="2">
        <v>795</v>
      </c>
      <c r="L50" s="2">
        <v>1</v>
      </c>
      <c r="M50" s="2"/>
      <c r="N50" s="8">
        <v>43027.981840277775</v>
      </c>
      <c r="O50" s="4" t="s">
        <v>30</v>
      </c>
      <c r="P50" s="3" t="s">
        <v>884</v>
      </c>
      <c r="Q50" s="4"/>
      <c r="R50" s="4"/>
      <c r="S50" s="9" t="str">
        <f>HYPERLINK("https://pbs.twimg.com/profile_images/988492351256580097/Lk7qbCl7.jpg","View")</f>
        <v>View</v>
      </c>
    </row>
    <row r="51" spans="1:19" ht="40">
      <c r="A51" s="8">
        <v>43369.75001157407</v>
      </c>
      <c r="B51" s="11" t="str">
        <f>HYPERLINK("https://twitter.com/KhanumHaj","@KhanumHaj")</f>
        <v>@KhanumHaj</v>
      </c>
      <c r="C51" s="6" t="s">
        <v>3184</v>
      </c>
      <c r="D51" s="5" t="s">
        <v>2846</v>
      </c>
      <c r="E51" s="9" t="str">
        <f>HYPERLINK("https://twitter.com/KhanumHaj/status/1044957267421007873","1044957267421007873")</f>
        <v>1044957267421007873</v>
      </c>
      <c r="F51" s="4"/>
      <c r="G51" s="4"/>
      <c r="H51" s="4"/>
      <c r="I51" s="10" t="str">
        <f>HYPERLINK("http://twitter.com/download/iphone","Twitter for iPhone")</f>
        <v>Twitter for iPhone</v>
      </c>
      <c r="J51" s="2">
        <v>11</v>
      </c>
      <c r="K51" s="2">
        <v>22</v>
      </c>
      <c r="L51" s="2">
        <v>0</v>
      </c>
      <c r="M51" s="2"/>
      <c r="N51" s="8">
        <v>43366.578043981484</v>
      </c>
      <c r="O51" s="4"/>
      <c r="P51" s="3"/>
      <c r="Q51" s="4"/>
      <c r="R51" s="4"/>
      <c r="S51" s="9" t="str">
        <f>HYPERLINK("https://pbs.twimg.com/profile_images/1044684966079213569/PDUE6toz.jpg","View")</f>
        <v>View</v>
      </c>
    </row>
    <row r="52" spans="1:19" ht="40">
      <c r="A52" s="8">
        <v>43369.749756944446</v>
      </c>
      <c r="B52" s="11" t="str">
        <f>HYPERLINK("https://twitter.com/parvana64208745","@parvana64208745")</f>
        <v>@parvana64208745</v>
      </c>
      <c r="C52" s="6" t="s">
        <v>3183</v>
      </c>
      <c r="D52" s="5" t="s">
        <v>2846</v>
      </c>
      <c r="E52" s="9" t="str">
        <f>HYPERLINK("https://twitter.com/parvana64208745/status/1044957174328373248","1044957174328373248")</f>
        <v>1044957174328373248</v>
      </c>
      <c r="F52" s="4"/>
      <c r="G52" s="4"/>
      <c r="H52" s="4"/>
      <c r="I52" s="10" t="str">
        <f>HYPERLINK("http://twitter.com/download/android","Twitter for Android")</f>
        <v>Twitter for Android</v>
      </c>
      <c r="J52" s="2">
        <v>2054</v>
      </c>
      <c r="K52" s="2">
        <v>840</v>
      </c>
      <c r="L52" s="2">
        <v>3</v>
      </c>
      <c r="M52" s="2"/>
      <c r="N52" s="8">
        <v>42927.007708333331</v>
      </c>
      <c r="O52" s="4" t="s">
        <v>3182</v>
      </c>
      <c r="P52" s="3" t="s">
        <v>3181</v>
      </c>
      <c r="Q52" s="4"/>
      <c r="R52" s="4"/>
      <c r="S52" s="9" t="str">
        <f>HYPERLINK("https://pbs.twimg.com/profile_images/989957660312260609/jqXvBoyw.jpg","View")</f>
        <v>View</v>
      </c>
    </row>
    <row r="53" spans="1:19" ht="30">
      <c r="A53" s="8">
        <v>43369.7496875</v>
      </c>
      <c r="B53" s="11" t="str">
        <f>HYPERLINK("https://twitter.com/sarabb_66","@sarabb_66")</f>
        <v>@sarabb_66</v>
      </c>
      <c r="C53" s="6" t="s">
        <v>3180</v>
      </c>
      <c r="D53" s="5" t="s">
        <v>2559</v>
      </c>
      <c r="E53" s="9" t="str">
        <f>HYPERLINK("https://twitter.com/sarabb_66/status/1044957150030843904","1044957150030843904")</f>
        <v>1044957150030843904</v>
      </c>
      <c r="F53" s="4"/>
      <c r="G53" s="10" t="s">
        <v>2558</v>
      </c>
      <c r="H53" s="4"/>
      <c r="I53" s="10" t="str">
        <f>HYPERLINK("http://twitter.com/download/android","Twitter for Android")</f>
        <v>Twitter for Android</v>
      </c>
      <c r="J53" s="2">
        <v>49</v>
      </c>
      <c r="K53" s="2">
        <v>86</v>
      </c>
      <c r="L53" s="2">
        <v>0</v>
      </c>
      <c r="M53" s="2"/>
      <c r="N53" s="8">
        <v>43323.924953703703</v>
      </c>
      <c r="O53" s="4"/>
      <c r="P53" s="3" t="s">
        <v>3179</v>
      </c>
      <c r="Q53" s="4"/>
      <c r="R53" s="4"/>
      <c r="S53" s="9" t="str">
        <f>HYPERLINK("https://pbs.twimg.com/profile_images/1029477631396380672/NrC8kfJO.jpg","View")</f>
        <v>View</v>
      </c>
    </row>
    <row r="54" spans="1:19" ht="30">
      <c r="A54" s="8">
        <v>43369.749548611115</v>
      </c>
      <c r="B54" s="11" t="str">
        <f>HYPERLINK("https://twitter.com/Samane7173","@Samane7173")</f>
        <v>@Samane7173</v>
      </c>
      <c r="C54" s="6" t="s">
        <v>3178</v>
      </c>
      <c r="D54" s="5" t="s">
        <v>3177</v>
      </c>
      <c r="E54" s="9" t="str">
        <f>HYPERLINK("https://twitter.com/Samane7173/status/1044957100680650754","1044957100680650754")</f>
        <v>1044957100680650754</v>
      </c>
      <c r="F54" s="4"/>
      <c r="G54" s="4"/>
      <c r="H54" s="4"/>
      <c r="I54" s="10" t="str">
        <f>HYPERLINK("http://twitter.com/download/android","Twitter for Android")</f>
        <v>Twitter for Android</v>
      </c>
      <c r="J54" s="2">
        <v>263</v>
      </c>
      <c r="K54" s="2">
        <v>754</v>
      </c>
      <c r="L54" s="2">
        <v>0</v>
      </c>
      <c r="M54" s="2"/>
      <c r="N54" s="8">
        <v>42625.426539351851</v>
      </c>
      <c r="O54" s="4" t="s">
        <v>3176</v>
      </c>
      <c r="P54" s="3"/>
      <c r="Q54" s="4"/>
      <c r="R54" s="4"/>
      <c r="S54" s="9" t="str">
        <f>HYPERLINK("https://pbs.twimg.com/profile_images/1011474754778402816/ffN2SyST.jpg","View")</f>
        <v>View</v>
      </c>
    </row>
    <row r="55" spans="1:19" ht="30">
      <c r="A55" s="8">
        <v>43369.748819444445</v>
      </c>
      <c r="B55" s="11" t="str">
        <f>HYPERLINK("https://twitter.com/kkkm69","@kkkm69")</f>
        <v>@kkkm69</v>
      </c>
      <c r="C55" s="6" t="s">
        <v>3175</v>
      </c>
      <c r="D55" s="5" t="s">
        <v>2559</v>
      </c>
      <c r="E55" s="9" t="str">
        <f>HYPERLINK("https://twitter.com/kkkm69/status/1044956836766642186","1044956836766642186")</f>
        <v>1044956836766642186</v>
      </c>
      <c r="F55" s="4"/>
      <c r="G55" s="10" t="s">
        <v>2558</v>
      </c>
      <c r="H55" s="4"/>
      <c r="I55" s="10" t="str">
        <f>HYPERLINK("http://twitter.com/download/android","Twitter for Android")</f>
        <v>Twitter for Android</v>
      </c>
      <c r="J55" s="2">
        <v>75</v>
      </c>
      <c r="K55" s="2">
        <v>549</v>
      </c>
      <c r="L55" s="2">
        <v>0</v>
      </c>
      <c r="M55" s="2"/>
      <c r="N55" s="8">
        <v>43321.433749999997</v>
      </c>
      <c r="O55" s="4" t="s">
        <v>3174</v>
      </c>
      <c r="P55" s="3" t="s">
        <v>3173</v>
      </c>
      <c r="Q55" s="4"/>
      <c r="R55" s="4"/>
      <c r="S55" s="9" t="str">
        <f>HYPERLINK("https://pbs.twimg.com/profile_images/1029601075110834176/NRpLqyd5.jpg","View")</f>
        <v>View</v>
      </c>
    </row>
    <row r="56" spans="1:19" ht="40">
      <c r="A56" s="8">
        <v>43369.748564814814</v>
      </c>
      <c r="B56" s="11" t="str">
        <f>HYPERLINK("https://twitter.com/AlirezaMahsa","@AlirezaMahsa")</f>
        <v>@AlirezaMahsa</v>
      </c>
      <c r="C56" s="6" t="s">
        <v>2350</v>
      </c>
      <c r="D56" s="5" t="s">
        <v>2846</v>
      </c>
      <c r="E56" s="9" t="str">
        <f>HYPERLINK("https://twitter.com/AlirezaMahsa/status/1044956742080233472","1044956742080233472")</f>
        <v>1044956742080233472</v>
      </c>
      <c r="F56" s="4"/>
      <c r="G56" s="4"/>
      <c r="H56" s="4"/>
      <c r="I56" s="10" t="str">
        <f>HYPERLINK("http://twitter.com/download/iphone","Twitter for iPhone")</f>
        <v>Twitter for iPhone</v>
      </c>
      <c r="J56" s="2">
        <v>64</v>
      </c>
      <c r="K56" s="2">
        <v>155</v>
      </c>
      <c r="L56" s="2">
        <v>0</v>
      </c>
      <c r="M56" s="2"/>
      <c r="N56" s="8">
        <v>41695.081006944441</v>
      </c>
      <c r="O56" s="4"/>
      <c r="P56" s="3" t="s">
        <v>2349</v>
      </c>
      <c r="Q56" s="4"/>
      <c r="R56" s="4"/>
      <c r="S56" s="9" t="str">
        <f>HYPERLINK("https://pbs.twimg.com/profile_images/438077950186250240/wb4ZUl5Z.jpeg","View")</f>
        <v>View</v>
      </c>
    </row>
    <row r="57" spans="1:19" ht="30">
      <c r="A57" s="8">
        <v>43369.748252314814</v>
      </c>
      <c r="B57" s="11" t="str">
        <f>HYPERLINK("https://twitter.com/Mehrnoo55121501","@Mehrnoo55121501")</f>
        <v>@Mehrnoo55121501</v>
      </c>
      <c r="C57" s="6" t="s">
        <v>173</v>
      </c>
      <c r="D57" s="5" t="s">
        <v>2559</v>
      </c>
      <c r="E57" s="9" t="str">
        <f>HYPERLINK("https://twitter.com/Mehrnoo55121501/status/1044956629991641088","1044956629991641088")</f>
        <v>1044956629991641088</v>
      </c>
      <c r="F57" s="4"/>
      <c r="G57" s="10" t="s">
        <v>2558</v>
      </c>
      <c r="H57" s="4"/>
      <c r="I57" s="10" t="str">
        <f>HYPERLINK("http://twitter.com/download/android","Twitter for Android")</f>
        <v>Twitter for Android</v>
      </c>
      <c r="J57" s="2">
        <v>109</v>
      </c>
      <c r="K57" s="2">
        <v>145</v>
      </c>
      <c r="L57" s="2">
        <v>0</v>
      </c>
      <c r="M57" s="2"/>
      <c r="N57" s="8">
        <v>43250.936168981483</v>
      </c>
      <c r="O57" s="4"/>
      <c r="P57" s="3" t="s">
        <v>170</v>
      </c>
      <c r="Q57" s="4"/>
      <c r="R57" s="4"/>
      <c r="S57" s="9" t="str">
        <f>HYPERLINK("https://pbs.twimg.com/profile_images/1001897228124991490/mY5TDuwn.jpg","View")</f>
        <v>View</v>
      </c>
    </row>
    <row r="58" spans="1:19" ht="40">
      <c r="A58" s="8">
        <v>43369.747627314813</v>
      </c>
      <c r="B58" s="11" t="str">
        <f>HYPERLINK("https://twitter.com/shahriyar1983","@shahriyar1983")</f>
        <v>@shahriyar1983</v>
      </c>
      <c r="C58" s="6" t="s">
        <v>3168</v>
      </c>
      <c r="D58" s="5" t="s">
        <v>2846</v>
      </c>
      <c r="E58" s="9" t="str">
        <f>HYPERLINK("https://twitter.com/shahriyar1983/status/1044956405084622849","1044956405084622849")</f>
        <v>1044956405084622849</v>
      </c>
      <c r="F58" s="4"/>
      <c r="G58" s="4"/>
      <c r="H58" s="4"/>
      <c r="I58" s="10" t="str">
        <f>HYPERLINK("https://mobile.twitter.com","Twitter Lite")</f>
        <v>Twitter Lite</v>
      </c>
      <c r="J58" s="2">
        <v>87</v>
      </c>
      <c r="K58" s="2">
        <v>340</v>
      </c>
      <c r="L58" s="2">
        <v>0</v>
      </c>
      <c r="M58" s="2"/>
      <c r="N58" s="8">
        <v>43089.808738425927</v>
      </c>
      <c r="O58" s="4"/>
      <c r="P58" s="3" t="s">
        <v>3167</v>
      </c>
      <c r="Q58" s="4"/>
      <c r="R58" s="4"/>
      <c r="S58" s="9" t="str">
        <f>HYPERLINK("https://pbs.twimg.com/profile_images/1025262714363539456/8Qj4rsYz.jpg","View")</f>
        <v>View</v>
      </c>
    </row>
    <row r="59" spans="1:19" ht="40">
      <c r="A59" s="8">
        <v>43369.747604166667</v>
      </c>
      <c r="B59" s="11" t="str">
        <f>HYPERLINK("https://twitter.com/Taam06031909","@Taam06031909")</f>
        <v>@Taam06031909</v>
      </c>
      <c r="C59" s="6" t="s">
        <v>1152</v>
      </c>
      <c r="D59" s="5" t="s">
        <v>2846</v>
      </c>
      <c r="E59" s="9" t="str">
        <f>HYPERLINK("https://twitter.com/Taam06031909/status/1044956393957183489","1044956393957183489")</f>
        <v>1044956393957183489</v>
      </c>
      <c r="F59" s="4"/>
      <c r="G59" s="4"/>
      <c r="H59" s="4"/>
      <c r="I59" s="10" t="str">
        <f>HYPERLINK("http://twitter.com/download/android","Twitter for Android")</f>
        <v>Twitter for Android</v>
      </c>
      <c r="J59" s="2">
        <v>27</v>
      </c>
      <c r="K59" s="2">
        <v>146</v>
      </c>
      <c r="L59" s="2">
        <v>0</v>
      </c>
      <c r="M59" s="2"/>
      <c r="N59" s="8">
        <v>43331.573935185181</v>
      </c>
      <c r="O59" s="4" t="s">
        <v>3172</v>
      </c>
      <c r="P59" s="3" t="s">
        <v>3171</v>
      </c>
      <c r="Q59" s="4"/>
      <c r="R59" s="4"/>
      <c r="S59" s="9" t="str">
        <f>HYPERLINK("https://pbs.twimg.com/profile_images/1042706652946984960/phWvOb4A.jpg","View")</f>
        <v>View</v>
      </c>
    </row>
    <row r="60" spans="1:19" ht="40">
      <c r="A60" s="8">
        <v>43369.747037037036</v>
      </c>
      <c r="B60" s="11" t="str">
        <f>HYPERLINK("https://twitter.com/freedom_hugo","@freedom_hugo")</f>
        <v>@freedom_hugo</v>
      </c>
      <c r="C60" s="6" t="s">
        <v>3170</v>
      </c>
      <c r="D60" s="5" t="s">
        <v>2846</v>
      </c>
      <c r="E60" s="9" t="str">
        <f>HYPERLINK("https://twitter.com/freedom_hugo/status/1044956188440494080","1044956188440494080")</f>
        <v>1044956188440494080</v>
      </c>
      <c r="F60" s="4"/>
      <c r="G60" s="4"/>
      <c r="H60" s="4"/>
      <c r="I60" s="10" t="str">
        <f>HYPERLINK("http://twitter.com/download/android","Twitter for Android")</f>
        <v>Twitter for Android</v>
      </c>
      <c r="J60" s="2">
        <v>346</v>
      </c>
      <c r="K60" s="2">
        <v>189</v>
      </c>
      <c r="L60" s="2">
        <v>1</v>
      </c>
      <c r="M60" s="2"/>
      <c r="N60" s="8">
        <v>43299.917314814811</v>
      </c>
      <c r="O60" s="4"/>
      <c r="P60" s="3"/>
      <c r="Q60" s="4"/>
      <c r="R60" s="4"/>
      <c r="S60" s="9" t="str">
        <f>HYPERLINK("https://pbs.twimg.com/profile_images/1019637673714159616/0ATLhsxq.jpg","View")</f>
        <v>View</v>
      </c>
    </row>
    <row r="61" spans="1:19" ht="30">
      <c r="A61" s="8">
        <v>43369.746458333335</v>
      </c>
      <c r="B61" s="11" t="str">
        <f>HYPERLINK("https://twitter.com/shirin_attar","@shirin_attar")</f>
        <v>@shirin_attar</v>
      </c>
      <c r="C61" s="6"/>
      <c r="D61" s="5" t="s">
        <v>2559</v>
      </c>
      <c r="E61" s="9" t="str">
        <f>HYPERLINK("https://twitter.com/shirin_attar/status/1044955977534111745","1044955977534111745")</f>
        <v>1044955977534111745</v>
      </c>
      <c r="F61" s="4"/>
      <c r="G61" s="10" t="s">
        <v>2558</v>
      </c>
      <c r="H61" s="4"/>
      <c r="I61" s="10" t="str">
        <f>HYPERLINK("http://twitter.com/download/android","Twitter for Android")</f>
        <v>Twitter for Android</v>
      </c>
      <c r="J61" s="2">
        <v>85</v>
      </c>
      <c r="K61" s="2">
        <v>133</v>
      </c>
      <c r="L61" s="2">
        <v>0</v>
      </c>
      <c r="M61" s="2"/>
      <c r="N61" s="8">
        <v>43232.949282407411</v>
      </c>
      <c r="O61" s="4"/>
      <c r="P61" s="3"/>
      <c r="Q61" s="4"/>
      <c r="R61" s="4"/>
      <c r="S61" s="9" t="str">
        <f>HYPERLINK("https://pbs.twimg.com/profile_images/1033910438835249152/j8fce-tU.jpg","View")</f>
        <v>View</v>
      </c>
    </row>
    <row r="62" spans="1:19" ht="30">
      <c r="A62" s="8">
        <v>43369.746412037042</v>
      </c>
      <c r="B62" s="11" t="str">
        <f>HYPERLINK("https://twitter.com/HassanS09869130","@HassanS09869130")</f>
        <v>@HassanS09869130</v>
      </c>
      <c r="C62" s="6" t="s">
        <v>3169</v>
      </c>
      <c r="D62" s="5" t="s">
        <v>2559</v>
      </c>
      <c r="E62" s="9" t="str">
        <f>HYPERLINK("https://twitter.com/HassanS09869130/status/1044955964196233216","1044955964196233216")</f>
        <v>1044955964196233216</v>
      </c>
      <c r="F62" s="4"/>
      <c r="G62" s="10" t="s">
        <v>2558</v>
      </c>
      <c r="H62" s="4"/>
      <c r="I62" s="10" t="str">
        <f>HYPERLINK("http://twitter.com/download/iphone","Twitter for iPhone")</f>
        <v>Twitter for iPhone</v>
      </c>
      <c r="J62" s="2">
        <v>94</v>
      </c>
      <c r="K62" s="2">
        <v>113</v>
      </c>
      <c r="L62" s="2">
        <v>0</v>
      </c>
      <c r="M62" s="2"/>
      <c r="N62" s="8">
        <v>43029.451724537037</v>
      </c>
      <c r="O62" s="4" t="s">
        <v>7</v>
      </c>
      <c r="P62" s="3"/>
      <c r="Q62" s="4"/>
      <c r="R62" s="4"/>
      <c r="S62" s="9" t="str">
        <f>HYPERLINK("https://pbs.twimg.com/profile_images/938877642870272000/BXaUqxbO.jpg","View")</f>
        <v>View</v>
      </c>
    </row>
    <row r="63" spans="1:19" ht="30">
      <c r="A63" s="8">
        <v>43369.746168981481</v>
      </c>
      <c r="B63" s="11" t="str">
        <f>HYPERLINK("https://twitter.com/shahriyar1983","@shahriyar1983")</f>
        <v>@shahriyar1983</v>
      </c>
      <c r="C63" s="6" t="s">
        <v>3168</v>
      </c>
      <c r="D63" s="5" t="s">
        <v>2559</v>
      </c>
      <c r="E63" s="9" t="str">
        <f>HYPERLINK("https://twitter.com/shahriyar1983/status/1044955875063091200","1044955875063091200")</f>
        <v>1044955875063091200</v>
      </c>
      <c r="F63" s="4"/>
      <c r="G63" s="10" t="s">
        <v>2558</v>
      </c>
      <c r="H63" s="4"/>
      <c r="I63" s="10" t="str">
        <f>HYPERLINK("https://mobile.twitter.com","Twitter Lite")</f>
        <v>Twitter Lite</v>
      </c>
      <c r="J63" s="2">
        <v>87</v>
      </c>
      <c r="K63" s="2">
        <v>340</v>
      </c>
      <c r="L63" s="2">
        <v>0</v>
      </c>
      <c r="M63" s="2"/>
      <c r="N63" s="8">
        <v>43089.808738425927</v>
      </c>
      <c r="O63" s="4"/>
      <c r="P63" s="3" t="s">
        <v>3167</v>
      </c>
      <c r="Q63" s="4"/>
      <c r="R63" s="4"/>
      <c r="S63" s="9" t="str">
        <f>HYPERLINK("https://pbs.twimg.com/profile_images/1025262714363539456/8Qj4rsYz.jpg","View")</f>
        <v>View</v>
      </c>
    </row>
    <row r="64" spans="1:19" ht="30">
      <c r="A64" s="8">
        <v>43369.745069444441</v>
      </c>
      <c r="B64" s="11" t="str">
        <f>HYPERLINK("https://twitter.com/soroosh72695773","@soroosh72695773")</f>
        <v>@soroosh72695773</v>
      </c>
      <c r="C64" s="6" t="s">
        <v>3166</v>
      </c>
      <c r="D64" s="5" t="s">
        <v>2559</v>
      </c>
      <c r="E64" s="9" t="str">
        <f>HYPERLINK("https://twitter.com/soroosh72695773/status/1044955476486569984","1044955476486569984")</f>
        <v>1044955476486569984</v>
      </c>
      <c r="F64" s="4"/>
      <c r="G64" s="10" t="s">
        <v>2558</v>
      </c>
      <c r="H64" s="4"/>
      <c r="I64" s="10" t="str">
        <f>HYPERLINK("https://mobile.twitter.com","Twitter Lite")</f>
        <v>Twitter Lite</v>
      </c>
      <c r="J64" s="2">
        <v>101</v>
      </c>
      <c r="K64" s="2">
        <v>235</v>
      </c>
      <c r="L64" s="2">
        <v>1</v>
      </c>
      <c r="M64" s="2"/>
      <c r="N64" s="8">
        <v>43239.759710648148</v>
      </c>
      <c r="O64" s="4"/>
      <c r="P64" s="3"/>
      <c r="Q64" s="4"/>
      <c r="R64" s="4"/>
      <c r="S64" s="2" t="s">
        <v>21</v>
      </c>
    </row>
    <row r="65" spans="1:19" ht="40">
      <c r="A65" s="8">
        <v>43369.744976851856</v>
      </c>
      <c r="B65" s="11" t="str">
        <f>HYPERLINK("https://twitter.com/shirin_attar","@shirin_attar")</f>
        <v>@shirin_attar</v>
      </c>
      <c r="C65" s="6"/>
      <c r="D65" s="5" t="s">
        <v>2846</v>
      </c>
      <c r="E65" s="9" t="str">
        <f>HYPERLINK("https://twitter.com/shirin_attar/status/1044955440629657600","1044955440629657600")</f>
        <v>1044955440629657600</v>
      </c>
      <c r="F65" s="4"/>
      <c r="G65" s="4"/>
      <c r="H65" s="4"/>
      <c r="I65" s="10" t="str">
        <f>HYPERLINK("http://twitter.com/download/android","Twitter for Android")</f>
        <v>Twitter for Android</v>
      </c>
      <c r="J65" s="2">
        <v>85</v>
      </c>
      <c r="K65" s="2">
        <v>133</v>
      </c>
      <c r="L65" s="2">
        <v>0</v>
      </c>
      <c r="M65" s="2"/>
      <c r="N65" s="8">
        <v>43232.949282407411</v>
      </c>
      <c r="O65" s="4"/>
      <c r="P65" s="3"/>
      <c r="Q65" s="4"/>
      <c r="R65" s="4"/>
      <c r="S65" s="9" t="str">
        <f>HYPERLINK("https://pbs.twimg.com/profile_images/1033910438835249152/j8fce-tU.jpg","View")</f>
        <v>View</v>
      </c>
    </row>
    <row r="66" spans="1:19" ht="40">
      <c r="A66" s="8">
        <v>43369.744444444441</v>
      </c>
      <c r="B66" s="11" t="str">
        <f>HYPERLINK("https://twitter.com/BestFarsi","@BestFarsi")</f>
        <v>@BestFarsi</v>
      </c>
      <c r="C66" s="6" t="s">
        <v>3165</v>
      </c>
      <c r="D66" s="5" t="s">
        <v>1556</v>
      </c>
      <c r="E66" s="9" t="str">
        <f>HYPERLINK("https://twitter.com/BestFarsi/status/1044955250132701187","1044955250132701187")</f>
        <v>1044955250132701187</v>
      </c>
      <c r="F66" s="4"/>
      <c r="G66" s="4"/>
      <c r="H66" s="4"/>
      <c r="I66" s="10" t="str">
        <f>HYPERLINK("https://bestfarsi.com","Best Farsi Project")</f>
        <v>Best Farsi Project</v>
      </c>
      <c r="J66" s="2">
        <v>8794</v>
      </c>
      <c r="K66" s="2">
        <v>1209</v>
      </c>
      <c r="L66" s="2">
        <v>53</v>
      </c>
      <c r="M66" s="2"/>
      <c r="N66" s="8">
        <v>42971.128634259258</v>
      </c>
      <c r="O66" s="4"/>
      <c r="P66" s="3" t="s">
        <v>3164</v>
      </c>
      <c r="Q66" s="10" t="s">
        <v>3163</v>
      </c>
      <c r="R66" s="4"/>
      <c r="S66" s="9" t="str">
        <f>HYPERLINK("https://pbs.twimg.com/profile_images/972998668302172160/19eihMHI.jpg","View")</f>
        <v>View</v>
      </c>
    </row>
    <row r="67" spans="1:19" ht="40">
      <c r="A67" s="8">
        <v>43369.743715277778</v>
      </c>
      <c r="B67" s="11" t="str">
        <f>HYPERLINK("https://twitter.com/M26808113","@M26808113")</f>
        <v>@M26808113</v>
      </c>
      <c r="C67" s="6" t="s">
        <v>3162</v>
      </c>
      <c r="D67" s="5" t="s">
        <v>2846</v>
      </c>
      <c r="E67" s="9" t="str">
        <f>HYPERLINK("https://twitter.com/M26808113/status/1044954986055180289","1044954986055180289")</f>
        <v>1044954986055180289</v>
      </c>
      <c r="F67" s="4"/>
      <c r="G67" s="4"/>
      <c r="H67" s="4"/>
      <c r="I67" s="10" t="str">
        <f>HYPERLINK("http://twitter.com/download/android","Twitter for Android")</f>
        <v>Twitter for Android</v>
      </c>
      <c r="J67" s="2">
        <v>78</v>
      </c>
      <c r="K67" s="2">
        <v>25</v>
      </c>
      <c r="L67" s="2">
        <v>0</v>
      </c>
      <c r="M67" s="2"/>
      <c r="N67" s="8">
        <v>43280.619664351849</v>
      </c>
      <c r="O67" s="4"/>
      <c r="P67" s="3"/>
      <c r="Q67" s="4"/>
      <c r="R67" s="4"/>
      <c r="S67" s="9" t="str">
        <f>HYPERLINK("https://pbs.twimg.com/profile_images/1025109607851741185/v5cWbtUF.jpg","View")</f>
        <v>View</v>
      </c>
    </row>
    <row r="68" spans="1:19" ht="30">
      <c r="A68" s="8">
        <v>43369.743425925924</v>
      </c>
      <c r="B68" s="11" t="str">
        <f>HYPERLINK("https://twitter.com/sahariii10","@sahariii10")</f>
        <v>@sahariii10</v>
      </c>
      <c r="C68" s="6" t="s">
        <v>3161</v>
      </c>
      <c r="D68" s="5" t="s">
        <v>2559</v>
      </c>
      <c r="E68" s="9" t="str">
        <f>HYPERLINK("https://twitter.com/sahariii10/status/1044954879700209664","1044954879700209664")</f>
        <v>1044954879700209664</v>
      </c>
      <c r="F68" s="4"/>
      <c r="G68" s="10" t="s">
        <v>2558</v>
      </c>
      <c r="H68" s="4"/>
      <c r="I68" s="10" t="str">
        <f>HYPERLINK("http://twitter.com/download/iphone","Twitter for iPhone")</f>
        <v>Twitter for iPhone</v>
      </c>
      <c r="J68" s="2">
        <v>51</v>
      </c>
      <c r="K68" s="2">
        <v>46</v>
      </c>
      <c r="L68" s="2">
        <v>0</v>
      </c>
      <c r="M68" s="2"/>
      <c r="N68" s="8">
        <v>43295.877071759256</v>
      </c>
      <c r="O68" s="4"/>
      <c r="P68" s="3"/>
      <c r="Q68" s="4"/>
      <c r="R68" s="4"/>
      <c r="S68" s="2" t="s">
        <v>21</v>
      </c>
    </row>
    <row r="69" spans="1:19" ht="50">
      <c r="A69" s="8">
        <v>43369.743206018524</v>
      </c>
      <c r="B69" s="11" t="str">
        <f>HYPERLINK("https://twitter.com/EzzatiMorteza","@EzzatiMorteza")</f>
        <v>@EzzatiMorteza</v>
      </c>
      <c r="C69" s="6" t="s">
        <v>3160</v>
      </c>
      <c r="D69" s="5" t="s">
        <v>3159</v>
      </c>
      <c r="E69" s="9" t="str">
        <f>HYPERLINK("https://twitter.com/EzzatiMorteza/status/1044954802055270400","1044954802055270400")</f>
        <v>1044954802055270400</v>
      </c>
      <c r="F69" s="4"/>
      <c r="G69" s="10" t="s">
        <v>3158</v>
      </c>
      <c r="H69" s="4"/>
      <c r="I69" s="10" t="str">
        <f>HYPERLINK("http://twitter.com/download/iphone","Twitter for iPhone")</f>
        <v>Twitter for iPhone</v>
      </c>
      <c r="J69" s="2">
        <v>51</v>
      </c>
      <c r="K69" s="2">
        <v>130</v>
      </c>
      <c r="L69" s="2">
        <v>0</v>
      </c>
      <c r="M69" s="2"/>
      <c r="N69" s="8">
        <v>43024.017650462964</v>
      </c>
      <c r="O69" s="4" t="s">
        <v>636</v>
      </c>
      <c r="P69" s="3"/>
      <c r="Q69" s="4"/>
      <c r="R69" s="4"/>
      <c r="S69" s="9" t="str">
        <f>HYPERLINK("https://pbs.twimg.com/profile_images/1021051093957136385/RhbhsiEO.jpg","View")</f>
        <v>View</v>
      </c>
    </row>
    <row r="70" spans="1:19" ht="30">
      <c r="A70" s="8">
        <v>43369.74287037037</v>
      </c>
      <c r="B70" s="11" t="str">
        <f>HYPERLINK("https://twitter.com/seeu52","@seeu52")</f>
        <v>@seeu52</v>
      </c>
      <c r="C70" s="6" t="s">
        <v>3157</v>
      </c>
      <c r="D70" s="5" t="s">
        <v>3128</v>
      </c>
      <c r="E70" s="9" t="str">
        <f>HYPERLINK("https://twitter.com/seeu52/status/1044954678415495169","1044954678415495169")</f>
        <v>1044954678415495169</v>
      </c>
      <c r="F70" s="4"/>
      <c r="G70" s="4"/>
      <c r="H70" s="4"/>
      <c r="I70" s="10" t="str">
        <f>HYPERLINK("http://twitter.com/download/android","Twitter for Android")</f>
        <v>Twitter for Android</v>
      </c>
      <c r="J70" s="2">
        <v>269</v>
      </c>
      <c r="K70" s="2">
        <v>293</v>
      </c>
      <c r="L70" s="2">
        <v>0</v>
      </c>
      <c r="M70" s="2"/>
      <c r="N70" s="8">
        <v>42926.073819444442</v>
      </c>
      <c r="O70" s="4"/>
      <c r="P70" s="3" t="s">
        <v>3156</v>
      </c>
      <c r="Q70" s="4"/>
      <c r="R70" s="4"/>
      <c r="S70" s="9" t="str">
        <f>HYPERLINK("https://pbs.twimg.com/profile_images/1000077418869207040/agOj06lH.jpg","View")</f>
        <v>View</v>
      </c>
    </row>
    <row r="71" spans="1:19" ht="40">
      <c r="A71" s="8">
        <v>43369.742511574077</v>
      </c>
      <c r="B71" s="11" t="str">
        <f>HYPERLINK("https://twitter.com/DavidKh26","@DavidKh26")</f>
        <v>@DavidKh26</v>
      </c>
      <c r="C71" s="6" t="s">
        <v>3155</v>
      </c>
      <c r="D71" s="5" t="s">
        <v>2846</v>
      </c>
      <c r="E71" s="9" t="str">
        <f>HYPERLINK("https://twitter.com/DavidKh26/status/1044954551109935104","1044954551109935104")</f>
        <v>1044954551109935104</v>
      </c>
      <c r="F71" s="4"/>
      <c r="G71" s="4"/>
      <c r="H71" s="4"/>
      <c r="I71" s="10" t="str">
        <f>HYPERLINK("http://twitter.com/download/iphone","Twitter for iPhone")</f>
        <v>Twitter for iPhone</v>
      </c>
      <c r="J71" s="2">
        <v>11</v>
      </c>
      <c r="K71" s="2">
        <v>72</v>
      </c>
      <c r="L71" s="2">
        <v>0</v>
      </c>
      <c r="M71" s="2"/>
      <c r="N71" s="8">
        <v>41935.11314814815</v>
      </c>
      <c r="O71" s="4" t="s">
        <v>3154</v>
      </c>
      <c r="P71" s="3" t="s">
        <v>3153</v>
      </c>
      <c r="Q71" s="4"/>
      <c r="R71" s="4"/>
      <c r="S71" s="9" t="str">
        <f>HYPERLINK("https://pbs.twimg.com/profile_images/1044829671978930184/GLMWt5W1.jpg","View")</f>
        <v>View</v>
      </c>
    </row>
    <row r="72" spans="1:19" ht="30">
      <c r="A72" s="8">
        <v>43369.741574074069</v>
      </c>
      <c r="B72" s="11" t="str">
        <f>HYPERLINK("https://twitter.com/RiverSide313","@RiverSide313")</f>
        <v>@RiverSide313</v>
      </c>
      <c r="C72" s="6" t="s">
        <v>3152</v>
      </c>
      <c r="D72" s="5" t="s">
        <v>3128</v>
      </c>
      <c r="E72" s="9" t="str">
        <f>HYPERLINK("https://twitter.com/RiverSide313/status/1044954210729684999","1044954210729684999")</f>
        <v>1044954210729684999</v>
      </c>
      <c r="F72" s="4"/>
      <c r="G72" s="4"/>
      <c r="H72" s="4"/>
      <c r="I72" s="10" t="str">
        <f>HYPERLINK("http://twitter.com/download/android","Twitter for Android")</f>
        <v>Twitter for Android</v>
      </c>
      <c r="J72" s="2">
        <v>427</v>
      </c>
      <c r="K72" s="2">
        <v>295</v>
      </c>
      <c r="L72" s="2">
        <v>2</v>
      </c>
      <c r="M72" s="2"/>
      <c r="N72" s="8">
        <v>42744.062939814816</v>
      </c>
      <c r="O72" s="4" t="s">
        <v>25</v>
      </c>
      <c r="P72" s="3" t="s">
        <v>3151</v>
      </c>
      <c r="Q72" s="4"/>
      <c r="R72" s="4"/>
      <c r="S72" s="9" t="str">
        <f>HYPERLINK("https://pbs.twimg.com/profile_images/1038804846571397121/6lJV8KDv.jpg","View")</f>
        <v>View</v>
      </c>
    </row>
    <row r="73" spans="1:19" ht="40">
      <c r="A73" s="8">
        <v>43369.741307870368</v>
      </c>
      <c r="B73" s="11" t="str">
        <f>HYPERLINK("https://twitter.com/Rebel3113","@Rebel3113")</f>
        <v>@Rebel3113</v>
      </c>
      <c r="C73" s="6" t="s">
        <v>3150</v>
      </c>
      <c r="D73" s="5" t="s">
        <v>2846</v>
      </c>
      <c r="E73" s="9" t="str">
        <f>HYPERLINK("https://twitter.com/Rebel3113/status/1044954112452890626","1044954112452890626")</f>
        <v>1044954112452890626</v>
      </c>
      <c r="F73" s="4"/>
      <c r="G73" s="4"/>
      <c r="H73" s="4"/>
      <c r="I73" s="10" t="str">
        <f>HYPERLINK("http://twitter.com/download/iphone","Twitter for iPhone")</f>
        <v>Twitter for iPhone</v>
      </c>
      <c r="J73" s="2">
        <v>432</v>
      </c>
      <c r="K73" s="2">
        <v>516</v>
      </c>
      <c r="L73" s="2">
        <v>0</v>
      </c>
      <c r="M73" s="2"/>
      <c r="N73" s="8">
        <v>42739.258738425924</v>
      </c>
      <c r="O73" s="4" t="s">
        <v>197</v>
      </c>
      <c r="P73" s="3" t="s">
        <v>3149</v>
      </c>
      <c r="Q73" s="4"/>
      <c r="R73" s="4"/>
      <c r="S73" s="9" t="str">
        <f>HYPERLINK("https://pbs.twimg.com/profile_images/989961466492215299/Z0jiX2Hg.jpg","View")</f>
        <v>View</v>
      </c>
    </row>
    <row r="74" spans="1:19" ht="40">
      <c r="A74" s="8">
        <v>43369.741168981476</v>
      </c>
      <c r="B74" s="11" t="str">
        <f>HYPERLINK("https://twitter.com/BandeNaaf","@BandeNaaf")</f>
        <v>@BandeNaaf</v>
      </c>
      <c r="C74" s="6" t="s">
        <v>3148</v>
      </c>
      <c r="D74" s="5" t="s">
        <v>3147</v>
      </c>
      <c r="E74" s="9" t="str">
        <f>HYPERLINK("https://twitter.com/BandeNaaf/status/1044954060795912192","1044954060795912192")</f>
        <v>1044954060795912192</v>
      </c>
      <c r="F74" s="4"/>
      <c r="G74" s="4"/>
      <c r="H74" s="4"/>
      <c r="I74" s="10" t="str">
        <f>HYPERLINK("http://twitter.com/download/android","Twitter for Android")</f>
        <v>Twitter for Android</v>
      </c>
      <c r="J74" s="2">
        <v>155</v>
      </c>
      <c r="K74" s="2">
        <v>213</v>
      </c>
      <c r="L74" s="2">
        <v>1</v>
      </c>
      <c r="M74" s="2"/>
      <c r="N74" s="8">
        <v>41358.781770833331</v>
      </c>
      <c r="O74" s="4" t="s">
        <v>16</v>
      </c>
      <c r="P74" s="3" t="s">
        <v>3146</v>
      </c>
      <c r="Q74" s="4"/>
      <c r="R74" s="4"/>
      <c r="S74" s="9" t="str">
        <f>HYPERLINK("https://pbs.twimg.com/profile_images/1034452893926154240/16rEqARL.jpg","View")</f>
        <v>View</v>
      </c>
    </row>
    <row r="75" spans="1:19" ht="20">
      <c r="A75" s="8">
        <v>43369.740868055553</v>
      </c>
      <c r="B75" s="11" t="str">
        <f>HYPERLINK("https://twitter.com/khashayar_haBB","@khashayar_haBB")</f>
        <v>@khashayar_haBB</v>
      </c>
      <c r="C75" s="6" t="s">
        <v>3145</v>
      </c>
      <c r="D75" s="5" t="s">
        <v>102</v>
      </c>
      <c r="E75" s="9" t="str">
        <f>HYPERLINK("https://twitter.com/khashayar_haBB/status/1044953955585937409","1044953955585937409")</f>
        <v>1044953955585937409</v>
      </c>
      <c r="F75" s="4"/>
      <c r="G75" s="4"/>
      <c r="H75" s="4"/>
      <c r="I75" s="10" t="str">
        <f>HYPERLINK("https://mobile.twitter.com","Twitter Lite")</f>
        <v>Twitter Lite</v>
      </c>
      <c r="J75" s="2">
        <v>881</v>
      </c>
      <c r="K75" s="2">
        <v>715</v>
      </c>
      <c r="L75" s="2">
        <v>4</v>
      </c>
      <c r="M75" s="2"/>
      <c r="N75" s="8">
        <v>43105.907916666663</v>
      </c>
      <c r="O75" s="4"/>
      <c r="P75" s="3" t="s">
        <v>3144</v>
      </c>
      <c r="Q75" s="10" t="s">
        <v>3143</v>
      </c>
      <c r="R75" s="4"/>
      <c r="S75" s="9" t="str">
        <f>HYPERLINK("https://pbs.twimg.com/profile_images/1043930423968116737/g9MXl54j.jpg","View")</f>
        <v>View</v>
      </c>
    </row>
    <row r="76" spans="1:19" ht="40">
      <c r="A76" s="8">
        <v>43369.740763888884</v>
      </c>
      <c r="B76" s="11" t="str">
        <f>HYPERLINK("https://twitter.com/navvab_shamsi","@navvab_shamsi")</f>
        <v>@navvab_shamsi</v>
      </c>
      <c r="C76" s="6" t="s">
        <v>3142</v>
      </c>
      <c r="D76" s="5" t="s">
        <v>3141</v>
      </c>
      <c r="E76" s="9" t="str">
        <f>HYPERLINK("https://twitter.com/navvab_shamsi/status/1044953915018620932","1044953915018620932")</f>
        <v>1044953915018620932</v>
      </c>
      <c r="F76" s="4"/>
      <c r="G76" s="4"/>
      <c r="H76" s="4"/>
      <c r="I76" s="10" t="str">
        <f>HYPERLINK("http://twitter.com/download/iphone","Twitter for iPhone")</f>
        <v>Twitter for iPhone</v>
      </c>
      <c r="J76" s="2">
        <v>100</v>
      </c>
      <c r="K76" s="2">
        <v>356</v>
      </c>
      <c r="L76" s="2">
        <v>0</v>
      </c>
      <c r="M76" s="2"/>
      <c r="N76" s="8">
        <v>43120.070358796293</v>
      </c>
      <c r="O76" s="4"/>
      <c r="P76" s="3" t="s">
        <v>3140</v>
      </c>
      <c r="Q76" s="4"/>
      <c r="R76" s="4"/>
      <c r="S76" s="9" t="str">
        <f>HYPERLINK("https://pbs.twimg.com/profile_images/954479503203545090/57_IqBZW.jpg","View")</f>
        <v>View</v>
      </c>
    </row>
    <row r="77" spans="1:19" ht="30">
      <c r="A77" s="8">
        <v>43369.740405092598</v>
      </c>
      <c r="B77" s="11" t="str">
        <f>HYPERLINK("https://twitter.com/mortazavii_mo","@mortazavii_mo")</f>
        <v>@mortazavii_mo</v>
      </c>
      <c r="C77" s="6" t="s">
        <v>193</v>
      </c>
      <c r="D77" s="5" t="s">
        <v>2559</v>
      </c>
      <c r="E77" s="9" t="str">
        <f>HYPERLINK("https://twitter.com/mortazavii_mo/status/1044953786412871680","1044953786412871680")</f>
        <v>1044953786412871680</v>
      </c>
      <c r="F77" s="4"/>
      <c r="G77" s="10" t="s">
        <v>2558</v>
      </c>
      <c r="H77" s="4"/>
      <c r="I77" s="10" t="str">
        <f>HYPERLINK("http://twitter.com/download/iphone","Twitter for iPhone")</f>
        <v>Twitter for iPhone</v>
      </c>
      <c r="J77" s="2">
        <v>1134</v>
      </c>
      <c r="K77" s="2">
        <v>3072</v>
      </c>
      <c r="L77" s="2">
        <v>1</v>
      </c>
      <c r="M77" s="2"/>
      <c r="N77" s="8">
        <v>43139.488217592589</v>
      </c>
      <c r="O77" s="4"/>
      <c r="P77" s="3" t="s">
        <v>3139</v>
      </c>
      <c r="Q77" s="4"/>
      <c r="R77" s="4"/>
      <c r="S77" s="9" t="str">
        <f>HYPERLINK("https://pbs.twimg.com/profile_images/972442535523180545/NVDMZEOd.jpg","View")</f>
        <v>View</v>
      </c>
    </row>
    <row r="78" spans="1:19" ht="40">
      <c r="A78" s="8">
        <v>43369.739652777775</v>
      </c>
      <c r="B78" s="11" t="str">
        <f>HYPERLINK("https://twitter.com/Sherlock_b9","@Sherlock_b9")</f>
        <v>@Sherlock_b9</v>
      </c>
      <c r="C78" s="6" t="s">
        <v>3138</v>
      </c>
      <c r="D78" s="5" t="s">
        <v>2846</v>
      </c>
      <c r="E78" s="9" t="str">
        <f>HYPERLINK("https://twitter.com/Sherlock_b9/status/1044953511652413440","1044953511652413440")</f>
        <v>1044953511652413440</v>
      </c>
      <c r="F78" s="4"/>
      <c r="G78" s="4"/>
      <c r="H78" s="4"/>
      <c r="I78" s="10" t="str">
        <f>HYPERLINK("http://twitter.com/download/android","Twitter for Android")</f>
        <v>Twitter for Android</v>
      </c>
      <c r="J78" s="2">
        <v>319</v>
      </c>
      <c r="K78" s="2">
        <v>430</v>
      </c>
      <c r="L78" s="2">
        <v>0</v>
      </c>
      <c r="M78" s="2"/>
      <c r="N78" s="8">
        <v>42909.970902777779</v>
      </c>
      <c r="O78" s="4"/>
      <c r="P78" s="3" t="s">
        <v>3137</v>
      </c>
      <c r="Q78" s="4"/>
      <c r="R78" s="4"/>
      <c r="S78" s="9" t="str">
        <f>HYPERLINK("https://pbs.twimg.com/profile_images/1039786701474820096/OB1niwSu.jpg","View")</f>
        <v>View</v>
      </c>
    </row>
    <row r="79" spans="1:19" ht="30">
      <c r="A79" s="8">
        <v>43369.73940972222</v>
      </c>
      <c r="B79" s="11" t="str">
        <f>HYPERLINK("https://twitter.com/Hossein198412","@Hossein198412")</f>
        <v>@Hossein198412</v>
      </c>
      <c r="C79" s="6" t="s">
        <v>2952</v>
      </c>
      <c r="D79" s="5" t="s">
        <v>185</v>
      </c>
      <c r="E79" s="9" t="str">
        <f>HYPERLINK("https://twitter.com/Hossein198412/status/1044953423563681795","1044953423563681795")</f>
        <v>1044953423563681795</v>
      </c>
      <c r="F79" s="4"/>
      <c r="G79" s="10" t="s">
        <v>177</v>
      </c>
      <c r="H79" s="4"/>
      <c r="I79" s="10" t="str">
        <f>HYPERLINK("http://twitter.com/download/android","Twitter for Android")</f>
        <v>Twitter for Android</v>
      </c>
      <c r="J79" s="2">
        <v>14</v>
      </c>
      <c r="K79" s="2">
        <v>35</v>
      </c>
      <c r="L79" s="2">
        <v>0</v>
      </c>
      <c r="M79" s="2"/>
      <c r="N79" s="8">
        <v>43365.99418981481</v>
      </c>
      <c r="O79" s="4" t="s">
        <v>7</v>
      </c>
      <c r="P79" s="3" t="s">
        <v>3136</v>
      </c>
      <c r="Q79" s="4"/>
      <c r="R79" s="4"/>
      <c r="S79" s="9" t="str">
        <f>HYPERLINK("https://pbs.twimg.com/profile_images/1043599138456313858/zBUHvFbv.jpg","View")</f>
        <v>View</v>
      </c>
    </row>
    <row r="80" spans="1:19" ht="30">
      <c r="A80" s="8">
        <v>43369.73918981482</v>
      </c>
      <c r="B80" s="11" t="str">
        <f>HYPERLINK("https://twitter.com/am70561791","@am70561791")</f>
        <v>@am70561791</v>
      </c>
      <c r="C80" s="6" t="s">
        <v>3135</v>
      </c>
      <c r="D80" s="5" t="s">
        <v>2559</v>
      </c>
      <c r="E80" s="9" t="str">
        <f>HYPERLINK("https://twitter.com/am70561791/status/1044953346023407618","1044953346023407618")</f>
        <v>1044953346023407618</v>
      </c>
      <c r="F80" s="4"/>
      <c r="G80" s="10" t="s">
        <v>2558</v>
      </c>
      <c r="H80" s="4"/>
      <c r="I80" s="10" t="str">
        <f>HYPERLINK("https://mobile.twitter.com","Twitter Lite")</f>
        <v>Twitter Lite</v>
      </c>
      <c r="J80" s="2">
        <v>64</v>
      </c>
      <c r="K80" s="2">
        <v>41</v>
      </c>
      <c r="L80" s="2">
        <v>0</v>
      </c>
      <c r="M80" s="2"/>
      <c r="N80" s="8">
        <v>43263.055127314816</v>
      </c>
      <c r="O80" s="4"/>
      <c r="P80" s="3"/>
      <c r="Q80" s="4"/>
      <c r="R80" s="4"/>
      <c r="S80" s="9" t="str">
        <f>HYPERLINK("https://pbs.twimg.com/profile_images/1041420254189051904/KLYJBB9c.jpg","View")</f>
        <v>View</v>
      </c>
    </row>
    <row r="81" spans="1:19" ht="30">
      <c r="A81" s="8">
        <v>43369.739074074074</v>
      </c>
      <c r="B81" s="11" t="str">
        <f>HYPERLINK("https://twitter.com/K179981829","@K179981829")</f>
        <v>@K179981829</v>
      </c>
      <c r="C81" s="6" t="s">
        <v>3134</v>
      </c>
      <c r="D81" s="5" t="s">
        <v>3133</v>
      </c>
      <c r="E81" s="9" t="str">
        <f>HYPERLINK("https://twitter.com/K179981829/status/1044953302247649280","1044953302247649280")</f>
        <v>1044953302247649280</v>
      </c>
      <c r="F81" s="4"/>
      <c r="G81" s="4"/>
      <c r="H81" s="4"/>
      <c r="I81" s="10" t="str">
        <f>HYPERLINK("http://twitter.com/download/android","Twitter for Android")</f>
        <v>Twitter for Android</v>
      </c>
      <c r="J81" s="2">
        <v>39</v>
      </c>
      <c r="K81" s="2">
        <v>204</v>
      </c>
      <c r="L81" s="2">
        <v>0</v>
      </c>
      <c r="M81" s="2"/>
      <c r="N81" s="8">
        <v>42706.41915509259</v>
      </c>
      <c r="O81" s="4" t="s">
        <v>1654</v>
      </c>
      <c r="P81" s="3" t="s">
        <v>3132</v>
      </c>
      <c r="Q81" s="4"/>
      <c r="R81" s="4"/>
      <c r="S81" s="9" t="str">
        <f>HYPERLINK("https://pbs.twimg.com/profile_images/955514358112702466/wV5RrSah.jpg","View")</f>
        <v>View</v>
      </c>
    </row>
    <row r="82" spans="1:19" ht="40">
      <c r="A82" s="8">
        <v>43369.739039351851</v>
      </c>
      <c r="B82" s="11" t="str">
        <f>HYPERLINK("https://twitter.com/007Iranazad","@007Iranazad")</f>
        <v>@007Iranazad</v>
      </c>
      <c r="C82" s="6">
        <v>7</v>
      </c>
      <c r="D82" s="5" t="s">
        <v>2846</v>
      </c>
      <c r="E82" s="9" t="str">
        <f>HYPERLINK("https://twitter.com/007Iranazad/status/1044953290872479745","1044953290872479745")</f>
        <v>1044953290872479745</v>
      </c>
      <c r="F82" s="4"/>
      <c r="G82" s="4"/>
      <c r="H82" s="4"/>
      <c r="I82" s="10" t="str">
        <f>HYPERLINK("http://twitter.com/download/android","Twitter for Android")</f>
        <v>Twitter for Android</v>
      </c>
      <c r="J82" s="2">
        <v>503</v>
      </c>
      <c r="K82" s="2">
        <v>795</v>
      </c>
      <c r="L82" s="2">
        <v>1</v>
      </c>
      <c r="M82" s="2"/>
      <c r="N82" s="8">
        <v>43027.981840277775</v>
      </c>
      <c r="O82" s="4" t="s">
        <v>30</v>
      </c>
      <c r="P82" s="3" t="s">
        <v>884</v>
      </c>
      <c r="Q82" s="4"/>
      <c r="R82" s="4"/>
      <c r="S82" s="9" t="str">
        <f>HYPERLINK("https://pbs.twimg.com/profile_images/988492351256580097/Lk7qbCl7.jpg","View")</f>
        <v>View</v>
      </c>
    </row>
    <row r="83" spans="1:19" ht="40">
      <c r="A83" s="8">
        <v>43369.738854166666</v>
      </c>
      <c r="B83" s="11" t="str">
        <f>HYPERLINK("https://twitter.com/Mohamad68386843","@Mohamad68386843")</f>
        <v>@Mohamad68386843</v>
      </c>
      <c r="C83" s="6" t="s">
        <v>3131</v>
      </c>
      <c r="D83" s="5" t="s">
        <v>2353</v>
      </c>
      <c r="E83" s="9" t="str">
        <f>HYPERLINK("https://twitter.com/Mohamad68386843/status/1044953223671545856","1044953223671545856")</f>
        <v>1044953223671545856</v>
      </c>
      <c r="F83" s="4"/>
      <c r="G83" s="4"/>
      <c r="H83" s="4"/>
      <c r="I83" s="10" t="str">
        <f>HYPERLINK("http://twitter.com/download/android","Twitter for Android")</f>
        <v>Twitter for Android</v>
      </c>
      <c r="J83" s="2">
        <v>626</v>
      </c>
      <c r="K83" s="2">
        <v>1431</v>
      </c>
      <c r="L83" s="2">
        <v>0</v>
      </c>
      <c r="M83" s="2"/>
      <c r="N83" s="8">
        <v>43330.787534722222</v>
      </c>
      <c r="O83" s="4"/>
      <c r="P83" s="3" t="s">
        <v>3130</v>
      </c>
      <c r="Q83" s="4"/>
      <c r="R83" s="4"/>
      <c r="S83" s="9" t="str">
        <f>HYPERLINK("https://pbs.twimg.com/profile_images/1043568121670455296/6B95Kx-T.jpg","View")</f>
        <v>View</v>
      </c>
    </row>
    <row r="84" spans="1:19" ht="50">
      <c r="A84" s="8">
        <v>43369.738807870366</v>
      </c>
      <c r="B84" s="11" t="str">
        <f>HYPERLINK("https://twitter.com/fsmoghadam","@fsmoghadam")</f>
        <v>@fsmoghadam</v>
      </c>
      <c r="C84" s="6" t="s">
        <v>1319</v>
      </c>
      <c r="D84" s="5" t="s">
        <v>2813</v>
      </c>
      <c r="E84" s="9" t="str">
        <f>HYPERLINK("https://twitter.com/fsmoghadam/status/1044953208576245760","1044953208576245760")</f>
        <v>1044953208576245760</v>
      </c>
      <c r="F84" s="4"/>
      <c r="G84" s="4"/>
      <c r="H84" s="4"/>
      <c r="I84" s="10" t="str">
        <f>HYPERLINK("http://twitter.com/download/android","Twitter for Android")</f>
        <v>Twitter for Android</v>
      </c>
      <c r="J84" s="2">
        <v>913</v>
      </c>
      <c r="K84" s="2">
        <v>2999</v>
      </c>
      <c r="L84" s="2">
        <v>4</v>
      </c>
      <c r="M84" s="2"/>
      <c r="N84" s="8">
        <v>42760.00712962963</v>
      </c>
      <c r="O84" s="4" t="s">
        <v>7</v>
      </c>
      <c r="P84" s="3" t="s">
        <v>1318</v>
      </c>
      <c r="Q84" s="10" t="s">
        <v>1317</v>
      </c>
      <c r="R84" s="4"/>
      <c r="S84" s="9" t="str">
        <f>HYPERLINK("https://pbs.twimg.com/profile_images/878430088764813312/t4flT2RQ.jpg","View")</f>
        <v>View</v>
      </c>
    </row>
    <row r="85" spans="1:19" ht="30">
      <c r="A85" s="8">
        <v>43369.738784722227</v>
      </c>
      <c r="B85" s="11" t="str">
        <f>HYPERLINK("https://twitter.com/elahe_mhgh","@elahe_mhgh")</f>
        <v>@elahe_mhgh</v>
      </c>
      <c r="C85" s="6" t="s">
        <v>3129</v>
      </c>
      <c r="D85" s="5" t="s">
        <v>3128</v>
      </c>
      <c r="E85" s="9" t="str">
        <f>HYPERLINK("https://twitter.com/elahe_mhgh/status/1044953197356503041","1044953197356503041")</f>
        <v>1044953197356503041</v>
      </c>
      <c r="F85" s="4"/>
      <c r="G85" s="4"/>
      <c r="H85" s="4"/>
      <c r="I85" s="10" t="str">
        <f>HYPERLINK("http://twitter.com/download/iphone","Twitter for iPhone")</f>
        <v>Twitter for iPhone</v>
      </c>
      <c r="J85" s="2">
        <v>267</v>
      </c>
      <c r="K85" s="2">
        <v>299</v>
      </c>
      <c r="L85" s="2">
        <v>1</v>
      </c>
      <c r="M85" s="2"/>
      <c r="N85" s="8">
        <v>43193.630000000005</v>
      </c>
      <c r="O85" s="4"/>
      <c r="P85" s="3" t="s">
        <v>3127</v>
      </c>
      <c r="Q85" s="4"/>
      <c r="R85" s="4"/>
      <c r="S85" s="9" t="str">
        <f>HYPERLINK("https://pbs.twimg.com/profile_images/1026018823873413121/RG1LIg2C.jpg","View")</f>
        <v>View</v>
      </c>
    </row>
    <row r="86" spans="1:19" ht="40">
      <c r="A86" s="8">
        <v>43369.738263888888</v>
      </c>
      <c r="B86" s="11" t="str">
        <f>HYPERLINK("https://twitter.com/MoSibat94","@MoSibat94")</f>
        <v>@MoSibat94</v>
      </c>
      <c r="C86" s="6" t="s">
        <v>3126</v>
      </c>
      <c r="D86" s="5" t="s">
        <v>2846</v>
      </c>
      <c r="E86" s="9" t="str">
        <f>HYPERLINK("https://twitter.com/MoSibat94/status/1044953011439775746","1044953011439775746")</f>
        <v>1044953011439775746</v>
      </c>
      <c r="F86" s="4"/>
      <c r="G86" s="4"/>
      <c r="H86" s="4"/>
      <c r="I86" s="10" t="str">
        <f>HYPERLINK("http://twitter.com/download/iphone","Twitter for iPhone")</f>
        <v>Twitter for iPhone</v>
      </c>
      <c r="J86" s="2">
        <v>313</v>
      </c>
      <c r="K86" s="2">
        <v>300</v>
      </c>
      <c r="L86" s="2">
        <v>1</v>
      </c>
      <c r="M86" s="2"/>
      <c r="N86" s="8">
        <v>41439.988877314812</v>
      </c>
      <c r="O86" s="4"/>
      <c r="P86" s="3" t="s">
        <v>3125</v>
      </c>
      <c r="Q86" s="4"/>
      <c r="R86" s="4"/>
      <c r="S86" s="9" t="str">
        <f>HYPERLINK("https://pbs.twimg.com/profile_images/1041668308737695745/qkZp_WPx.jpg","View")</f>
        <v>View</v>
      </c>
    </row>
    <row r="87" spans="1:19" ht="30">
      <c r="A87" s="8">
        <v>43369.738078703704</v>
      </c>
      <c r="B87" s="11" t="str">
        <f>HYPERLINK("https://twitter.com/MrGodless14","@MrGodless14")</f>
        <v>@MrGodless14</v>
      </c>
      <c r="C87" s="6" t="s">
        <v>3124</v>
      </c>
      <c r="D87" s="5" t="s">
        <v>2559</v>
      </c>
      <c r="E87" s="9" t="str">
        <f>HYPERLINK("https://twitter.com/MrGodless14/status/1044952943190048769","1044952943190048769")</f>
        <v>1044952943190048769</v>
      </c>
      <c r="F87" s="4"/>
      <c r="G87" s="10" t="s">
        <v>2558</v>
      </c>
      <c r="H87" s="4"/>
      <c r="I87" s="10" t="str">
        <f>HYPERLINK("http://twitter.com/download/iphone","Twitter for iPhone")</f>
        <v>Twitter for iPhone</v>
      </c>
      <c r="J87" s="2">
        <v>163</v>
      </c>
      <c r="K87" s="2">
        <v>167</v>
      </c>
      <c r="L87" s="2">
        <v>0</v>
      </c>
      <c r="M87" s="2"/>
      <c r="N87" s="8">
        <v>43068.729849537034</v>
      </c>
      <c r="O87" s="4" t="s">
        <v>3123</v>
      </c>
      <c r="P87" s="3" t="s">
        <v>3122</v>
      </c>
      <c r="Q87" s="4"/>
      <c r="R87" s="4"/>
      <c r="S87" s="9" t="str">
        <f>HYPERLINK("https://pbs.twimg.com/profile_images/1023597102046294020/40x89ia0.jpg","View")</f>
        <v>View</v>
      </c>
    </row>
    <row r="88" spans="1:19" ht="30">
      <c r="A88" s="8">
        <v>43369.738055555557</v>
      </c>
      <c r="B88" s="11" t="str">
        <f>HYPERLINK("https://twitter.com/amir_Lor","@amir_Lor")</f>
        <v>@amir_Lor</v>
      </c>
      <c r="C88" s="6" t="s">
        <v>3121</v>
      </c>
      <c r="D88" s="5" t="s">
        <v>2559</v>
      </c>
      <c r="E88" s="9" t="str">
        <f>HYPERLINK("https://twitter.com/amir_Lor/status/1044952933547364352","1044952933547364352")</f>
        <v>1044952933547364352</v>
      </c>
      <c r="F88" s="4"/>
      <c r="G88" s="10" t="s">
        <v>2558</v>
      </c>
      <c r="H88" s="4"/>
      <c r="I88" s="10" t="str">
        <f>HYPERLINK("http://twitter.com/download/android","Twitter for Android")</f>
        <v>Twitter for Android</v>
      </c>
      <c r="J88" s="2">
        <v>417</v>
      </c>
      <c r="K88" s="2">
        <v>741</v>
      </c>
      <c r="L88" s="2">
        <v>0</v>
      </c>
      <c r="M88" s="2"/>
      <c r="N88" s="8">
        <v>43223.877754629633</v>
      </c>
      <c r="O88" s="4" t="s">
        <v>48</v>
      </c>
      <c r="P88" s="3" t="s">
        <v>3120</v>
      </c>
      <c r="Q88" s="4"/>
      <c r="R88" s="4"/>
      <c r="S88" s="9" t="str">
        <f>HYPERLINK("https://pbs.twimg.com/profile_images/992085954117718016/ZDOKVTg4.jpg","View")</f>
        <v>View</v>
      </c>
    </row>
    <row r="89" spans="1:19" ht="30">
      <c r="A89" s="8">
        <v>43369.737800925926</v>
      </c>
      <c r="B89" s="11" t="str">
        <f>HYPERLINK("https://twitter.com/amin359300","@amin359300")</f>
        <v>@amin359300</v>
      </c>
      <c r="C89" s="6" t="s">
        <v>3119</v>
      </c>
      <c r="D89" s="5" t="s">
        <v>2559</v>
      </c>
      <c r="E89" s="9" t="str">
        <f>HYPERLINK("https://twitter.com/amin359300/status/1044952843147509761","1044952843147509761")</f>
        <v>1044952843147509761</v>
      </c>
      <c r="F89" s="4"/>
      <c r="G89" s="10" t="s">
        <v>2558</v>
      </c>
      <c r="H89" s="4"/>
      <c r="I89" s="10" t="str">
        <f>HYPERLINK("http://twitter.com/download/android","Twitter for Android")</f>
        <v>Twitter for Android</v>
      </c>
      <c r="J89" s="2">
        <v>160</v>
      </c>
      <c r="K89" s="2">
        <v>255</v>
      </c>
      <c r="L89" s="2">
        <v>0</v>
      </c>
      <c r="M89" s="2"/>
      <c r="N89" s="8">
        <v>43104.693576388891</v>
      </c>
      <c r="O89" s="4"/>
      <c r="P89" s="3"/>
      <c r="Q89" s="4"/>
      <c r="R89" s="4"/>
      <c r="S89" s="9" t="str">
        <f>HYPERLINK("https://pbs.twimg.com/profile_images/1025676363716546560/ZTXBnU9F.jpg","View")</f>
        <v>View</v>
      </c>
    </row>
    <row r="90" spans="1:19" ht="30">
      <c r="A90" s="8">
        <v>43369.737719907411</v>
      </c>
      <c r="B90" s="11" t="str">
        <f>HYPERLINK("https://twitter.com/SO_HA_FREE","@SO_HA_FREE")</f>
        <v>@SO_HA_FREE</v>
      </c>
      <c r="C90" s="6" t="s">
        <v>1405</v>
      </c>
      <c r="D90" s="5" t="s">
        <v>2559</v>
      </c>
      <c r="E90" s="9" t="str">
        <f>HYPERLINK("https://twitter.com/SO_HA_FREE/status/1044952814374596609","1044952814374596609")</f>
        <v>1044952814374596609</v>
      </c>
      <c r="F90" s="4"/>
      <c r="G90" s="10" t="s">
        <v>2558</v>
      </c>
      <c r="H90" s="4"/>
      <c r="I90" s="10" t="str">
        <f>HYPERLINK("http://twitter.com","Twitter Web Client")</f>
        <v>Twitter Web Client</v>
      </c>
      <c r="J90" s="2">
        <v>498</v>
      </c>
      <c r="K90" s="2">
        <v>765</v>
      </c>
      <c r="L90" s="2">
        <v>0</v>
      </c>
      <c r="M90" s="2"/>
      <c r="N90" s="8">
        <v>43219.67086805556</v>
      </c>
      <c r="O90" s="4"/>
      <c r="P90" s="3"/>
      <c r="Q90" s="4"/>
      <c r="R90" s="4"/>
      <c r="S90" s="2" t="s">
        <v>21</v>
      </c>
    </row>
    <row r="91" spans="1:19" ht="30">
      <c r="A91" s="8">
        <v>43369.737430555557</v>
      </c>
      <c r="B91" s="11" t="str">
        <f>HYPERLINK("https://twitter.com/h0d3r_fa","@h0d3r_fa")</f>
        <v>@h0d3r_fa</v>
      </c>
      <c r="C91" s="6" t="s">
        <v>3118</v>
      </c>
      <c r="D91" s="5" t="s">
        <v>185</v>
      </c>
      <c r="E91" s="9" t="str">
        <f>HYPERLINK("https://twitter.com/h0d3r_fa/status/1044952706756927489","1044952706756927489")</f>
        <v>1044952706756927489</v>
      </c>
      <c r="F91" s="4"/>
      <c r="G91" s="10" t="s">
        <v>177</v>
      </c>
      <c r="H91" s="4"/>
      <c r="I91" s="10" t="str">
        <f>HYPERLINK("http://twitter.com/download/iphone","Twitter for iPhone")</f>
        <v>Twitter for iPhone</v>
      </c>
      <c r="J91" s="2">
        <v>22469</v>
      </c>
      <c r="K91" s="2">
        <v>4605</v>
      </c>
      <c r="L91" s="2">
        <v>174</v>
      </c>
      <c r="M91" s="2" t="s">
        <v>26</v>
      </c>
      <c r="N91" s="8">
        <v>42411.650381944448</v>
      </c>
      <c r="O91" s="4"/>
      <c r="P91" s="3" t="s">
        <v>3117</v>
      </c>
      <c r="Q91" s="10" t="s">
        <v>3116</v>
      </c>
      <c r="R91" s="4"/>
      <c r="S91" s="9" t="str">
        <f>HYPERLINK("https://pbs.twimg.com/profile_images/1043306529661673472/qmeD5vmG.jpg","View")</f>
        <v>View</v>
      </c>
    </row>
    <row r="92" spans="1:19" ht="40">
      <c r="A92" s="8">
        <v>43369.736932870372</v>
      </c>
      <c r="B92" s="11" t="str">
        <f>HYPERLINK("https://twitter.com/DaeeHassan","@DaeeHassan")</f>
        <v>@DaeeHassan</v>
      </c>
      <c r="C92" s="6" t="s">
        <v>2077</v>
      </c>
      <c r="D92" s="5" t="s">
        <v>2685</v>
      </c>
      <c r="E92" s="9" t="str">
        <f>HYPERLINK("https://twitter.com/DaeeHassan/status/1044952526599188481","1044952526599188481")</f>
        <v>1044952526599188481</v>
      </c>
      <c r="F92" s="4"/>
      <c r="G92" s="4"/>
      <c r="H92" s="4"/>
      <c r="I92" s="10" t="str">
        <f>HYPERLINK("http://twitter.com/download/android","Twitter for Android")</f>
        <v>Twitter for Android</v>
      </c>
      <c r="J92" s="2">
        <v>1404</v>
      </c>
      <c r="K92" s="2">
        <v>1030</v>
      </c>
      <c r="L92" s="2">
        <v>1</v>
      </c>
      <c r="M92" s="2"/>
      <c r="N92" s="8">
        <v>42773.082974537036</v>
      </c>
      <c r="O92" s="4" t="s">
        <v>2075</v>
      </c>
      <c r="P92" s="3" t="s">
        <v>2074</v>
      </c>
      <c r="Q92" s="4"/>
      <c r="R92" s="4"/>
      <c r="S92" s="9" t="str">
        <f>HYPERLINK("https://pbs.twimg.com/profile_images/943173983079424000/nkx3mVMx.jpg","View")</f>
        <v>View</v>
      </c>
    </row>
    <row r="93" spans="1:19" ht="40">
      <c r="A93" s="8">
        <v>43369.736932870372</v>
      </c>
      <c r="B93" s="11" t="str">
        <f>HYPERLINK("https://twitter.com/Dubaitrainer","@Dubaitrainer")</f>
        <v>@Dubaitrainer</v>
      </c>
      <c r="C93" s="6" t="s">
        <v>1684</v>
      </c>
      <c r="D93" s="5" t="s">
        <v>2846</v>
      </c>
      <c r="E93" s="9" t="str">
        <f>HYPERLINK("https://twitter.com/Dubaitrainer/status/1044952526167134208","1044952526167134208")</f>
        <v>1044952526167134208</v>
      </c>
      <c r="F93" s="4"/>
      <c r="G93" s="4"/>
      <c r="H93" s="4"/>
      <c r="I93" s="10" t="str">
        <f>HYPERLINK("http://twitter.com/download/android","Twitter for Android")</f>
        <v>Twitter for Android</v>
      </c>
      <c r="J93" s="2">
        <v>2082</v>
      </c>
      <c r="K93" s="2">
        <v>4990</v>
      </c>
      <c r="L93" s="2">
        <v>49</v>
      </c>
      <c r="M93" s="2"/>
      <c r="N93" s="8">
        <v>41395.720706018517</v>
      </c>
      <c r="O93" s="4" t="s">
        <v>1682</v>
      </c>
      <c r="P93" s="3" t="s">
        <v>1681</v>
      </c>
      <c r="Q93" s="4"/>
      <c r="R93" s="4"/>
      <c r="S93" s="9" t="str">
        <f>HYPERLINK("https://pbs.twimg.com/profile_images/1007684354213113856/l9iUB97K.jpg","View")</f>
        <v>View</v>
      </c>
    </row>
    <row r="94" spans="1:19" ht="40">
      <c r="A94" s="8">
        <v>43369.736793981487</v>
      </c>
      <c r="B94" s="11" t="str">
        <f>HYPERLINK("https://twitter.com/heydri93","@heydri93")</f>
        <v>@heydri93</v>
      </c>
      <c r="C94" s="6" t="s">
        <v>3115</v>
      </c>
      <c r="D94" s="5" t="s">
        <v>756</v>
      </c>
      <c r="E94" s="9" t="str">
        <f>HYPERLINK("https://twitter.com/heydri93/status/1044952477701984256","1044952477701984256")</f>
        <v>1044952477701984256</v>
      </c>
      <c r="F94" s="4"/>
      <c r="G94" s="4"/>
      <c r="H94" s="4"/>
      <c r="I94" s="10" t="str">
        <f>HYPERLINK("http://twitter.com/download/android","Twitter for Android")</f>
        <v>Twitter for Android</v>
      </c>
      <c r="J94" s="2">
        <v>171</v>
      </c>
      <c r="K94" s="2">
        <v>40</v>
      </c>
      <c r="L94" s="2">
        <v>0</v>
      </c>
      <c r="M94" s="2"/>
      <c r="N94" s="8">
        <v>43264.730462962965</v>
      </c>
      <c r="O94" s="4" t="s">
        <v>1</v>
      </c>
      <c r="P94" s="3"/>
      <c r="Q94" s="4"/>
      <c r="R94" s="4"/>
      <c r="S94" s="9" t="str">
        <f>HYPERLINK("https://pbs.twimg.com/profile_images/1006887066255482880/vb69vP-v.jpg","View")</f>
        <v>View</v>
      </c>
    </row>
    <row r="95" spans="1:19" ht="30">
      <c r="A95" s="8">
        <v>43369.736759259264</v>
      </c>
      <c r="B95" s="11" t="str">
        <f>HYPERLINK("https://twitter.com/H45_54N","@H45_54N")</f>
        <v>@H45_54N</v>
      </c>
      <c r="C95" s="6" t="s">
        <v>3114</v>
      </c>
      <c r="D95" s="5" t="s">
        <v>2559</v>
      </c>
      <c r="E95" s="9" t="str">
        <f>HYPERLINK("https://twitter.com/H45_54N/status/1044952465085534208","1044952465085534208")</f>
        <v>1044952465085534208</v>
      </c>
      <c r="F95" s="4"/>
      <c r="G95" s="10" t="s">
        <v>2558</v>
      </c>
      <c r="H95" s="4"/>
      <c r="I95" s="10" t="str">
        <f>HYPERLINK("http://twitter.com/download/iphone","Twitter for iPhone")</f>
        <v>Twitter for iPhone</v>
      </c>
      <c r="J95" s="2">
        <v>178</v>
      </c>
      <c r="K95" s="2">
        <v>263</v>
      </c>
      <c r="L95" s="2">
        <v>0</v>
      </c>
      <c r="M95" s="2"/>
      <c r="N95" s="8">
        <v>41458.564884259264</v>
      </c>
      <c r="O95" s="4"/>
      <c r="P95" s="3" t="s">
        <v>3113</v>
      </c>
      <c r="Q95" s="4"/>
      <c r="R95" s="4"/>
      <c r="S95" s="9" t="str">
        <f>HYPERLINK("https://pbs.twimg.com/profile_images/990902785771298816/jX_UY8le.jpg","View")</f>
        <v>View</v>
      </c>
    </row>
    <row r="96" spans="1:19" ht="30">
      <c r="A96" s="8">
        <v>43369.736203703702</v>
      </c>
      <c r="B96" s="11" t="str">
        <f>HYPERLINK("https://twitter.com/hddiiiiiiiiiis","@hddiiiiiiiiiis")</f>
        <v>@hddiiiiiiiiiis</v>
      </c>
      <c r="C96" s="6" t="s">
        <v>3112</v>
      </c>
      <c r="D96" s="5" t="s">
        <v>2559</v>
      </c>
      <c r="E96" s="9" t="str">
        <f>HYPERLINK("https://twitter.com/hddiiiiiiiiiis/status/1044952264102883329","1044952264102883329")</f>
        <v>1044952264102883329</v>
      </c>
      <c r="F96" s="4"/>
      <c r="G96" s="10" t="s">
        <v>2558</v>
      </c>
      <c r="H96" s="4"/>
      <c r="I96" s="10" t="str">
        <f>HYPERLINK("http://twitter.com/download/iphone","Twitter for iPhone")</f>
        <v>Twitter for iPhone</v>
      </c>
      <c r="J96" s="2">
        <v>128</v>
      </c>
      <c r="K96" s="2">
        <v>144</v>
      </c>
      <c r="L96" s="2">
        <v>0</v>
      </c>
      <c r="M96" s="2"/>
      <c r="N96" s="8">
        <v>43013.91170138889</v>
      </c>
      <c r="O96" s="4" t="s">
        <v>7</v>
      </c>
      <c r="P96" s="3"/>
      <c r="Q96" s="4"/>
      <c r="R96" s="4"/>
      <c r="S96" s="9" t="str">
        <f>HYPERLINK("https://pbs.twimg.com/profile_images/1013339170457210880/0jVGpYQ8.jpg","View")</f>
        <v>View</v>
      </c>
    </row>
    <row r="97" spans="1:19" ht="40">
      <c r="A97" s="8">
        <v>43369.735324074078</v>
      </c>
      <c r="B97" s="11" t="str">
        <f>HYPERLINK("https://twitter.com/Saeed_Bahariam","@Saeed_Bahariam")</f>
        <v>@Saeed_Bahariam</v>
      </c>
      <c r="C97" s="6" t="s">
        <v>1156</v>
      </c>
      <c r="D97" s="5" t="s">
        <v>3111</v>
      </c>
      <c r="E97" s="9" t="str">
        <f>HYPERLINK("https://twitter.com/Saeed_Bahariam/status/1044951945549697024","1044951945549697024")</f>
        <v>1044951945549697024</v>
      </c>
      <c r="F97" s="4"/>
      <c r="G97" s="4"/>
      <c r="H97" s="4"/>
      <c r="I97" s="10" t="str">
        <f>HYPERLINK("http://twitter.com/download/android","Twitter for Android")</f>
        <v>Twitter for Android</v>
      </c>
      <c r="J97" s="2">
        <v>970</v>
      </c>
      <c r="K97" s="2">
        <v>1252</v>
      </c>
      <c r="L97" s="2">
        <v>0</v>
      </c>
      <c r="M97" s="2"/>
      <c r="N97" s="8">
        <v>43100.649108796293</v>
      </c>
      <c r="O97" s="4" t="s">
        <v>1154</v>
      </c>
      <c r="P97" s="3" t="s">
        <v>1153</v>
      </c>
      <c r="Q97" s="4"/>
      <c r="R97" s="4"/>
      <c r="S97" s="9" t="str">
        <f>HYPERLINK("https://pbs.twimg.com/profile_images/994988869769625601/FrkUKAFM.jpg","View")</f>
        <v>View</v>
      </c>
    </row>
    <row r="98" spans="1:19" ht="30">
      <c r="A98" s="8">
        <v>43369.735300925924</v>
      </c>
      <c r="B98" s="11" t="str">
        <f>HYPERLINK("https://twitter.com/Marimargared1","@Marimargared1")</f>
        <v>@Marimargared1</v>
      </c>
      <c r="C98" s="6" t="s">
        <v>3110</v>
      </c>
      <c r="D98" s="5" t="s">
        <v>2559</v>
      </c>
      <c r="E98" s="9" t="str">
        <f>HYPERLINK("https://twitter.com/Marimargared1/status/1044951937165271040","1044951937165271040")</f>
        <v>1044951937165271040</v>
      </c>
      <c r="F98" s="4"/>
      <c r="G98" s="10" t="s">
        <v>2558</v>
      </c>
      <c r="H98" s="4"/>
      <c r="I98" s="10" t="str">
        <f>HYPERLINK("http://twitter.com/download/android","Twitter for Android")</f>
        <v>Twitter for Android</v>
      </c>
      <c r="J98" s="2">
        <v>460</v>
      </c>
      <c r="K98" s="2">
        <v>663</v>
      </c>
      <c r="L98" s="2">
        <v>1</v>
      </c>
      <c r="M98" s="2"/>
      <c r="N98" s="8">
        <v>43356.554560185185</v>
      </c>
      <c r="O98" s="4" t="s">
        <v>3109</v>
      </c>
      <c r="P98" s="3" t="s">
        <v>3108</v>
      </c>
      <c r="Q98" s="4"/>
      <c r="R98" s="4"/>
      <c r="S98" s="9" t="str">
        <f>HYPERLINK("https://pbs.twimg.com/profile_images/1044861491877486592/IPFVUgkx.jpg","View")</f>
        <v>View</v>
      </c>
    </row>
    <row r="99" spans="1:19" ht="30">
      <c r="A99" s="8">
        <v>43369.735046296293</v>
      </c>
      <c r="B99" s="11" t="str">
        <f>HYPERLINK("https://twitter.com/DictatorDide","@DictatorDide")</f>
        <v>@DictatorDide</v>
      </c>
      <c r="C99" s="6" t="s">
        <v>3106</v>
      </c>
      <c r="D99" s="5" t="s">
        <v>2559</v>
      </c>
      <c r="E99" s="9" t="str">
        <f>HYPERLINK("https://twitter.com/DictatorDide/status/1044951845184000000","1044951845184000000")</f>
        <v>1044951845184000000</v>
      </c>
      <c r="F99" s="4"/>
      <c r="G99" s="10" t="s">
        <v>2558</v>
      </c>
      <c r="H99" s="4"/>
      <c r="I99" s="10" t="str">
        <f>HYPERLINK("http://twitter.com/download/android","Twitter for Android")</f>
        <v>Twitter for Android</v>
      </c>
      <c r="J99" s="2">
        <v>1767</v>
      </c>
      <c r="K99" s="2">
        <v>482</v>
      </c>
      <c r="L99" s="2">
        <v>5</v>
      </c>
      <c r="M99" s="2"/>
      <c r="N99" s="8">
        <v>42748.919548611113</v>
      </c>
      <c r="O99" s="4" t="s">
        <v>1943</v>
      </c>
      <c r="P99" s="3" t="s">
        <v>3105</v>
      </c>
      <c r="Q99" s="10" t="s">
        <v>3104</v>
      </c>
      <c r="R99" s="4"/>
      <c r="S99" s="9" t="str">
        <f>HYPERLINK("https://pbs.twimg.com/profile_images/1016810872432418816/kf6yNjkQ.jpg","View")</f>
        <v>View</v>
      </c>
    </row>
    <row r="100" spans="1:19" ht="40">
      <c r="A100" s="8">
        <v>43369.734699074077</v>
      </c>
      <c r="B100" s="11" t="str">
        <f>HYPERLINK("https://twitter.com/KeyOne72","@KeyOne72")</f>
        <v>@KeyOne72</v>
      </c>
      <c r="C100" s="6" t="s">
        <v>3107</v>
      </c>
      <c r="D100" s="5" t="s">
        <v>2846</v>
      </c>
      <c r="E100" s="9" t="str">
        <f>HYPERLINK("https://twitter.com/KeyOne72/status/1044951719505874944","1044951719505874944")</f>
        <v>1044951719505874944</v>
      </c>
      <c r="F100" s="4"/>
      <c r="G100" s="4"/>
      <c r="H100" s="4"/>
      <c r="I100" s="10" t="str">
        <f>HYPERLINK("http://twitter.com","Twitter Web Client")</f>
        <v>Twitter Web Client</v>
      </c>
      <c r="J100" s="2">
        <v>13</v>
      </c>
      <c r="K100" s="2">
        <v>77</v>
      </c>
      <c r="L100" s="2">
        <v>0</v>
      </c>
      <c r="M100" s="2"/>
      <c r="N100" s="8">
        <v>41801.504675925928</v>
      </c>
      <c r="O100" s="4"/>
      <c r="P100" s="3"/>
      <c r="Q100" s="4"/>
      <c r="R100" s="4"/>
      <c r="S100" s="9" t="str">
        <f>HYPERLINK("https://pbs.twimg.com/profile_images/920036700306509826/F7QhvgHf.jpg","View")</f>
        <v>View</v>
      </c>
    </row>
    <row r="101" spans="1:19" ht="40">
      <c r="A101" s="8">
        <v>43369.734305555554</v>
      </c>
      <c r="B101" s="11" t="str">
        <f>HYPERLINK("https://twitter.com/DictatorDide","@DictatorDide")</f>
        <v>@DictatorDide</v>
      </c>
      <c r="C101" s="6" t="s">
        <v>3106</v>
      </c>
      <c r="D101" s="5" t="s">
        <v>2846</v>
      </c>
      <c r="E101" s="9" t="str">
        <f>HYPERLINK("https://twitter.com/DictatorDide/status/1044951575637123072","1044951575637123072")</f>
        <v>1044951575637123072</v>
      </c>
      <c r="F101" s="4"/>
      <c r="G101" s="4"/>
      <c r="H101" s="4"/>
      <c r="I101" s="10" t="str">
        <f>HYPERLINK("http://twitter.com/download/android","Twitter for Android")</f>
        <v>Twitter for Android</v>
      </c>
      <c r="J101" s="2">
        <v>1767</v>
      </c>
      <c r="K101" s="2">
        <v>482</v>
      </c>
      <c r="L101" s="2">
        <v>5</v>
      </c>
      <c r="M101" s="2"/>
      <c r="N101" s="8">
        <v>42748.919548611113</v>
      </c>
      <c r="O101" s="4" t="s">
        <v>1943</v>
      </c>
      <c r="P101" s="3" t="s">
        <v>3105</v>
      </c>
      <c r="Q101" s="10" t="s">
        <v>3104</v>
      </c>
      <c r="R101" s="4"/>
      <c r="S101" s="9" t="str">
        <f>HYPERLINK("https://pbs.twimg.com/profile_images/1016810872432418816/kf6yNjkQ.jpg","View")</f>
        <v>View</v>
      </c>
    </row>
    <row r="102" spans="1:19" ht="50">
      <c r="A102" s="8">
        <v>43369.72142361111</v>
      </c>
      <c r="B102" s="11" t="str">
        <f>HYPERLINK("https://twitter.com/jamshid_arya","@jamshid_arya")</f>
        <v>@jamshid_arya</v>
      </c>
      <c r="C102" s="6" t="s">
        <v>3103</v>
      </c>
      <c r="D102" s="5" t="s">
        <v>2712</v>
      </c>
      <c r="E102" s="9" t="str">
        <f>HYPERLINK("https://twitter.com/jamshid_arya/status/1044946907456507906","1044946907456507906")</f>
        <v>1044946907456507906</v>
      </c>
      <c r="F102" s="4"/>
      <c r="G102" s="10" t="s">
        <v>2659</v>
      </c>
      <c r="H102" s="4"/>
      <c r="I102" s="10" t="str">
        <f>HYPERLINK("http://twitter.com/download/android","Twitter for Android")</f>
        <v>Twitter for Android</v>
      </c>
      <c r="J102" s="2">
        <v>104</v>
      </c>
      <c r="K102" s="2">
        <v>743</v>
      </c>
      <c r="L102" s="2">
        <v>0</v>
      </c>
      <c r="M102" s="2"/>
      <c r="N102" s="8">
        <v>43238.665324074071</v>
      </c>
      <c r="O102" s="4" t="s">
        <v>3102</v>
      </c>
      <c r="P102" s="3" t="s">
        <v>3101</v>
      </c>
      <c r="Q102" s="4"/>
      <c r="R102" s="4"/>
      <c r="S102" s="9" t="str">
        <f>HYPERLINK("https://pbs.twimg.com/profile_images/1043814137246240769/8T67tVqt.jpg","View")</f>
        <v>View</v>
      </c>
    </row>
    <row r="103" spans="1:19" ht="40">
      <c r="A103" s="8">
        <v>43369.721412037034</v>
      </c>
      <c r="B103" s="11" t="str">
        <f>HYPERLINK("https://twitter.com/cheshsefid2","@cheshsefid2")</f>
        <v>@cheshsefid2</v>
      </c>
      <c r="C103" s="6" t="s">
        <v>1872</v>
      </c>
      <c r="D103" s="5" t="s">
        <v>2846</v>
      </c>
      <c r="E103" s="9" t="str">
        <f>HYPERLINK("https://twitter.com/cheshsefid2/status/1044946901651648514","1044946901651648514")</f>
        <v>1044946901651648514</v>
      </c>
      <c r="F103" s="4"/>
      <c r="G103" s="4"/>
      <c r="H103" s="4"/>
      <c r="I103" s="10" t="str">
        <f>HYPERLINK("http://twitter.com/download/iphone","Twitter for iPhone")</f>
        <v>Twitter for iPhone</v>
      </c>
      <c r="J103" s="2">
        <v>324</v>
      </c>
      <c r="K103" s="2">
        <v>546</v>
      </c>
      <c r="L103" s="2">
        <v>0</v>
      </c>
      <c r="M103" s="2"/>
      <c r="N103" s="8">
        <v>42216.93913194444</v>
      </c>
      <c r="O103" s="4" t="s">
        <v>1871</v>
      </c>
      <c r="P103" s="3" t="s">
        <v>1870</v>
      </c>
      <c r="Q103" s="4"/>
      <c r="R103" s="4"/>
      <c r="S103" s="9" t="str">
        <f>HYPERLINK("https://pbs.twimg.com/profile_images/1034507762863099904/xMtBc8gV.jpg","View")</f>
        <v>View</v>
      </c>
    </row>
    <row r="104" spans="1:19" ht="30">
      <c r="A104" s="8">
        <v>43369.721053240741</v>
      </c>
      <c r="B104" s="11" t="str">
        <f>HYPERLINK("https://twitter.com/RoyaKholof","@RoyaKholof")</f>
        <v>@RoyaKholof</v>
      </c>
      <c r="C104" s="6" t="s">
        <v>3100</v>
      </c>
      <c r="D104" s="5" t="s">
        <v>2559</v>
      </c>
      <c r="E104" s="9" t="str">
        <f>HYPERLINK("https://twitter.com/RoyaKholof/status/1044946773385662464","1044946773385662464")</f>
        <v>1044946773385662464</v>
      </c>
      <c r="F104" s="4"/>
      <c r="G104" s="10" t="s">
        <v>2558</v>
      </c>
      <c r="H104" s="4"/>
      <c r="I104" s="10" t="str">
        <f>HYPERLINK("http://twitter.com/download/iphone","Twitter for iPhone")</f>
        <v>Twitter for iPhone</v>
      </c>
      <c r="J104" s="2">
        <v>139</v>
      </c>
      <c r="K104" s="2">
        <v>171</v>
      </c>
      <c r="L104" s="2">
        <v>0</v>
      </c>
      <c r="M104" s="2"/>
      <c r="N104" s="8">
        <v>43223.661238425921</v>
      </c>
      <c r="O104" s="4" t="s">
        <v>33</v>
      </c>
      <c r="P104" s="3" t="s">
        <v>3099</v>
      </c>
      <c r="Q104" s="4"/>
      <c r="R104" s="4"/>
      <c r="S104" s="9" t="str">
        <f>HYPERLINK("https://pbs.twimg.com/profile_images/1042625462575480833/YeugZ0fU.jpg","View")</f>
        <v>View</v>
      </c>
    </row>
    <row r="105" spans="1:19" ht="40">
      <c r="A105" s="8">
        <v>43369.720995370371</v>
      </c>
      <c r="B105" s="11" t="str">
        <f>HYPERLINK("https://twitter.com/VirtualPyCode","@VirtualPyCode")</f>
        <v>@VirtualPyCode</v>
      </c>
      <c r="C105" s="6" t="s">
        <v>3098</v>
      </c>
      <c r="D105" s="5" t="s">
        <v>2846</v>
      </c>
      <c r="E105" s="9" t="str">
        <f>HYPERLINK("https://twitter.com/VirtualPyCode/status/1044946750279241728","1044946750279241728")</f>
        <v>1044946750279241728</v>
      </c>
      <c r="F105" s="4"/>
      <c r="G105" s="4"/>
      <c r="H105" s="4"/>
      <c r="I105" s="10" t="str">
        <f>HYPERLINK("http://twitter.com/download/android","Twitter for Android")</f>
        <v>Twitter for Android</v>
      </c>
      <c r="J105" s="2">
        <v>58</v>
      </c>
      <c r="K105" s="2">
        <v>127</v>
      </c>
      <c r="L105" s="2">
        <v>0</v>
      </c>
      <c r="M105" s="2"/>
      <c r="N105" s="8">
        <v>43194.913449074069</v>
      </c>
      <c r="O105" s="4"/>
      <c r="P105" s="3"/>
      <c r="Q105" s="4"/>
      <c r="R105" s="4"/>
      <c r="S105" s="9" t="str">
        <f>HYPERLINK("https://pbs.twimg.com/profile_images/999361240420909056/0MoDtMsK.jpg","View")</f>
        <v>View</v>
      </c>
    </row>
    <row r="106" spans="1:19" ht="30">
      <c r="A106" s="8">
        <v>43369.720983796295</v>
      </c>
      <c r="B106" s="11" t="str">
        <f>HYPERLINK("https://twitter.com/fatimhammadiii","@fatimhammadiii")</f>
        <v>@fatimhammadiii</v>
      </c>
      <c r="C106" s="6" t="s">
        <v>3097</v>
      </c>
      <c r="D106" s="5" t="s">
        <v>2559</v>
      </c>
      <c r="E106" s="9" t="str">
        <f>HYPERLINK("https://twitter.com/fatimhammadiii/status/1044946746298847232","1044946746298847232")</f>
        <v>1044946746298847232</v>
      </c>
      <c r="F106" s="4"/>
      <c r="G106" s="10" t="s">
        <v>2558</v>
      </c>
      <c r="H106" s="4"/>
      <c r="I106" s="10" t="str">
        <f>HYPERLINK("https://mobile.twitter.com","Twitter Lite")</f>
        <v>Twitter Lite</v>
      </c>
      <c r="J106" s="2">
        <v>132</v>
      </c>
      <c r="K106" s="2">
        <v>194</v>
      </c>
      <c r="L106" s="2">
        <v>1</v>
      </c>
      <c r="M106" s="2"/>
      <c r="N106" s="8">
        <v>43105.878831018519</v>
      </c>
      <c r="O106" s="4" t="s">
        <v>8</v>
      </c>
      <c r="P106" s="3" t="s">
        <v>3096</v>
      </c>
      <c r="Q106" s="4"/>
      <c r="R106" s="4"/>
      <c r="S106" s="9" t="str">
        <f>HYPERLINK("https://pbs.twimg.com/profile_images/998697483487199232/xyMz3Z60.jpg","View")</f>
        <v>View</v>
      </c>
    </row>
    <row r="107" spans="1:19" ht="40">
      <c r="A107" s="8">
        <v>43369.720717592594</v>
      </c>
      <c r="B107" s="11" t="str">
        <f>HYPERLINK("https://twitter.com/PersianPride59","@PersianPride59")</f>
        <v>@PersianPride59</v>
      </c>
      <c r="C107" s="6" t="s">
        <v>644</v>
      </c>
      <c r="D107" s="5" t="s">
        <v>2846</v>
      </c>
      <c r="E107" s="9" t="str">
        <f>HYPERLINK("https://twitter.com/PersianPride59/status/1044946649783578624","1044946649783578624")</f>
        <v>1044946649783578624</v>
      </c>
      <c r="F107" s="4"/>
      <c r="G107" s="4"/>
      <c r="H107" s="4"/>
      <c r="I107" s="10" t="str">
        <f>HYPERLINK("http://twitter.com/download/android","Twitter for Android")</f>
        <v>Twitter for Android</v>
      </c>
      <c r="J107" s="2">
        <v>277</v>
      </c>
      <c r="K107" s="2">
        <v>279</v>
      </c>
      <c r="L107" s="2">
        <v>0</v>
      </c>
      <c r="M107" s="2"/>
      <c r="N107" s="8">
        <v>43120.423912037033</v>
      </c>
      <c r="O107" s="4" t="s">
        <v>641</v>
      </c>
      <c r="P107" s="3" t="s">
        <v>640</v>
      </c>
      <c r="Q107" s="4"/>
      <c r="R107" s="4"/>
      <c r="S107" s="9" t="str">
        <f>HYPERLINK("https://pbs.twimg.com/profile_images/955622458253455361/AoDN9FXx.jpg","View")</f>
        <v>View</v>
      </c>
    </row>
    <row r="108" spans="1:19" ht="30">
      <c r="A108" s="8">
        <v>43369.720659722225</v>
      </c>
      <c r="B108" s="11" t="str">
        <f>HYPERLINK("https://twitter.com/maryamferdosara","@maryamferdosara")</f>
        <v>@maryamferdosara</v>
      </c>
      <c r="C108" s="6" t="s">
        <v>1887</v>
      </c>
      <c r="D108" s="5" t="s">
        <v>2559</v>
      </c>
      <c r="E108" s="9" t="str">
        <f>HYPERLINK("https://twitter.com/maryamferdosara/status/1044946629609041920","1044946629609041920")</f>
        <v>1044946629609041920</v>
      </c>
      <c r="F108" s="4"/>
      <c r="G108" s="10" t="s">
        <v>2558</v>
      </c>
      <c r="H108" s="4"/>
      <c r="I108" s="10" t="str">
        <f>HYPERLINK("http://twitter.com/download/android","Twitter for Android")</f>
        <v>Twitter for Android</v>
      </c>
      <c r="J108" s="2">
        <v>4333</v>
      </c>
      <c r="K108" s="2">
        <v>5000</v>
      </c>
      <c r="L108" s="2">
        <v>4</v>
      </c>
      <c r="M108" s="2"/>
      <c r="N108" s="8">
        <v>42981.876539351855</v>
      </c>
      <c r="O108" s="4" t="s">
        <v>3095</v>
      </c>
      <c r="P108" s="3" t="s">
        <v>3094</v>
      </c>
      <c r="Q108" s="4"/>
      <c r="R108" s="4"/>
      <c r="S108" s="9" t="str">
        <f>HYPERLINK("https://pbs.twimg.com/profile_images/1000032126027386880/Gz4dYrWH.jpg","View")</f>
        <v>View</v>
      </c>
    </row>
    <row r="109" spans="1:19" ht="50">
      <c r="A109" s="8">
        <v>43369.720613425925</v>
      </c>
      <c r="B109" s="11" t="str">
        <f>HYPERLINK("https://twitter.com/mahbobdj2","@mahbobdj2")</f>
        <v>@mahbobdj2</v>
      </c>
      <c r="C109" s="6" t="s">
        <v>129</v>
      </c>
      <c r="D109" s="5" t="s">
        <v>2712</v>
      </c>
      <c r="E109" s="9" t="str">
        <f>HYPERLINK("https://twitter.com/mahbobdj2/status/1044946611565187073","1044946611565187073")</f>
        <v>1044946611565187073</v>
      </c>
      <c r="F109" s="4"/>
      <c r="G109" s="10" t="s">
        <v>2659</v>
      </c>
      <c r="H109" s="4"/>
      <c r="I109" s="10" t="str">
        <f>HYPERLINK("http://twitter.com/download/android","Twitter for Android")</f>
        <v>Twitter for Android</v>
      </c>
      <c r="J109" s="2">
        <v>143</v>
      </c>
      <c r="K109" s="2">
        <v>362</v>
      </c>
      <c r="L109" s="2">
        <v>0</v>
      </c>
      <c r="M109" s="2"/>
      <c r="N109" s="8">
        <v>43144.900960648149</v>
      </c>
      <c r="O109" s="4" t="s">
        <v>127</v>
      </c>
      <c r="P109" s="3" t="s">
        <v>126</v>
      </c>
      <c r="Q109" s="4"/>
      <c r="R109" s="4"/>
      <c r="S109" s="9" t="str">
        <f>HYPERLINK("https://pbs.twimg.com/profile_images/1042306212853940224/UWqknsAv.jpg","View")</f>
        <v>View</v>
      </c>
    </row>
    <row r="110" spans="1:19" ht="40">
      <c r="A110" s="8">
        <v>43369.720601851848</v>
      </c>
      <c r="B110" s="11" t="str">
        <f>HYPERLINK("https://twitter.com/GhaemiSoheil","@GhaemiSoheil")</f>
        <v>@GhaemiSoheil</v>
      </c>
      <c r="C110" s="6" t="s">
        <v>3093</v>
      </c>
      <c r="D110" s="5" t="s">
        <v>2846</v>
      </c>
      <c r="E110" s="9" t="str">
        <f>HYPERLINK("https://twitter.com/GhaemiSoheil/status/1044946611296718850","1044946611296718850")</f>
        <v>1044946611296718850</v>
      </c>
      <c r="F110" s="4"/>
      <c r="G110" s="4"/>
      <c r="H110" s="4"/>
      <c r="I110" s="10" t="str">
        <f>HYPERLINK("http://twitter.com/download/android","Twitter for Android")</f>
        <v>Twitter for Android</v>
      </c>
      <c r="J110" s="2">
        <v>217</v>
      </c>
      <c r="K110" s="2">
        <v>305</v>
      </c>
      <c r="L110" s="2">
        <v>1</v>
      </c>
      <c r="M110" s="2"/>
      <c r="N110" s="8">
        <v>42365.998692129629</v>
      </c>
      <c r="O110" s="4" t="s">
        <v>3092</v>
      </c>
      <c r="P110" s="3" t="s">
        <v>3091</v>
      </c>
      <c r="Q110" s="4"/>
      <c r="R110" s="4"/>
      <c r="S110" s="9" t="str">
        <f>HYPERLINK("https://pbs.twimg.com/profile_images/1044636075870892033/kGe5Diq8.jpg","View")</f>
        <v>View</v>
      </c>
    </row>
    <row r="111" spans="1:19" ht="30">
      <c r="A111" s="8">
        <v>43369.720601851848</v>
      </c>
      <c r="B111" s="11" t="str">
        <f>HYPERLINK("https://twitter.com/sarabanoo1367","@sarabanoo1367")</f>
        <v>@sarabanoo1367</v>
      </c>
      <c r="C111" s="6" t="s">
        <v>3083</v>
      </c>
      <c r="D111" s="5" t="s">
        <v>2559</v>
      </c>
      <c r="E111" s="9" t="str">
        <f>HYPERLINK("https://twitter.com/sarabanoo1367/status/1044946608109101056","1044946608109101056")</f>
        <v>1044946608109101056</v>
      </c>
      <c r="F111" s="4"/>
      <c r="G111" s="10" t="s">
        <v>2558</v>
      </c>
      <c r="H111" s="4"/>
      <c r="I111" s="10" t="str">
        <f>HYPERLINK("http://twitter.com/download/android","Twitter for Android")</f>
        <v>Twitter for Android</v>
      </c>
      <c r="J111" s="2">
        <v>425</v>
      </c>
      <c r="K111" s="2">
        <v>271</v>
      </c>
      <c r="L111" s="2">
        <v>0</v>
      </c>
      <c r="M111" s="2"/>
      <c r="N111" s="8">
        <v>43272.561296296291</v>
      </c>
      <c r="O111" s="4"/>
      <c r="P111" s="3" t="s">
        <v>3082</v>
      </c>
      <c r="Q111" s="4"/>
      <c r="R111" s="4"/>
      <c r="S111" s="9" t="str">
        <f>HYPERLINK("https://pbs.twimg.com/profile_images/1029355479972110339/9FnKBZd7.jpg","View")</f>
        <v>View</v>
      </c>
    </row>
    <row r="112" spans="1:19" ht="40">
      <c r="A112" s="8">
        <v>43369.72038194444</v>
      </c>
      <c r="B112" s="11" t="str">
        <f>HYPERLINK("https://twitter.com/Malekeashtar133","@Malekeashtar133")</f>
        <v>@Malekeashtar133</v>
      </c>
      <c r="C112" s="6" t="s">
        <v>3090</v>
      </c>
      <c r="D112" s="5" t="s">
        <v>72</v>
      </c>
      <c r="E112" s="9" t="str">
        <f>HYPERLINK("https://twitter.com/Malekeashtar133/status/1044946531294609408","1044946531294609408")</f>
        <v>1044946531294609408</v>
      </c>
      <c r="F112" s="4"/>
      <c r="G112" s="4"/>
      <c r="H112" s="4"/>
      <c r="I112" s="10" t="str">
        <f>HYPERLINK("http://twitter.com/download/android","Twitter for Android")</f>
        <v>Twitter for Android</v>
      </c>
      <c r="J112" s="2">
        <v>31</v>
      </c>
      <c r="K112" s="2">
        <v>79</v>
      </c>
      <c r="L112" s="2">
        <v>0</v>
      </c>
      <c r="M112" s="2"/>
      <c r="N112" s="8">
        <v>43265.164293981477</v>
      </c>
      <c r="O112" s="4"/>
      <c r="P112" s="3" t="s">
        <v>3089</v>
      </c>
      <c r="Q112" s="4"/>
      <c r="R112" s="4"/>
      <c r="S112" s="9" t="str">
        <f>HYPERLINK("https://pbs.twimg.com/profile_images/1030829372406558720/CrTnmFjT.jpg","View")</f>
        <v>View</v>
      </c>
    </row>
    <row r="113" spans="1:19" ht="40">
      <c r="A113" s="8">
        <v>43369.720277777778</v>
      </c>
      <c r="B113" s="11" t="str">
        <f>HYPERLINK("https://twitter.com/shahab1880","@shahab1880")</f>
        <v>@shahab1880</v>
      </c>
      <c r="C113" s="6" t="s">
        <v>3088</v>
      </c>
      <c r="D113" s="5" t="s">
        <v>1165</v>
      </c>
      <c r="E113" s="9" t="str">
        <f>HYPERLINK("https://twitter.com/shahab1880/status/1044946493558456327","1044946493558456327")</f>
        <v>1044946493558456327</v>
      </c>
      <c r="F113" s="4"/>
      <c r="G113" s="10" t="s">
        <v>663</v>
      </c>
      <c r="H113" s="4"/>
      <c r="I113" s="10" t="str">
        <f>HYPERLINK("http://twitter.com/download/android","Twitter for Android")</f>
        <v>Twitter for Android</v>
      </c>
      <c r="J113" s="2">
        <v>216</v>
      </c>
      <c r="K113" s="2">
        <v>731</v>
      </c>
      <c r="L113" s="2">
        <v>0</v>
      </c>
      <c r="M113" s="2"/>
      <c r="N113" s="8">
        <v>43332.725173611107</v>
      </c>
      <c r="O113" s="4" t="s">
        <v>168</v>
      </c>
      <c r="P113" s="3" t="s">
        <v>3087</v>
      </c>
      <c r="Q113" s="4"/>
      <c r="R113" s="4"/>
      <c r="S113" s="9" t="str">
        <f>HYPERLINK("https://pbs.twimg.com/profile_images/1036247319497330689/g_SEOB1M.jpg","View")</f>
        <v>View</v>
      </c>
    </row>
    <row r="114" spans="1:19" ht="30">
      <c r="A114" s="8">
        <v>43369.720092592594</v>
      </c>
      <c r="B114" s="11" t="str">
        <f>HYPERLINK("https://twitter.com/Sahar57622812","@Sahar57622812")</f>
        <v>@Sahar57622812</v>
      </c>
      <c r="C114" s="6" t="s">
        <v>3086</v>
      </c>
      <c r="D114" s="5" t="s">
        <v>2559</v>
      </c>
      <c r="E114" s="9" t="str">
        <f>HYPERLINK("https://twitter.com/Sahar57622812/status/1044946424067227649","1044946424067227649")</f>
        <v>1044946424067227649</v>
      </c>
      <c r="F114" s="4"/>
      <c r="G114" s="10" t="s">
        <v>2558</v>
      </c>
      <c r="H114" s="4"/>
      <c r="I114" s="10" t="str">
        <f>HYPERLINK("http://twitter.com/download/android","Twitter for Android")</f>
        <v>Twitter for Android</v>
      </c>
      <c r="J114" s="2">
        <v>152</v>
      </c>
      <c r="K114" s="2">
        <v>149</v>
      </c>
      <c r="L114" s="2">
        <v>0</v>
      </c>
      <c r="M114" s="2"/>
      <c r="N114" s="8">
        <v>43363.009120370371</v>
      </c>
      <c r="O114" s="4" t="s">
        <v>3085</v>
      </c>
      <c r="P114" s="3" t="s">
        <v>3084</v>
      </c>
      <c r="Q114" s="4"/>
      <c r="R114" s="4"/>
      <c r="S114" s="9" t="str">
        <f>HYPERLINK("https://pbs.twimg.com/profile_images/1044703057093767169/AwHIyats.jpg","View")</f>
        <v>View</v>
      </c>
    </row>
    <row r="115" spans="1:19" ht="40">
      <c r="A115" s="8">
        <v>43369.719837962963</v>
      </c>
      <c r="B115" s="11" t="str">
        <f>HYPERLINK("https://twitter.com/sarabanoo1367","@sarabanoo1367")</f>
        <v>@sarabanoo1367</v>
      </c>
      <c r="C115" s="6" t="s">
        <v>3083</v>
      </c>
      <c r="D115" s="5" t="s">
        <v>2846</v>
      </c>
      <c r="E115" s="9" t="str">
        <f>HYPERLINK("https://twitter.com/sarabanoo1367/status/1044946334254592006","1044946334254592006")</f>
        <v>1044946334254592006</v>
      </c>
      <c r="F115" s="4"/>
      <c r="G115" s="4"/>
      <c r="H115" s="4"/>
      <c r="I115" s="10" t="str">
        <f>HYPERLINK("http://twitter.com/download/android","Twitter for Android")</f>
        <v>Twitter for Android</v>
      </c>
      <c r="J115" s="2">
        <v>425</v>
      </c>
      <c r="K115" s="2">
        <v>271</v>
      </c>
      <c r="L115" s="2">
        <v>0</v>
      </c>
      <c r="M115" s="2"/>
      <c r="N115" s="8">
        <v>43272.561296296291</v>
      </c>
      <c r="O115" s="4"/>
      <c r="P115" s="3" t="s">
        <v>3082</v>
      </c>
      <c r="Q115" s="4"/>
      <c r="R115" s="4"/>
      <c r="S115" s="9" t="str">
        <f>HYPERLINK("https://pbs.twimg.com/profile_images/1029355479972110339/9FnKBZd7.jpg","View")</f>
        <v>View</v>
      </c>
    </row>
    <row r="116" spans="1:19" ht="30">
      <c r="A116" s="8">
        <v>43369.719699074078</v>
      </c>
      <c r="B116" s="11" t="str">
        <f>HYPERLINK("https://twitter.com/Grouchoism","@Grouchoism")</f>
        <v>@Grouchoism</v>
      </c>
      <c r="C116" s="6" t="s">
        <v>3081</v>
      </c>
      <c r="D116" s="5" t="s">
        <v>2559</v>
      </c>
      <c r="E116" s="9" t="str">
        <f>HYPERLINK("https://twitter.com/Grouchoism/status/1044946283113467904","1044946283113467904")</f>
        <v>1044946283113467904</v>
      </c>
      <c r="F116" s="4"/>
      <c r="G116" s="10" t="s">
        <v>2558</v>
      </c>
      <c r="H116" s="4"/>
      <c r="I116" s="10" t="str">
        <f>HYPERLINK("http://twitter.com","Twitter Web Client")</f>
        <v>Twitter Web Client</v>
      </c>
      <c r="J116" s="2">
        <v>100</v>
      </c>
      <c r="K116" s="2">
        <v>823</v>
      </c>
      <c r="L116" s="2">
        <v>1</v>
      </c>
      <c r="M116" s="2"/>
      <c r="N116" s="8">
        <v>41959.821053240739</v>
      </c>
      <c r="O116" s="4" t="s">
        <v>3080</v>
      </c>
      <c r="P116" s="3" t="s">
        <v>3079</v>
      </c>
      <c r="Q116" s="10" t="s">
        <v>3078</v>
      </c>
      <c r="R116" s="4"/>
      <c r="S116" s="9" t="str">
        <f>HYPERLINK("https://pbs.twimg.com/profile_images/641719421371842560/aPMisA7C.jpg","View")</f>
        <v>View</v>
      </c>
    </row>
    <row r="117" spans="1:19" ht="30">
      <c r="A117" s="8">
        <v>43369.719606481478</v>
      </c>
      <c r="B117" s="11" t="str">
        <f>HYPERLINK("https://twitter.com/estadebamosht","@estadebamosht")</f>
        <v>@estadebamosht</v>
      </c>
      <c r="C117" s="6" t="s">
        <v>397</v>
      </c>
      <c r="D117" s="5" t="s">
        <v>2559</v>
      </c>
      <c r="E117" s="9" t="str">
        <f>HYPERLINK("https://twitter.com/estadebamosht/status/1044946248019693568","1044946248019693568")</f>
        <v>1044946248019693568</v>
      </c>
      <c r="F117" s="4"/>
      <c r="G117" s="10" t="s">
        <v>2558</v>
      </c>
      <c r="H117" s="4"/>
      <c r="I117" s="10" t="str">
        <f>HYPERLINK("http://twitter.com/download/android","Twitter for Android")</f>
        <v>Twitter for Android</v>
      </c>
      <c r="J117" s="2">
        <v>66</v>
      </c>
      <c r="K117" s="2">
        <v>186</v>
      </c>
      <c r="L117" s="2">
        <v>0</v>
      </c>
      <c r="M117" s="2"/>
      <c r="N117" s="8">
        <v>42685.848703703705</v>
      </c>
      <c r="O117" s="4"/>
      <c r="P117" s="3"/>
      <c r="Q117" s="4"/>
      <c r="R117" s="4"/>
      <c r="S117" s="9" t="str">
        <f>HYPERLINK("https://pbs.twimg.com/profile_images/1027889163587280896/HH_YsQdn.jpg","View")</f>
        <v>View</v>
      </c>
    </row>
    <row r="118" spans="1:19" ht="50">
      <c r="A118" s="8">
        <v>43369.719259259262</v>
      </c>
      <c r="B118" s="11" t="str">
        <f>HYPERLINK("https://twitter.com/UniFormaTech","@UniFormaTech")</f>
        <v>@UniFormaTech</v>
      </c>
      <c r="C118" s="6" t="s">
        <v>3077</v>
      </c>
      <c r="D118" s="5" t="s">
        <v>1165</v>
      </c>
      <c r="E118" s="9" t="str">
        <f>HYPERLINK("https://twitter.com/UniFormaTech/status/1044946121754378240","1044946121754378240")</f>
        <v>1044946121754378240</v>
      </c>
      <c r="F118" s="4"/>
      <c r="G118" s="10" t="s">
        <v>663</v>
      </c>
      <c r="H118" s="4"/>
      <c r="I118" s="10" t="str">
        <f>HYPERLINK("http://twitter.com","Twitter Web Client")</f>
        <v>Twitter Web Client</v>
      </c>
      <c r="J118" s="2">
        <v>1603</v>
      </c>
      <c r="K118" s="2">
        <v>1524</v>
      </c>
      <c r="L118" s="2">
        <v>12</v>
      </c>
      <c r="M118" s="2"/>
      <c r="N118" s="8">
        <v>43254.075023148151</v>
      </c>
      <c r="O118" s="4" t="s">
        <v>7</v>
      </c>
      <c r="P118" s="3" t="s">
        <v>3076</v>
      </c>
      <c r="Q118" s="10" t="s">
        <v>3075</v>
      </c>
      <c r="R118" s="4"/>
      <c r="S118" s="9" t="str">
        <f>HYPERLINK("https://pbs.twimg.com/profile_images/1041720650094845957/rFi6EAPy.jpg","View")</f>
        <v>View</v>
      </c>
    </row>
    <row r="119" spans="1:19" ht="40">
      <c r="A119" s="8">
        <v>43369.719236111108</v>
      </c>
      <c r="B119" s="11" t="str">
        <f>HYPERLINK("https://twitter.com/_BERZRK_","@_BERZRK_")</f>
        <v>@_BERZRK_</v>
      </c>
      <c r="C119" s="6" t="s">
        <v>2574</v>
      </c>
      <c r="D119" s="5" t="s">
        <v>2846</v>
      </c>
      <c r="E119" s="9" t="str">
        <f>HYPERLINK("https://twitter.com/_BERZRK_/status/1044946115102167045","1044946115102167045")</f>
        <v>1044946115102167045</v>
      </c>
      <c r="F119" s="4"/>
      <c r="G119" s="4"/>
      <c r="H119" s="4"/>
      <c r="I119" s="10" t="str">
        <f>HYPERLINK("http://twitter.com/download/android","Twitter for Android")</f>
        <v>Twitter for Android</v>
      </c>
      <c r="J119" s="2">
        <v>9</v>
      </c>
      <c r="K119" s="2">
        <v>10</v>
      </c>
      <c r="L119" s="2">
        <v>0</v>
      </c>
      <c r="M119" s="2"/>
      <c r="N119" s="8">
        <v>43194.495879629627</v>
      </c>
      <c r="O119" s="4"/>
      <c r="P119" s="3"/>
      <c r="Q119" s="4"/>
      <c r="R119" s="4"/>
      <c r="S119" s="9" t="str">
        <f>HYPERLINK("https://pbs.twimg.com/profile_images/994259928528379904/QCSo5hNl.jpg","View")</f>
        <v>View</v>
      </c>
    </row>
    <row r="120" spans="1:19" ht="50">
      <c r="A120" s="8">
        <v>43369.718784722223</v>
      </c>
      <c r="B120" s="11" t="str">
        <f>HYPERLINK("https://twitter.com/MehdiSh82246022","@MehdiSh82246022")</f>
        <v>@MehdiSh82246022</v>
      </c>
      <c r="C120" s="6" t="s">
        <v>3074</v>
      </c>
      <c r="D120" s="5" t="s">
        <v>3073</v>
      </c>
      <c r="E120" s="9" t="str">
        <f>HYPERLINK("https://twitter.com/MehdiSh82246022/status/1044945950677102592","1044945950677102592")</f>
        <v>1044945950677102592</v>
      </c>
      <c r="F120" s="4"/>
      <c r="G120" s="4"/>
      <c r="H120" s="4"/>
      <c r="I120" s="10" t="str">
        <f>HYPERLINK("http://twitter.com/download/android","Twitter for Android")</f>
        <v>Twitter for Android</v>
      </c>
      <c r="J120" s="2">
        <v>100</v>
      </c>
      <c r="K120" s="2">
        <v>119</v>
      </c>
      <c r="L120" s="2">
        <v>0</v>
      </c>
      <c r="M120" s="2"/>
      <c r="N120" s="8">
        <v>43255.807800925926</v>
      </c>
      <c r="O120" s="4" t="s">
        <v>1</v>
      </c>
      <c r="P120" s="3"/>
      <c r="Q120" s="4"/>
      <c r="R120" s="4"/>
      <c r="S120" s="9" t="str">
        <f>HYPERLINK("https://pbs.twimg.com/profile_images/1036866069342904320/p5m4T3Jv.jpg","View")</f>
        <v>View</v>
      </c>
    </row>
    <row r="121" spans="1:19" ht="30">
      <c r="A121" s="8">
        <v>43369.718414351853</v>
      </c>
      <c r="B121" s="11" t="str">
        <f>HYPERLINK("https://twitter.com/barandazei","@barandazei")</f>
        <v>@barandazei</v>
      </c>
      <c r="C121" s="6" t="s">
        <v>2572</v>
      </c>
      <c r="D121" s="5" t="s">
        <v>49</v>
      </c>
      <c r="E121" s="9" t="str">
        <f>HYPERLINK("https://twitter.com/barandazei/status/1044945815419187205","1044945815419187205")</f>
        <v>1044945815419187205</v>
      </c>
      <c r="F121" s="4"/>
      <c r="G121" s="4"/>
      <c r="H121" s="4"/>
      <c r="I121" s="10" t="str">
        <f>HYPERLINK("http://twitter.com/download/android","Twitter for Android")</f>
        <v>Twitter for Android</v>
      </c>
      <c r="J121" s="2">
        <v>161</v>
      </c>
      <c r="K121" s="2">
        <v>127</v>
      </c>
      <c r="L121" s="2">
        <v>0</v>
      </c>
      <c r="M121" s="2"/>
      <c r="N121" s="8">
        <v>41416.956087962964</v>
      </c>
      <c r="O121" s="4" t="s">
        <v>197</v>
      </c>
      <c r="P121" s="3" t="s">
        <v>2571</v>
      </c>
      <c r="Q121" s="4"/>
      <c r="R121" s="4"/>
      <c r="S121" s="9" t="str">
        <f>HYPERLINK("https://pbs.twimg.com/profile_images/1044908773280747521/1QT8PRpH.jpg","View")</f>
        <v>View</v>
      </c>
    </row>
    <row r="122" spans="1:19" ht="20">
      <c r="A122" s="8">
        <v>43369.718402777777</v>
      </c>
      <c r="B122" s="11" t="str">
        <f>HYPERLINK("https://twitter.com/AslanianNahid","@AslanianNahid")</f>
        <v>@AslanianNahid</v>
      </c>
      <c r="C122" s="6" t="s">
        <v>3072</v>
      </c>
      <c r="D122" s="5" t="s">
        <v>102</v>
      </c>
      <c r="E122" s="9" t="str">
        <f>HYPERLINK("https://twitter.com/AslanianNahid/status/1044945814152519680","1044945814152519680")</f>
        <v>1044945814152519680</v>
      </c>
      <c r="F122" s="4"/>
      <c r="G122" s="4"/>
      <c r="H122" s="4"/>
      <c r="I122" s="10" t="str">
        <f>HYPERLINK("http://twitter.com/download/android","Twitter for Android")</f>
        <v>Twitter for Android</v>
      </c>
      <c r="J122" s="2">
        <v>323</v>
      </c>
      <c r="K122" s="2">
        <v>712</v>
      </c>
      <c r="L122" s="2">
        <v>0</v>
      </c>
      <c r="M122" s="2"/>
      <c r="N122" s="8">
        <v>43269.9528125</v>
      </c>
      <c r="O122" s="4"/>
      <c r="P122" s="3"/>
      <c r="Q122" s="4"/>
      <c r="R122" s="4"/>
      <c r="S122" s="2" t="s">
        <v>21</v>
      </c>
    </row>
    <row r="123" spans="1:19" ht="30">
      <c r="A123" s="8">
        <v>43369.71837962963</v>
      </c>
      <c r="B123" s="11" t="str">
        <f>HYPERLINK("https://twitter.com/kobalt63507470","@kobalt63507470")</f>
        <v>@kobalt63507470</v>
      </c>
      <c r="C123" s="6" t="s">
        <v>3071</v>
      </c>
      <c r="D123" s="5" t="s">
        <v>2559</v>
      </c>
      <c r="E123" s="9" t="str">
        <f>HYPERLINK("https://twitter.com/kobalt63507470/status/1044945803805184000","1044945803805184000")</f>
        <v>1044945803805184000</v>
      </c>
      <c r="F123" s="4"/>
      <c r="G123" s="10" t="s">
        <v>2558</v>
      </c>
      <c r="H123" s="4"/>
      <c r="I123" s="10" t="str">
        <f>HYPERLINK("http://twitter.com/download/android","Twitter for Android")</f>
        <v>Twitter for Android</v>
      </c>
      <c r="J123" s="2">
        <v>0</v>
      </c>
      <c r="K123" s="2">
        <v>15</v>
      </c>
      <c r="L123" s="2">
        <v>0</v>
      </c>
      <c r="M123" s="2"/>
      <c r="N123" s="8">
        <v>43369.695601851854</v>
      </c>
      <c r="O123" s="4" t="s">
        <v>3070</v>
      </c>
      <c r="P123" s="3" t="s">
        <v>3069</v>
      </c>
      <c r="Q123" s="4"/>
      <c r="R123" s="4"/>
      <c r="S123" s="9" t="str">
        <f>HYPERLINK("https://pbs.twimg.com/profile_images/1044942203771146248/CAb6aJCs.jpg","View")</f>
        <v>View</v>
      </c>
    </row>
    <row r="124" spans="1:19" ht="30">
      <c r="A124" s="8">
        <v>43369.718344907407</v>
      </c>
      <c r="B124" s="11" t="str">
        <f>HYPERLINK("https://twitter.com/saeedismx","@saeedismx")</f>
        <v>@saeedismx</v>
      </c>
      <c r="C124" s="6" t="s">
        <v>3068</v>
      </c>
      <c r="D124" s="5" t="s">
        <v>2559</v>
      </c>
      <c r="E124" s="9" t="str">
        <f>HYPERLINK("https://twitter.com/saeedismx/status/1044945792283234307","1044945792283234307")</f>
        <v>1044945792283234307</v>
      </c>
      <c r="F124" s="4"/>
      <c r="G124" s="10" t="s">
        <v>2558</v>
      </c>
      <c r="H124" s="4"/>
      <c r="I124" s="10" t="str">
        <f>HYPERLINK("http://twitter.com/download/android","Twitter for Android")</f>
        <v>Twitter for Android</v>
      </c>
      <c r="J124" s="2">
        <v>370</v>
      </c>
      <c r="K124" s="2">
        <v>372</v>
      </c>
      <c r="L124" s="2">
        <v>1</v>
      </c>
      <c r="M124" s="2"/>
      <c r="N124" s="8">
        <v>42824.975659722222</v>
      </c>
      <c r="O124" s="4" t="s">
        <v>25</v>
      </c>
      <c r="P124" s="3" t="s">
        <v>3067</v>
      </c>
      <c r="Q124" s="4"/>
      <c r="R124" s="4"/>
      <c r="S124" s="9" t="str">
        <f>HYPERLINK("https://pbs.twimg.com/profile_images/1044707873106800640/wCyBkzCG.jpg","View")</f>
        <v>View</v>
      </c>
    </row>
    <row r="125" spans="1:19" ht="40">
      <c r="A125" s="8">
        <v>43369.71711805556</v>
      </c>
      <c r="B125" s="11" t="str">
        <f>HYPERLINK("https://twitter.com/KazemiFahimeh","@KazemiFahimeh")</f>
        <v>@KazemiFahimeh</v>
      </c>
      <c r="C125" s="6" t="s">
        <v>118</v>
      </c>
      <c r="D125" s="5" t="s">
        <v>1165</v>
      </c>
      <c r="E125" s="9" t="str">
        <f>HYPERLINK("https://twitter.com/KazemiFahimeh/status/1044945346110074881","1044945346110074881")</f>
        <v>1044945346110074881</v>
      </c>
      <c r="F125" s="4"/>
      <c r="G125" s="10" t="s">
        <v>663</v>
      </c>
      <c r="H125" s="4"/>
      <c r="I125" s="10" t="str">
        <f>HYPERLINK("http://twitter.com/download/iphone","Twitter for iPhone")</f>
        <v>Twitter for iPhone</v>
      </c>
      <c r="J125" s="2">
        <v>1336</v>
      </c>
      <c r="K125" s="2">
        <v>1403</v>
      </c>
      <c r="L125" s="2">
        <v>4</v>
      </c>
      <c r="M125" s="2"/>
      <c r="N125" s="8">
        <v>43230.894293981481</v>
      </c>
      <c r="O125" s="4" t="s">
        <v>117</v>
      </c>
      <c r="P125" s="3" t="s">
        <v>116</v>
      </c>
      <c r="Q125" s="4"/>
      <c r="R125" s="4"/>
      <c r="S125" s="9" t="str">
        <f>HYPERLINK("https://pbs.twimg.com/profile_images/1039405445629308928/CnBUkGMX.jpg","View")</f>
        <v>View</v>
      </c>
    </row>
    <row r="126" spans="1:19" ht="20">
      <c r="A126" s="8">
        <v>43369.717106481483</v>
      </c>
      <c r="B126" s="11" t="str">
        <f>HYPERLINK("https://twitter.com/Shishimatoom","@Shishimatoom")</f>
        <v>@Shishimatoom</v>
      </c>
      <c r="C126" s="6" t="s">
        <v>3044</v>
      </c>
      <c r="D126" s="5" t="s">
        <v>2943</v>
      </c>
      <c r="E126" s="9" t="str">
        <f>HYPERLINK("https://twitter.com/Shishimatoom/status/1044945342767206402","1044945342767206402")</f>
        <v>1044945342767206402</v>
      </c>
      <c r="F126" s="4"/>
      <c r="G126" s="10" t="s">
        <v>2942</v>
      </c>
      <c r="H126" s="4"/>
      <c r="I126" s="10" t="str">
        <f>HYPERLINK("http://twitter.com/download/android","Twitter for Android")</f>
        <v>Twitter for Android</v>
      </c>
      <c r="J126" s="2">
        <v>697</v>
      </c>
      <c r="K126" s="2">
        <v>793</v>
      </c>
      <c r="L126" s="2">
        <v>0</v>
      </c>
      <c r="M126" s="2"/>
      <c r="N126" s="8">
        <v>42447.679490740746</v>
      </c>
      <c r="O126" s="4"/>
      <c r="P126" s="3" t="s">
        <v>3043</v>
      </c>
      <c r="Q126" s="4"/>
      <c r="R126" s="4"/>
      <c r="S126" s="9" t="str">
        <f>HYPERLINK("https://pbs.twimg.com/profile_images/1008641226449420288/-ougpcic.jpg","View")</f>
        <v>View</v>
      </c>
    </row>
    <row r="127" spans="1:19" ht="40">
      <c r="A127" s="8">
        <v>43369.716712962967</v>
      </c>
      <c r="B127" s="11" t="str">
        <f>HYPERLINK("https://twitter.com/che8427","@che8427")</f>
        <v>@che8427</v>
      </c>
      <c r="C127" s="6" t="s">
        <v>3066</v>
      </c>
      <c r="D127" s="5" t="s">
        <v>2846</v>
      </c>
      <c r="E127" s="9" t="str">
        <f>HYPERLINK("https://twitter.com/che8427/status/1044945198340608000","1044945198340608000")</f>
        <v>1044945198340608000</v>
      </c>
      <c r="F127" s="4"/>
      <c r="G127" s="4"/>
      <c r="H127" s="4"/>
      <c r="I127" s="10" t="str">
        <f>HYPERLINK("http://twitter.com/download/iphone","Twitter for iPhone")</f>
        <v>Twitter for iPhone</v>
      </c>
      <c r="J127" s="2">
        <v>289</v>
      </c>
      <c r="K127" s="2">
        <v>599</v>
      </c>
      <c r="L127" s="2">
        <v>1</v>
      </c>
      <c r="M127" s="2"/>
      <c r="N127" s="8">
        <v>39967.1168287037</v>
      </c>
      <c r="O127" s="4"/>
      <c r="P127" s="3" t="s">
        <v>3065</v>
      </c>
      <c r="Q127" s="4"/>
      <c r="R127" s="4"/>
      <c r="S127" s="9" t="str">
        <f>HYPERLINK("https://pbs.twimg.com/profile_images/893828462988980224/MKgUZewF.jpg","View")</f>
        <v>View</v>
      </c>
    </row>
    <row r="128" spans="1:19" ht="40">
      <c r="A128" s="8">
        <v>43369.716307870374</v>
      </c>
      <c r="B128" s="11" t="str">
        <f>HYPERLINK("https://twitter.com/azad_parvaz","@azad_parvaz")</f>
        <v>@azad_parvaz</v>
      </c>
      <c r="C128" s="6" t="s">
        <v>3064</v>
      </c>
      <c r="D128" s="5" t="s">
        <v>2846</v>
      </c>
      <c r="E128" s="9" t="str">
        <f>HYPERLINK("https://twitter.com/azad_parvaz/status/1044945052882149377","1044945052882149377")</f>
        <v>1044945052882149377</v>
      </c>
      <c r="F128" s="4"/>
      <c r="G128" s="4"/>
      <c r="H128" s="4"/>
      <c r="I128" s="10" t="str">
        <f>HYPERLINK("http://twitter.com/download/android","Twitter for Android")</f>
        <v>Twitter for Android</v>
      </c>
      <c r="J128" s="2">
        <v>243</v>
      </c>
      <c r="K128" s="2">
        <v>268</v>
      </c>
      <c r="L128" s="2">
        <v>2</v>
      </c>
      <c r="M128" s="2"/>
      <c r="N128" s="8">
        <v>41642.977222222224</v>
      </c>
      <c r="O128" s="4" t="s">
        <v>3063</v>
      </c>
      <c r="P128" s="3" t="s">
        <v>3062</v>
      </c>
      <c r="Q128" s="4"/>
      <c r="R128" s="4"/>
      <c r="S128" s="9" t="str">
        <f>HYPERLINK("https://pbs.twimg.com/profile_images/1030141697987145728/G3w0lYgo.jpg","View")</f>
        <v>View</v>
      </c>
    </row>
    <row r="129" spans="1:19" ht="40">
      <c r="A129" s="8">
        <v>43369.716249999998</v>
      </c>
      <c r="B129" s="11" t="str">
        <f>HYPERLINK("https://twitter.com/reza_35_","@reza_35_")</f>
        <v>@reza_35_</v>
      </c>
      <c r="C129" s="6" t="s">
        <v>3061</v>
      </c>
      <c r="D129" s="5" t="s">
        <v>2846</v>
      </c>
      <c r="E129" s="9" t="str">
        <f>HYPERLINK("https://twitter.com/reza_35_/status/1044945033768693760","1044945033768693760")</f>
        <v>1044945033768693760</v>
      </c>
      <c r="F129" s="4"/>
      <c r="G129" s="4"/>
      <c r="H129" s="4"/>
      <c r="I129" s="10" t="str">
        <f>HYPERLINK("http://twitter.com/download/android","Twitter for Android")</f>
        <v>Twitter for Android</v>
      </c>
      <c r="J129" s="2">
        <v>32</v>
      </c>
      <c r="K129" s="2">
        <v>69</v>
      </c>
      <c r="L129" s="2">
        <v>0</v>
      </c>
      <c r="M129" s="2"/>
      <c r="N129" s="8">
        <v>43212.866863425923</v>
      </c>
      <c r="O129" s="4" t="s">
        <v>101</v>
      </c>
      <c r="P129" s="3" t="s">
        <v>3060</v>
      </c>
      <c r="Q129" s="4"/>
      <c r="R129" s="4"/>
      <c r="S129" s="9" t="str">
        <f>HYPERLINK("https://pbs.twimg.com/profile_images/993912805140127744/6R3wwKtu.jpg","View")</f>
        <v>View</v>
      </c>
    </row>
    <row r="130" spans="1:19" ht="30">
      <c r="A130" s="8">
        <v>43369.716226851851</v>
      </c>
      <c r="B130" s="11" t="str">
        <f>HYPERLINK("https://twitter.com/matiam88581992","@matiam88581992")</f>
        <v>@matiam88581992</v>
      </c>
      <c r="C130" s="6" t="s">
        <v>2980</v>
      </c>
      <c r="D130" s="5" t="s">
        <v>2559</v>
      </c>
      <c r="E130" s="9" t="str">
        <f>HYPERLINK("https://twitter.com/matiam88581992/status/1044945025442959360","1044945025442959360")</f>
        <v>1044945025442959360</v>
      </c>
      <c r="F130" s="4"/>
      <c r="G130" s="10" t="s">
        <v>2558</v>
      </c>
      <c r="H130" s="4"/>
      <c r="I130" s="10" t="str">
        <f>HYPERLINK("http://twitter.com/download/android","Twitter for Android")</f>
        <v>Twitter for Android</v>
      </c>
      <c r="J130" s="2">
        <v>35</v>
      </c>
      <c r="K130" s="2">
        <v>47</v>
      </c>
      <c r="L130" s="2">
        <v>0</v>
      </c>
      <c r="M130" s="2"/>
      <c r="N130" s="8">
        <v>43350.701296296298</v>
      </c>
      <c r="O130" s="4"/>
      <c r="P130" s="3"/>
      <c r="Q130" s="4"/>
      <c r="R130" s="4"/>
      <c r="S130" s="9" t="str">
        <f>HYPERLINK("https://pbs.twimg.com/profile_images/1038040988046917632/RJSqCSM1.jpg","View")</f>
        <v>View</v>
      </c>
    </row>
    <row r="131" spans="1:19" ht="30">
      <c r="A131" s="8">
        <v>43369.716087962966</v>
      </c>
      <c r="B131" s="11" t="str">
        <f>HYPERLINK("https://twitter.com/peymanlotfi1","@peymanlotfi1")</f>
        <v>@peymanlotfi1</v>
      </c>
      <c r="C131" s="6" t="s">
        <v>3059</v>
      </c>
      <c r="D131" s="5" t="s">
        <v>2774</v>
      </c>
      <c r="E131" s="9" t="str">
        <f>HYPERLINK("https://twitter.com/peymanlotfi1/status/1044944972208893954","1044944972208893954")</f>
        <v>1044944972208893954</v>
      </c>
      <c r="F131" s="10" t="s">
        <v>2763</v>
      </c>
      <c r="G131" s="10" t="s">
        <v>2762</v>
      </c>
      <c r="H131" s="4"/>
      <c r="I131" s="10" t="str">
        <f>HYPERLINK("http://twitter.com/download/iphone","Twitter for iPhone")</f>
        <v>Twitter for iPhone</v>
      </c>
      <c r="J131" s="2">
        <v>153</v>
      </c>
      <c r="K131" s="2">
        <v>1612</v>
      </c>
      <c r="L131" s="2">
        <v>2</v>
      </c>
      <c r="M131" s="2"/>
      <c r="N131" s="8">
        <v>41941.815416666665</v>
      </c>
      <c r="O131" s="4"/>
      <c r="P131" s="3"/>
      <c r="Q131" s="10" t="s">
        <v>3058</v>
      </c>
      <c r="R131" s="4"/>
      <c r="S131" s="9" t="str">
        <f>HYPERLINK("https://pbs.twimg.com/profile_images/834496334220709888/ekPvusY3.jpg","View")</f>
        <v>View</v>
      </c>
    </row>
    <row r="132" spans="1:19" ht="30">
      <c r="A132" s="8">
        <v>43369.715983796297</v>
      </c>
      <c r="B132" s="11" t="str">
        <f>HYPERLINK("https://twitter.com/saharhny_real","@saharhny_real")</f>
        <v>@saharhny_real</v>
      </c>
      <c r="C132" s="6" t="s">
        <v>3057</v>
      </c>
      <c r="D132" s="5" t="s">
        <v>2559</v>
      </c>
      <c r="E132" s="9" t="str">
        <f>HYPERLINK("https://twitter.com/saharhny_real/status/1044944935810748417","1044944935810748417")</f>
        <v>1044944935810748417</v>
      </c>
      <c r="F132" s="4"/>
      <c r="G132" s="10" t="s">
        <v>2558</v>
      </c>
      <c r="H132" s="4"/>
      <c r="I132" s="10" t="str">
        <f>HYPERLINK("http://twitter.com/download/android","Twitter for Android")</f>
        <v>Twitter for Android</v>
      </c>
      <c r="J132" s="2">
        <v>306</v>
      </c>
      <c r="K132" s="2">
        <v>3061</v>
      </c>
      <c r="L132" s="2">
        <v>0</v>
      </c>
      <c r="M132" s="2"/>
      <c r="N132" s="8">
        <v>42451.685925925922</v>
      </c>
      <c r="O132" s="4"/>
      <c r="P132" s="3"/>
      <c r="Q132" s="4"/>
      <c r="R132" s="4"/>
      <c r="S132" s="9" t="str">
        <f>HYPERLINK("https://pbs.twimg.com/profile_images/1021544518401843205/pZu86rnH.jpg","View")</f>
        <v>View</v>
      </c>
    </row>
    <row r="133" spans="1:19" ht="50">
      <c r="A133" s="8">
        <v>43369.715868055559</v>
      </c>
      <c r="B133" s="11" t="str">
        <f>HYPERLINK("https://twitter.com/mirza_akbarkhan","@mirza_akbarkhan")</f>
        <v>@mirza_akbarkhan</v>
      </c>
      <c r="C133" s="6" t="s">
        <v>3056</v>
      </c>
      <c r="D133" s="5" t="s">
        <v>2712</v>
      </c>
      <c r="E133" s="9" t="str">
        <f>HYPERLINK("https://twitter.com/mirza_akbarkhan/status/1044944895100645381","1044944895100645381")</f>
        <v>1044944895100645381</v>
      </c>
      <c r="F133" s="4"/>
      <c r="G133" s="10" t="s">
        <v>2659</v>
      </c>
      <c r="H133" s="4"/>
      <c r="I133" s="10" t="str">
        <f>HYPERLINK("http://twitter.com/download/iphone","Twitter for iPhone")</f>
        <v>Twitter for iPhone</v>
      </c>
      <c r="J133" s="2">
        <v>357</v>
      </c>
      <c r="K133" s="2">
        <v>465</v>
      </c>
      <c r="L133" s="2">
        <v>1</v>
      </c>
      <c r="M133" s="2"/>
      <c r="N133" s="8">
        <v>40817.991365740745</v>
      </c>
      <c r="O133" s="4" t="s">
        <v>3055</v>
      </c>
      <c r="P133" s="3" t="s">
        <v>3054</v>
      </c>
      <c r="Q133" s="4"/>
      <c r="R133" s="4"/>
      <c r="S133" s="9" t="str">
        <f>HYPERLINK("https://pbs.twimg.com/profile_images/1042526986680393728/rNbLOZLG.jpg","View")</f>
        <v>View</v>
      </c>
    </row>
    <row r="134" spans="1:19" ht="30">
      <c r="A134" s="8">
        <v>43369.715787037036</v>
      </c>
      <c r="B134" s="11" t="str">
        <f>HYPERLINK("https://twitter.com/parse7723","@parse7723")</f>
        <v>@parse7723</v>
      </c>
      <c r="C134" s="6" t="s">
        <v>3053</v>
      </c>
      <c r="D134" s="5" t="s">
        <v>2559</v>
      </c>
      <c r="E134" s="9" t="str">
        <f>HYPERLINK("https://twitter.com/parse7723/status/1044944863194730497","1044944863194730497")</f>
        <v>1044944863194730497</v>
      </c>
      <c r="F134" s="4"/>
      <c r="G134" s="10" t="s">
        <v>2558</v>
      </c>
      <c r="H134" s="4"/>
      <c r="I134" s="10" t="str">
        <f>HYPERLINK("http://twitter.com/download/android","Twitter for Android")</f>
        <v>Twitter for Android</v>
      </c>
      <c r="J134" s="2">
        <v>88</v>
      </c>
      <c r="K134" s="2">
        <v>232</v>
      </c>
      <c r="L134" s="2">
        <v>0</v>
      </c>
      <c r="M134" s="2"/>
      <c r="N134" s="8">
        <v>43035.538668981477</v>
      </c>
      <c r="O134" s="4" t="s">
        <v>3052</v>
      </c>
      <c r="P134" s="3" t="s">
        <v>3051</v>
      </c>
      <c r="Q134" s="4"/>
      <c r="R134" s="4"/>
      <c r="S134" s="9" t="str">
        <f>HYPERLINK("https://pbs.twimg.com/profile_images/1025065151467335680/oiOJ3nUr.jpg","View")</f>
        <v>View</v>
      </c>
    </row>
    <row r="135" spans="1:19" ht="50">
      <c r="A135" s="8">
        <v>43369.715763888889</v>
      </c>
      <c r="B135" s="11" t="str">
        <f>HYPERLINK("https://twitter.com/amin80203594","@amin80203594")</f>
        <v>@amin80203594</v>
      </c>
      <c r="C135" s="6" t="s">
        <v>3050</v>
      </c>
      <c r="D135" s="5" t="s">
        <v>3049</v>
      </c>
      <c r="E135" s="9" t="str">
        <f>HYPERLINK("https://twitter.com/amin80203594/status/1044944857213493248","1044944857213493248")</f>
        <v>1044944857213493248</v>
      </c>
      <c r="F135" s="4"/>
      <c r="G135" s="4"/>
      <c r="H135" s="4"/>
      <c r="I135" s="10" t="str">
        <f>HYPERLINK("http://twitter.com/download/iphone","Twitter for iPhone")</f>
        <v>Twitter for iPhone</v>
      </c>
      <c r="J135" s="2">
        <v>9</v>
      </c>
      <c r="K135" s="2">
        <v>14</v>
      </c>
      <c r="L135" s="2">
        <v>0</v>
      </c>
      <c r="M135" s="2"/>
      <c r="N135" s="8">
        <v>43330.221041666664</v>
      </c>
      <c r="O135" s="4" t="s">
        <v>25</v>
      </c>
      <c r="P135" s="3"/>
      <c r="Q135" s="4"/>
      <c r="R135" s="4"/>
      <c r="S135" s="9" t="str">
        <f>HYPERLINK("https://pbs.twimg.com/profile_images/1030858089564712961/jvqmE3SS.jpg","View")</f>
        <v>View</v>
      </c>
    </row>
    <row r="136" spans="1:19" ht="50">
      <c r="A136" s="8">
        <v>43369.715694444443</v>
      </c>
      <c r="B136" s="11" t="str">
        <f>HYPERLINK("https://twitter.com/mohsenrazavirad","@mohsenrazavirad")</f>
        <v>@mohsenrazavirad</v>
      </c>
      <c r="C136" s="6" t="s">
        <v>3048</v>
      </c>
      <c r="D136" s="5" t="s">
        <v>2813</v>
      </c>
      <c r="E136" s="9" t="str">
        <f>HYPERLINK("https://twitter.com/mohsenrazavirad/status/1044944832634982400","1044944832634982400")</f>
        <v>1044944832634982400</v>
      </c>
      <c r="F136" s="4"/>
      <c r="G136" s="4"/>
      <c r="H136" s="4"/>
      <c r="I136" s="10" t="str">
        <f>HYPERLINK("http://twitter.com/download/android","Twitter for Android")</f>
        <v>Twitter for Android</v>
      </c>
      <c r="J136" s="2">
        <v>274</v>
      </c>
      <c r="K136" s="2">
        <v>870</v>
      </c>
      <c r="L136" s="2">
        <v>1</v>
      </c>
      <c r="M136" s="2"/>
      <c r="N136" s="8">
        <v>41469.181550925925</v>
      </c>
      <c r="O136" s="4"/>
      <c r="P136" s="3" t="s">
        <v>3047</v>
      </c>
      <c r="Q136" s="4"/>
      <c r="R136" s="4"/>
      <c r="S136" s="9" t="str">
        <f>HYPERLINK("https://pbs.twimg.com/profile_images/466745621643161600/5kF_EIym.jpeg","View")</f>
        <v>View</v>
      </c>
    </row>
    <row r="137" spans="1:19" ht="40">
      <c r="A137" s="8">
        <v>43369.715682870374</v>
      </c>
      <c r="B137" s="11" t="str">
        <f>HYPERLINK("https://twitter.com/m1zy1r","@m1zy1r")</f>
        <v>@m1zy1r</v>
      </c>
      <c r="C137" s="6" t="s">
        <v>3046</v>
      </c>
      <c r="D137" s="5" t="s">
        <v>2846</v>
      </c>
      <c r="E137" s="9" t="str">
        <f>HYPERLINK("https://twitter.com/m1zy1r/status/1044944825651482626","1044944825651482626")</f>
        <v>1044944825651482626</v>
      </c>
      <c r="F137" s="4"/>
      <c r="G137" s="4"/>
      <c r="H137" s="4"/>
      <c r="I137" s="10" t="str">
        <f>HYPERLINK("http://twitter.com/download/android","Twitter for Android")</f>
        <v>Twitter for Android</v>
      </c>
      <c r="J137" s="2">
        <v>577</v>
      </c>
      <c r="K137" s="2">
        <v>261</v>
      </c>
      <c r="L137" s="2">
        <v>1</v>
      </c>
      <c r="M137" s="2"/>
      <c r="N137" s="8">
        <v>42665.398969907408</v>
      </c>
      <c r="O137" s="4"/>
      <c r="P137" s="3" t="s">
        <v>3045</v>
      </c>
      <c r="Q137" s="4"/>
      <c r="R137" s="4"/>
      <c r="S137" s="9" t="str">
        <f>HYPERLINK("https://pbs.twimg.com/profile_images/1025732621005991936/Vc7mbojk.jpg","View")</f>
        <v>View</v>
      </c>
    </row>
    <row r="138" spans="1:19" ht="30">
      <c r="A138" s="8">
        <v>43369.715671296297</v>
      </c>
      <c r="B138" s="11" t="str">
        <f>HYPERLINK("https://twitter.com/Shishimatoom","@Shishimatoom")</f>
        <v>@Shishimatoom</v>
      </c>
      <c r="C138" s="6" t="s">
        <v>3044</v>
      </c>
      <c r="D138" s="5" t="s">
        <v>2559</v>
      </c>
      <c r="E138" s="9" t="str">
        <f>HYPERLINK("https://twitter.com/Shishimatoom/status/1044944821167804418","1044944821167804418")</f>
        <v>1044944821167804418</v>
      </c>
      <c r="F138" s="4"/>
      <c r="G138" s="10" t="s">
        <v>2558</v>
      </c>
      <c r="H138" s="4"/>
      <c r="I138" s="10" t="str">
        <f>HYPERLINK("http://twitter.com/download/android","Twitter for Android")</f>
        <v>Twitter for Android</v>
      </c>
      <c r="J138" s="2">
        <v>697</v>
      </c>
      <c r="K138" s="2">
        <v>793</v>
      </c>
      <c r="L138" s="2">
        <v>0</v>
      </c>
      <c r="M138" s="2"/>
      <c r="N138" s="8">
        <v>42447.679490740746</v>
      </c>
      <c r="O138" s="4"/>
      <c r="P138" s="3" t="s">
        <v>3043</v>
      </c>
      <c r="Q138" s="4"/>
      <c r="R138" s="4"/>
      <c r="S138" s="9" t="str">
        <f>HYPERLINK("https://pbs.twimg.com/profile_images/1008641226449420288/-ougpcic.jpg","View")</f>
        <v>View</v>
      </c>
    </row>
    <row r="139" spans="1:19" ht="40">
      <c r="A139" s="8">
        <v>43369.715497685189</v>
      </c>
      <c r="B139" s="11" t="str">
        <f>HYPERLINK("https://twitter.com/Nikolaona","@Nikolaona")</f>
        <v>@Nikolaona</v>
      </c>
      <c r="C139" s="6" t="s">
        <v>3042</v>
      </c>
      <c r="D139" s="5" t="s">
        <v>2846</v>
      </c>
      <c r="E139" s="9" t="str">
        <f>HYPERLINK("https://twitter.com/Nikolaona/status/1044944760832749568","1044944760832749568")</f>
        <v>1044944760832749568</v>
      </c>
      <c r="F139" s="4"/>
      <c r="G139" s="4"/>
      <c r="H139" s="4"/>
      <c r="I139" s="10" t="str">
        <f>HYPERLINK("http://twitter.com/download/android","Twitter for Android")</f>
        <v>Twitter for Android</v>
      </c>
      <c r="J139" s="2">
        <v>384</v>
      </c>
      <c r="K139" s="2">
        <v>861</v>
      </c>
      <c r="L139" s="2">
        <v>3</v>
      </c>
      <c r="M139" s="2"/>
      <c r="N139" s="8">
        <v>42372.645011574074</v>
      </c>
      <c r="O139" s="4" t="s">
        <v>3041</v>
      </c>
      <c r="P139" s="3" t="s">
        <v>3040</v>
      </c>
      <c r="Q139" s="4"/>
      <c r="R139" s="4"/>
      <c r="S139" s="9" t="str">
        <f>HYPERLINK("https://pbs.twimg.com/profile_images/958739732304945153/k_OhLYTz.jpg","View")</f>
        <v>View</v>
      </c>
    </row>
    <row r="140" spans="1:19" ht="30">
      <c r="A140" s="8">
        <v>43369.714965277773</v>
      </c>
      <c r="B140" s="11" t="str">
        <f>HYPERLINK("https://twitter.com/Brndzi","@Brndzi")</f>
        <v>@Brndzi</v>
      </c>
      <c r="C140" s="6" t="s">
        <v>3039</v>
      </c>
      <c r="D140" s="5" t="s">
        <v>2559</v>
      </c>
      <c r="E140" s="9" t="str">
        <f>HYPERLINK("https://twitter.com/Brndzi/status/1044944566191828993","1044944566191828993")</f>
        <v>1044944566191828993</v>
      </c>
      <c r="F140" s="4"/>
      <c r="G140" s="10" t="s">
        <v>2558</v>
      </c>
      <c r="H140" s="4"/>
      <c r="I140" s="10" t="str">
        <f>HYPERLINK("http://twitter.com/download/android","Twitter for Android")</f>
        <v>Twitter for Android</v>
      </c>
      <c r="J140" s="2">
        <v>570</v>
      </c>
      <c r="K140" s="2">
        <v>1163</v>
      </c>
      <c r="L140" s="2">
        <v>2</v>
      </c>
      <c r="M140" s="2"/>
      <c r="N140" s="8">
        <v>42930.762048611112</v>
      </c>
      <c r="O140" s="4" t="s">
        <v>3038</v>
      </c>
      <c r="P140" s="3" t="s">
        <v>3037</v>
      </c>
      <c r="Q140" s="4"/>
      <c r="R140" s="4"/>
      <c r="S140" s="9" t="str">
        <f>HYPERLINK("https://pbs.twimg.com/profile_images/989970690395770881/aewe7dct.jpg","View")</f>
        <v>View</v>
      </c>
    </row>
    <row r="141" spans="1:19" ht="20">
      <c r="A141" s="8">
        <v>43369.714814814812</v>
      </c>
      <c r="B141" s="11" t="str">
        <f>HYPERLINK("https://twitter.com/baharp1982","@baharp1982")</f>
        <v>@baharp1982</v>
      </c>
      <c r="C141" s="6" t="s">
        <v>1324</v>
      </c>
      <c r="D141" s="5" t="s">
        <v>3036</v>
      </c>
      <c r="E141" s="9" t="str">
        <f>HYPERLINK("https://twitter.com/baharp1982/status/1044944512831967232","1044944512831967232")</f>
        <v>1044944512831967232</v>
      </c>
      <c r="F141" s="4"/>
      <c r="G141" s="4"/>
      <c r="H141" s="4"/>
      <c r="I141" s="10" t="str">
        <f>HYPERLINK("http://twitter.com/download/android","Twitter for Android")</f>
        <v>Twitter for Android</v>
      </c>
      <c r="J141" s="2">
        <v>430</v>
      </c>
      <c r="K141" s="2">
        <v>1119</v>
      </c>
      <c r="L141" s="2">
        <v>0</v>
      </c>
      <c r="M141" s="2"/>
      <c r="N141" s="8">
        <v>42886.793460648143</v>
      </c>
      <c r="O141" s="4"/>
      <c r="P141" s="3"/>
      <c r="Q141" s="4"/>
      <c r="R141" s="4"/>
      <c r="S141" s="9" t="str">
        <f>HYPERLINK("https://pbs.twimg.com/profile_images/876138784433336321/6XoTzw4D.jpg","View")</f>
        <v>View</v>
      </c>
    </row>
    <row r="142" spans="1:19" ht="40">
      <c r="A142" s="8">
        <v>43369.714444444442</v>
      </c>
      <c r="B142" s="11" t="str">
        <f>HYPERLINK("https://twitter.com/HOSSEIN97361","@HOSSEIN97361")</f>
        <v>@HOSSEIN97361</v>
      </c>
      <c r="C142" s="6" t="s">
        <v>2217</v>
      </c>
      <c r="D142" s="5" t="s">
        <v>2846</v>
      </c>
      <c r="E142" s="9" t="str">
        <f>HYPERLINK("https://twitter.com/HOSSEIN97361/status/1044944376894541824","1044944376894541824")</f>
        <v>1044944376894541824</v>
      </c>
      <c r="F142" s="4"/>
      <c r="G142" s="4"/>
      <c r="H142" s="4"/>
      <c r="I142" s="10" t="str">
        <f>HYPERLINK("http://twitter.com/download/android","Twitter for Android")</f>
        <v>Twitter for Android</v>
      </c>
      <c r="J142" s="2">
        <v>889</v>
      </c>
      <c r="K142" s="2">
        <v>4998</v>
      </c>
      <c r="L142" s="2">
        <v>0</v>
      </c>
      <c r="M142" s="2"/>
      <c r="N142" s="8">
        <v>42746.07545138889</v>
      </c>
      <c r="O142" s="4"/>
      <c r="P142" s="3" t="s">
        <v>3035</v>
      </c>
      <c r="Q142" s="4"/>
      <c r="R142" s="4"/>
      <c r="S142" s="9" t="str">
        <f>HYPERLINK("https://pbs.twimg.com/profile_images/819012101960241152/4aAaBWc3.jpg","View")</f>
        <v>View</v>
      </c>
    </row>
    <row r="143" spans="1:19" ht="40">
      <c r="A143" s="8">
        <v>43369.714039351849</v>
      </c>
      <c r="B143" s="11" t="str">
        <f>HYPERLINK("https://twitter.com/Parse01751268","@Parse01751268")</f>
        <v>@Parse01751268</v>
      </c>
      <c r="C143" s="6" t="s">
        <v>3034</v>
      </c>
      <c r="D143" s="5" t="s">
        <v>2846</v>
      </c>
      <c r="E143" s="9" t="str">
        <f>HYPERLINK("https://twitter.com/Parse01751268/status/1044944231448621063","1044944231448621063")</f>
        <v>1044944231448621063</v>
      </c>
      <c r="F143" s="4"/>
      <c r="G143" s="4"/>
      <c r="H143" s="4"/>
      <c r="I143" s="10" t="str">
        <f>HYPERLINK("http://twitter.com/download/android","Twitter for Android")</f>
        <v>Twitter for Android</v>
      </c>
      <c r="J143" s="2">
        <v>725</v>
      </c>
      <c r="K143" s="2">
        <v>701</v>
      </c>
      <c r="L143" s="2">
        <v>0</v>
      </c>
      <c r="M143" s="2"/>
      <c r="N143" s="8">
        <v>42915.707314814819</v>
      </c>
      <c r="O143" s="4" t="s">
        <v>3033</v>
      </c>
      <c r="P143" s="3" t="s">
        <v>3032</v>
      </c>
      <c r="Q143" s="4"/>
      <c r="R143" s="4"/>
      <c r="S143" s="9" t="str">
        <f>HYPERLINK("https://pbs.twimg.com/profile_images/1044211169253380097/u5R_NuDu.jpg","View")</f>
        <v>View</v>
      </c>
    </row>
    <row r="144" spans="1:19" ht="30">
      <c r="A144" s="8">
        <v>43369.713576388887</v>
      </c>
      <c r="B144" s="11" t="str">
        <f>HYPERLINK("https://twitter.com/shasvsa1979","@shasvsa1979")</f>
        <v>@shasvsa1979</v>
      </c>
      <c r="C144" s="6" t="s">
        <v>56</v>
      </c>
      <c r="D144" s="5" t="s">
        <v>2559</v>
      </c>
      <c r="E144" s="9" t="str">
        <f>HYPERLINK("https://twitter.com/shasvsa1979/status/1044944064632606720","1044944064632606720")</f>
        <v>1044944064632606720</v>
      </c>
      <c r="F144" s="4"/>
      <c r="G144" s="10" t="s">
        <v>2558</v>
      </c>
      <c r="H144" s="4"/>
      <c r="I144" s="10" t="str">
        <f>HYPERLINK("http://twitter.com/download/android","Twitter for Android")</f>
        <v>Twitter for Android</v>
      </c>
      <c r="J144" s="2">
        <v>41</v>
      </c>
      <c r="K144" s="2">
        <v>78</v>
      </c>
      <c r="L144" s="2">
        <v>0</v>
      </c>
      <c r="M144" s="2"/>
      <c r="N144" s="8">
        <v>43298.940937499996</v>
      </c>
      <c r="O144" s="4" t="s">
        <v>55</v>
      </c>
      <c r="P144" s="3" t="s">
        <v>54</v>
      </c>
      <c r="Q144" s="4"/>
      <c r="R144" s="4"/>
      <c r="S144" s="9" t="str">
        <f>HYPERLINK("https://pbs.twimg.com/profile_images/1019304698246025221/bSqkh05d.jpg","View")</f>
        <v>View</v>
      </c>
    </row>
    <row r="145" spans="1:19" ht="50">
      <c r="A145" s="8">
        <v>43369.713506944448</v>
      </c>
      <c r="B145" s="11" t="str">
        <f>HYPERLINK("https://twitter.com/Alireza_pir","@Alireza_pir")</f>
        <v>@Alireza_pir</v>
      </c>
      <c r="C145" s="6" t="s">
        <v>3031</v>
      </c>
      <c r="D145" s="5" t="s">
        <v>3030</v>
      </c>
      <c r="E145" s="9" t="str">
        <f>HYPERLINK("https://twitter.com/Alireza_pir/status/1044944037038444547","1044944037038444547")</f>
        <v>1044944037038444547</v>
      </c>
      <c r="F145" s="4"/>
      <c r="G145" s="4"/>
      <c r="H145" s="4"/>
      <c r="I145" s="10" t="str">
        <f>HYPERLINK("http://twitter.com/download/android","Twitter for Android")</f>
        <v>Twitter for Android</v>
      </c>
      <c r="J145" s="2">
        <v>5</v>
      </c>
      <c r="K145" s="2">
        <v>2</v>
      </c>
      <c r="L145" s="2">
        <v>0</v>
      </c>
      <c r="M145" s="2"/>
      <c r="N145" s="8">
        <v>43088.832141203704</v>
      </c>
      <c r="O145" s="4" t="s">
        <v>101</v>
      </c>
      <c r="P145" s="3" t="s">
        <v>3029</v>
      </c>
      <c r="Q145" s="10" t="s">
        <v>3028</v>
      </c>
      <c r="R145" s="4"/>
      <c r="S145" s="9" t="str">
        <f>HYPERLINK("https://pbs.twimg.com/profile_images/943157483064975360/-c_M3Tiy.jpg","View")</f>
        <v>View</v>
      </c>
    </row>
    <row r="146" spans="1:19" ht="40">
      <c r="A146" s="8">
        <v>43369.713055555556</v>
      </c>
      <c r="B146" s="11" t="str">
        <f>HYPERLINK("https://twitter.com/ahojatip","@ahojatip")</f>
        <v>@ahojatip</v>
      </c>
      <c r="C146" s="6" t="s">
        <v>3027</v>
      </c>
      <c r="D146" s="5" t="s">
        <v>75</v>
      </c>
      <c r="E146" s="9" t="str">
        <f>HYPERLINK("https://twitter.com/ahojatip/status/1044943874714669059","1044943874714669059")</f>
        <v>1044943874714669059</v>
      </c>
      <c r="F146" s="4"/>
      <c r="G146" s="4"/>
      <c r="H146" s="4"/>
      <c r="I146" s="10" t="str">
        <f>HYPERLINK("http://twitter.com/download/android","Twitter for Android")</f>
        <v>Twitter for Android</v>
      </c>
      <c r="J146" s="2">
        <v>34</v>
      </c>
      <c r="K146" s="2">
        <v>253</v>
      </c>
      <c r="L146" s="2">
        <v>0</v>
      </c>
      <c r="M146" s="2"/>
      <c r="N146" s="8">
        <v>42261.056400462963</v>
      </c>
      <c r="O146" s="4" t="s">
        <v>3026</v>
      </c>
      <c r="P146" s="3" t="s">
        <v>3025</v>
      </c>
      <c r="Q146" s="4"/>
      <c r="R146" s="4"/>
      <c r="S146" s="9" t="str">
        <f>HYPERLINK("https://pbs.twimg.com/profile_images/753194764573573120/Q015KhRQ.jpg","View")</f>
        <v>View</v>
      </c>
    </row>
    <row r="147" spans="1:19" ht="40">
      <c r="A147" s="8">
        <v>43369.712731481486</v>
      </c>
      <c r="B147" s="11" t="str">
        <f>HYPERLINK("https://twitter.com/evita32029930","@evita32029930")</f>
        <v>@evita32029930</v>
      </c>
      <c r="C147" s="6" t="s">
        <v>3024</v>
      </c>
      <c r="D147" s="5" t="s">
        <v>1556</v>
      </c>
      <c r="E147" s="9" t="str">
        <f>HYPERLINK("https://twitter.com/evita32029930/status/1044943757274112000","1044943757274112000")</f>
        <v>1044943757274112000</v>
      </c>
      <c r="F147" s="4"/>
      <c r="G147" s="4"/>
      <c r="H147" s="4"/>
      <c r="I147" s="10" t="str">
        <f>HYPERLINK("http://twitter.com/download/iphone","Twitter for iPhone")</f>
        <v>Twitter for iPhone</v>
      </c>
      <c r="J147" s="2">
        <v>87</v>
      </c>
      <c r="K147" s="2">
        <v>93</v>
      </c>
      <c r="L147" s="2">
        <v>0</v>
      </c>
      <c r="M147" s="2"/>
      <c r="N147" s="8">
        <v>43316.479027777779</v>
      </c>
      <c r="O147" s="4"/>
      <c r="P147" s="3" t="s">
        <v>3023</v>
      </c>
      <c r="Q147" s="4"/>
      <c r="R147" s="4"/>
      <c r="S147" s="9" t="str">
        <f>HYPERLINK("https://pbs.twimg.com/profile_images/1043636545675190272/x4wVcuOH.jpg","View")</f>
        <v>View</v>
      </c>
    </row>
    <row r="148" spans="1:19" ht="30">
      <c r="A148" s="8">
        <v>43369.712488425925</v>
      </c>
      <c r="B148" s="11" t="str">
        <f>HYPERLINK("https://twitter.com/meisamravi","@meisamravi")</f>
        <v>@meisamravi</v>
      </c>
      <c r="C148" s="6" t="s">
        <v>3022</v>
      </c>
      <c r="D148" s="5" t="s">
        <v>2559</v>
      </c>
      <c r="E148" s="9" t="str">
        <f>HYPERLINK("https://twitter.com/meisamravi/status/1044943670959591425","1044943670959591425")</f>
        <v>1044943670959591425</v>
      </c>
      <c r="F148" s="4"/>
      <c r="G148" s="10" t="s">
        <v>2558</v>
      </c>
      <c r="H148" s="4"/>
      <c r="I148" s="10" t="str">
        <f>HYPERLINK("http://twitter.com/download/android","Twitter for Android")</f>
        <v>Twitter for Android</v>
      </c>
      <c r="J148" s="2">
        <v>501</v>
      </c>
      <c r="K148" s="2">
        <v>220</v>
      </c>
      <c r="L148" s="2">
        <v>3</v>
      </c>
      <c r="M148" s="2"/>
      <c r="N148" s="8">
        <v>42904.270775462966</v>
      </c>
      <c r="O148" s="4" t="s">
        <v>3021</v>
      </c>
      <c r="P148" s="3" t="s">
        <v>3020</v>
      </c>
      <c r="Q148" s="4"/>
      <c r="R148" s="4"/>
      <c r="S148" s="9" t="str">
        <f>HYPERLINK("https://pbs.twimg.com/profile_images/1044540503650430977/lDHdmRqo.jpg","View")</f>
        <v>View</v>
      </c>
    </row>
    <row r="149" spans="1:19" ht="40">
      <c r="A149" s="8">
        <v>43369.712442129632</v>
      </c>
      <c r="B149" s="11" t="str">
        <f>HYPERLINK("https://twitter.com/nazmik2xxx","@nazmik2xxx")</f>
        <v>@nazmik2xxx</v>
      </c>
      <c r="C149" s="6" t="s">
        <v>2727</v>
      </c>
      <c r="D149" s="5" t="s">
        <v>2846</v>
      </c>
      <c r="E149" s="9" t="str">
        <f>HYPERLINK("https://twitter.com/nazmik2xxx/status/1044943650898292737","1044943650898292737")</f>
        <v>1044943650898292737</v>
      </c>
      <c r="F149" s="4"/>
      <c r="G149" s="4"/>
      <c r="H149" s="4"/>
      <c r="I149" s="10" t="str">
        <f>HYPERLINK("http://twitter.com/download/android","Twitter for Android")</f>
        <v>Twitter for Android</v>
      </c>
      <c r="J149" s="2">
        <v>110</v>
      </c>
      <c r="K149" s="2">
        <v>83</v>
      </c>
      <c r="L149" s="2">
        <v>0</v>
      </c>
      <c r="M149" s="2"/>
      <c r="N149" s="8">
        <v>39984.772488425922</v>
      </c>
      <c r="O149" s="4"/>
      <c r="P149" s="3" t="s">
        <v>2726</v>
      </c>
      <c r="Q149" s="4"/>
      <c r="R149" s="4"/>
      <c r="S149" s="9" t="str">
        <f>HYPERLINK("https://pbs.twimg.com/profile_images/1025171641985314816/BSFBlH9I.jpg","View")</f>
        <v>View</v>
      </c>
    </row>
    <row r="150" spans="1:19" ht="20">
      <c r="A150" s="8">
        <v>43369.711875000001</v>
      </c>
      <c r="B150" s="11" t="str">
        <f>HYPERLINK("https://twitter.com/HodHod69768522","@HodHod69768522")</f>
        <v>@HodHod69768522</v>
      </c>
      <c r="C150" s="6" t="s">
        <v>3019</v>
      </c>
      <c r="D150" s="5" t="s">
        <v>132</v>
      </c>
      <c r="E150" s="9" t="str">
        <f>HYPERLINK("https://twitter.com/HodHod69768522/status/1044943444869820417","1044943444869820417")</f>
        <v>1044943444869820417</v>
      </c>
      <c r="F150" s="4"/>
      <c r="G150" s="4"/>
      <c r="H150" s="4"/>
      <c r="I150" s="10" t="str">
        <f>HYPERLINK("http://twitter.com/download/android","Twitter for Android")</f>
        <v>Twitter for Android</v>
      </c>
      <c r="J150" s="2">
        <v>33</v>
      </c>
      <c r="K150" s="2">
        <v>13</v>
      </c>
      <c r="L150" s="2">
        <v>0</v>
      </c>
      <c r="M150" s="2"/>
      <c r="N150" s="8">
        <v>43359.158912037034</v>
      </c>
      <c r="O150" s="4" t="s">
        <v>7</v>
      </c>
      <c r="P150" s="3" t="s">
        <v>3018</v>
      </c>
      <c r="Q150" s="4"/>
      <c r="R150" s="4"/>
      <c r="S150" s="9" t="str">
        <f>HYPERLINK("https://pbs.twimg.com/profile_images/1041107573917794304/vbhmQnS4.jpg","View")</f>
        <v>View</v>
      </c>
    </row>
    <row r="151" spans="1:19" ht="40">
      <c r="A151" s="8">
        <v>43369.711736111116</v>
      </c>
      <c r="B151" s="11" t="str">
        <f>HYPERLINK("https://twitter.com/Hosnieh4","@Hosnieh4")</f>
        <v>@Hosnieh4</v>
      </c>
      <c r="C151" s="6" t="s">
        <v>3013</v>
      </c>
      <c r="D151" s="5" t="s">
        <v>1556</v>
      </c>
      <c r="E151" s="9" t="str">
        <f>HYPERLINK("https://twitter.com/Hosnieh4/status/1044943394492100610","1044943394492100610")</f>
        <v>1044943394492100610</v>
      </c>
      <c r="F151" s="4"/>
      <c r="G151" s="4"/>
      <c r="H151" s="4"/>
      <c r="I151" s="10" t="str">
        <f>HYPERLINK("http://twitter.com/download/android","Twitter for Android")</f>
        <v>Twitter for Android</v>
      </c>
      <c r="J151" s="2">
        <v>25</v>
      </c>
      <c r="K151" s="2">
        <v>58</v>
      </c>
      <c r="L151" s="2">
        <v>0</v>
      </c>
      <c r="M151" s="2"/>
      <c r="N151" s="8">
        <v>43269.527766203704</v>
      </c>
      <c r="O151" s="4" t="s">
        <v>3012</v>
      </c>
      <c r="P151" s="3" t="s">
        <v>3011</v>
      </c>
      <c r="Q151" s="4"/>
      <c r="R151" s="4"/>
      <c r="S151" s="9" t="str">
        <f>HYPERLINK("https://pbs.twimg.com/profile_images/1009298780481572864/q5vc3208.jpg","View")</f>
        <v>View</v>
      </c>
    </row>
    <row r="152" spans="1:19" ht="40">
      <c r="A152" s="8">
        <v>43369.711701388893</v>
      </c>
      <c r="B152" s="11" t="str">
        <f>HYPERLINK("https://twitter.com/Mega_Mind_A","@Mega_Mind_A")</f>
        <v>@Mega_Mind_A</v>
      </c>
      <c r="C152" s="6" t="s">
        <v>2668</v>
      </c>
      <c r="D152" s="5" t="s">
        <v>2846</v>
      </c>
      <c r="E152" s="9" t="str">
        <f>HYPERLINK("https://twitter.com/Mega_Mind_A/status/1044943383570108417","1044943383570108417")</f>
        <v>1044943383570108417</v>
      </c>
      <c r="F152" s="4"/>
      <c r="G152" s="4"/>
      <c r="H152" s="4"/>
      <c r="I152" s="10" t="str">
        <f>HYPERLINK("http://twitter.com/download/android","Twitter for Android")</f>
        <v>Twitter for Android</v>
      </c>
      <c r="J152" s="2">
        <v>101</v>
      </c>
      <c r="K152" s="2">
        <v>133</v>
      </c>
      <c r="L152" s="2">
        <v>0</v>
      </c>
      <c r="M152" s="2"/>
      <c r="N152" s="8">
        <v>43225.61855324074</v>
      </c>
      <c r="O152" s="4"/>
      <c r="P152" s="3" t="s">
        <v>2667</v>
      </c>
      <c r="Q152" s="4"/>
      <c r="R152" s="4"/>
      <c r="S152" s="9" t="str">
        <f>HYPERLINK("https://pbs.twimg.com/profile_images/992713574727503872/TYvMp9I1.jpg","View")</f>
        <v>View</v>
      </c>
    </row>
    <row r="153" spans="1:19" ht="30">
      <c r="A153" s="8">
        <v>43369.71166666667</v>
      </c>
      <c r="B153" s="11" t="str">
        <f>HYPERLINK("https://twitter.com/meiniem98","@meiniem98")</f>
        <v>@meiniem98</v>
      </c>
      <c r="C153" s="6" t="s">
        <v>3017</v>
      </c>
      <c r="D153" s="5" t="s">
        <v>2559</v>
      </c>
      <c r="E153" s="9" t="str">
        <f>HYPERLINK("https://twitter.com/meiniem98/status/1044943372174209025","1044943372174209025")</f>
        <v>1044943372174209025</v>
      </c>
      <c r="F153" s="4"/>
      <c r="G153" s="10" t="s">
        <v>2558</v>
      </c>
      <c r="H153" s="4"/>
      <c r="I153" s="10" t="str">
        <f>HYPERLINK("http://twitter.com/download/android","Twitter for Android")</f>
        <v>Twitter for Android</v>
      </c>
      <c r="J153" s="2">
        <v>1726</v>
      </c>
      <c r="K153" s="2">
        <v>655</v>
      </c>
      <c r="L153" s="2">
        <v>19</v>
      </c>
      <c r="M153" s="2"/>
      <c r="N153" s="8">
        <v>42780.738113425927</v>
      </c>
      <c r="O153" s="4" t="s">
        <v>3016</v>
      </c>
      <c r="P153" s="3" t="s">
        <v>3015</v>
      </c>
      <c r="Q153" s="10" t="s">
        <v>3014</v>
      </c>
      <c r="R153" s="4"/>
      <c r="S153" s="9" t="str">
        <f>HYPERLINK("https://pbs.twimg.com/profile_images/1043984124317499395/zRQcwfUM.jpg","View")</f>
        <v>View</v>
      </c>
    </row>
    <row r="154" spans="1:19" ht="50">
      <c r="A154" s="8">
        <v>43369.711550925931</v>
      </c>
      <c r="B154" s="11" t="str">
        <f>HYPERLINK("https://twitter.com/Hosnieh4","@Hosnieh4")</f>
        <v>@Hosnieh4</v>
      </c>
      <c r="C154" s="6" t="s">
        <v>3013</v>
      </c>
      <c r="D154" s="5" t="s">
        <v>2813</v>
      </c>
      <c r="E154" s="9" t="str">
        <f>HYPERLINK("https://twitter.com/Hosnieh4/status/1044943331430682625","1044943331430682625")</f>
        <v>1044943331430682625</v>
      </c>
      <c r="F154" s="4"/>
      <c r="G154" s="4"/>
      <c r="H154" s="4"/>
      <c r="I154" s="10" t="str">
        <f>HYPERLINK("http://twitter.com/download/android","Twitter for Android")</f>
        <v>Twitter for Android</v>
      </c>
      <c r="J154" s="2">
        <v>25</v>
      </c>
      <c r="K154" s="2">
        <v>58</v>
      </c>
      <c r="L154" s="2">
        <v>0</v>
      </c>
      <c r="M154" s="2"/>
      <c r="N154" s="8">
        <v>43269.527766203704</v>
      </c>
      <c r="O154" s="4" t="s">
        <v>3012</v>
      </c>
      <c r="P154" s="3" t="s">
        <v>3011</v>
      </c>
      <c r="Q154" s="4"/>
      <c r="R154" s="4"/>
      <c r="S154" s="9" t="str">
        <f>HYPERLINK("https://pbs.twimg.com/profile_images/1009298780481572864/q5vc3208.jpg","View")</f>
        <v>View</v>
      </c>
    </row>
    <row r="155" spans="1:19" ht="40">
      <c r="A155" s="8">
        <v>43369.711238425924</v>
      </c>
      <c r="B155" s="11" t="str">
        <f>HYPERLINK("https://twitter.com/ananokies","@ananokies")</f>
        <v>@ananokies</v>
      </c>
      <c r="C155" s="6" t="s">
        <v>3010</v>
      </c>
      <c r="D155" s="5" t="s">
        <v>2846</v>
      </c>
      <c r="E155" s="9" t="str">
        <f>HYPERLINK("https://twitter.com/ananokies/status/1044943216875909120","1044943216875909120")</f>
        <v>1044943216875909120</v>
      </c>
      <c r="F155" s="4"/>
      <c r="G155" s="4"/>
      <c r="H155" s="4"/>
      <c r="I155" s="10" t="str">
        <f>HYPERLINK("http://twitter.com/download/android","Twitter for Android")</f>
        <v>Twitter for Android</v>
      </c>
      <c r="J155" s="2">
        <v>75</v>
      </c>
      <c r="K155" s="2">
        <v>74</v>
      </c>
      <c r="L155" s="2">
        <v>0</v>
      </c>
      <c r="M155" s="2"/>
      <c r="N155" s="8">
        <v>43253.656643518523</v>
      </c>
      <c r="O155" s="4"/>
      <c r="P155" s="3"/>
      <c r="Q155" s="4"/>
      <c r="R155" s="4"/>
      <c r="S155" s="9" t="str">
        <f>HYPERLINK("https://pbs.twimg.com/profile_images/1002930019562377216/beVqJ8KV.jpg","View")</f>
        <v>View</v>
      </c>
    </row>
    <row r="156" spans="1:19" ht="40">
      <c r="A156" s="8">
        <v>43369.71092592593</v>
      </c>
      <c r="B156" s="11" t="str">
        <f>HYPERLINK("https://twitter.com/pilot2670","@pilot2670")</f>
        <v>@pilot2670</v>
      </c>
      <c r="C156" s="6" t="s">
        <v>3009</v>
      </c>
      <c r="D156" s="5" t="s">
        <v>2846</v>
      </c>
      <c r="E156" s="9" t="str">
        <f>HYPERLINK("https://twitter.com/pilot2670/status/1044943104623759360","1044943104623759360")</f>
        <v>1044943104623759360</v>
      </c>
      <c r="F156" s="4"/>
      <c r="G156" s="4"/>
      <c r="H156" s="4"/>
      <c r="I156" s="10" t="str">
        <f>HYPERLINK("http://twitter.com/download/android","Twitter for Android")</f>
        <v>Twitter for Android</v>
      </c>
      <c r="J156" s="2">
        <v>2495</v>
      </c>
      <c r="K156" s="2">
        <v>1945</v>
      </c>
      <c r="L156" s="2">
        <v>8</v>
      </c>
      <c r="M156" s="2"/>
      <c r="N156" s="8">
        <v>43050.920127314814</v>
      </c>
      <c r="O156" s="4" t="s">
        <v>3008</v>
      </c>
      <c r="P156" s="3" t="s">
        <v>3007</v>
      </c>
      <c r="Q156" s="4"/>
      <c r="R156" s="4"/>
      <c r="S156" s="9" t="str">
        <f>HYPERLINK("https://pbs.twimg.com/profile_images/1043869922294714373/enck8N5E.jpg","View")</f>
        <v>View</v>
      </c>
    </row>
    <row r="157" spans="1:19" ht="40">
      <c r="A157" s="8">
        <v>43369.7105787037</v>
      </c>
      <c r="B157" s="11" t="str">
        <f>HYPERLINK("https://twitter.com/irankhaton","@irankhaton")</f>
        <v>@irankhaton</v>
      </c>
      <c r="C157" s="6" t="s">
        <v>3006</v>
      </c>
      <c r="D157" s="5" t="s">
        <v>2846</v>
      </c>
      <c r="E157" s="9" t="str">
        <f>HYPERLINK("https://twitter.com/irankhaton/status/1044942976798150658","1044942976798150658")</f>
        <v>1044942976798150658</v>
      </c>
      <c r="F157" s="4"/>
      <c r="G157" s="4"/>
      <c r="H157" s="4"/>
      <c r="I157" s="10" t="str">
        <f>HYPERLINK("http://twitter.com/download/android","Twitter for Android")</f>
        <v>Twitter for Android</v>
      </c>
      <c r="J157" s="2">
        <v>138</v>
      </c>
      <c r="K157" s="2">
        <v>184</v>
      </c>
      <c r="L157" s="2">
        <v>0</v>
      </c>
      <c r="M157" s="2"/>
      <c r="N157" s="8">
        <v>43203.094085648147</v>
      </c>
      <c r="O157" s="4" t="s">
        <v>3005</v>
      </c>
      <c r="P157" s="3" t="s">
        <v>3004</v>
      </c>
      <c r="Q157" s="4"/>
      <c r="R157" s="4"/>
      <c r="S157" s="9" t="str">
        <f>HYPERLINK("https://pbs.twimg.com/profile_images/1039301656083554305/rATHLEdJ.jpg","View")</f>
        <v>View</v>
      </c>
    </row>
    <row r="158" spans="1:19" ht="30">
      <c r="A158" s="8">
        <v>43369.710138888884</v>
      </c>
      <c r="B158" s="11" t="str">
        <f>HYPERLINK("https://twitter.com/Matrixsistian","@Matrixsistian")</f>
        <v>@Matrixsistian</v>
      </c>
      <c r="C158" s="6" t="s">
        <v>3003</v>
      </c>
      <c r="D158" s="5" t="s">
        <v>2559</v>
      </c>
      <c r="E158" s="9" t="str">
        <f>HYPERLINK("https://twitter.com/Matrixsistian/status/1044942818182156289","1044942818182156289")</f>
        <v>1044942818182156289</v>
      </c>
      <c r="F158" s="4"/>
      <c r="G158" s="10" t="s">
        <v>2558</v>
      </c>
      <c r="H158" s="4"/>
      <c r="I158" s="10" t="str">
        <f>HYPERLINK("http://twitter.com/download/iphone","Twitter for iPhone")</f>
        <v>Twitter for iPhone</v>
      </c>
      <c r="J158" s="2">
        <v>2308</v>
      </c>
      <c r="K158" s="2">
        <v>787</v>
      </c>
      <c r="L158" s="2">
        <v>41</v>
      </c>
      <c r="M158" s="2"/>
      <c r="N158" s="8">
        <v>42522.117372685185</v>
      </c>
      <c r="O158" s="4" t="s">
        <v>25</v>
      </c>
      <c r="P158" s="3" t="s">
        <v>3002</v>
      </c>
      <c r="Q158" s="4"/>
      <c r="R158" s="4"/>
      <c r="S158" s="9" t="str">
        <f>HYPERLINK("https://pbs.twimg.com/profile_images/1044509663050518528/peU3g6ud.jpg","View")</f>
        <v>View</v>
      </c>
    </row>
    <row r="159" spans="1:19" ht="30">
      <c r="A159" s="8">
        <v>43369.709988425922</v>
      </c>
      <c r="B159" s="11" t="str">
        <f>HYPERLINK("https://twitter.com/shoeyhe","@shoeyhe")</f>
        <v>@shoeyhe</v>
      </c>
      <c r="C159" s="6" t="s">
        <v>3001</v>
      </c>
      <c r="D159" s="5" t="s">
        <v>2559</v>
      </c>
      <c r="E159" s="9" t="str">
        <f>HYPERLINK("https://twitter.com/shoeyhe/status/1044942763047997441","1044942763047997441")</f>
        <v>1044942763047997441</v>
      </c>
      <c r="F159" s="4"/>
      <c r="G159" s="10" t="s">
        <v>2558</v>
      </c>
      <c r="H159" s="4"/>
      <c r="I159" s="10" t="str">
        <f>HYPERLINK("http://twitter.com/download/android","Twitter for Android")</f>
        <v>Twitter for Android</v>
      </c>
      <c r="J159" s="2">
        <v>43</v>
      </c>
      <c r="K159" s="2">
        <v>168</v>
      </c>
      <c r="L159" s="2">
        <v>0</v>
      </c>
      <c r="M159" s="2"/>
      <c r="N159" s="8">
        <v>42098.733229166668</v>
      </c>
      <c r="O159" s="4"/>
      <c r="P159" s="3"/>
      <c r="Q159" s="4"/>
      <c r="R159" s="4"/>
      <c r="S159" s="2" t="s">
        <v>21</v>
      </c>
    </row>
    <row r="160" spans="1:19" ht="30">
      <c r="A160" s="8">
        <v>43369.709074074075</v>
      </c>
      <c r="B160" s="11" t="str">
        <f>HYPERLINK("https://twitter.com/snrdhk","@snrdhk")</f>
        <v>@snrdhk</v>
      </c>
      <c r="C160" s="6" t="s">
        <v>2944</v>
      </c>
      <c r="D160" s="5" t="s">
        <v>2559</v>
      </c>
      <c r="E160" s="9" t="str">
        <f>HYPERLINK("https://twitter.com/snrdhk/status/1044942429835677697","1044942429835677697")</f>
        <v>1044942429835677697</v>
      </c>
      <c r="F160" s="4"/>
      <c r="G160" s="10" t="s">
        <v>2558</v>
      </c>
      <c r="H160" s="4"/>
      <c r="I160" s="10" t="str">
        <f>HYPERLINK("http://twitter.com/download/iphone","Twitter for iPhone")</f>
        <v>Twitter for iPhone</v>
      </c>
      <c r="J160" s="2">
        <v>434</v>
      </c>
      <c r="K160" s="2">
        <v>535</v>
      </c>
      <c r="L160" s="2">
        <v>0</v>
      </c>
      <c r="M160" s="2"/>
      <c r="N160" s="8">
        <v>42902.151412037041</v>
      </c>
      <c r="O160" s="4"/>
      <c r="P160" s="3" t="s">
        <v>2941</v>
      </c>
      <c r="Q160" s="4"/>
      <c r="R160" s="4"/>
      <c r="S160" s="9" t="str">
        <f>HYPERLINK("https://pbs.twimg.com/profile_images/946818587620265984/5grEmWjQ.jpg","View")</f>
        <v>View</v>
      </c>
    </row>
    <row r="161" spans="1:19" ht="40">
      <c r="A161" s="8">
        <v>43369.70888888889</v>
      </c>
      <c r="B161" s="11" t="str">
        <f>HYPERLINK("https://twitter.com/Fahimeh21741472","@Fahimeh21741472")</f>
        <v>@Fahimeh21741472</v>
      </c>
      <c r="C161" s="6" t="s">
        <v>751</v>
      </c>
      <c r="D161" s="5" t="s">
        <v>58</v>
      </c>
      <c r="E161" s="9" t="str">
        <f>HYPERLINK("https://twitter.com/Fahimeh21741472/status/1044942366359019520","1044942366359019520")</f>
        <v>1044942366359019520</v>
      </c>
      <c r="F161" s="4"/>
      <c r="G161" s="10" t="s">
        <v>57</v>
      </c>
      <c r="H161" s="4"/>
      <c r="I161" s="10" t="str">
        <f>HYPERLINK("http://twitter.com/download/iphone","Twitter for iPhone")</f>
        <v>Twitter for iPhone</v>
      </c>
      <c r="J161" s="2">
        <v>17</v>
      </c>
      <c r="K161" s="2">
        <v>25</v>
      </c>
      <c r="L161" s="2">
        <v>0</v>
      </c>
      <c r="M161" s="2"/>
      <c r="N161" s="8">
        <v>43331.73883101852</v>
      </c>
      <c r="O161" s="4"/>
      <c r="P161" s="3"/>
      <c r="Q161" s="4"/>
      <c r="R161" s="4"/>
      <c r="S161" s="9" t="str">
        <f>HYPERLINK("https://pbs.twimg.com/profile_images/1031173647300349953/jc-c55He.jpg","View")</f>
        <v>View</v>
      </c>
    </row>
    <row r="162" spans="1:19" ht="50">
      <c r="A162" s="8">
        <v>43369.708877314813</v>
      </c>
      <c r="B162" s="11" t="str">
        <f>HYPERLINK("https://twitter.com/MNaemeh","@MNaemeh")</f>
        <v>@MNaemeh</v>
      </c>
      <c r="C162" s="6" t="s">
        <v>3000</v>
      </c>
      <c r="D162" s="5" t="s">
        <v>2712</v>
      </c>
      <c r="E162" s="9" t="str">
        <f>HYPERLINK("https://twitter.com/MNaemeh/status/1044942362038931456","1044942362038931456")</f>
        <v>1044942362038931456</v>
      </c>
      <c r="F162" s="4"/>
      <c r="G162" s="10" t="s">
        <v>2659</v>
      </c>
      <c r="H162" s="4"/>
      <c r="I162" s="10" t="str">
        <f>HYPERLINK("http://twitter.com/download/iphone","Twitter for iPhone")</f>
        <v>Twitter for iPhone</v>
      </c>
      <c r="J162" s="2">
        <v>8686</v>
      </c>
      <c r="K162" s="2">
        <v>940</v>
      </c>
      <c r="L162" s="2">
        <v>52</v>
      </c>
      <c r="M162" s="2"/>
      <c r="N162" s="8">
        <v>40977.476261574076</v>
      </c>
      <c r="O162" s="4"/>
      <c r="P162" s="3" t="s">
        <v>2999</v>
      </c>
      <c r="Q162" s="4"/>
      <c r="R162" s="4"/>
      <c r="S162" s="9" t="str">
        <f>HYPERLINK("https://pbs.twimg.com/profile_images/1034187911066013697/O5WtnNDW.jpg","View")</f>
        <v>View</v>
      </c>
    </row>
    <row r="163" spans="1:19" ht="40">
      <c r="A163" s="8">
        <v>43369.708680555559</v>
      </c>
      <c r="B163" s="11" t="str">
        <f>HYPERLINK("https://twitter.com/hamedcivil2000","@hamedcivil2000")</f>
        <v>@hamedcivil2000</v>
      </c>
      <c r="C163" s="6" t="s">
        <v>2998</v>
      </c>
      <c r="D163" s="5" t="s">
        <v>2846</v>
      </c>
      <c r="E163" s="9" t="str">
        <f>HYPERLINK("https://twitter.com/hamedcivil2000/status/1044942290878435328","1044942290878435328")</f>
        <v>1044942290878435328</v>
      </c>
      <c r="F163" s="4"/>
      <c r="G163" s="4"/>
      <c r="H163" s="4"/>
      <c r="I163" s="10" t="str">
        <f>HYPERLINK("http://twitter.com/download/iphone","Twitter for iPhone")</f>
        <v>Twitter for iPhone</v>
      </c>
      <c r="J163" s="2">
        <v>778</v>
      </c>
      <c r="K163" s="2">
        <v>1205</v>
      </c>
      <c r="L163" s="2">
        <v>1</v>
      </c>
      <c r="M163" s="2"/>
      <c r="N163" s="8">
        <v>41305.29755787037</v>
      </c>
      <c r="O163" s="4"/>
      <c r="P163" s="3" t="s">
        <v>2997</v>
      </c>
      <c r="Q163" s="4"/>
      <c r="R163" s="4"/>
      <c r="S163" s="9" t="str">
        <f>HYPERLINK("https://pbs.twimg.com/profile_images/1011251778665492480/rgyvfGsv.jpg","View")</f>
        <v>View</v>
      </c>
    </row>
    <row r="164" spans="1:19" ht="40">
      <c r="A164" s="8">
        <v>43369.708622685182</v>
      </c>
      <c r="B164" s="11" t="str">
        <f>HYPERLINK("https://twitter.com/AzaryaHopeful","@AzaryaHopeful")</f>
        <v>@AzaryaHopeful</v>
      </c>
      <c r="C164" s="6" t="s">
        <v>750</v>
      </c>
      <c r="D164" s="5" t="s">
        <v>2846</v>
      </c>
      <c r="E164" s="9" t="str">
        <f>HYPERLINK("https://twitter.com/AzaryaHopeful/status/1044942269789409280","1044942269789409280")</f>
        <v>1044942269789409280</v>
      </c>
      <c r="F164" s="4"/>
      <c r="G164" s="4"/>
      <c r="H164" s="4"/>
      <c r="I164" s="10" t="str">
        <f>HYPERLINK("http://twitter.com/download/iphone","Twitter for iPhone")</f>
        <v>Twitter for iPhone</v>
      </c>
      <c r="J164" s="2">
        <v>24</v>
      </c>
      <c r="K164" s="2">
        <v>47</v>
      </c>
      <c r="L164" s="2">
        <v>0</v>
      </c>
      <c r="M164" s="2"/>
      <c r="N164" s="8">
        <v>43106.074328703704</v>
      </c>
      <c r="O164" s="4" t="s">
        <v>749</v>
      </c>
      <c r="P164" s="3"/>
      <c r="Q164" s="4"/>
      <c r="R164" s="4"/>
      <c r="S164" s="9" t="str">
        <f>HYPERLINK("https://pbs.twimg.com/profile_images/1003692080512806913/I2bN04Rt.jpg","View")</f>
        <v>View</v>
      </c>
    </row>
    <row r="165" spans="1:19" ht="40">
      <c r="A165" s="8">
        <v>43369.708078703705</v>
      </c>
      <c r="B165" s="11" t="str">
        <f>HYPERLINK("https://twitter.com/Sin_Org","@Sin_Org")</f>
        <v>@Sin_Org</v>
      </c>
      <c r="C165" s="6" t="s">
        <v>2996</v>
      </c>
      <c r="D165" s="5" t="s">
        <v>2846</v>
      </c>
      <c r="E165" s="9" t="str">
        <f>HYPERLINK("https://twitter.com/Sin_Org/status/1044942072183214080","1044942072183214080")</f>
        <v>1044942072183214080</v>
      </c>
      <c r="F165" s="4"/>
      <c r="G165" s="4"/>
      <c r="H165" s="4"/>
      <c r="I165" s="10" t="str">
        <f>HYPERLINK("http://twitter.com/download/iphone","Twitter for iPhone")</f>
        <v>Twitter for iPhone</v>
      </c>
      <c r="J165" s="2">
        <v>61</v>
      </c>
      <c r="K165" s="2">
        <v>94</v>
      </c>
      <c r="L165" s="2">
        <v>0</v>
      </c>
      <c r="M165" s="2"/>
      <c r="N165" s="8">
        <v>42597.561805555553</v>
      </c>
      <c r="O165" s="4"/>
      <c r="P165" s="3" t="s">
        <v>76</v>
      </c>
      <c r="Q165" s="4"/>
      <c r="R165" s="4"/>
      <c r="S165" s="9" t="str">
        <f>HYPERLINK("https://pbs.twimg.com/profile_images/1041586285108973568/6KggU3VY.jpg","View")</f>
        <v>View</v>
      </c>
    </row>
    <row r="166" spans="1:19" ht="30">
      <c r="A166" s="8">
        <v>43369.707835648151</v>
      </c>
      <c r="B166" s="11" t="str">
        <f>HYPERLINK("https://twitter.com/ANTabatabaei14","@ANTabatabaei14")</f>
        <v>@ANTabatabaei14</v>
      </c>
      <c r="C166" s="6" t="s">
        <v>2995</v>
      </c>
      <c r="D166" s="5" t="s">
        <v>2994</v>
      </c>
      <c r="E166" s="9" t="str">
        <f>HYPERLINK("https://twitter.com/ANTabatabaei14/status/1044941982789963778","1044941982789963778")</f>
        <v>1044941982789963778</v>
      </c>
      <c r="F166" s="4"/>
      <c r="G166" s="4"/>
      <c r="H166" s="4"/>
      <c r="I166" s="10" t="str">
        <f>HYPERLINK("http://twitter.com/download/iphone","Twitter for iPhone")</f>
        <v>Twitter for iPhone</v>
      </c>
      <c r="J166" s="2">
        <v>192</v>
      </c>
      <c r="K166" s="2">
        <v>191</v>
      </c>
      <c r="L166" s="2">
        <v>0</v>
      </c>
      <c r="M166" s="2"/>
      <c r="N166" s="8">
        <v>41807.752662037034</v>
      </c>
      <c r="O166" s="4" t="s">
        <v>2993</v>
      </c>
      <c r="P166" s="3" t="s">
        <v>2992</v>
      </c>
      <c r="Q166" s="10" t="s">
        <v>2991</v>
      </c>
      <c r="R166" s="4"/>
      <c r="S166" s="9" t="str">
        <f>HYPERLINK("https://pbs.twimg.com/profile_images/1039980784038432769/F3_tNiZu.jpg","View")</f>
        <v>View</v>
      </c>
    </row>
    <row r="167" spans="1:19" ht="20">
      <c r="A167" s="8">
        <v>43369.707789351851</v>
      </c>
      <c r="B167" s="11" t="str">
        <f>HYPERLINK("https://twitter.com/Mohraz144","@Mohraz144")</f>
        <v>@Mohraz144</v>
      </c>
      <c r="C167" s="6" t="s">
        <v>2977</v>
      </c>
      <c r="D167" s="5" t="s">
        <v>78</v>
      </c>
      <c r="E167" s="9" t="str">
        <f>HYPERLINK("https://twitter.com/Mohraz144/status/1044941966453157889","1044941966453157889")</f>
        <v>1044941966453157889</v>
      </c>
      <c r="F167" s="4"/>
      <c r="G167" s="4"/>
      <c r="H167" s="4"/>
      <c r="I167" s="10" t="str">
        <f>HYPERLINK("http://twitter.com/download/android","Twitter for Android")</f>
        <v>Twitter for Android</v>
      </c>
      <c r="J167" s="2">
        <v>451</v>
      </c>
      <c r="K167" s="2">
        <v>422</v>
      </c>
      <c r="L167" s="2">
        <v>2</v>
      </c>
      <c r="M167" s="2"/>
      <c r="N167" s="8">
        <v>42843.508229166662</v>
      </c>
      <c r="O167" s="4" t="s">
        <v>1</v>
      </c>
      <c r="P167" s="3" t="s">
        <v>2976</v>
      </c>
      <c r="Q167" s="4"/>
      <c r="R167" s="4"/>
      <c r="S167" s="9" t="str">
        <f>HYPERLINK("https://pbs.twimg.com/profile_images/893400728290643968/nsFdOq0V.jpg","View")</f>
        <v>View</v>
      </c>
    </row>
    <row r="168" spans="1:19" ht="40">
      <c r="A168" s="8">
        <v>43369.707731481481</v>
      </c>
      <c r="B168" s="11" t="str">
        <f>HYPERLINK("https://twitter.com/Rahmat8697","@Rahmat8697")</f>
        <v>@Rahmat8697</v>
      </c>
      <c r="C168" s="6" t="s">
        <v>2990</v>
      </c>
      <c r="D168" s="5" t="s">
        <v>1548</v>
      </c>
      <c r="E168" s="9" t="str">
        <f>HYPERLINK("https://twitter.com/Rahmat8697/status/1044941947331399682","1044941947331399682")</f>
        <v>1044941947331399682</v>
      </c>
      <c r="F168" s="4"/>
      <c r="G168" s="4"/>
      <c r="H168" s="4"/>
      <c r="I168" s="10" t="str">
        <f>HYPERLINK("http://twitter.com/download/android","Twitter for Android")</f>
        <v>Twitter for Android</v>
      </c>
      <c r="J168" s="2">
        <v>1101</v>
      </c>
      <c r="K168" s="2">
        <v>1383</v>
      </c>
      <c r="L168" s="2">
        <v>1</v>
      </c>
      <c r="M168" s="2"/>
      <c r="N168" s="8">
        <v>43180.504131944443</v>
      </c>
      <c r="O168" s="4" t="s">
        <v>2989</v>
      </c>
      <c r="P168" s="3" t="s">
        <v>2988</v>
      </c>
      <c r="Q168" s="4"/>
      <c r="R168" s="4"/>
      <c r="S168" s="9" t="str">
        <f>HYPERLINK("https://pbs.twimg.com/profile_images/976378619638566912/FDYJr0L8.jpg","View")</f>
        <v>View</v>
      </c>
    </row>
    <row r="169" spans="1:19" ht="30">
      <c r="A169" s="8">
        <v>43369.707638888889</v>
      </c>
      <c r="B169" s="11" t="str">
        <f>HYPERLINK("https://twitter.com/Meshgi1","@Meshgi1")</f>
        <v>@Meshgi1</v>
      </c>
      <c r="C169" s="6" t="s">
        <v>2987</v>
      </c>
      <c r="D169" s="5" t="s">
        <v>2559</v>
      </c>
      <c r="E169" s="9" t="str">
        <f>HYPERLINK("https://twitter.com/Meshgi1/status/1044941911717564417","1044941911717564417")</f>
        <v>1044941911717564417</v>
      </c>
      <c r="F169" s="4"/>
      <c r="G169" s="10" t="s">
        <v>2558</v>
      </c>
      <c r="H169" s="4"/>
      <c r="I169" s="10" t="str">
        <f>HYPERLINK("http://twitter.com/download/iphone","Twitter for iPhone")</f>
        <v>Twitter for iPhone</v>
      </c>
      <c r="J169" s="2">
        <v>55</v>
      </c>
      <c r="K169" s="2">
        <v>82</v>
      </c>
      <c r="L169" s="2">
        <v>0</v>
      </c>
      <c r="M169" s="2"/>
      <c r="N169" s="8">
        <v>43229.157523148147</v>
      </c>
      <c r="O169" s="4"/>
      <c r="P169" s="3"/>
      <c r="Q169" s="4"/>
      <c r="R169" s="4"/>
      <c r="S169" s="9" t="str">
        <f>HYPERLINK("https://pbs.twimg.com/profile_images/993994980464168965/_hsEK7mI.jpg","View")</f>
        <v>View</v>
      </c>
    </row>
    <row r="170" spans="1:19" ht="40">
      <c r="A170" s="8">
        <v>43369.707557870366</v>
      </c>
      <c r="B170" s="11" t="str">
        <f>HYPERLINK("https://twitter.com/Ahmadsaburi2","@Ahmadsaburi2")</f>
        <v>@Ahmadsaburi2</v>
      </c>
      <c r="C170" s="6" t="s">
        <v>2986</v>
      </c>
      <c r="D170" s="5" t="s">
        <v>1165</v>
      </c>
      <c r="E170" s="9" t="str">
        <f>HYPERLINK("https://twitter.com/Ahmadsaburi2/status/1044941882185437184","1044941882185437184")</f>
        <v>1044941882185437184</v>
      </c>
      <c r="F170" s="4"/>
      <c r="G170" s="10" t="s">
        <v>663</v>
      </c>
      <c r="H170" s="4"/>
      <c r="I170" s="10" t="str">
        <f>HYPERLINK("http://twitter.com","Twitter Web Client")</f>
        <v>Twitter Web Client</v>
      </c>
      <c r="J170" s="2">
        <v>2</v>
      </c>
      <c r="K170" s="2">
        <v>0</v>
      </c>
      <c r="L170" s="2">
        <v>0</v>
      </c>
      <c r="M170" s="2"/>
      <c r="N170" s="8">
        <v>43229.828680555554</v>
      </c>
      <c r="O170" s="4"/>
      <c r="P170" s="3"/>
      <c r="Q170" s="4"/>
      <c r="R170" s="4"/>
      <c r="S170" s="9" t="str">
        <f>HYPERLINK("https://pbs.twimg.com/profile_images/1035876438694670339/zGaPvMfz.jpg","View")</f>
        <v>View</v>
      </c>
    </row>
    <row r="171" spans="1:19" ht="40">
      <c r="A171" s="8">
        <v>43369.707291666666</v>
      </c>
      <c r="B171" s="11" t="str">
        <f>HYPERLINK("https://twitter.com/negar_s999","@negar_s999")</f>
        <v>@negar_s999</v>
      </c>
      <c r="C171" s="6" t="s">
        <v>2985</v>
      </c>
      <c r="D171" s="5" t="s">
        <v>2846</v>
      </c>
      <c r="E171" s="9" t="str">
        <f>HYPERLINK("https://twitter.com/negar_s999/status/1044941785796149248","1044941785796149248")</f>
        <v>1044941785796149248</v>
      </c>
      <c r="F171" s="4"/>
      <c r="G171" s="4"/>
      <c r="H171" s="4"/>
      <c r="I171" s="10" t="str">
        <f>HYPERLINK("http://twitter.com/download/android","Twitter for Android")</f>
        <v>Twitter for Android</v>
      </c>
      <c r="J171" s="2">
        <v>189</v>
      </c>
      <c r="K171" s="2">
        <v>166</v>
      </c>
      <c r="L171" s="2">
        <v>1</v>
      </c>
      <c r="M171" s="2"/>
      <c r="N171" s="8">
        <v>42971.887997685189</v>
      </c>
      <c r="O171" s="4" t="s">
        <v>2984</v>
      </c>
      <c r="P171" s="3"/>
      <c r="Q171" s="4"/>
      <c r="R171" s="4"/>
      <c r="S171" s="9" t="str">
        <f>HYPERLINK("https://pbs.twimg.com/profile_images/1044616410494832640/jOM30phf.jpg","View")</f>
        <v>View</v>
      </c>
    </row>
    <row r="172" spans="1:19" ht="30">
      <c r="A172" s="8">
        <v>43369.707175925927</v>
      </c>
      <c r="B172" s="11" t="str">
        <f>HYPERLINK("https://twitter.com/romina_tf","@romina_tf")</f>
        <v>@romina_tf</v>
      </c>
      <c r="C172" s="6" t="s">
        <v>2983</v>
      </c>
      <c r="D172" s="5" t="s">
        <v>2559</v>
      </c>
      <c r="E172" s="9" t="str">
        <f>HYPERLINK("https://twitter.com/romina_tf/status/1044941743005872128","1044941743005872128")</f>
        <v>1044941743005872128</v>
      </c>
      <c r="F172" s="4"/>
      <c r="G172" s="10" t="s">
        <v>2558</v>
      </c>
      <c r="H172" s="4"/>
      <c r="I172" s="10" t="str">
        <f>HYPERLINK("http://twitter.com/download/iphone","Twitter for iPhone")</f>
        <v>Twitter for iPhone</v>
      </c>
      <c r="J172" s="2">
        <v>80</v>
      </c>
      <c r="K172" s="2">
        <v>68</v>
      </c>
      <c r="L172" s="2">
        <v>0</v>
      </c>
      <c r="M172" s="2"/>
      <c r="N172" s="8">
        <v>42526.719513888893</v>
      </c>
      <c r="O172" s="4" t="s">
        <v>2982</v>
      </c>
      <c r="P172" s="3" t="s">
        <v>2981</v>
      </c>
      <c r="Q172" s="4"/>
      <c r="R172" s="4"/>
      <c r="S172" s="9" t="str">
        <f>HYPERLINK("https://pbs.twimg.com/profile_images/1028621088031498240/r1CKyNNi.jpg","View")</f>
        <v>View</v>
      </c>
    </row>
    <row r="173" spans="1:19" ht="40">
      <c r="A173" s="8">
        <v>43369.706689814819</v>
      </c>
      <c r="B173" s="11" t="str">
        <f>HYPERLINK("https://twitter.com/matiam88581992","@matiam88581992")</f>
        <v>@matiam88581992</v>
      </c>
      <c r="C173" s="6" t="s">
        <v>2980</v>
      </c>
      <c r="D173" s="5" t="s">
        <v>2846</v>
      </c>
      <c r="E173" s="9" t="str">
        <f>HYPERLINK("https://twitter.com/matiam88581992/status/1044941567801380864","1044941567801380864")</f>
        <v>1044941567801380864</v>
      </c>
      <c r="F173" s="4"/>
      <c r="G173" s="4"/>
      <c r="H173" s="4"/>
      <c r="I173" s="10" t="str">
        <f>HYPERLINK("http://twitter.com/download/android","Twitter for Android")</f>
        <v>Twitter for Android</v>
      </c>
      <c r="J173" s="2">
        <v>35</v>
      </c>
      <c r="K173" s="2">
        <v>47</v>
      </c>
      <c r="L173" s="2">
        <v>0</v>
      </c>
      <c r="M173" s="2"/>
      <c r="N173" s="8">
        <v>43350.701296296298</v>
      </c>
      <c r="O173" s="4"/>
      <c r="P173" s="3"/>
      <c r="Q173" s="4"/>
      <c r="R173" s="4"/>
      <c r="S173" s="9" t="str">
        <f>HYPERLINK("https://pbs.twimg.com/profile_images/1038040988046917632/RJSqCSM1.jpg","View")</f>
        <v>View</v>
      </c>
    </row>
    <row r="174" spans="1:19" ht="30">
      <c r="A174" s="8">
        <v>43369.706504629634</v>
      </c>
      <c r="B174" s="11" t="str">
        <f>HYPERLINK("https://twitter.com/GAIISMD1","@GAIISMD1")</f>
        <v>@GAIISMD1</v>
      </c>
      <c r="C174" s="6" t="s">
        <v>2979</v>
      </c>
      <c r="D174" s="5" t="s">
        <v>2559</v>
      </c>
      <c r="E174" s="9" t="str">
        <f>HYPERLINK("https://twitter.com/GAIISMD1/status/1044941502147899392","1044941502147899392")</f>
        <v>1044941502147899392</v>
      </c>
      <c r="F174" s="4"/>
      <c r="G174" s="10" t="s">
        <v>2558</v>
      </c>
      <c r="H174" s="4"/>
      <c r="I174" s="10" t="str">
        <f>HYPERLINK("http://twitter.com/#!/download/ipad","Twitter for iPad")</f>
        <v>Twitter for iPad</v>
      </c>
      <c r="J174" s="2">
        <v>63</v>
      </c>
      <c r="K174" s="2">
        <v>76</v>
      </c>
      <c r="L174" s="2">
        <v>0</v>
      </c>
      <c r="M174" s="2"/>
      <c r="N174" s="8">
        <v>43193.554560185185</v>
      </c>
      <c r="O174" s="4" t="s">
        <v>98</v>
      </c>
      <c r="P174" s="3" t="s">
        <v>2978</v>
      </c>
      <c r="Q174" s="4"/>
      <c r="R174" s="4"/>
      <c r="S174" s="9" t="str">
        <f>HYPERLINK("https://pbs.twimg.com/profile_images/990188678369697792/bTpdrJqb.jpg","View")</f>
        <v>View</v>
      </c>
    </row>
    <row r="175" spans="1:19" ht="40">
      <c r="A175" s="8">
        <v>43369.70648148148</v>
      </c>
      <c r="B175" s="11" t="str">
        <f>HYPERLINK("https://twitter.com/Mohraz144","@Mohraz144")</f>
        <v>@Mohraz144</v>
      </c>
      <c r="C175" s="6" t="s">
        <v>2977</v>
      </c>
      <c r="D175" s="5" t="s">
        <v>72</v>
      </c>
      <c r="E175" s="9" t="str">
        <f>HYPERLINK("https://twitter.com/Mohraz144/status/1044941490294804481","1044941490294804481")</f>
        <v>1044941490294804481</v>
      </c>
      <c r="F175" s="4"/>
      <c r="G175" s="4"/>
      <c r="H175" s="4"/>
      <c r="I175" s="10" t="str">
        <f>HYPERLINK("http://twitter.com/download/android","Twitter for Android")</f>
        <v>Twitter for Android</v>
      </c>
      <c r="J175" s="2">
        <v>451</v>
      </c>
      <c r="K175" s="2">
        <v>422</v>
      </c>
      <c r="L175" s="2">
        <v>2</v>
      </c>
      <c r="M175" s="2"/>
      <c r="N175" s="8">
        <v>42843.508229166662</v>
      </c>
      <c r="O175" s="4" t="s">
        <v>1</v>
      </c>
      <c r="P175" s="3" t="s">
        <v>2976</v>
      </c>
      <c r="Q175" s="4"/>
      <c r="R175" s="4"/>
      <c r="S175" s="9" t="str">
        <f>HYPERLINK("https://pbs.twimg.com/profile_images/893400728290643968/nsFdOq0V.jpg","View")</f>
        <v>View</v>
      </c>
    </row>
    <row r="176" spans="1:19" ht="30">
      <c r="A176" s="8">
        <v>43369.706458333334</v>
      </c>
      <c r="B176" s="11" t="str">
        <f>HYPERLINK("https://twitter.com/zahra_hosseiny","@zahra_hosseiny")</f>
        <v>@zahra_hosseiny</v>
      </c>
      <c r="C176" s="6" t="s">
        <v>2975</v>
      </c>
      <c r="D176" s="5" t="s">
        <v>15</v>
      </c>
      <c r="E176" s="9" t="str">
        <f>HYPERLINK("https://twitter.com/zahra_hosseiny/status/1044941484372496384","1044941484372496384")</f>
        <v>1044941484372496384</v>
      </c>
      <c r="F176" s="4"/>
      <c r="G176" s="4"/>
      <c r="H176" s="4"/>
      <c r="I176" s="10" t="str">
        <f>HYPERLINK("http://twitter.com/download/android","Twitter for Android")</f>
        <v>Twitter for Android</v>
      </c>
      <c r="J176" s="2">
        <v>85</v>
      </c>
      <c r="K176" s="2">
        <v>157</v>
      </c>
      <c r="L176" s="2">
        <v>0</v>
      </c>
      <c r="M176" s="2"/>
      <c r="N176" s="8">
        <v>43292.415208333332</v>
      </c>
      <c r="O176" s="4"/>
      <c r="P176" s="3" t="s">
        <v>2974</v>
      </c>
      <c r="Q176" s="4"/>
      <c r="R176" s="4"/>
      <c r="S176" s="9" t="str">
        <f>HYPERLINK("https://pbs.twimg.com/profile_images/1028763162580013056/rRWdOfon.jpg","View")</f>
        <v>View</v>
      </c>
    </row>
    <row r="177" spans="1:19" ht="40">
      <c r="A177" s="8">
        <v>43369.705960648149</v>
      </c>
      <c r="B177" s="11" t="str">
        <f>HYPERLINK("https://twitter.com/oshofreedom","@oshofreedom")</f>
        <v>@oshofreedom</v>
      </c>
      <c r="C177" s="6" t="s">
        <v>2973</v>
      </c>
      <c r="D177" s="5" t="s">
        <v>1556</v>
      </c>
      <c r="E177" s="9" t="str">
        <f>HYPERLINK("https://twitter.com/oshofreedom/status/1044941304596180994","1044941304596180994")</f>
        <v>1044941304596180994</v>
      </c>
      <c r="F177" s="4"/>
      <c r="G177" s="4"/>
      <c r="H177" s="4"/>
      <c r="I177" s="10" t="str">
        <f>HYPERLINK("http://twitter.com/download/android","Twitter for Android")</f>
        <v>Twitter for Android</v>
      </c>
      <c r="J177" s="2">
        <v>22</v>
      </c>
      <c r="K177" s="2">
        <v>80</v>
      </c>
      <c r="L177" s="2">
        <v>0</v>
      </c>
      <c r="M177" s="2"/>
      <c r="N177" s="8">
        <v>43347.443414351852</v>
      </c>
      <c r="O177" s="4" t="s">
        <v>2972</v>
      </c>
      <c r="P177" s="3"/>
      <c r="Q177" s="4"/>
      <c r="R177" s="4"/>
      <c r="S177" s="9" t="str">
        <f>HYPERLINK("https://pbs.twimg.com/profile_images/1036865025292546048/WiO7-Ofz.jpg","View")</f>
        <v>View</v>
      </c>
    </row>
    <row r="178" spans="1:19" ht="40">
      <c r="A178" s="8">
        <v>43369.70590277778</v>
      </c>
      <c r="B178" s="11" t="str">
        <f>HYPERLINK("https://twitter.com/afra_3153","@afra_3153")</f>
        <v>@afra_3153</v>
      </c>
      <c r="C178" s="6" t="s">
        <v>2971</v>
      </c>
      <c r="D178" s="5" t="s">
        <v>1548</v>
      </c>
      <c r="E178" s="9" t="str">
        <f>HYPERLINK("https://twitter.com/afra_3153/status/1044941280780984325","1044941280780984325")</f>
        <v>1044941280780984325</v>
      </c>
      <c r="F178" s="4"/>
      <c r="G178" s="4"/>
      <c r="H178" s="4"/>
      <c r="I178" s="10" t="str">
        <f>HYPERLINK("http://twitter.com/download/android","Twitter for Android")</f>
        <v>Twitter for Android</v>
      </c>
      <c r="J178" s="2">
        <v>91</v>
      </c>
      <c r="K178" s="2">
        <v>66</v>
      </c>
      <c r="L178" s="2">
        <v>0</v>
      </c>
      <c r="M178" s="2"/>
      <c r="N178" s="8">
        <v>43305.052453703705</v>
      </c>
      <c r="O178" s="4" t="s">
        <v>7</v>
      </c>
      <c r="P178" s="3" t="s">
        <v>2970</v>
      </c>
      <c r="Q178" s="4"/>
      <c r="R178" s="4"/>
      <c r="S178" s="9" t="str">
        <f>HYPERLINK("https://pbs.twimg.com/profile_images/1039212230712221698/h3boCTYU.jpg","View")</f>
        <v>View</v>
      </c>
    </row>
    <row r="179" spans="1:19" ht="40">
      <c r="A179" s="8">
        <v>43369.70579861111</v>
      </c>
      <c r="B179" s="11" t="str">
        <f>HYPERLINK("https://twitter.com/khBehrooz","@khBehrooz")</f>
        <v>@khBehrooz</v>
      </c>
      <c r="C179" s="6" t="s">
        <v>2969</v>
      </c>
      <c r="D179" s="5" t="s">
        <v>1556</v>
      </c>
      <c r="E179" s="9" t="str">
        <f>HYPERLINK("https://twitter.com/khBehrooz/status/1044941243795484673","1044941243795484673")</f>
        <v>1044941243795484673</v>
      </c>
      <c r="F179" s="4"/>
      <c r="G179" s="4"/>
      <c r="H179" s="4"/>
      <c r="I179" s="10" t="str">
        <f>HYPERLINK("http://twitter.com/download/iphone","Twitter for iPhone")</f>
        <v>Twitter for iPhone</v>
      </c>
      <c r="J179" s="2">
        <v>28</v>
      </c>
      <c r="K179" s="2">
        <v>81</v>
      </c>
      <c r="L179" s="2">
        <v>0</v>
      </c>
      <c r="M179" s="2"/>
      <c r="N179" s="8">
        <v>42028.018993055557</v>
      </c>
      <c r="O179" s="4"/>
      <c r="P179" s="3"/>
      <c r="Q179" s="4"/>
      <c r="R179" s="4"/>
      <c r="S179" s="9" t="str">
        <f>HYPERLINK("https://pbs.twimg.com/profile_images/870231278615920640/lwlY6HpH.jpg","View")</f>
        <v>View</v>
      </c>
    </row>
    <row r="180" spans="1:19" ht="40">
      <c r="A180" s="8">
        <v>43369.705775462964</v>
      </c>
      <c r="B180" s="11" t="str">
        <f>HYPERLINK("https://twitter.com/16navidnavid","@16navidnavid")</f>
        <v>@16navidnavid</v>
      </c>
      <c r="C180" s="6" t="s">
        <v>2968</v>
      </c>
      <c r="D180" s="5" t="s">
        <v>2846</v>
      </c>
      <c r="E180" s="9" t="str">
        <f>HYPERLINK("https://twitter.com/16navidnavid/status/1044941235595759617","1044941235595759617")</f>
        <v>1044941235595759617</v>
      </c>
      <c r="F180" s="4"/>
      <c r="G180" s="4"/>
      <c r="H180" s="4"/>
      <c r="I180" s="10" t="str">
        <f>HYPERLINK("http://twitter.com/download/android","Twitter for Android")</f>
        <v>Twitter for Android</v>
      </c>
      <c r="J180" s="2">
        <v>1474</v>
      </c>
      <c r="K180" s="2">
        <v>1478</v>
      </c>
      <c r="L180" s="2">
        <v>3</v>
      </c>
      <c r="M180" s="2"/>
      <c r="N180" s="8">
        <v>42791.941018518519</v>
      </c>
      <c r="O180" s="4" t="s">
        <v>2967</v>
      </c>
      <c r="P180" s="3" t="s">
        <v>2966</v>
      </c>
      <c r="Q180" s="4"/>
      <c r="R180" s="4"/>
      <c r="S180" s="9" t="str">
        <f>HYPERLINK("https://pbs.twimg.com/profile_images/971865408784556033/lgx0rnpa.jpg","View")</f>
        <v>View</v>
      </c>
    </row>
    <row r="181" spans="1:19" ht="40">
      <c r="A181" s="8">
        <v>43369.705752314811</v>
      </c>
      <c r="B181" s="11" t="str">
        <f>HYPERLINK("https://twitter.com/bartlet_jack","@bartlet_jack")</f>
        <v>@bartlet_jack</v>
      </c>
      <c r="C181" s="6" t="s">
        <v>2965</v>
      </c>
      <c r="D181" s="5" t="s">
        <v>2846</v>
      </c>
      <c r="E181" s="9" t="str">
        <f>HYPERLINK("https://twitter.com/bartlet_jack/status/1044941229220417538","1044941229220417538")</f>
        <v>1044941229220417538</v>
      </c>
      <c r="F181" s="4"/>
      <c r="G181" s="4"/>
      <c r="H181" s="4"/>
      <c r="I181" s="10" t="str">
        <f>HYPERLINK("http://twitter.com/download/android","Twitter for Android")</f>
        <v>Twitter for Android</v>
      </c>
      <c r="J181" s="2">
        <v>566</v>
      </c>
      <c r="K181" s="2">
        <v>752</v>
      </c>
      <c r="L181" s="2">
        <v>0</v>
      </c>
      <c r="M181" s="2"/>
      <c r="N181" s="8">
        <v>43113.813391203701</v>
      </c>
      <c r="O181" s="4"/>
      <c r="P181" s="3" t="s">
        <v>2964</v>
      </c>
      <c r="Q181" s="4"/>
      <c r="R181" s="4"/>
      <c r="S181" s="9" t="str">
        <f>HYPERLINK("https://pbs.twimg.com/profile_images/957720753750888450/VqVTV8Z8.jpg","View")</f>
        <v>View</v>
      </c>
    </row>
    <row r="182" spans="1:19" ht="40">
      <c r="A182" s="8">
        <v>43369.705740740741</v>
      </c>
      <c r="B182" s="11" t="str">
        <f>HYPERLINK("https://twitter.com/cyrus_2538","@cyrus_2538")</f>
        <v>@cyrus_2538</v>
      </c>
      <c r="C182" s="6" t="s">
        <v>529</v>
      </c>
      <c r="D182" s="5" t="s">
        <v>2846</v>
      </c>
      <c r="E182" s="9" t="str">
        <f>HYPERLINK("https://twitter.com/cyrus_2538/status/1044941222996058112","1044941222996058112")</f>
        <v>1044941222996058112</v>
      </c>
      <c r="F182" s="4"/>
      <c r="G182" s="4"/>
      <c r="H182" s="4"/>
      <c r="I182" s="10" t="str">
        <f>HYPERLINK("http://twitter.com/download/android","Twitter for Android")</f>
        <v>Twitter for Android</v>
      </c>
      <c r="J182" s="2">
        <v>200</v>
      </c>
      <c r="K182" s="2">
        <v>275</v>
      </c>
      <c r="L182" s="2">
        <v>1</v>
      </c>
      <c r="M182" s="2"/>
      <c r="N182" s="8">
        <v>40832.514317129629</v>
      </c>
      <c r="O182" s="4" t="s">
        <v>528</v>
      </c>
      <c r="P182" s="3" t="s">
        <v>527</v>
      </c>
      <c r="Q182" s="4"/>
      <c r="R182" s="4"/>
      <c r="S182" s="9" t="str">
        <f>HYPERLINK("https://pbs.twimg.com/profile_images/1026779549420273664/D3Blzbor.jpg","View")</f>
        <v>View</v>
      </c>
    </row>
    <row r="183" spans="1:19" ht="30">
      <c r="A183" s="8">
        <v>43369.705636574072</v>
      </c>
      <c r="B183" s="11" t="str">
        <f>HYPERLINK("https://twitter.com/bepakhiziran","@bepakhiziran")</f>
        <v>@bepakhiziran</v>
      </c>
      <c r="C183" s="6" t="s">
        <v>2963</v>
      </c>
      <c r="D183" s="5" t="s">
        <v>2559</v>
      </c>
      <c r="E183" s="9" t="str">
        <f>HYPERLINK("https://twitter.com/bepakhiziran/status/1044941187176701952","1044941187176701952")</f>
        <v>1044941187176701952</v>
      </c>
      <c r="F183" s="4"/>
      <c r="G183" s="10" t="s">
        <v>2558</v>
      </c>
      <c r="H183" s="4"/>
      <c r="I183" s="10" t="str">
        <f>HYPERLINK("http://twitter.com/download/iphone","Twitter for iPhone")</f>
        <v>Twitter for iPhone</v>
      </c>
      <c r="J183" s="2">
        <v>1063</v>
      </c>
      <c r="K183" s="2">
        <v>980</v>
      </c>
      <c r="L183" s="2">
        <v>1</v>
      </c>
      <c r="M183" s="2"/>
      <c r="N183" s="8">
        <v>42718.905706018515</v>
      </c>
      <c r="O183" s="4"/>
      <c r="P183" s="3" t="s">
        <v>2962</v>
      </c>
      <c r="Q183" s="4"/>
      <c r="R183" s="4"/>
      <c r="S183" s="9" t="str">
        <f>HYPERLINK("https://pbs.twimg.com/profile_images/1016742562420482049/C1YsrTzC.jpg","View")</f>
        <v>View</v>
      </c>
    </row>
    <row r="184" spans="1:19" ht="50">
      <c r="A184" s="8">
        <v>43369.705625000002</v>
      </c>
      <c r="B184" s="11" t="str">
        <f>HYPERLINK("https://twitter.com/Khorshid97Azadi","@Khorshid97Azadi")</f>
        <v>@Khorshid97Azadi</v>
      </c>
      <c r="C184" s="6" t="s">
        <v>2961</v>
      </c>
      <c r="D184" s="5" t="s">
        <v>643</v>
      </c>
      <c r="E184" s="9" t="str">
        <f>HYPERLINK("https://twitter.com/Khorshid97Azadi/status/1044941179899576320","1044941179899576320")</f>
        <v>1044941179899576320</v>
      </c>
      <c r="F184" s="4"/>
      <c r="G184" s="10" t="s">
        <v>642</v>
      </c>
      <c r="H184" s="4"/>
      <c r="I184" s="10" t="str">
        <f>HYPERLINK("http://twitter.com/download/android","Twitter for Android")</f>
        <v>Twitter for Android</v>
      </c>
      <c r="J184" s="2">
        <v>1409</v>
      </c>
      <c r="K184" s="2">
        <v>398</v>
      </c>
      <c r="L184" s="2">
        <v>3</v>
      </c>
      <c r="M184" s="2"/>
      <c r="N184" s="8">
        <v>43107.792546296296</v>
      </c>
      <c r="O184" s="4"/>
      <c r="P184" s="3" t="s">
        <v>2960</v>
      </c>
      <c r="Q184" s="4"/>
      <c r="R184" s="4"/>
      <c r="S184" s="9" t="str">
        <f>HYPERLINK("https://pbs.twimg.com/profile_images/1040927914907320320/erQs1vOY.jpg","View")</f>
        <v>View</v>
      </c>
    </row>
    <row r="185" spans="1:19" ht="50">
      <c r="A185" s="8">
        <v>43369.705462962964</v>
      </c>
      <c r="B185" s="11" t="str">
        <f>HYPERLINK("https://twitter.com/sadeghiyan88","@sadeghiyan88")</f>
        <v>@sadeghiyan88</v>
      </c>
      <c r="C185" s="6" t="s">
        <v>139</v>
      </c>
      <c r="D185" s="5" t="s">
        <v>2813</v>
      </c>
      <c r="E185" s="9" t="str">
        <f>HYPERLINK("https://twitter.com/sadeghiyan88/status/1044941122806710273","1044941122806710273")</f>
        <v>1044941122806710273</v>
      </c>
      <c r="F185" s="4"/>
      <c r="G185" s="4"/>
      <c r="H185" s="4"/>
      <c r="I185" s="10" t="str">
        <f>HYPERLINK("http://twitter.com/download/android","Twitter for Android")</f>
        <v>Twitter for Android</v>
      </c>
      <c r="J185" s="2">
        <v>410</v>
      </c>
      <c r="K185" s="2">
        <v>377</v>
      </c>
      <c r="L185" s="2">
        <v>1</v>
      </c>
      <c r="M185" s="2"/>
      <c r="N185" s="8">
        <v>43105.975370370375</v>
      </c>
      <c r="O185" s="4"/>
      <c r="P185" s="3" t="s">
        <v>138</v>
      </c>
      <c r="Q185" s="4"/>
      <c r="R185" s="4"/>
      <c r="S185" s="9" t="str">
        <f>HYPERLINK("https://pbs.twimg.com/profile_images/1035243988645765120/0HG_Vr0V.jpg","View")</f>
        <v>View</v>
      </c>
    </row>
    <row r="186" spans="1:19" ht="30">
      <c r="A186" s="8">
        <v>43369.705312499995</v>
      </c>
      <c r="B186" s="11" t="str">
        <f>HYPERLINK("https://twitter.com/Mina75773454","@Mina75773454")</f>
        <v>@Mina75773454</v>
      </c>
      <c r="C186" s="6" t="s">
        <v>1283</v>
      </c>
      <c r="D186" s="5" t="s">
        <v>53</v>
      </c>
      <c r="E186" s="9" t="str">
        <f>HYPERLINK("https://twitter.com/Mina75773454/status/1044941070684114944","1044941070684114944")</f>
        <v>1044941070684114944</v>
      </c>
      <c r="F186" s="4"/>
      <c r="G186" s="4"/>
      <c r="H186" s="4"/>
      <c r="I186" s="10" t="str">
        <f>HYPERLINK("http://twitter.com/download/android","Twitter for Android")</f>
        <v>Twitter for Android</v>
      </c>
      <c r="J186" s="2">
        <v>11</v>
      </c>
      <c r="K186" s="2">
        <v>15</v>
      </c>
      <c r="L186" s="2">
        <v>0</v>
      </c>
      <c r="M186" s="2"/>
      <c r="N186" s="8">
        <v>43220.913645833338</v>
      </c>
      <c r="O186" s="4"/>
      <c r="P186" s="3"/>
      <c r="Q186" s="4"/>
      <c r="R186" s="4"/>
      <c r="S186" s="2" t="s">
        <v>21</v>
      </c>
    </row>
    <row r="187" spans="1:19" ht="40">
      <c r="A187" s="8">
        <v>43369.704791666663</v>
      </c>
      <c r="B187" s="11" t="str">
        <f>HYPERLINK("https://twitter.com/Hoda46610096","@Hoda46610096")</f>
        <v>@Hoda46610096</v>
      </c>
      <c r="C187" s="6" t="s">
        <v>2959</v>
      </c>
      <c r="D187" s="5" t="s">
        <v>2846</v>
      </c>
      <c r="E187" s="9" t="str">
        <f>HYPERLINK("https://twitter.com/Hoda46610096/status/1044940879306403840","1044940879306403840")</f>
        <v>1044940879306403840</v>
      </c>
      <c r="F187" s="4"/>
      <c r="G187" s="4"/>
      <c r="H187" s="4"/>
      <c r="I187" s="10" t="str">
        <f>HYPERLINK("http://twitter.com/download/iphone","Twitter for iPhone")</f>
        <v>Twitter for iPhone</v>
      </c>
      <c r="J187" s="2">
        <v>32</v>
      </c>
      <c r="K187" s="2">
        <v>80</v>
      </c>
      <c r="L187" s="2">
        <v>0</v>
      </c>
      <c r="M187" s="2"/>
      <c r="N187" s="8">
        <v>43110.619444444441</v>
      </c>
      <c r="O187" s="4"/>
      <c r="P187" s="3" t="s">
        <v>2958</v>
      </c>
      <c r="Q187" s="4"/>
      <c r="R187" s="4"/>
      <c r="S187" s="9" t="str">
        <f>HYPERLINK("https://pbs.twimg.com/profile_images/996008074828709888/xWy83wtv.jpg","View")</f>
        <v>View</v>
      </c>
    </row>
    <row r="188" spans="1:19" ht="30">
      <c r="A188" s="8">
        <v>43369.704606481479</v>
      </c>
      <c r="B188" s="11" t="str">
        <f>HYPERLINK("https://twitter.com/PardisRamon","@PardisRamon")</f>
        <v>@PardisRamon</v>
      </c>
      <c r="C188" s="6" t="s">
        <v>2957</v>
      </c>
      <c r="D188" s="5" t="s">
        <v>2559</v>
      </c>
      <c r="E188" s="9" t="str">
        <f>HYPERLINK("https://twitter.com/PardisRamon/status/1044940813095129088","1044940813095129088")</f>
        <v>1044940813095129088</v>
      </c>
      <c r="F188" s="4"/>
      <c r="G188" s="10" t="s">
        <v>2558</v>
      </c>
      <c r="H188" s="4"/>
      <c r="I188" s="10" t="str">
        <f>HYPERLINK("http://twitter.com/download/iphone","Twitter for iPhone")</f>
        <v>Twitter for iPhone</v>
      </c>
      <c r="J188" s="2">
        <v>241</v>
      </c>
      <c r="K188" s="2">
        <v>535</v>
      </c>
      <c r="L188" s="2">
        <v>0</v>
      </c>
      <c r="M188" s="2"/>
      <c r="N188" s="8">
        <v>43318.736608796295</v>
      </c>
      <c r="O188" s="4"/>
      <c r="P188" s="3" t="s">
        <v>2956</v>
      </c>
      <c r="Q188" s="4"/>
      <c r="R188" s="4"/>
      <c r="S188" s="9" t="str">
        <f>HYPERLINK("https://pbs.twimg.com/profile_images/1029742509864443905/zHvMmVKt.jpg","View")</f>
        <v>View</v>
      </c>
    </row>
    <row r="189" spans="1:19" ht="50">
      <c r="A189" s="8">
        <v>43369.704305555555</v>
      </c>
      <c r="B189" s="11" t="str">
        <f>HYPERLINK("https://twitter.com/MahdijianMahdi","@MahdijianMahdi")</f>
        <v>@MahdijianMahdi</v>
      </c>
      <c r="C189" s="6" t="s">
        <v>2955</v>
      </c>
      <c r="D189" s="5" t="s">
        <v>2712</v>
      </c>
      <c r="E189" s="9" t="str">
        <f>HYPERLINK("https://twitter.com/MahdijianMahdi/status/1044940703812456449","1044940703812456449")</f>
        <v>1044940703812456449</v>
      </c>
      <c r="F189" s="4"/>
      <c r="G189" s="10" t="s">
        <v>2659</v>
      </c>
      <c r="H189" s="4"/>
      <c r="I189" s="10" t="str">
        <f>HYPERLINK("http://twitter.com/download/iphone","Twitter for iPhone")</f>
        <v>Twitter for iPhone</v>
      </c>
      <c r="J189" s="2">
        <v>246</v>
      </c>
      <c r="K189" s="2">
        <v>649</v>
      </c>
      <c r="L189" s="2">
        <v>1</v>
      </c>
      <c r="M189" s="2"/>
      <c r="N189" s="8">
        <v>41848.547071759262</v>
      </c>
      <c r="O189" s="4" t="s">
        <v>2954</v>
      </c>
      <c r="P189" s="3" t="s">
        <v>2953</v>
      </c>
      <c r="Q189" s="4"/>
      <c r="R189" s="4"/>
      <c r="S189" s="9" t="str">
        <f>HYPERLINK("https://pbs.twimg.com/profile_images/926903546519408641/1VXNmJpp.jpg","View")</f>
        <v>View</v>
      </c>
    </row>
    <row r="190" spans="1:19" ht="50">
      <c r="A190" s="8">
        <v>43369.703969907408</v>
      </c>
      <c r="B190" s="11" t="str">
        <f>HYPERLINK("https://twitter.com/Hossein198412","@Hossein198412")</f>
        <v>@Hossein198412</v>
      </c>
      <c r="C190" s="6" t="s">
        <v>2952</v>
      </c>
      <c r="D190" s="5" t="s">
        <v>2712</v>
      </c>
      <c r="E190" s="9" t="str">
        <f>HYPERLINK("https://twitter.com/Hossein198412/status/1044940583058386945","1044940583058386945")</f>
        <v>1044940583058386945</v>
      </c>
      <c r="F190" s="4"/>
      <c r="G190" s="10" t="s">
        <v>2659</v>
      </c>
      <c r="H190" s="4"/>
      <c r="I190" s="10" t="str">
        <f>HYPERLINK("http://twitter.com/download/android","Twitter for Android")</f>
        <v>Twitter for Android</v>
      </c>
      <c r="J190" s="2">
        <v>13</v>
      </c>
      <c r="K190" s="2">
        <v>34</v>
      </c>
      <c r="L190" s="2">
        <v>0</v>
      </c>
      <c r="M190" s="2"/>
      <c r="N190" s="8">
        <v>43365.99418981481</v>
      </c>
      <c r="O190" s="4" t="s">
        <v>7</v>
      </c>
      <c r="P190" s="3" t="s">
        <v>2951</v>
      </c>
      <c r="Q190" s="4"/>
      <c r="R190" s="4"/>
      <c r="S190" s="9" t="str">
        <f>HYPERLINK("https://pbs.twimg.com/profile_images/1043599138456313858/zBUHvFbv.jpg","View")</f>
        <v>View</v>
      </c>
    </row>
    <row r="191" spans="1:19" ht="40">
      <c r="A191" s="8">
        <v>43369.703229166669</v>
      </c>
      <c r="B191" s="11" t="str">
        <f>HYPERLINK("https://twitter.com/borna_shafiei","@borna_shafiei")</f>
        <v>@borna_shafiei</v>
      </c>
      <c r="C191" s="6" t="s">
        <v>2950</v>
      </c>
      <c r="D191" s="5" t="s">
        <v>2949</v>
      </c>
      <c r="E191" s="9" t="str">
        <f>HYPERLINK("https://twitter.com/borna_shafiei/status/1044940313352196096","1044940313352196096")</f>
        <v>1044940313352196096</v>
      </c>
      <c r="F191" s="4"/>
      <c r="G191" s="4"/>
      <c r="H191" s="4"/>
      <c r="I191" s="10" t="str">
        <f>HYPERLINK("http://twitter.com/download/iphone","Twitter for iPhone")</f>
        <v>Twitter for iPhone</v>
      </c>
      <c r="J191" s="2">
        <v>39</v>
      </c>
      <c r="K191" s="2">
        <v>59</v>
      </c>
      <c r="L191" s="2">
        <v>0</v>
      </c>
      <c r="M191" s="2"/>
      <c r="N191" s="8">
        <v>42941.562060185184</v>
      </c>
      <c r="O191" s="4" t="s">
        <v>52</v>
      </c>
      <c r="P191" s="3" t="s">
        <v>2948</v>
      </c>
      <c r="Q191" s="4"/>
      <c r="R191" s="4"/>
      <c r="S191" s="9" t="str">
        <f>HYPERLINK("https://pbs.twimg.com/profile_images/995798449093259264/f05KgJmN.jpg","View")</f>
        <v>View</v>
      </c>
    </row>
    <row r="192" spans="1:19" ht="40">
      <c r="A192" s="8">
        <v>43369.703229166669</v>
      </c>
      <c r="B192" s="11" t="str">
        <f>HYPERLINK("https://twitter.com/homer5225","@homer5225")</f>
        <v>@homer5225</v>
      </c>
      <c r="C192" s="6" t="s">
        <v>2947</v>
      </c>
      <c r="D192" s="5" t="s">
        <v>2846</v>
      </c>
      <c r="E192" s="9" t="str">
        <f>HYPERLINK("https://twitter.com/homer5225/status/1044940312026722304","1044940312026722304")</f>
        <v>1044940312026722304</v>
      </c>
      <c r="F192" s="4"/>
      <c r="G192" s="4"/>
      <c r="H192" s="4"/>
      <c r="I192" s="10" t="str">
        <f>HYPERLINK("http://twitter.com/download/iphone","Twitter for iPhone")</f>
        <v>Twitter for iPhone</v>
      </c>
      <c r="J192" s="2">
        <v>40</v>
      </c>
      <c r="K192" s="2">
        <v>208</v>
      </c>
      <c r="L192" s="2">
        <v>0</v>
      </c>
      <c r="M192" s="2"/>
      <c r="N192" s="8">
        <v>40993.807673611111</v>
      </c>
      <c r="O192" s="4"/>
      <c r="P192" s="3"/>
      <c r="Q192" s="4"/>
      <c r="R192" s="4"/>
      <c r="S192" s="9" t="str">
        <f>HYPERLINK("https://pbs.twimg.com/profile_images/1044834685145231360/nYyIG7L-.jpg","View")</f>
        <v>View</v>
      </c>
    </row>
    <row r="193" spans="1:19" ht="30">
      <c r="A193" s="8">
        <v>43369.702997685185</v>
      </c>
      <c r="B193" s="11" t="str">
        <f>HYPERLINK("https://twitter.com/reza_diba","@reza_diba")</f>
        <v>@reza_diba</v>
      </c>
      <c r="C193" s="6" t="s">
        <v>2946</v>
      </c>
      <c r="D193" s="5" t="s">
        <v>2559</v>
      </c>
      <c r="E193" s="9" t="str">
        <f>HYPERLINK("https://twitter.com/reza_diba/status/1044940228119711744","1044940228119711744")</f>
        <v>1044940228119711744</v>
      </c>
      <c r="F193" s="4"/>
      <c r="G193" s="10" t="s">
        <v>2558</v>
      </c>
      <c r="H193" s="4"/>
      <c r="I193" s="10" t="str">
        <f>HYPERLINK("http://twitter.com/download/android","Twitter for Android")</f>
        <v>Twitter for Android</v>
      </c>
      <c r="J193" s="2">
        <v>761</v>
      </c>
      <c r="K193" s="2">
        <v>282</v>
      </c>
      <c r="L193" s="2">
        <v>6</v>
      </c>
      <c r="M193" s="2"/>
      <c r="N193" s="8">
        <v>40820.545833333337</v>
      </c>
      <c r="O193" s="4" t="s">
        <v>2945</v>
      </c>
      <c r="P193" s="3" t="s">
        <v>76</v>
      </c>
      <c r="Q193" s="4"/>
      <c r="R193" s="4"/>
      <c r="S193" s="9" t="str">
        <f>HYPERLINK("https://pbs.twimg.com/profile_images/965353966069526529/INaGWYaI.jpg","View")</f>
        <v>View</v>
      </c>
    </row>
    <row r="194" spans="1:19" ht="20">
      <c r="A194" s="8">
        <v>43369.702719907407</v>
      </c>
      <c r="B194" s="11" t="str">
        <f>HYPERLINK("https://twitter.com/Tufan12358883","@Tufan12358883")</f>
        <v>@Tufan12358883</v>
      </c>
      <c r="C194" s="6" t="s">
        <v>2030</v>
      </c>
      <c r="D194" s="5" t="s">
        <v>172</v>
      </c>
      <c r="E194" s="9" t="str">
        <f>HYPERLINK("https://twitter.com/Tufan12358883/status/1044940129389998082","1044940129389998082")</f>
        <v>1044940129389998082</v>
      </c>
      <c r="F194" s="10" t="s">
        <v>171</v>
      </c>
      <c r="G194" s="4"/>
      <c r="H194" s="4"/>
      <c r="I194" s="10" t="str">
        <f>HYPERLINK("http://twitter.com/download/iphone","Twitter for iPhone")</f>
        <v>Twitter for iPhone</v>
      </c>
      <c r="J194" s="2">
        <v>485</v>
      </c>
      <c r="K194" s="2">
        <v>584</v>
      </c>
      <c r="L194" s="2">
        <v>0</v>
      </c>
      <c r="M194" s="2"/>
      <c r="N194" s="8">
        <v>43215.011192129634</v>
      </c>
      <c r="O194" s="4" t="s">
        <v>2029</v>
      </c>
      <c r="P194" s="3" t="s">
        <v>2028</v>
      </c>
      <c r="Q194" s="4"/>
      <c r="R194" s="4"/>
      <c r="S194" s="9" t="str">
        <f>HYPERLINK("https://pbs.twimg.com/profile_images/1040326053816922113/Cron7XwD.jpg","View")</f>
        <v>View</v>
      </c>
    </row>
    <row r="195" spans="1:19" ht="20">
      <c r="A195" s="8">
        <v>43369.702523148153</v>
      </c>
      <c r="B195" s="11" t="str">
        <f>HYPERLINK("https://twitter.com/snrdhk","@snrdhk")</f>
        <v>@snrdhk</v>
      </c>
      <c r="C195" s="6" t="s">
        <v>2944</v>
      </c>
      <c r="D195" s="5" t="s">
        <v>2943</v>
      </c>
      <c r="E195" s="9" t="str">
        <f>HYPERLINK("https://twitter.com/snrdhk/status/1044940056304242688","1044940056304242688")</f>
        <v>1044940056304242688</v>
      </c>
      <c r="F195" s="4"/>
      <c r="G195" s="10" t="s">
        <v>2942</v>
      </c>
      <c r="H195" s="4"/>
      <c r="I195" s="10" t="str">
        <f>HYPERLINK("http://twitter.com/download/iphone","Twitter for iPhone")</f>
        <v>Twitter for iPhone</v>
      </c>
      <c r="J195" s="2">
        <v>434</v>
      </c>
      <c r="K195" s="2">
        <v>535</v>
      </c>
      <c r="L195" s="2">
        <v>0</v>
      </c>
      <c r="M195" s="2"/>
      <c r="N195" s="8">
        <v>42902.151412037041</v>
      </c>
      <c r="O195" s="4"/>
      <c r="P195" s="3" t="s">
        <v>2941</v>
      </c>
      <c r="Q195" s="4"/>
      <c r="R195" s="4"/>
      <c r="S195" s="9" t="str">
        <f>HYPERLINK("https://pbs.twimg.com/profile_images/946818587620265984/5grEmWjQ.jpg","View")</f>
        <v>View</v>
      </c>
    </row>
    <row r="196" spans="1:19" ht="40">
      <c r="A196" s="8">
        <v>43369.702476851853</v>
      </c>
      <c r="B196" s="11" t="str">
        <f>HYPERLINK("https://twitter.com/nikkikhnj","@nikkikhnj")</f>
        <v>@nikkikhnj</v>
      </c>
      <c r="C196" s="6" t="s">
        <v>2940</v>
      </c>
      <c r="D196" s="5" t="s">
        <v>2846</v>
      </c>
      <c r="E196" s="9" t="str">
        <f>HYPERLINK("https://twitter.com/nikkikhnj/status/1044940042668527617","1044940042668527617")</f>
        <v>1044940042668527617</v>
      </c>
      <c r="F196" s="4"/>
      <c r="G196" s="4"/>
      <c r="H196" s="4"/>
      <c r="I196" s="10" t="str">
        <f>HYPERLINK("http://twitter.com/download/iphone","Twitter for iPhone")</f>
        <v>Twitter for iPhone</v>
      </c>
      <c r="J196" s="2">
        <v>1</v>
      </c>
      <c r="K196" s="2">
        <v>9</v>
      </c>
      <c r="L196" s="2">
        <v>0</v>
      </c>
      <c r="M196" s="2"/>
      <c r="N196" s="8">
        <v>43365.962199074071</v>
      </c>
      <c r="O196" s="4"/>
      <c r="P196" s="3" t="s">
        <v>2939</v>
      </c>
      <c r="Q196" s="4"/>
      <c r="R196" s="4"/>
      <c r="S196" s="9" t="str">
        <f>HYPERLINK("https://pbs.twimg.com/profile_images/1043593224944803840/UiiCYsY2.jpg","View")</f>
        <v>View</v>
      </c>
    </row>
    <row r="197" spans="1:19" ht="40">
      <c r="A197" s="8">
        <v>43369.702303240745</v>
      </c>
      <c r="B197" s="11" t="str">
        <f>HYPERLINK("https://twitter.com/barandazambot","@barandazambot")</f>
        <v>@barandazambot</v>
      </c>
      <c r="C197" s="6" t="s">
        <v>683</v>
      </c>
      <c r="D197" s="5" t="s">
        <v>2846</v>
      </c>
      <c r="E197" s="9" t="str">
        <f>HYPERLINK("https://twitter.com/barandazambot/status/1044939979070341120","1044939979070341120")</f>
        <v>1044939979070341120</v>
      </c>
      <c r="F197" s="4"/>
      <c r="G197" s="4"/>
      <c r="H197" s="4"/>
      <c r="I197" s="10" t="str">
        <f>HYPERLINK("http://127.0.0.1","barandazambot")</f>
        <v>barandazambot</v>
      </c>
      <c r="J197" s="2">
        <v>922</v>
      </c>
      <c r="K197" s="2">
        <v>23</v>
      </c>
      <c r="L197" s="2">
        <v>2</v>
      </c>
      <c r="M197" s="2"/>
      <c r="N197" s="8">
        <v>43293.668993055559</v>
      </c>
      <c r="O197" s="4" t="s">
        <v>682</v>
      </c>
      <c r="P197" s="3" t="s">
        <v>681</v>
      </c>
      <c r="Q197" s="4"/>
      <c r="R197" s="4"/>
      <c r="S197" s="9" t="str">
        <f>HYPERLINK("https://pbs.twimg.com/profile_images/1017382724485730305/hGaBNoXG.jpg","View")</f>
        <v>View</v>
      </c>
    </row>
    <row r="198" spans="1:19" ht="30">
      <c r="A198" s="8">
        <v>43369.702280092592</v>
      </c>
      <c r="B198" s="11" t="str">
        <f>HYPERLINK("https://twitter.com/ghobadsafari","@ghobadsafari")</f>
        <v>@ghobadsafari</v>
      </c>
      <c r="C198" s="6" t="s">
        <v>2938</v>
      </c>
      <c r="D198" s="5" t="s">
        <v>2937</v>
      </c>
      <c r="E198" s="9" t="str">
        <f>HYPERLINK("https://twitter.com/ghobadsafari/status/1044939968999829504","1044939968999829504")</f>
        <v>1044939968999829504</v>
      </c>
      <c r="F198" s="4"/>
      <c r="G198" s="4"/>
      <c r="H198" s="4"/>
      <c r="I198" s="10" t="str">
        <f>HYPERLINK("http://twitter.com/download/android","Twitter for Android")</f>
        <v>Twitter for Android</v>
      </c>
      <c r="J198" s="2">
        <v>18</v>
      </c>
      <c r="K198" s="2">
        <v>67</v>
      </c>
      <c r="L198" s="2">
        <v>0</v>
      </c>
      <c r="M198" s="2"/>
      <c r="N198" s="8">
        <v>41174.662210648152</v>
      </c>
      <c r="O198" s="4" t="s">
        <v>25</v>
      </c>
      <c r="P198" s="3" t="s">
        <v>2936</v>
      </c>
      <c r="Q198" s="10" t="s">
        <v>2935</v>
      </c>
      <c r="R198" s="4"/>
      <c r="S198" s="9" t="str">
        <f>HYPERLINK("https://pbs.twimg.com/profile_images/979463248130072582/SPB2vGM3.jpg","View")</f>
        <v>View</v>
      </c>
    </row>
    <row r="199" spans="1:19" ht="30">
      <c r="A199" s="8">
        <v>43369.702245370368</v>
      </c>
      <c r="B199" s="11" t="str">
        <f>HYPERLINK("https://twitter.com/hmmi1356khoda","@hmmi1356khoda")</f>
        <v>@hmmi1356khoda</v>
      </c>
      <c r="C199" s="6" t="s">
        <v>2934</v>
      </c>
      <c r="D199" s="5" t="s">
        <v>2613</v>
      </c>
      <c r="E199" s="9" t="str">
        <f>HYPERLINK("https://twitter.com/hmmi1356khoda/status/1044939955343183872","1044939955343183872")</f>
        <v>1044939955343183872</v>
      </c>
      <c r="F199" s="4"/>
      <c r="G199" s="10" t="s">
        <v>2505</v>
      </c>
      <c r="H199" s="4"/>
      <c r="I199" s="10" t="str">
        <f>HYPERLINK("http://twitter.com/download/android","Twitter for Android")</f>
        <v>Twitter for Android</v>
      </c>
      <c r="J199" s="2">
        <v>254</v>
      </c>
      <c r="K199" s="2">
        <v>275</v>
      </c>
      <c r="L199" s="2">
        <v>0</v>
      </c>
      <c r="M199" s="2"/>
      <c r="N199" s="8">
        <v>43231.751770833333</v>
      </c>
      <c r="O199" s="4" t="s">
        <v>1</v>
      </c>
      <c r="P199" s="3" t="s">
        <v>2933</v>
      </c>
      <c r="Q199" s="4"/>
      <c r="R199" s="4"/>
      <c r="S199" s="9" t="str">
        <f>HYPERLINK("https://pbs.twimg.com/profile_images/1036117895556878336/56xYwSvD.jpg","View")</f>
        <v>View</v>
      </c>
    </row>
    <row r="200" spans="1:19" ht="30">
      <c r="A200" s="8">
        <v>43369.701874999999</v>
      </c>
      <c r="B200" s="11" t="str">
        <f>HYPERLINK("https://twitter.com/iranian_person","@iranian_person")</f>
        <v>@iranian_person</v>
      </c>
      <c r="C200" s="6" t="s">
        <v>2932</v>
      </c>
      <c r="D200" s="5" t="s">
        <v>2559</v>
      </c>
      <c r="E200" s="9" t="str">
        <f>HYPERLINK("https://twitter.com/iranian_person/status/1044939824921300992","1044939824921300992")</f>
        <v>1044939824921300992</v>
      </c>
      <c r="F200" s="4"/>
      <c r="G200" s="10" t="s">
        <v>2558</v>
      </c>
      <c r="H200" s="4"/>
      <c r="I200" s="10" t="str">
        <f>HYPERLINK("http://twitter.com/download/android","Twitter for Android")</f>
        <v>Twitter for Android</v>
      </c>
      <c r="J200" s="2">
        <v>206</v>
      </c>
      <c r="K200" s="2">
        <v>73</v>
      </c>
      <c r="L200" s="2">
        <v>1</v>
      </c>
      <c r="M200" s="2"/>
      <c r="N200" s="8">
        <v>42875.019571759258</v>
      </c>
      <c r="O200" s="4" t="s">
        <v>197</v>
      </c>
      <c r="P200" s="3"/>
      <c r="Q200" s="4"/>
      <c r="R200" s="4"/>
      <c r="S200" s="9" t="str">
        <f>HYPERLINK("https://pbs.twimg.com/profile_images/865675436503822337/6LHUwSMo.jpg","View")</f>
        <v>View</v>
      </c>
    </row>
    <row r="201" spans="1:19" ht="40">
      <c r="A201" s="8">
        <v>43369.701805555553</v>
      </c>
      <c r="B201" s="11" t="str">
        <f>HYPERLINK("https://twitter.com/yoigon","@yoigon")</f>
        <v>@yoigon</v>
      </c>
      <c r="C201" s="6" t="s">
        <v>2931</v>
      </c>
      <c r="D201" s="5" t="s">
        <v>2846</v>
      </c>
      <c r="E201" s="9" t="str">
        <f>HYPERLINK("https://twitter.com/yoigon/status/1044939797293400064","1044939797293400064")</f>
        <v>1044939797293400064</v>
      </c>
      <c r="F201" s="4"/>
      <c r="G201" s="4"/>
      <c r="H201" s="4"/>
      <c r="I201" s="10" t="str">
        <f>HYPERLINK("http://twitter.com/download/iphone","Twitter for iPhone")</f>
        <v>Twitter for iPhone</v>
      </c>
      <c r="J201" s="2">
        <v>220</v>
      </c>
      <c r="K201" s="2">
        <v>406</v>
      </c>
      <c r="L201" s="2">
        <v>0</v>
      </c>
      <c r="M201" s="2"/>
      <c r="N201" s="8">
        <v>41737.436284722222</v>
      </c>
      <c r="O201" s="4" t="s">
        <v>2930</v>
      </c>
      <c r="P201" s="3" t="s">
        <v>2929</v>
      </c>
      <c r="Q201" s="4"/>
      <c r="R201" s="4"/>
      <c r="S201" s="9" t="str">
        <f>HYPERLINK("https://pbs.twimg.com/profile_images/948184220366667776/y118ycKn.jpg","View")</f>
        <v>View</v>
      </c>
    </row>
    <row r="202" spans="1:19" ht="30">
      <c r="A202" s="8">
        <v>43369.679733796293</v>
      </c>
      <c r="B202" s="11" t="str">
        <f>HYPERLINK("https://twitter.com/azarmidokhtt","@azarmidokhtt")</f>
        <v>@azarmidokhtt</v>
      </c>
      <c r="C202" s="6" t="s">
        <v>2928</v>
      </c>
      <c r="D202" s="5" t="s">
        <v>2559</v>
      </c>
      <c r="E202" s="9" t="str">
        <f>HYPERLINK("https://twitter.com/azarmidokhtt/status/1044931798382366721","1044931798382366721")</f>
        <v>1044931798382366721</v>
      </c>
      <c r="F202" s="4"/>
      <c r="G202" s="10" t="s">
        <v>2558</v>
      </c>
      <c r="H202" s="4"/>
      <c r="I202" s="10" t="str">
        <f>HYPERLINK("http://twitter.com/download/android","Twitter for Android")</f>
        <v>Twitter for Android</v>
      </c>
      <c r="J202" s="2">
        <v>605</v>
      </c>
      <c r="K202" s="2">
        <v>674</v>
      </c>
      <c r="L202" s="2">
        <v>1</v>
      </c>
      <c r="M202" s="2"/>
      <c r="N202" s="8">
        <v>43025.661886574075</v>
      </c>
      <c r="O202" s="4"/>
      <c r="P202" s="3" t="s">
        <v>2927</v>
      </c>
      <c r="Q202" s="4"/>
      <c r="R202" s="4"/>
      <c r="S202" s="9" t="str">
        <f>HYPERLINK("https://pbs.twimg.com/profile_images/1012796840637550595/MaXyUn_V.jpg","View")</f>
        <v>View</v>
      </c>
    </row>
    <row r="203" spans="1:19" ht="40">
      <c r="A203" s="8">
        <v>43369.679548611108</v>
      </c>
      <c r="B203" s="11" t="str">
        <f>HYPERLINK("https://twitter.com/GholamrezaDana1","@GholamrezaDana1")</f>
        <v>@GholamrezaDana1</v>
      </c>
      <c r="C203" s="6" t="s">
        <v>2926</v>
      </c>
      <c r="D203" s="5" t="s">
        <v>2846</v>
      </c>
      <c r="E203" s="9" t="str">
        <f>HYPERLINK("https://twitter.com/GholamrezaDana1/status/1044931734255501312","1044931734255501312")</f>
        <v>1044931734255501312</v>
      </c>
      <c r="F203" s="4"/>
      <c r="G203" s="4"/>
      <c r="H203" s="4"/>
      <c r="I203" s="10" t="str">
        <f>HYPERLINK("http://twitter.com/download/iphone","Twitter for iPhone")</f>
        <v>Twitter for iPhone</v>
      </c>
      <c r="J203" s="2">
        <v>165</v>
      </c>
      <c r="K203" s="2">
        <v>138</v>
      </c>
      <c r="L203" s="2">
        <v>0</v>
      </c>
      <c r="M203" s="2"/>
      <c r="N203" s="8">
        <v>42910.872893518521</v>
      </c>
      <c r="O203" s="4"/>
      <c r="P203" s="3"/>
      <c r="Q203" s="4"/>
      <c r="R203" s="4"/>
      <c r="S203" s="2" t="s">
        <v>21</v>
      </c>
    </row>
    <row r="204" spans="1:19" ht="30">
      <c r="A204" s="8">
        <v>43369.679525462961</v>
      </c>
      <c r="B204" s="11" t="str">
        <f>HYPERLINK("https://twitter.com/Rz9661","@Rz9661")</f>
        <v>@Rz9661</v>
      </c>
      <c r="C204" s="6" t="s">
        <v>112</v>
      </c>
      <c r="D204" s="5" t="s">
        <v>2559</v>
      </c>
      <c r="E204" s="9" t="str">
        <f>HYPERLINK("https://twitter.com/Rz9661/status/1044931723576913920","1044931723576913920")</f>
        <v>1044931723576913920</v>
      </c>
      <c r="F204" s="4"/>
      <c r="G204" s="10" t="s">
        <v>2558</v>
      </c>
      <c r="H204" s="4"/>
      <c r="I204" s="10" t="str">
        <f>HYPERLINK("http://twitter.com/download/android","Twitter for Android")</f>
        <v>Twitter for Android</v>
      </c>
      <c r="J204" s="2">
        <v>50</v>
      </c>
      <c r="K204" s="2">
        <v>20</v>
      </c>
      <c r="L204" s="2">
        <v>0</v>
      </c>
      <c r="M204" s="2"/>
      <c r="N204" s="8">
        <v>43234.883101851854</v>
      </c>
      <c r="O204" s="4"/>
      <c r="P204" s="3" t="s">
        <v>175</v>
      </c>
      <c r="Q204" s="4"/>
      <c r="R204" s="4"/>
      <c r="S204" s="9" t="str">
        <f>HYPERLINK("https://pbs.twimg.com/profile_images/996783098967789569/TmqPACQ-.jpg","View")</f>
        <v>View</v>
      </c>
    </row>
    <row r="205" spans="1:19" ht="30">
      <c r="A205" s="8">
        <v>43369.67931712963</v>
      </c>
      <c r="B205" s="11" t="str">
        <f>HYPERLINK("https://twitter.com/_mey_sam","@_mey_sam")</f>
        <v>@_mey_sam</v>
      </c>
      <c r="C205" s="6" t="s">
        <v>2925</v>
      </c>
      <c r="D205" s="5" t="s">
        <v>2559</v>
      </c>
      <c r="E205" s="9" t="str">
        <f>HYPERLINK("https://twitter.com/_mey_sam/status/1044931649996304384","1044931649996304384")</f>
        <v>1044931649996304384</v>
      </c>
      <c r="F205" s="4"/>
      <c r="G205" s="10" t="s">
        <v>2558</v>
      </c>
      <c r="H205" s="4"/>
      <c r="I205" s="10" t="str">
        <f>HYPERLINK("http://twitter.com/download/iphone","Twitter for iPhone")</f>
        <v>Twitter for iPhone</v>
      </c>
      <c r="J205" s="2">
        <v>161</v>
      </c>
      <c r="K205" s="2">
        <v>258</v>
      </c>
      <c r="L205" s="2">
        <v>3</v>
      </c>
      <c r="M205" s="2"/>
      <c r="N205" s="8">
        <v>40000.920393518521</v>
      </c>
      <c r="O205" s="4" t="s">
        <v>2924</v>
      </c>
      <c r="P205" s="3" t="s">
        <v>2923</v>
      </c>
      <c r="Q205" s="10" t="s">
        <v>2922</v>
      </c>
      <c r="R205" s="4"/>
      <c r="S205" s="9" t="str">
        <f>HYPERLINK("https://pbs.twimg.com/profile_images/1030083209592287232/iPTfJ_2U.jpg","View")</f>
        <v>View</v>
      </c>
    </row>
    <row r="206" spans="1:19" ht="40">
      <c r="A206" s="8">
        <v>43369.679016203707</v>
      </c>
      <c r="B206" s="11" t="str">
        <f>HYPERLINK("https://twitter.com/mastiorastii","@mastiorastii")</f>
        <v>@mastiorastii</v>
      </c>
      <c r="C206" s="6" t="s">
        <v>2921</v>
      </c>
      <c r="D206" s="5" t="s">
        <v>2846</v>
      </c>
      <c r="E206" s="9" t="str">
        <f>HYPERLINK("https://twitter.com/mastiorastii/status/1044931538759176192","1044931538759176192")</f>
        <v>1044931538759176192</v>
      </c>
      <c r="F206" s="4"/>
      <c r="G206" s="4"/>
      <c r="H206" s="4"/>
      <c r="I206" s="10" t="str">
        <f>HYPERLINK("http://twitter.com/download/android","Twitter for Android")</f>
        <v>Twitter for Android</v>
      </c>
      <c r="J206" s="2">
        <v>47</v>
      </c>
      <c r="K206" s="2">
        <v>60</v>
      </c>
      <c r="L206" s="2">
        <v>0</v>
      </c>
      <c r="M206" s="2"/>
      <c r="N206" s="8">
        <v>43347.565868055557</v>
      </c>
      <c r="O206" s="4" t="s">
        <v>2920</v>
      </c>
      <c r="P206" s="3" t="s">
        <v>2919</v>
      </c>
      <c r="Q206" s="4"/>
      <c r="R206" s="4"/>
      <c r="S206" s="9" t="str">
        <f>HYPERLINK("https://pbs.twimg.com/profile_images/1036909008626610176/QC8PLPyv.jpg","View")</f>
        <v>View</v>
      </c>
    </row>
    <row r="207" spans="1:19" ht="30">
      <c r="A207" s="8">
        <v>43369.678842592592</v>
      </c>
      <c r="B207" s="11" t="str">
        <f>HYPERLINK("https://twitter.com/Daenery03665523","@Daenery03665523")</f>
        <v>@Daenery03665523</v>
      </c>
      <c r="C207" s="6" t="s">
        <v>2918</v>
      </c>
      <c r="D207" s="5" t="s">
        <v>2559</v>
      </c>
      <c r="E207" s="9" t="str">
        <f>HYPERLINK("https://twitter.com/Daenery03665523/status/1044931475156520960","1044931475156520960")</f>
        <v>1044931475156520960</v>
      </c>
      <c r="F207" s="4"/>
      <c r="G207" s="10" t="s">
        <v>2558</v>
      </c>
      <c r="H207" s="4"/>
      <c r="I207" s="10" t="str">
        <f>HYPERLINK("http://twitter.com/download/iphone","Twitter for iPhone")</f>
        <v>Twitter for iPhone</v>
      </c>
      <c r="J207" s="2">
        <v>7</v>
      </c>
      <c r="K207" s="2">
        <v>22</v>
      </c>
      <c r="L207" s="2">
        <v>0</v>
      </c>
      <c r="M207" s="2"/>
      <c r="N207" s="8">
        <v>43369.271631944444</v>
      </c>
      <c r="O207" s="4"/>
      <c r="P207" s="3"/>
      <c r="Q207" s="4"/>
      <c r="R207" s="4"/>
      <c r="S207" s="9" t="str">
        <f>HYPERLINK("https://pbs.twimg.com/profile_images/1044792151828131841/LzU7fAhe.jpg","View")</f>
        <v>View</v>
      </c>
    </row>
    <row r="208" spans="1:19" ht="40">
      <c r="A208" s="8">
        <v>43369.678819444445</v>
      </c>
      <c r="B208" s="11" t="str">
        <f>HYPERLINK("https://twitter.com/__TheFreedOm__","@__TheFreedOm__")</f>
        <v>@__TheFreedOm__</v>
      </c>
      <c r="C208" s="6" t="s">
        <v>51</v>
      </c>
      <c r="D208" s="5" t="s">
        <v>2846</v>
      </c>
      <c r="E208" s="9" t="str">
        <f>HYPERLINK("https://twitter.com/__TheFreedOm__/status/1044931468244529152","1044931468244529152")</f>
        <v>1044931468244529152</v>
      </c>
      <c r="F208" s="4"/>
      <c r="G208" s="4"/>
      <c r="H208" s="4"/>
      <c r="I208" s="10" t="str">
        <f>HYPERLINK("http://twitter.com/download/iphone","Twitter for iPhone")</f>
        <v>Twitter for iPhone</v>
      </c>
      <c r="J208" s="2">
        <v>533</v>
      </c>
      <c r="K208" s="2">
        <v>586</v>
      </c>
      <c r="L208" s="2">
        <v>0</v>
      </c>
      <c r="M208" s="2"/>
      <c r="N208" s="8">
        <v>42871.826527777783</v>
      </c>
      <c r="O208" s="4"/>
      <c r="P208" s="3" t="s">
        <v>50</v>
      </c>
      <c r="Q208" s="4"/>
      <c r="R208" s="4"/>
      <c r="S208" s="9" t="str">
        <f>HYPERLINK("https://pbs.twimg.com/profile_images/993609934066601985/cNT8NMwo.jpg","View")</f>
        <v>View</v>
      </c>
    </row>
    <row r="209" spans="1:19" ht="40">
      <c r="A209" s="8">
        <v>43369.678784722222</v>
      </c>
      <c r="B209" s="11" t="str">
        <f>HYPERLINK("https://twitter.com/JakobKarimian","@JakobKarimian")</f>
        <v>@JakobKarimian</v>
      </c>
      <c r="C209" s="6" t="s">
        <v>2917</v>
      </c>
      <c r="D209" s="5" t="s">
        <v>2846</v>
      </c>
      <c r="E209" s="9" t="str">
        <f>HYPERLINK("https://twitter.com/JakobKarimian/status/1044931453992275968","1044931453992275968")</f>
        <v>1044931453992275968</v>
      </c>
      <c r="F209" s="4"/>
      <c r="G209" s="4"/>
      <c r="H209" s="4"/>
      <c r="I209" s="10" t="str">
        <f>HYPERLINK("http://twitter.com/download/android","Twitter for Android")</f>
        <v>Twitter for Android</v>
      </c>
      <c r="J209" s="2">
        <v>637</v>
      </c>
      <c r="K209" s="2">
        <v>698</v>
      </c>
      <c r="L209" s="2">
        <v>0</v>
      </c>
      <c r="M209" s="2"/>
      <c r="N209" s="8">
        <v>43105.039814814816</v>
      </c>
      <c r="O209" s="4" t="s">
        <v>2916</v>
      </c>
      <c r="P209" s="3" t="s">
        <v>2915</v>
      </c>
      <c r="Q209" s="4"/>
      <c r="R209" s="4"/>
      <c r="S209" s="9" t="str">
        <f>HYPERLINK("https://pbs.twimg.com/profile_images/1009003389286379522/V8xt2o_P.png","View")</f>
        <v>View</v>
      </c>
    </row>
    <row r="210" spans="1:19" ht="30">
      <c r="A210" s="8">
        <v>43369.678773148145</v>
      </c>
      <c r="B210" s="11" t="str">
        <f>HYPERLINK("https://twitter.com/capitanecond","@capitanecond")</f>
        <v>@capitanecond</v>
      </c>
      <c r="C210" s="6" t="s">
        <v>2914</v>
      </c>
      <c r="D210" s="5" t="s">
        <v>2559</v>
      </c>
      <c r="E210" s="9" t="str">
        <f>HYPERLINK("https://twitter.com/capitanecond/status/1044931450917867522","1044931450917867522")</f>
        <v>1044931450917867522</v>
      </c>
      <c r="F210" s="4"/>
      <c r="G210" s="10" t="s">
        <v>2558</v>
      </c>
      <c r="H210" s="4"/>
      <c r="I210" s="10" t="str">
        <f>HYPERLINK("http://twitter.com/download/android","Twitter for Android")</f>
        <v>Twitter for Android</v>
      </c>
      <c r="J210" s="2">
        <v>183</v>
      </c>
      <c r="K210" s="2">
        <v>162</v>
      </c>
      <c r="L210" s="2">
        <v>0</v>
      </c>
      <c r="M210" s="2"/>
      <c r="N210" s="8">
        <v>42734.48269675926</v>
      </c>
      <c r="O210" s="4" t="s">
        <v>16</v>
      </c>
      <c r="P210" s="3" t="s">
        <v>2913</v>
      </c>
      <c r="Q210" s="4"/>
      <c r="R210" s="4"/>
      <c r="S210" s="9" t="str">
        <f>HYPERLINK("https://pbs.twimg.com/profile_images/947953605742436352/qWuiiFgS.jpg","View")</f>
        <v>View</v>
      </c>
    </row>
    <row r="211" spans="1:19" ht="30">
      <c r="A211" s="8">
        <v>43369.678437499999</v>
      </c>
      <c r="B211" s="11" t="str">
        <f>HYPERLINK("https://twitter.com/mac_xXx_","@mac_xXx_")</f>
        <v>@mac_xXx_</v>
      </c>
      <c r="C211" s="6" t="s">
        <v>2912</v>
      </c>
      <c r="D211" s="5" t="s">
        <v>2559</v>
      </c>
      <c r="E211" s="9" t="str">
        <f>HYPERLINK("https://twitter.com/mac_xXx_/status/1044931328632852480","1044931328632852480")</f>
        <v>1044931328632852480</v>
      </c>
      <c r="F211" s="4"/>
      <c r="G211" s="10" t="s">
        <v>2558</v>
      </c>
      <c r="H211" s="4"/>
      <c r="I211" s="10" t="str">
        <f>HYPERLINK("http://twitter.com/download/android","Twitter for Android")</f>
        <v>Twitter for Android</v>
      </c>
      <c r="J211" s="2">
        <v>1044</v>
      </c>
      <c r="K211" s="2">
        <v>899</v>
      </c>
      <c r="L211" s="2">
        <v>3</v>
      </c>
      <c r="M211" s="2"/>
      <c r="N211" s="8">
        <v>42936.571574074071</v>
      </c>
      <c r="O211" s="4" t="s">
        <v>2911</v>
      </c>
      <c r="P211" s="3" t="s">
        <v>2910</v>
      </c>
      <c r="Q211" s="4"/>
      <c r="R211" s="4"/>
      <c r="S211" s="9" t="str">
        <f>HYPERLINK("https://pbs.twimg.com/profile_images/989844568135872512/_FCouOSD.jpg","View")</f>
        <v>View</v>
      </c>
    </row>
    <row r="212" spans="1:19" ht="40">
      <c r="A212" s="8">
        <v>43369.678391203706</v>
      </c>
      <c r="B212" s="11" t="str">
        <f>HYPERLINK("https://twitter.com/franny_09","@franny_09")</f>
        <v>@franny_09</v>
      </c>
      <c r="C212" s="6" t="s">
        <v>2909</v>
      </c>
      <c r="D212" s="5" t="s">
        <v>2846</v>
      </c>
      <c r="E212" s="9" t="str">
        <f>HYPERLINK("https://twitter.com/franny_09/status/1044931312769994752","1044931312769994752")</f>
        <v>1044931312769994752</v>
      </c>
      <c r="F212" s="4"/>
      <c r="G212" s="4"/>
      <c r="H212" s="4"/>
      <c r="I212" s="10" t="str">
        <f>HYPERLINK("http://twitter.com/download/iphone","Twitter for iPhone")</f>
        <v>Twitter for iPhone</v>
      </c>
      <c r="J212" s="2">
        <v>33</v>
      </c>
      <c r="K212" s="2">
        <v>43</v>
      </c>
      <c r="L212" s="2">
        <v>0</v>
      </c>
      <c r="M212" s="2"/>
      <c r="N212" s="8">
        <v>41243.474548611113</v>
      </c>
      <c r="O212" s="4" t="s">
        <v>2908</v>
      </c>
      <c r="P212" s="3" t="s">
        <v>2907</v>
      </c>
      <c r="Q212" s="4"/>
      <c r="R212" s="4"/>
      <c r="S212" s="9" t="str">
        <f>HYPERLINK("https://pbs.twimg.com/profile_images/1039586632339542016/AHj7dlBZ.jpg","View")</f>
        <v>View</v>
      </c>
    </row>
    <row r="213" spans="1:19" ht="50">
      <c r="A213" s="8">
        <v>43369.678275462968</v>
      </c>
      <c r="B213" s="11" t="str">
        <f>HYPERLINK("https://twitter.com/basoshadid","@basoshadid")</f>
        <v>@basoshadid</v>
      </c>
      <c r="C213" s="6" t="s">
        <v>2906</v>
      </c>
      <c r="D213" s="5" t="s">
        <v>2712</v>
      </c>
      <c r="E213" s="9" t="str">
        <f>HYPERLINK("https://twitter.com/basoshadid/status/1044931270889938949","1044931270889938949")</f>
        <v>1044931270889938949</v>
      </c>
      <c r="F213" s="4"/>
      <c r="G213" s="10" t="s">
        <v>2659</v>
      </c>
      <c r="H213" s="4"/>
      <c r="I213" s="10" t="str">
        <f>HYPERLINK("http://twitter.com/download/iphone","Twitter for iPhone")</f>
        <v>Twitter for iPhone</v>
      </c>
      <c r="J213" s="2">
        <v>3127</v>
      </c>
      <c r="K213" s="2">
        <v>1397</v>
      </c>
      <c r="L213" s="2">
        <v>12</v>
      </c>
      <c r="M213" s="2"/>
      <c r="N213" s="8">
        <v>42817.996562500004</v>
      </c>
      <c r="O213" s="4" t="s">
        <v>7</v>
      </c>
      <c r="P213" s="3" t="s">
        <v>2905</v>
      </c>
      <c r="Q213" s="4"/>
      <c r="R213" s="4"/>
      <c r="S213" s="9" t="str">
        <f>HYPERLINK("https://pbs.twimg.com/profile_images/1034322918803746822/cKyPLUsS.jpg","View")</f>
        <v>View</v>
      </c>
    </row>
    <row r="214" spans="1:19" ht="40">
      <c r="A214" s="8">
        <v>43369.677893518514</v>
      </c>
      <c r="B214" s="11" t="str">
        <f>HYPERLINK("https://twitter.com/ThemiddleFinge3","@ThemiddleFinge3")</f>
        <v>@ThemiddleFinge3</v>
      </c>
      <c r="C214" s="6" t="s">
        <v>2904</v>
      </c>
      <c r="D214" s="5" t="s">
        <v>2846</v>
      </c>
      <c r="E214" s="9" t="str">
        <f>HYPERLINK("https://twitter.com/ThemiddleFinge3/status/1044931132830228481","1044931132830228481")</f>
        <v>1044931132830228481</v>
      </c>
      <c r="F214" s="4"/>
      <c r="G214" s="4"/>
      <c r="H214" s="4"/>
      <c r="I214" s="10" t="str">
        <f>HYPERLINK("http://twitter.com/download/android","Twitter for Android")</f>
        <v>Twitter for Android</v>
      </c>
      <c r="J214" s="2">
        <v>21</v>
      </c>
      <c r="K214" s="2">
        <v>25</v>
      </c>
      <c r="L214" s="2">
        <v>0</v>
      </c>
      <c r="M214" s="2"/>
      <c r="N214" s="8">
        <v>43204.067106481481</v>
      </c>
      <c r="O214" s="4" t="s">
        <v>2903</v>
      </c>
      <c r="P214" s="3" t="s">
        <v>2902</v>
      </c>
      <c r="Q214" s="4"/>
      <c r="R214" s="4"/>
      <c r="S214" s="9" t="str">
        <f>HYPERLINK("https://pbs.twimg.com/profile_images/990192567529680896/IodDtmXk.jpg","View")</f>
        <v>View</v>
      </c>
    </row>
    <row r="215" spans="1:19" ht="30">
      <c r="A215" s="8">
        <v>43369.677881944444</v>
      </c>
      <c r="B215" s="11" t="str">
        <f>HYPERLINK("https://twitter.com/kevin_malekzad","@kevin_malekzad")</f>
        <v>@kevin_malekzad</v>
      </c>
      <c r="C215" s="6" t="s">
        <v>2901</v>
      </c>
      <c r="D215" s="5" t="s">
        <v>2900</v>
      </c>
      <c r="E215" s="9" t="str">
        <f>HYPERLINK("https://twitter.com/kevin_malekzad/status/1044931126320615424","1044931126320615424")</f>
        <v>1044931126320615424</v>
      </c>
      <c r="F215" s="4"/>
      <c r="G215" s="4"/>
      <c r="H215" s="4"/>
      <c r="I215" s="10" t="str">
        <f>HYPERLINK("https://mobile.twitter.com","Twitter Lite")</f>
        <v>Twitter Lite</v>
      </c>
      <c r="J215" s="2">
        <v>3</v>
      </c>
      <c r="K215" s="2">
        <v>9</v>
      </c>
      <c r="L215" s="2">
        <v>0</v>
      </c>
      <c r="M215" s="2"/>
      <c r="N215" s="8">
        <v>43339.475671296299</v>
      </c>
      <c r="O215" s="4"/>
      <c r="P215" s="3" t="s">
        <v>2899</v>
      </c>
      <c r="Q215" s="4"/>
      <c r="R215" s="4"/>
      <c r="S215" s="9" t="str">
        <f>HYPERLINK("https://pbs.twimg.com/profile_images/1033973634220654593/dkAOHGoX.jpg","View")</f>
        <v>View</v>
      </c>
    </row>
    <row r="216" spans="1:19" ht="40">
      <c r="A216" s="8">
        <v>43369.677858796298</v>
      </c>
      <c r="B216" s="11" t="str">
        <f>HYPERLINK("https://twitter.com/Raha__ariya","@Raha__ariya")</f>
        <v>@Raha__ariya</v>
      </c>
      <c r="C216" s="6" t="s">
        <v>376</v>
      </c>
      <c r="D216" s="5" t="s">
        <v>2846</v>
      </c>
      <c r="E216" s="9" t="str">
        <f>HYPERLINK("https://twitter.com/Raha__ariya/status/1044931119366492165","1044931119366492165")</f>
        <v>1044931119366492165</v>
      </c>
      <c r="F216" s="4"/>
      <c r="G216" s="4"/>
      <c r="H216" s="4"/>
      <c r="I216" s="10" t="str">
        <f>HYPERLINK("http://twitter.com/download/android","Twitter for Android")</f>
        <v>Twitter for Android</v>
      </c>
      <c r="J216" s="2">
        <v>160</v>
      </c>
      <c r="K216" s="2">
        <v>56</v>
      </c>
      <c r="L216" s="2">
        <v>1</v>
      </c>
      <c r="M216" s="2"/>
      <c r="N216" s="8">
        <v>43106.054386574076</v>
      </c>
      <c r="O216" s="4"/>
      <c r="P216" s="3"/>
      <c r="Q216" s="4"/>
      <c r="R216" s="4"/>
      <c r="S216" s="9" t="str">
        <f>HYPERLINK("https://pbs.twimg.com/profile_images/991169634601783296/p2idQNC8.jpg","View")</f>
        <v>View</v>
      </c>
    </row>
    <row r="217" spans="1:19" ht="30">
      <c r="A217" s="8">
        <v>43369.677708333329</v>
      </c>
      <c r="B217" s="11" t="str">
        <f>HYPERLINK("https://twitter.com/systemzenemy","@systemzenemy")</f>
        <v>@systemzenemy</v>
      </c>
      <c r="C217" s="6" t="s">
        <v>2858</v>
      </c>
      <c r="D217" s="5" t="s">
        <v>2559</v>
      </c>
      <c r="E217" s="9" t="str">
        <f>HYPERLINK("https://twitter.com/systemzenemy/status/1044931065658388481","1044931065658388481")</f>
        <v>1044931065658388481</v>
      </c>
      <c r="F217" s="4"/>
      <c r="G217" s="10" t="s">
        <v>2558</v>
      </c>
      <c r="H217" s="4"/>
      <c r="I217" s="10" t="str">
        <f>HYPERLINK("http://twitter.com/download/android","Twitter for Android")</f>
        <v>Twitter for Android</v>
      </c>
      <c r="J217" s="2">
        <v>38</v>
      </c>
      <c r="K217" s="2">
        <v>61</v>
      </c>
      <c r="L217" s="2">
        <v>0</v>
      </c>
      <c r="M217" s="2"/>
      <c r="N217" s="8">
        <v>43307.73164351852</v>
      </c>
      <c r="O217" s="4" t="s">
        <v>2857</v>
      </c>
      <c r="P217" s="3" t="s">
        <v>2856</v>
      </c>
      <c r="Q217" s="4"/>
      <c r="R217" s="4"/>
      <c r="S217" s="9" t="str">
        <f>HYPERLINK("https://pbs.twimg.com/profile_images/1036793726356606977/dKUvd3Lx.jpg","View")</f>
        <v>View</v>
      </c>
    </row>
    <row r="218" spans="1:19" ht="30">
      <c r="A218" s="8">
        <v>43369.67768518519</v>
      </c>
      <c r="B218" s="11" t="str">
        <f>HYPERLINK("https://twitter.com/golrozabi5953","@golrozabi5953")</f>
        <v>@golrozabi5953</v>
      </c>
      <c r="C218" s="6" t="s">
        <v>1929</v>
      </c>
      <c r="D218" s="5" t="s">
        <v>2559</v>
      </c>
      <c r="E218" s="9" t="str">
        <f>HYPERLINK("https://twitter.com/golrozabi5953/status/1044931057185894406","1044931057185894406")</f>
        <v>1044931057185894406</v>
      </c>
      <c r="F218" s="4"/>
      <c r="G218" s="10" t="s">
        <v>2558</v>
      </c>
      <c r="H218" s="4"/>
      <c r="I218" s="10" t="str">
        <f>HYPERLINK("https://mobile.twitter.com","Twitter Lite")</f>
        <v>Twitter Lite</v>
      </c>
      <c r="J218" s="2">
        <v>345</v>
      </c>
      <c r="K218" s="2">
        <v>157</v>
      </c>
      <c r="L218" s="2">
        <v>1</v>
      </c>
      <c r="M218" s="2"/>
      <c r="N218" s="8">
        <v>43124.721863425926</v>
      </c>
      <c r="O218" s="4"/>
      <c r="P218" s="3" t="s">
        <v>1928</v>
      </c>
      <c r="Q218" s="4"/>
      <c r="R218" s="4"/>
      <c r="S218" s="9" t="str">
        <f>HYPERLINK("https://pbs.twimg.com/profile_images/956498226156359681/W73a75jX.jpg","View")</f>
        <v>View</v>
      </c>
    </row>
    <row r="219" spans="1:19" ht="40">
      <c r="A219" s="8">
        <v>43369.677604166667</v>
      </c>
      <c r="B219" s="11" t="str">
        <f>HYPERLINK("https://twitter.com/mehdi54298821","@mehdi54298821")</f>
        <v>@mehdi54298821</v>
      </c>
      <c r="C219" s="6" t="s">
        <v>2898</v>
      </c>
      <c r="D219" s="5" t="s">
        <v>2846</v>
      </c>
      <c r="E219" s="9" t="str">
        <f>HYPERLINK("https://twitter.com/mehdi54298821/status/1044931025837539330","1044931025837539330")</f>
        <v>1044931025837539330</v>
      </c>
      <c r="F219" s="4"/>
      <c r="G219" s="4"/>
      <c r="H219" s="4"/>
      <c r="I219" s="10" t="str">
        <f>HYPERLINK("http://twitter.com/download/iphone","Twitter for iPhone")</f>
        <v>Twitter for iPhone</v>
      </c>
      <c r="J219" s="2">
        <v>221</v>
      </c>
      <c r="K219" s="2">
        <v>215</v>
      </c>
      <c r="L219" s="2">
        <v>0</v>
      </c>
      <c r="M219" s="2"/>
      <c r="N219" s="8">
        <v>43242.579976851848</v>
      </c>
      <c r="O219" s="4"/>
      <c r="P219" s="3" t="s">
        <v>2897</v>
      </c>
      <c r="Q219" s="4"/>
      <c r="R219" s="4"/>
      <c r="S219" s="9" t="str">
        <f>HYPERLINK("https://pbs.twimg.com/profile_images/999039335910391808/oEubGRDg.jpg","View")</f>
        <v>View</v>
      </c>
    </row>
    <row r="220" spans="1:19" ht="40">
      <c r="A220" s="8">
        <v>43369.677557870367</v>
      </c>
      <c r="B220" s="11" t="str">
        <f>HYPERLINK("https://twitter.com/venomsnakeiran","@venomsnakeiran")</f>
        <v>@venomsnakeiran</v>
      </c>
      <c r="C220" s="6" t="s">
        <v>1347</v>
      </c>
      <c r="D220" s="5" t="s">
        <v>2846</v>
      </c>
      <c r="E220" s="9" t="str">
        <f>HYPERLINK("https://twitter.com/venomsnakeiran/status/1044931009874137093","1044931009874137093")</f>
        <v>1044931009874137093</v>
      </c>
      <c r="F220" s="4"/>
      <c r="G220" s="4"/>
      <c r="H220" s="4"/>
      <c r="I220" s="10" t="str">
        <f>HYPERLINK("http://twitter.com/download/iphone","Twitter for iPhone")</f>
        <v>Twitter for iPhone</v>
      </c>
      <c r="J220" s="2">
        <v>397</v>
      </c>
      <c r="K220" s="2">
        <v>849</v>
      </c>
      <c r="L220" s="2">
        <v>0</v>
      </c>
      <c r="M220" s="2"/>
      <c r="N220" s="8">
        <v>40927.601157407407</v>
      </c>
      <c r="O220" s="4" t="s">
        <v>1346</v>
      </c>
      <c r="P220" s="3" t="s">
        <v>1345</v>
      </c>
      <c r="Q220" s="4"/>
      <c r="R220" s="4"/>
      <c r="S220" s="9" t="str">
        <f>HYPERLINK("https://pbs.twimg.com/profile_images/1037363967948201984/bwARhv1h.jpg","View")</f>
        <v>View</v>
      </c>
    </row>
    <row r="221" spans="1:19" ht="40">
      <c r="A221" s="8">
        <v>43369.677361111113</v>
      </c>
      <c r="B221" s="11" t="str">
        <f>HYPERLINK("https://twitter.com/SO_HA_FREE","@SO_HA_FREE")</f>
        <v>@SO_HA_FREE</v>
      </c>
      <c r="C221" s="6" t="s">
        <v>1405</v>
      </c>
      <c r="D221" s="5" t="s">
        <v>2846</v>
      </c>
      <c r="E221" s="9" t="str">
        <f>HYPERLINK("https://twitter.com/SO_HA_FREE/status/1044930938877210625","1044930938877210625")</f>
        <v>1044930938877210625</v>
      </c>
      <c r="F221" s="4"/>
      <c r="G221" s="4"/>
      <c r="H221" s="4"/>
      <c r="I221" s="10" t="str">
        <f>HYPERLINK("http://twitter.com","Twitter Web Client")</f>
        <v>Twitter Web Client</v>
      </c>
      <c r="J221" s="2">
        <v>495</v>
      </c>
      <c r="K221" s="2">
        <v>762</v>
      </c>
      <c r="L221" s="2">
        <v>0</v>
      </c>
      <c r="M221" s="2"/>
      <c r="N221" s="8">
        <v>43219.67086805556</v>
      </c>
      <c r="O221" s="4"/>
      <c r="P221" s="3"/>
      <c r="Q221" s="4"/>
      <c r="R221" s="4"/>
      <c r="S221" s="2" t="s">
        <v>21</v>
      </c>
    </row>
    <row r="222" spans="1:19" ht="40">
      <c r="A222" s="8">
        <v>43369.677303240736</v>
      </c>
      <c r="B222" s="11" t="str">
        <f>HYPERLINK("https://twitter.com/citycenter2018","@citycenter2018")</f>
        <v>@citycenter2018</v>
      </c>
      <c r="C222" s="6" t="s">
        <v>2896</v>
      </c>
      <c r="D222" s="5" t="s">
        <v>2846</v>
      </c>
      <c r="E222" s="9" t="str">
        <f>HYPERLINK("https://twitter.com/citycenter2018/status/1044930918417346560","1044930918417346560")</f>
        <v>1044930918417346560</v>
      </c>
      <c r="F222" s="4"/>
      <c r="G222" s="4"/>
      <c r="H222" s="4"/>
      <c r="I222" s="10" t="str">
        <f>HYPERLINK("http://twitter.com/download/android","Twitter for Android")</f>
        <v>Twitter for Android</v>
      </c>
      <c r="J222" s="2">
        <v>797</v>
      </c>
      <c r="K222" s="2">
        <v>1228</v>
      </c>
      <c r="L222" s="2">
        <v>1</v>
      </c>
      <c r="M222" s="2"/>
      <c r="N222" s="8">
        <v>41917.498495370368</v>
      </c>
      <c r="O222" s="4"/>
      <c r="P222" s="3" t="s">
        <v>2895</v>
      </c>
      <c r="Q222" s="4"/>
      <c r="R222" s="4"/>
      <c r="S222" s="9" t="str">
        <f>HYPERLINK("https://pbs.twimg.com/profile_images/1042232520186593280/xSuhaJZZ.jpg","View")</f>
        <v>View</v>
      </c>
    </row>
    <row r="223" spans="1:19" ht="40">
      <c r="A223" s="8">
        <v>43369.677152777775</v>
      </c>
      <c r="B223" s="11" t="str">
        <f>HYPERLINK("https://twitter.com/tooteghermez","@tooteghermez")</f>
        <v>@tooteghermez</v>
      </c>
      <c r="C223" s="6" t="s">
        <v>2894</v>
      </c>
      <c r="D223" s="5" t="s">
        <v>2846</v>
      </c>
      <c r="E223" s="9" t="str">
        <f>HYPERLINK("https://twitter.com/tooteghermez/status/1044930865376235521","1044930865376235521")</f>
        <v>1044930865376235521</v>
      </c>
      <c r="F223" s="4"/>
      <c r="G223" s="4"/>
      <c r="H223" s="4"/>
      <c r="I223" s="10" t="str">
        <f>HYPERLINK("http://twitter.com/download/android","Twitter for Android")</f>
        <v>Twitter for Android</v>
      </c>
      <c r="J223" s="2">
        <v>1342</v>
      </c>
      <c r="K223" s="2">
        <v>1295</v>
      </c>
      <c r="L223" s="2">
        <v>3</v>
      </c>
      <c r="M223" s="2"/>
      <c r="N223" s="8">
        <v>43043.870879629627</v>
      </c>
      <c r="O223" s="4" t="s">
        <v>2893</v>
      </c>
      <c r="P223" s="3" t="s">
        <v>2892</v>
      </c>
      <c r="Q223" s="4"/>
      <c r="R223" s="4"/>
      <c r="S223" s="9" t="str">
        <f>HYPERLINK("https://pbs.twimg.com/profile_images/984884292131131393/WHyaPSja.jpg","View")</f>
        <v>View</v>
      </c>
    </row>
    <row r="224" spans="1:19" ht="40">
      <c r="A224" s="8">
        <v>43369.677106481482</v>
      </c>
      <c r="B224" s="11" t="str">
        <f>HYPERLINK("https://twitter.com/Workless12","@Workless12")</f>
        <v>@Workless12</v>
      </c>
      <c r="C224" s="6" t="s">
        <v>2891</v>
      </c>
      <c r="D224" s="5" t="s">
        <v>2846</v>
      </c>
      <c r="E224" s="9" t="str">
        <f>HYPERLINK("https://twitter.com/Workless12/status/1044930846724116480","1044930846724116480")</f>
        <v>1044930846724116480</v>
      </c>
      <c r="F224" s="4"/>
      <c r="G224" s="4"/>
      <c r="H224" s="4"/>
      <c r="I224" s="10" t="str">
        <f>HYPERLINK("http://twitter.com/download/android","Twitter for Android")</f>
        <v>Twitter for Android</v>
      </c>
      <c r="J224" s="2">
        <v>8</v>
      </c>
      <c r="K224" s="2">
        <v>18</v>
      </c>
      <c r="L224" s="2">
        <v>0</v>
      </c>
      <c r="M224" s="2"/>
      <c r="N224" s="8">
        <v>43358.952060185184</v>
      </c>
      <c r="O224" s="4"/>
      <c r="P224" s="3"/>
      <c r="Q224" s="4"/>
      <c r="R224" s="4"/>
      <c r="S224" s="9" t="str">
        <f>HYPERLINK("https://pbs.twimg.com/profile_images/1041031225736093698/tUwkbLRC.jpg","View")</f>
        <v>View</v>
      </c>
    </row>
    <row r="225" spans="1:19" ht="30">
      <c r="A225" s="8">
        <v>43369.67668981482</v>
      </c>
      <c r="B225" s="11" t="str">
        <f>HYPERLINK("https://twitter.com/saVas6411","@saVas6411")</f>
        <v>@saVas6411</v>
      </c>
      <c r="C225" s="6" t="s">
        <v>2890</v>
      </c>
      <c r="D225" s="5" t="s">
        <v>2559</v>
      </c>
      <c r="E225" s="9" t="str">
        <f>HYPERLINK("https://twitter.com/saVas6411/status/1044930694697373696","1044930694697373696")</f>
        <v>1044930694697373696</v>
      </c>
      <c r="F225" s="4"/>
      <c r="G225" s="10" t="s">
        <v>2558</v>
      </c>
      <c r="H225" s="4"/>
      <c r="I225" s="10" t="str">
        <f>HYPERLINK("http://twitter.com","Twitter Web Client")</f>
        <v>Twitter Web Client</v>
      </c>
      <c r="J225" s="2">
        <v>43</v>
      </c>
      <c r="K225" s="2">
        <v>153</v>
      </c>
      <c r="L225" s="2">
        <v>0</v>
      </c>
      <c r="M225" s="2"/>
      <c r="N225" s="8">
        <v>43281.934918981482</v>
      </c>
      <c r="O225" s="4" t="s">
        <v>7</v>
      </c>
      <c r="P225" s="3" t="s">
        <v>2889</v>
      </c>
      <c r="Q225" s="4"/>
      <c r="R225" s="4"/>
      <c r="S225" s="9" t="str">
        <f>HYPERLINK("https://pbs.twimg.com/profile_images/1044924088811233282/np-vtlAK.jpg","View")</f>
        <v>View</v>
      </c>
    </row>
    <row r="226" spans="1:19" ht="40">
      <c r="A226" s="8">
        <v>43369.676574074074</v>
      </c>
      <c r="B226" s="11" t="str">
        <f>HYPERLINK("https://twitter.com/Nilli41695456","@Nilli41695456")</f>
        <v>@Nilli41695456</v>
      </c>
      <c r="C226" s="6" t="s">
        <v>551</v>
      </c>
      <c r="D226" s="5" t="s">
        <v>128</v>
      </c>
      <c r="E226" s="9" t="str">
        <f>HYPERLINK("https://twitter.com/Nilli41695456/status/1044930652775297025","1044930652775297025")</f>
        <v>1044930652775297025</v>
      </c>
      <c r="F226" s="4"/>
      <c r="G226" s="4"/>
      <c r="H226" s="4"/>
      <c r="I226" s="10" t="str">
        <f>HYPERLINK("http://twitter.com/download/iphone","Twitter for iPhone")</f>
        <v>Twitter for iPhone</v>
      </c>
      <c r="J226" s="2">
        <v>8</v>
      </c>
      <c r="K226" s="2">
        <v>23</v>
      </c>
      <c r="L226" s="2">
        <v>0</v>
      </c>
      <c r="M226" s="2"/>
      <c r="N226" s="8">
        <v>43309.712060185186</v>
      </c>
      <c r="O226" s="4"/>
      <c r="P226" s="3"/>
      <c r="Q226" s="4"/>
      <c r="R226" s="4"/>
      <c r="S226" s="9" t="str">
        <f>HYPERLINK("https://pbs.twimg.com/profile_images/1023186402165641216/eSZbniuP.jpg","View")</f>
        <v>View</v>
      </c>
    </row>
    <row r="227" spans="1:19" ht="40">
      <c r="A227" s="8">
        <v>43369.676319444443</v>
      </c>
      <c r="B227" s="11" t="str">
        <f>HYPERLINK("https://twitter.com/Myfreeiranian","@Myfreeiranian")</f>
        <v>@Myfreeiranian</v>
      </c>
      <c r="C227" s="6" t="s">
        <v>2888</v>
      </c>
      <c r="D227" s="5" t="s">
        <v>2846</v>
      </c>
      <c r="E227" s="9" t="str">
        <f>HYPERLINK("https://twitter.com/Myfreeiranian/status/1044930560592932864","1044930560592932864")</f>
        <v>1044930560592932864</v>
      </c>
      <c r="F227" s="4"/>
      <c r="G227" s="4"/>
      <c r="H227" s="4"/>
      <c r="I227" s="10" t="str">
        <f>HYPERLINK("http://twitter.com/download/iphone","Twitter for iPhone")</f>
        <v>Twitter for iPhone</v>
      </c>
      <c r="J227" s="2">
        <v>58</v>
      </c>
      <c r="K227" s="2">
        <v>109</v>
      </c>
      <c r="L227" s="2">
        <v>0</v>
      </c>
      <c r="M227" s="2"/>
      <c r="N227" s="8">
        <v>43229.024305555555</v>
      </c>
      <c r="O227" s="4" t="s">
        <v>2084</v>
      </c>
      <c r="P227" s="3"/>
      <c r="Q227" s="4"/>
      <c r="R227" s="4"/>
      <c r="S227" s="9" t="str">
        <f>HYPERLINK("https://pbs.twimg.com/profile_images/1036207326011813888/B3d4j_WP.jpg","View")</f>
        <v>View</v>
      </c>
    </row>
    <row r="228" spans="1:19" ht="30">
      <c r="A228" s="8">
        <v>43369.676250000004</v>
      </c>
      <c r="B228" s="11" t="str">
        <f>HYPERLINK("https://twitter.com/Atheist9728","@Atheist9728")</f>
        <v>@Atheist9728</v>
      </c>
      <c r="C228" s="6" t="s">
        <v>2887</v>
      </c>
      <c r="D228" s="5" t="s">
        <v>2559</v>
      </c>
      <c r="E228" s="9" t="str">
        <f>HYPERLINK("https://twitter.com/Atheist9728/status/1044930535762677761","1044930535762677761")</f>
        <v>1044930535762677761</v>
      </c>
      <c r="F228" s="4"/>
      <c r="G228" s="10" t="s">
        <v>2558</v>
      </c>
      <c r="H228" s="4"/>
      <c r="I228" s="10" t="str">
        <f>HYPERLINK("http://twitter.com/download/android","Twitter for Android")</f>
        <v>Twitter for Android</v>
      </c>
      <c r="J228" s="2">
        <v>1412</v>
      </c>
      <c r="K228" s="2">
        <v>1668</v>
      </c>
      <c r="L228" s="2">
        <v>0</v>
      </c>
      <c r="M228" s="2"/>
      <c r="N228" s="8">
        <v>43261.753148148149</v>
      </c>
      <c r="O228" s="4" t="s">
        <v>2886</v>
      </c>
      <c r="P228" s="3" t="s">
        <v>2885</v>
      </c>
      <c r="Q228" s="4"/>
      <c r="R228" s="4"/>
      <c r="S228" s="9" t="str">
        <f>HYPERLINK("https://pbs.twimg.com/profile_images/1042805686655168512/MKqrGuf9.jpg","View")</f>
        <v>View</v>
      </c>
    </row>
    <row r="229" spans="1:19" ht="40">
      <c r="A229" s="8">
        <v>43369.676203703704</v>
      </c>
      <c r="B229" s="11" t="str">
        <f>HYPERLINK("https://twitter.com/Anahita34998725","@Anahita34998725")</f>
        <v>@Anahita34998725</v>
      </c>
      <c r="C229" s="6" t="s">
        <v>2884</v>
      </c>
      <c r="D229" s="5" t="s">
        <v>2846</v>
      </c>
      <c r="E229" s="9" t="str">
        <f>HYPERLINK("https://twitter.com/Anahita34998725/status/1044930518800838656","1044930518800838656")</f>
        <v>1044930518800838656</v>
      </c>
      <c r="F229" s="4"/>
      <c r="G229" s="4"/>
      <c r="H229" s="4"/>
      <c r="I229" s="10" t="str">
        <f>HYPERLINK("http://twitter.com/download/iphone","Twitter for iPhone")</f>
        <v>Twitter for iPhone</v>
      </c>
      <c r="J229" s="2">
        <v>89</v>
      </c>
      <c r="K229" s="2">
        <v>108</v>
      </c>
      <c r="L229" s="2">
        <v>0</v>
      </c>
      <c r="M229" s="2"/>
      <c r="N229" s="8">
        <v>43105.835162037038</v>
      </c>
      <c r="O229" s="4"/>
      <c r="P229" s="3"/>
      <c r="Q229" s="4"/>
      <c r="R229" s="4"/>
      <c r="S229" s="9" t="str">
        <f>HYPERLINK("https://pbs.twimg.com/profile_images/1038912581442957312/iczkmk8D.jpg","View")</f>
        <v>View</v>
      </c>
    </row>
    <row r="230" spans="1:19" ht="40">
      <c r="A230" s="8">
        <v>43369.676122685181</v>
      </c>
      <c r="B230" s="11" t="str">
        <f>HYPERLINK("https://twitter.com/aHMaDi_179","@aHMaDi_179")</f>
        <v>@aHMaDi_179</v>
      </c>
      <c r="C230" s="6" t="s">
        <v>2883</v>
      </c>
      <c r="D230" s="5" t="s">
        <v>2846</v>
      </c>
      <c r="E230" s="9" t="str">
        <f>HYPERLINK("https://twitter.com/aHMaDi_179/status/1044930491063967744","1044930491063967744")</f>
        <v>1044930491063967744</v>
      </c>
      <c r="F230" s="4"/>
      <c r="G230" s="4"/>
      <c r="H230" s="4"/>
      <c r="I230" s="10" t="str">
        <f>HYPERLINK("http://twitter.com/download/android","Twitter for Android")</f>
        <v>Twitter for Android</v>
      </c>
      <c r="J230" s="2">
        <v>41</v>
      </c>
      <c r="K230" s="2">
        <v>53</v>
      </c>
      <c r="L230" s="2">
        <v>0</v>
      </c>
      <c r="M230" s="2"/>
      <c r="N230" s="8">
        <v>42920.803715277776</v>
      </c>
      <c r="O230" s="4" t="s">
        <v>2882</v>
      </c>
      <c r="P230" s="3" t="s">
        <v>2881</v>
      </c>
      <c r="Q230" s="4"/>
      <c r="R230" s="4"/>
      <c r="S230" s="9" t="str">
        <f>HYPERLINK("https://pbs.twimg.com/profile_images/1042089120980455424/ItY7Qk5x.jpg","View")</f>
        <v>View</v>
      </c>
    </row>
    <row r="231" spans="1:19" ht="40">
      <c r="A231" s="8">
        <v>43369.676111111112</v>
      </c>
      <c r="B231" s="11" t="str">
        <f>HYPERLINK("https://twitter.com/munzzz","@munzzz")</f>
        <v>@munzzz</v>
      </c>
      <c r="C231" s="6" t="s">
        <v>550</v>
      </c>
      <c r="D231" s="5" t="s">
        <v>1556</v>
      </c>
      <c r="E231" s="9" t="str">
        <f>HYPERLINK("https://twitter.com/munzzz/status/1044930488006299653","1044930488006299653")</f>
        <v>1044930488006299653</v>
      </c>
      <c r="F231" s="4"/>
      <c r="G231" s="4"/>
      <c r="H231" s="4"/>
      <c r="I231" s="10" t="str">
        <f>HYPERLINK("http://twitter.com/download/iphone","Twitter for iPhone")</f>
        <v>Twitter for iPhone</v>
      </c>
      <c r="J231" s="2">
        <v>255</v>
      </c>
      <c r="K231" s="2">
        <v>625</v>
      </c>
      <c r="L231" s="2">
        <v>4</v>
      </c>
      <c r="M231" s="2"/>
      <c r="N231" s="8">
        <v>39870.780682870369</v>
      </c>
      <c r="O231" s="4" t="s">
        <v>7</v>
      </c>
      <c r="P231" s="3" t="s">
        <v>548</v>
      </c>
      <c r="Q231" s="10" t="s">
        <v>547</v>
      </c>
      <c r="R231" s="4"/>
      <c r="S231" s="9" t="str">
        <f>HYPERLINK("https://pbs.twimg.com/profile_images/983462834465067009/BeNtsp5n.jpg","View")</f>
        <v>View</v>
      </c>
    </row>
    <row r="232" spans="1:19" ht="30">
      <c r="A232" s="8">
        <v>43369.676030092596</v>
      </c>
      <c r="B232" s="11" t="str">
        <f>HYPERLINK("https://twitter.com/zarde_ghanari","@zarde_ghanari")</f>
        <v>@zarde_ghanari</v>
      </c>
      <c r="C232" s="6" t="s">
        <v>2880</v>
      </c>
      <c r="D232" s="5" t="s">
        <v>2559</v>
      </c>
      <c r="E232" s="9" t="str">
        <f>HYPERLINK("https://twitter.com/zarde_ghanari/status/1044930458667155456","1044930458667155456")</f>
        <v>1044930458667155456</v>
      </c>
      <c r="F232" s="4"/>
      <c r="G232" s="10" t="s">
        <v>2558</v>
      </c>
      <c r="H232" s="4"/>
      <c r="I232" s="10" t="str">
        <f>HYPERLINK("http://twitter.com/download/android","Twitter for Android")</f>
        <v>Twitter for Android</v>
      </c>
      <c r="J232" s="2">
        <v>17427</v>
      </c>
      <c r="K232" s="2">
        <v>205</v>
      </c>
      <c r="L232" s="2">
        <v>72</v>
      </c>
      <c r="M232" s="2"/>
      <c r="N232" s="8">
        <v>42560.74627314815</v>
      </c>
      <c r="O232" s="4" t="s">
        <v>2879</v>
      </c>
      <c r="P232" s="3" t="s">
        <v>2878</v>
      </c>
      <c r="Q232" s="4"/>
      <c r="R232" s="4"/>
      <c r="S232" s="9" t="str">
        <f>HYPERLINK("https://pbs.twimg.com/profile_images/989803642717949952/G6-_2MvI.jpg","View")</f>
        <v>View</v>
      </c>
    </row>
    <row r="233" spans="1:19" ht="40">
      <c r="A233" s="8">
        <v>43369.67591435185</v>
      </c>
      <c r="B233" s="11" t="str">
        <f>HYPERLINK("https://twitter.com/khorshidkhany","@khorshidkhany")</f>
        <v>@khorshidkhany</v>
      </c>
      <c r="C233" s="6" t="s">
        <v>803</v>
      </c>
      <c r="D233" s="5" t="s">
        <v>2846</v>
      </c>
      <c r="E233" s="9" t="str">
        <f>HYPERLINK("https://twitter.com/khorshidkhany/status/1044930414639534081","1044930414639534081")</f>
        <v>1044930414639534081</v>
      </c>
      <c r="F233" s="4"/>
      <c r="G233" s="4"/>
      <c r="H233" s="4"/>
      <c r="I233" s="10" t="str">
        <f>HYPERLINK("http://twitter.com/download/iphone","Twitter for iPhone")</f>
        <v>Twitter for iPhone</v>
      </c>
      <c r="J233" s="2">
        <v>1711</v>
      </c>
      <c r="K233" s="2">
        <v>467</v>
      </c>
      <c r="L233" s="2">
        <v>4</v>
      </c>
      <c r="M233" s="2"/>
      <c r="N233" s="8">
        <v>43241.123263888891</v>
      </c>
      <c r="O233" s="4" t="s">
        <v>96</v>
      </c>
      <c r="P233" s="3" t="s">
        <v>802</v>
      </c>
      <c r="Q233" s="4"/>
      <c r="R233" s="4"/>
      <c r="S233" s="9" t="str">
        <f>HYPERLINK("https://pbs.twimg.com/profile_images/1039919896757456896/w1NtmWL3.jpg","View")</f>
        <v>View</v>
      </c>
    </row>
    <row r="234" spans="1:19" ht="40">
      <c r="A234" s="8">
        <v>43369.67564814815</v>
      </c>
      <c r="B234" s="11" t="str">
        <f>HYPERLINK("https://twitter.com/fadaimihan","@fadaimihan")</f>
        <v>@fadaimihan</v>
      </c>
      <c r="C234" s="6" t="s">
        <v>83</v>
      </c>
      <c r="D234" s="5" t="s">
        <v>2846</v>
      </c>
      <c r="E234" s="9" t="str">
        <f>HYPERLINK("https://twitter.com/fadaimihan/status/1044930318304768000","1044930318304768000")</f>
        <v>1044930318304768000</v>
      </c>
      <c r="F234" s="4"/>
      <c r="G234" s="4"/>
      <c r="H234" s="4"/>
      <c r="I234" s="10" t="str">
        <f>HYPERLINK("http://twitter.com/download/android","Twitter for Android")</f>
        <v>Twitter for Android</v>
      </c>
      <c r="J234" s="2">
        <v>2010</v>
      </c>
      <c r="K234" s="2">
        <v>2364</v>
      </c>
      <c r="L234" s="2">
        <v>4</v>
      </c>
      <c r="M234" s="2"/>
      <c r="N234" s="8">
        <v>43108.092592592591</v>
      </c>
      <c r="O234" s="4"/>
      <c r="P234" s="3" t="s">
        <v>82</v>
      </c>
      <c r="Q234" s="4"/>
      <c r="R234" s="4"/>
      <c r="S234" s="9" t="str">
        <f>HYPERLINK("https://pbs.twimg.com/profile_images/1025862753460871168/2nJx98hx.jpg","View")</f>
        <v>View</v>
      </c>
    </row>
    <row r="235" spans="1:19" ht="40">
      <c r="A235" s="8">
        <v>43369.675474537042</v>
      </c>
      <c r="B235" s="11" t="str">
        <f>HYPERLINK("https://twitter.com/a_driii60","@a_driii60")</f>
        <v>@a_driii60</v>
      </c>
      <c r="C235" s="6" t="s">
        <v>2527</v>
      </c>
      <c r="D235" s="5" t="s">
        <v>2846</v>
      </c>
      <c r="E235" s="9" t="str">
        <f>HYPERLINK("https://twitter.com/a_driii60/status/1044930253993463809","1044930253993463809")</f>
        <v>1044930253993463809</v>
      </c>
      <c r="F235" s="4"/>
      <c r="G235" s="4"/>
      <c r="H235" s="4"/>
      <c r="I235" s="10" t="str">
        <f>HYPERLINK("http://twitter.com/download/android","Twitter for Android")</f>
        <v>Twitter for Android</v>
      </c>
      <c r="J235" s="2">
        <v>635</v>
      </c>
      <c r="K235" s="2">
        <v>657</v>
      </c>
      <c r="L235" s="2">
        <v>1</v>
      </c>
      <c r="M235" s="2"/>
      <c r="N235" s="8">
        <v>42633.441782407404</v>
      </c>
      <c r="O235" s="4"/>
      <c r="P235" s="3"/>
      <c r="Q235" s="4"/>
      <c r="R235" s="4"/>
      <c r="S235" s="9" t="str">
        <f>HYPERLINK("https://pbs.twimg.com/profile_images/1042853229506297856/CjGRfrhB.jpg","View")</f>
        <v>View</v>
      </c>
    </row>
    <row r="236" spans="1:19" ht="30">
      <c r="A236" s="8">
        <v>43369.675185185188</v>
      </c>
      <c r="B236" s="11" t="str">
        <f>HYPERLINK("https://twitter.com/Delbarchehrazi","@Delbarchehrazi")</f>
        <v>@Delbarchehrazi</v>
      </c>
      <c r="C236" s="6" t="s">
        <v>2877</v>
      </c>
      <c r="D236" s="5" t="s">
        <v>2876</v>
      </c>
      <c r="E236" s="9" t="str">
        <f>HYPERLINK("https://twitter.com/Delbarchehrazi/status/1044930150607904770","1044930150607904770")</f>
        <v>1044930150607904770</v>
      </c>
      <c r="F236" s="4"/>
      <c r="G236" s="10" t="s">
        <v>2875</v>
      </c>
      <c r="H236" s="4"/>
      <c r="I236" s="10" t="str">
        <f>HYPERLINK("http://twitter.com/download/iphone","Twitter for iPhone")</f>
        <v>Twitter for iPhone</v>
      </c>
      <c r="J236" s="2">
        <v>147</v>
      </c>
      <c r="K236" s="2">
        <v>50</v>
      </c>
      <c r="L236" s="2">
        <v>1</v>
      </c>
      <c r="M236" s="2"/>
      <c r="N236" s="8">
        <v>43205.541817129633</v>
      </c>
      <c r="O236" s="4"/>
      <c r="P236" s="3" t="s">
        <v>2874</v>
      </c>
      <c r="Q236" s="10" t="s">
        <v>2873</v>
      </c>
      <c r="R236" s="4"/>
      <c r="S236" s="9" t="str">
        <f>HYPERLINK("https://pbs.twimg.com/profile_images/1030057268400685056/7hqz2zIl.jpg","View")</f>
        <v>View</v>
      </c>
    </row>
    <row r="237" spans="1:19" ht="40">
      <c r="A237" s="8">
        <v>43369.675162037034</v>
      </c>
      <c r="B237" s="11" t="str">
        <f>HYPERLINK("https://twitter.com/sunshine272827","@sunshine272827")</f>
        <v>@sunshine272827</v>
      </c>
      <c r="C237" s="6" t="s">
        <v>2872</v>
      </c>
      <c r="D237" s="5" t="s">
        <v>2846</v>
      </c>
      <c r="E237" s="9" t="str">
        <f>HYPERLINK("https://twitter.com/sunshine272827/status/1044930142164975616","1044930142164975616")</f>
        <v>1044930142164975616</v>
      </c>
      <c r="F237" s="4"/>
      <c r="G237" s="4"/>
      <c r="H237" s="4"/>
      <c r="I237" s="10" t="str">
        <f>HYPERLINK("http://twitter.com/download/android","Twitter for Android")</f>
        <v>Twitter for Android</v>
      </c>
      <c r="J237" s="2">
        <v>56</v>
      </c>
      <c r="K237" s="2">
        <v>67</v>
      </c>
      <c r="L237" s="2">
        <v>0</v>
      </c>
      <c r="M237" s="2"/>
      <c r="N237" s="8">
        <v>43057.074988425928</v>
      </c>
      <c r="O237" s="4" t="s">
        <v>2871</v>
      </c>
      <c r="P237" s="3" t="s">
        <v>2870</v>
      </c>
      <c r="Q237" s="4"/>
      <c r="R237" s="4"/>
      <c r="S237" s="9" t="str">
        <f>HYPERLINK("https://pbs.twimg.com/profile_images/1039533387596419072/Xy6qJaVa.jpg","View")</f>
        <v>View</v>
      </c>
    </row>
    <row r="238" spans="1:19" ht="40">
      <c r="A238" s="8">
        <v>43369.675127314811</v>
      </c>
      <c r="B238" s="11" t="str">
        <f>HYPERLINK("https://twitter.com/mahdiansari1395","@mahdiansari1395")</f>
        <v>@mahdiansari1395</v>
      </c>
      <c r="C238" s="6" t="s">
        <v>2869</v>
      </c>
      <c r="D238" s="5" t="s">
        <v>1556</v>
      </c>
      <c r="E238" s="9" t="str">
        <f>HYPERLINK("https://twitter.com/mahdiansari1395/status/1044930131867914241","1044930131867914241")</f>
        <v>1044930131867914241</v>
      </c>
      <c r="F238" s="4"/>
      <c r="G238" s="4"/>
      <c r="H238" s="4"/>
      <c r="I238" s="10" t="str">
        <f>HYPERLINK("http://twitter.com/download/android","Twitter for Android")</f>
        <v>Twitter for Android</v>
      </c>
      <c r="J238" s="2">
        <v>80</v>
      </c>
      <c r="K238" s="2">
        <v>67</v>
      </c>
      <c r="L238" s="2">
        <v>0</v>
      </c>
      <c r="M238" s="2"/>
      <c r="N238" s="8">
        <v>42544.496851851851</v>
      </c>
      <c r="O238" s="4" t="s">
        <v>16</v>
      </c>
      <c r="P238" s="3" t="s">
        <v>2868</v>
      </c>
      <c r="Q238" s="4"/>
      <c r="R238" s="4"/>
      <c r="S238" s="9" t="str">
        <f>HYPERLINK("https://pbs.twimg.com/profile_images/1034491170628558849/8ieusiSs.jpg","View")</f>
        <v>View</v>
      </c>
    </row>
    <row r="239" spans="1:19" ht="40">
      <c r="A239" s="8">
        <v>43369.675057870365</v>
      </c>
      <c r="B239" s="11" t="str">
        <f>HYPERLINK("https://twitter.com/Gorbehnare","@Gorbehnare")</f>
        <v>@Gorbehnare</v>
      </c>
      <c r="C239" s="6" t="s">
        <v>2867</v>
      </c>
      <c r="D239" s="5" t="s">
        <v>2846</v>
      </c>
      <c r="E239" s="9" t="str">
        <f>HYPERLINK("https://twitter.com/Gorbehnare/status/1044930106873892865","1044930106873892865")</f>
        <v>1044930106873892865</v>
      </c>
      <c r="F239" s="4"/>
      <c r="G239" s="4"/>
      <c r="H239" s="4"/>
      <c r="I239" s="10" t="str">
        <f>HYPERLINK("http://twitter.com","Twitter Web Client")</f>
        <v>Twitter Web Client</v>
      </c>
      <c r="J239" s="2">
        <v>2647</v>
      </c>
      <c r="K239" s="2">
        <v>2535</v>
      </c>
      <c r="L239" s="2">
        <v>0</v>
      </c>
      <c r="M239" s="2"/>
      <c r="N239" s="8">
        <v>43221.925752314812</v>
      </c>
      <c r="O239" s="4" t="s">
        <v>48</v>
      </c>
      <c r="P239" s="3" t="s">
        <v>2866</v>
      </c>
      <c r="Q239" s="4"/>
      <c r="R239" s="4"/>
      <c r="S239" s="9" t="str">
        <f>HYPERLINK("https://pbs.twimg.com/profile_images/1016769987132952576/U43Easfc.jpg","View")</f>
        <v>View</v>
      </c>
    </row>
    <row r="240" spans="1:19" ht="40">
      <c r="A240" s="8">
        <v>43369.674756944441</v>
      </c>
      <c r="B240" s="11" t="str">
        <f>HYPERLINK("https://twitter.com/freeiran16","@freeiran16")</f>
        <v>@freeiran16</v>
      </c>
      <c r="C240" s="6" t="s">
        <v>2865</v>
      </c>
      <c r="D240" s="5" t="s">
        <v>58</v>
      </c>
      <c r="E240" s="9" t="str">
        <f>HYPERLINK("https://twitter.com/freeiran16/status/1044929994814836736","1044929994814836736")</f>
        <v>1044929994814836736</v>
      </c>
      <c r="F240" s="4"/>
      <c r="G240" s="10" t="s">
        <v>57</v>
      </c>
      <c r="H240" s="4"/>
      <c r="I240" s="10" t="str">
        <f>HYPERLINK("http://twitter.com","Twitter Web Client")</f>
        <v>Twitter Web Client</v>
      </c>
      <c r="J240" s="2">
        <v>198</v>
      </c>
      <c r="K240" s="2">
        <v>591</v>
      </c>
      <c r="L240" s="2">
        <v>3</v>
      </c>
      <c r="M240" s="2"/>
      <c r="N240" s="8">
        <v>42513.032893518517</v>
      </c>
      <c r="O240" s="4" t="s">
        <v>52</v>
      </c>
      <c r="P240" s="3" t="s">
        <v>2864</v>
      </c>
      <c r="Q240" s="4"/>
      <c r="R240" s="4"/>
      <c r="S240" s="9" t="str">
        <f>HYPERLINK("https://pbs.twimg.com/profile_images/883054542815887360/xZAM2P6U.jpg","View")</f>
        <v>View</v>
      </c>
    </row>
    <row r="241" spans="1:19" ht="40">
      <c r="A241" s="8">
        <v>43369.67460648148</v>
      </c>
      <c r="B241" s="11" t="str">
        <f>HYPERLINK("https://twitter.com/artemisbano","@artemisbano")</f>
        <v>@artemisbano</v>
      </c>
      <c r="C241" s="6" t="s">
        <v>2863</v>
      </c>
      <c r="D241" s="5" t="s">
        <v>2846</v>
      </c>
      <c r="E241" s="9" t="str">
        <f>HYPERLINK("https://twitter.com/artemisbano/status/1044929941689847810","1044929941689847810")</f>
        <v>1044929941689847810</v>
      </c>
      <c r="F241" s="4"/>
      <c r="G241" s="4"/>
      <c r="H241" s="4"/>
      <c r="I241" s="10" t="str">
        <f>HYPERLINK("http://twitter.com/download/android","Twitter for Android")</f>
        <v>Twitter for Android</v>
      </c>
      <c r="J241" s="2">
        <v>440</v>
      </c>
      <c r="K241" s="2">
        <v>443</v>
      </c>
      <c r="L241" s="2">
        <v>0</v>
      </c>
      <c r="M241" s="2"/>
      <c r="N241" s="8">
        <v>43111.613125000003</v>
      </c>
      <c r="O241" s="4" t="s">
        <v>2862</v>
      </c>
      <c r="P241" s="3" t="s">
        <v>2861</v>
      </c>
      <c r="Q241" s="4"/>
      <c r="R241" s="4"/>
      <c r="S241" s="9" t="str">
        <f>HYPERLINK("https://pbs.twimg.com/profile_images/1042396929005682695/GR-oSM4A.jpg","View")</f>
        <v>View</v>
      </c>
    </row>
    <row r="242" spans="1:19" ht="40">
      <c r="A242" s="8">
        <v>43369.67460648148</v>
      </c>
      <c r="B242" s="11" t="str">
        <f>HYPERLINK("https://twitter.com/miiiawooo","@miiiawooo")</f>
        <v>@miiiawooo</v>
      </c>
      <c r="C242" s="6" t="s">
        <v>2860</v>
      </c>
      <c r="D242" s="5" t="s">
        <v>2846</v>
      </c>
      <c r="E242" s="9" t="str">
        <f>HYPERLINK("https://twitter.com/miiiawooo/status/1044929941119340546","1044929941119340546")</f>
        <v>1044929941119340546</v>
      </c>
      <c r="F242" s="4"/>
      <c r="G242" s="4"/>
      <c r="H242" s="4"/>
      <c r="I242" s="10" t="str">
        <f>HYPERLINK("http://twitter.com/download/iphone","Twitter for iPhone")</f>
        <v>Twitter for iPhone</v>
      </c>
      <c r="J242" s="2">
        <v>826</v>
      </c>
      <c r="K242" s="2">
        <v>815</v>
      </c>
      <c r="L242" s="2">
        <v>3</v>
      </c>
      <c r="M242" s="2"/>
      <c r="N242" s="8">
        <v>43234.823946759258</v>
      </c>
      <c r="O242" s="4"/>
      <c r="P242" s="3" t="s">
        <v>2859</v>
      </c>
      <c r="Q242" s="4"/>
      <c r="R242" s="4"/>
      <c r="S242" s="9" t="str">
        <f>HYPERLINK("https://pbs.twimg.com/profile_images/1041380311546949633/qb3C5K-Z.jpg","View")</f>
        <v>View</v>
      </c>
    </row>
    <row r="243" spans="1:19" ht="40">
      <c r="A243" s="8">
        <v>43369.674502314811</v>
      </c>
      <c r="B243" s="11" t="str">
        <f>HYPERLINK("https://twitter.com/systemzenemy","@systemzenemy")</f>
        <v>@systemzenemy</v>
      </c>
      <c r="C243" s="6" t="s">
        <v>2858</v>
      </c>
      <c r="D243" s="5" t="s">
        <v>2846</v>
      </c>
      <c r="E243" s="9" t="str">
        <f>HYPERLINK("https://twitter.com/systemzenemy/status/1044929904721252352","1044929904721252352")</f>
        <v>1044929904721252352</v>
      </c>
      <c r="F243" s="4"/>
      <c r="G243" s="4"/>
      <c r="H243" s="4"/>
      <c r="I243" s="10" t="str">
        <f>HYPERLINK("http://twitter.com/download/android","Twitter for Android")</f>
        <v>Twitter for Android</v>
      </c>
      <c r="J243" s="2">
        <v>38</v>
      </c>
      <c r="K243" s="2">
        <v>61</v>
      </c>
      <c r="L243" s="2">
        <v>0</v>
      </c>
      <c r="M243" s="2"/>
      <c r="N243" s="8">
        <v>43307.73164351852</v>
      </c>
      <c r="O243" s="4" t="s">
        <v>2857</v>
      </c>
      <c r="P243" s="3" t="s">
        <v>2856</v>
      </c>
      <c r="Q243" s="4"/>
      <c r="R243" s="4"/>
      <c r="S243" s="9" t="str">
        <f>HYPERLINK("https://pbs.twimg.com/profile_images/1036793726356606977/dKUvd3Lx.jpg","View")</f>
        <v>View</v>
      </c>
    </row>
    <row r="244" spans="1:19" ht="40">
      <c r="A244" s="8">
        <v>43369.674386574072</v>
      </c>
      <c r="B244" s="11" t="str">
        <f>HYPERLINK("https://twitter.com/kooreghooghoo","@kooreghooghoo")</f>
        <v>@kooreghooghoo</v>
      </c>
      <c r="C244" s="6" t="s">
        <v>2855</v>
      </c>
      <c r="D244" s="5" t="s">
        <v>2846</v>
      </c>
      <c r="E244" s="9" t="str">
        <f>HYPERLINK("https://twitter.com/kooreghooghoo/status/1044929861670842369","1044929861670842369")</f>
        <v>1044929861670842369</v>
      </c>
      <c r="F244" s="4"/>
      <c r="G244" s="4"/>
      <c r="H244" s="4"/>
      <c r="I244" s="10" t="str">
        <f>HYPERLINK("http://twitter.com/download/android","Twitter for Android")</f>
        <v>Twitter for Android</v>
      </c>
      <c r="J244" s="2">
        <v>560</v>
      </c>
      <c r="K244" s="2">
        <v>622</v>
      </c>
      <c r="L244" s="2">
        <v>2</v>
      </c>
      <c r="M244" s="2"/>
      <c r="N244" s="8">
        <v>42588.151041666672</v>
      </c>
      <c r="O244" s="4" t="s">
        <v>33</v>
      </c>
      <c r="P244" s="3" t="s">
        <v>2854</v>
      </c>
      <c r="Q244" s="4"/>
      <c r="R244" s="4"/>
      <c r="S244" s="9" t="str">
        <f>HYPERLINK("https://pbs.twimg.com/profile_images/1009912720404205569/3dY4AIuj.jpg","View")</f>
        <v>View</v>
      </c>
    </row>
    <row r="245" spans="1:19" ht="40">
      <c r="A245" s="8">
        <v>43369.674247685187</v>
      </c>
      <c r="B245" s="11" t="str">
        <f>HYPERLINK("https://twitter.com/shahinshayea","@shahinshayea")</f>
        <v>@shahinshayea</v>
      </c>
      <c r="C245" s="6" t="s">
        <v>1067</v>
      </c>
      <c r="D245" s="5" t="s">
        <v>2846</v>
      </c>
      <c r="E245" s="9" t="str">
        <f>HYPERLINK("https://twitter.com/shahinshayea/status/1044929809833283584","1044929809833283584")</f>
        <v>1044929809833283584</v>
      </c>
      <c r="F245" s="4"/>
      <c r="G245" s="4"/>
      <c r="H245" s="4"/>
      <c r="I245" s="10" t="str">
        <f>HYPERLINK("http://twitter.com/download/android","Twitter for Android")</f>
        <v>Twitter for Android</v>
      </c>
      <c r="J245" s="2">
        <v>3376</v>
      </c>
      <c r="K245" s="2">
        <v>3527</v>
      </c>
      <c r="L245" s="2">
        <v>1</v>
      </c>
      <c r="M245" s="2"/>
      <c r="N245" s="8">
        <v>43305.017557870371</v>
      </c>
      <c r="O245" s="4"/>
      <c r="P245" s="3" t="s">
        <v>1066</v>
      </c>
      <c r="Q245" s="4"/>
      <c r="R245" s="4"/>
      <c r="S245" s="9" t="str">
        <f>HYPERLINK("https://pbs.twimg.com/profile_images/1041855773054328835/Ie6gv1P7.jpg","View")</f>
        <v>View</v>
      </c>
    </row>
    <row r="246" spans="1:19" ht="40">
      <c r="A246" s="8">
        <v>43369.674074074079</v>
      </c>
      <c r="B246" s="11" t="str">
        <f>HYPERLINK("https://twitter.com/SiilkRoad","@SiilkRoad")</f>
        <v>@SiilkRoad</v>
      </c>
      <c r="C246" s="6" t="s">
        <v>2853</v>
      </c>
      <c r="D246" s="5" t="s">
        <v>2846</v>
      </c>
      <c r="E246" s="9" t="str">
        <f>HYPERLINK("https://twitter.com/SiilkRoad/status/1044929749733314561","1044929749733314561")</f>
        <v>1044929749733314561</v>
      </c>
      <c r="F246" s="4"/>
      <c r="G246" s="4"/>
      <c r="H246" s="4"/>
      <c r="I246" s="10" t="str">
        <f>HYPERLINK("http://twitter.com/download/iphone","Twitter for iPhone")</f>
        <v>Twitter for iPhone</v>
      </c>
      <c r="J246" s="2">
        <v>426</v>
      </c>
      <c r="K246" s="2">
        <v>454</v>
      </c>
      <c r="L246" s="2">
        <v>0</v>
      </c>
      <c r="M246" s="2"/>
      <c r="N246" s="8">
        <v>39968.002187500002</v>
      </c>
      <c r="O246" s="4" t="s">
        <v>2852</v>
      </c>
      <c r="P246" s="3" t="s">
        <v>2851</v>
      </c>
      <c r="Q246" s="4"/>
      <c r="R246" s="4"/>
      <c r="S246" s="9" t="str">
        <f>HYPERLINK("https://pbs.twimg.com/profile_images/1038930167337558016/lr-F68eG.jpg","View")</f>
        <v>View</v>
      </c>
    </row>
    <row r="247" spans="1:19" ht="40">
      <c r="A247" s="8">
        <v>43369.674004629633</v>
      </c>
      <c r="B247" s="11" t="str">
        <f>HYPERLINK("https://twitter.com/Villi_Lantern","@Villi_Lantern")</f>
        <v>@Villi_Lantern</v>
      </c>
      <c r="C247" s="6" t="s">
        <v>2850</v>
      </c>
      <c r="D247" s="5" t="s">
        <v>2846</v>
      </c>
      <c r="E247" s="9" t="str">
        <f>HYPERLINK("https://twitter.com/Villi_Lantern/status/1044929725033041920","1044929725033041920")</f>
        <v>1044929725033041920</v>
      </c>
      <c r="F247" s="4"/>
      <c r="G247" s="4"/>
      <c r="H247" s="4"/>
      <c r="I247" s="10" t="str">
        <f>HYPERLINK("http://twitter.com/download/iphone","Twitter for iPhone")</f>
        <v>Twitter for iPhone</v>
      </c>
      <c r="J247" s="2">
        <v>308</v>
      </c>
      <c r="K247" s="2">
        <v>343</v>
      </c>
      <c r="L247" s="2">
        <v>1</v>
      </c>
      <c r="M247" s="2"/>
      <c r="N247" s="8">
        <v>42703.834016203706</v>
      </c>
      <c r="O247" s="4" t="s">
        <v>2849</v>
      </c>
      <c r="P247" s="3" t="s">
        <v>2848</v>
      </c>
      <c r="Q247" s="4"/>
      <c r="R247" s="4"/>
      <c r="S247" s="9" t="str">
        <f>HYPERLINK("https://pbs.twimg.com/profile_images/1016043162182279171/Rxi8YTL6.jpg","View")</f>
        <v>View</v>
      </c>
    </row>
    <row r="248" spans="1:19" ht="40">
      <c r="A248" s="8">
        <v>43369.67396990741</v>
      </c>
      <c r="B248" s="11" t="str">
        <f>HYPERLINK("https://twitter.com/epicurrrrrus","@epicurrrrrus")</f>
        <v>@epicurrrrrus</v>
      </c>
      <c r="C248" s="6" t="s">
        <v>2847</v>
      </c>
      <c r="D248" s="5" t="s">
        <v>2846</v>
      </c>
      <c r="E248" s="9" t="str">
        <f>HYPERLINK("https://twitter.com/epicurrrrrus/status/1044929711237820422","1044929711237820422")</f>
        <v>1044929711237820422</v>
      </c>
      <c r="F248" s="4"/>
      <c r="G248" s="4"/>
      <c r="H248" s="4"/>
      <c r="I248" s="10" t="str">
        <f>HYPERLINK("http://twitter.com","Twitter Web Client")</f>
        <v>Twitter Web Client</v>
      </c>
      <c r="J248" s="2">
        <v>91</v>
      </c>
      <c r="K248" s="2">
        <v>401</v>
      </c>
      <c r="L248" s="2">
        <v>0</v>
      </c>
      <c r="M248" s="2"/>
      <c r="N248" s="8">
        <v>42255.098136574074</v>
      </c>
      <c r="O248" s="4" t="s">
        <v>33</v>
      </c>
      <c r="P248" s="3" t="s">
        <v>2845</v>
      </c>
      <c r="Q248" s="4"/>
      <c r="R248" s="4"/>
      <c r="S248" s="9" t="str">
        <f>HYPERLINK("https://pbs.twimg.com/profile_images/694946055276752896/sQnbJB42.png","View")</f>
        <v>View</v>
      </c>
    </row>
    <row r="249" spans="1:19" ht="30">
      <c r="A249" s="8">
        <v>43369.673726851848</v>
      </c>
      <c r="B249" s="11" t="str">
        <f>HYPERLINK("https://twitter.com/YaarDabestaani","@YaarDabestaani")</f>
        <v>@YaarDabestaani</v>
      </c>
      <c r="C249" s="6" t="s">
        <v>2844</v>
      </c>
      <c r="D249" s="5" t="s">
        <v>2843</v>
      </c>
      <c r="E249" s="9" t="str">
        <f>HYPERLINK("https://twitter.com/YaarDabestaani/status/1044929622692048902","1044929622692048902")</f>
        <v>1044929622692048902</v>
      </c>
      <c r="F249" s="4"/>
      <c r="G249" s="4"/>
      <c r="H249" s="4"/>
      <c r="I249" s="10" t="str">
        <f>HYPERLINK("http://twitter.com/#!/download/ipad","Twitter for iPad")</f>
        <v>Twitter for iPad</v>
      </c>
      <c r="J249" s="2">
        <v>19262</v>
      </c>
      <c r="K249" s="2">
        <v>3847</v>
      </c>
      <c r="L249" s="2">
        <v>82</v>
      </c>
      <c r="M249" s="2"/>
      <c r="N249" s="8">
        <v>42952.560555555552</v>
      </c>
      <c r="O249" s="4" t="s">
        <v>493</v>
      </c>
      <c r="P249" s="3" t="s">
        <v>2842</v>
      </c>
      <c r="Q249" s="4"/>
      <c r="R249" s="4"/>
      <c r="S249" s="9" t="str">
        <f>HYPERLINK("https://pbs.twimg.com/profile_images/1039758901972033539/_PSUF2MG.jpg","View")</f>
        <v>View</v>
      </c>
    </row>
    <row r="250" spans="1:19" ht="50">
      <c r="A250" s="8">
        <v>43369.673622685186</v>
      </c>
      <c r="B250" s="11" t="str">
        <f>HYPERLINK("https://twitter.com/Nilli41695456","@Nilli41695456")</f>
        <v>@Nilli41695456</v>
      </c>
      <c r="C250" s="6" t="s">
        <v>551</v>
      </c>
      <c r="D250" s="5" t="s">
        <v>2712</v>
      </c>
      <c r="E250" s="9" t="str">
        <f>HYPERLINK("https://twitter.com/Nilli41695456/status/1044929586184835072","1044929586184835072")</f>
        <v>1044929586184835072</v>
      </c>
      <c r="F250" s="4"/>
      <c r="G250" s="10" t="s">
        <v>2659</v>
      </c>
      <c r="H250" s="4"/>
      <c r="I250" s="10" t="str">
        <f>HYPERLINK("http://twitter.com/download/iphone","Twitter for iPhone")</f>
        <v>Twitter for iPhone</v>
      </c>
      <c r="J250" s="2">
        <v>8</v>
      </c>
      <c r="K250" s="2">
        <v>23</v>
      </c>
      <c r="L250" s="2">
        <v>0</v>
      </c>
      <c r="M250" s="2"/>
      <c r="N250" s="8">
        <v>43309.712060185186</v>
      </c>
      <c r="O250" s="4"/>
      <c r="P250" s="3"/>
      <c r="Q250" s="4"/>
      <c r="R250" s="4"/>
      <c r="S250" s="9" t="str">
        <f>HYPERLINK("https://pbs.twimg.com/profile_images/1023186402165641216/eSZbniuP.jpg","View")</f>
        <v>View</v>
      </c>
    </row>
    <row r="251" spans="1:19" ht="20">
      <c r="A251" s="8">
        <v>43369.673576388886</v>
      </c>
      <c r="B251" s="11" t="str">
        <f>HYPERLINK("https://twitter.com/god_theold","@god_theold")</f>
        <v>@god_theold</v>
      </c>
      <c r="C251" s="6" t="s">
        <v>2841</v>
      </c>
      <c r="D251" s="5" t="s">
        <v>2840</v>
      </c>
      <c r="E251" s="9" t="str">
        <f>HYPERLINK("https://twitter.com/god_theold/status/1044929566102491137","1044929566102491137")</f>
        <v>1044929566102491137</v>
      </c>
      <c r="F251" s="4"/>
      <c r="G251" s="4"/>
      <c r="H251" s="4"/>
      <c r="I251" s="10" t="str">
        <f>HYPERLINK("http://twitter.com","Twitter Web Client")</f>
        <v>Twitter Web Client</v>
      </c>
      <c r="J251" s="2">
        <v>3</v>
      </c>
      <c r="K251" s="2">
        <v>3</v>
      </c>
      <c r="L251" s="2">
        <v>0</v>
      </c>
      <c r="M251" s="2"/>
      <c r="N251" s="8">
        <v>42464.987314814818</v>
      </c>
      <c r="O251" s="4"/>
      <c r="P251" s="3" t="s">
        <v>2839</v>
      </c>
      <c r="Q251" s="4"/>
      <c r="R251" s="4"/>
      <c r="S251" s="9" t="str">
        <f>HYPERLINK("https://pbs.twimg.com/profile_images/1044177813144834049/Xs3Gr_Sg.jpg","View")</f>
        <v>View</v>
      </c>
    </row>
    <row r="252" spans="1:19" ht="40">
      <c r="A252" s="8">
        <v>43369.673402777778</v>
      </c>
      <c r="B252" s="11" t="str">
        <f>HYPERLINK("https://twitter.com/wannat66","@wannat66")</f>
        <v>@wannat66</v>
      </c>
      <c r="C252" s="6" t="s">
        <v>2838</v>
      </c>
      <c r="D252" s="5" t="s">
        <v>1165</v>
      </c>
      <c r="E252" s="9" t="str">
        <f>HYPERLINK("https://twitter.com/wannat66/status/1044929503351525377","1044929503351525377")</f>
        <v>1044929503351525377</v>
      </c>
      <c r="F252" s="4"/>
      <c r="G252" s="10" t="s">
        <v>663</v>
      </c>
      <c r="H252" s="4"/>
      <c r="I252" s="10" t="str">
        <f>HYPERLINK("http://twitter.com/download/android","Twitter for Android")</f>
        <v>Twitter for Android</v>
      </c>
      <c r="J252" s="2">
        <v>324</v>
      </c>
      <c r="K252" s="2">
        <v>79</v>
      </c>
      <c r="L252" s="2">
        <v>0</v>
      </c>
      <c r="M252" s="2"/>
      <c r="N252" s="8">
        <v>43288.590995370367</v>
      </c>
      <c r="O252" s="4" t="s">
        <v>1</v>
      </c>
      <c r="P252" s="3"/>
      <c r="Q252" s="4"/>
      <c r="R252" s="4"/>
      <c r="S252" s="9" t="str">
        <f>HYPERLINK("https://pbs.twimg.com/profile_images/1020618860938973184/6nhNO4DU.jpg","View")</f>
        <v>View</v>
      </c>
    </row>
    <row r="253" spans="1:19" ht="40">
      <c r="A253" s="8">
        <v>43369.672719907408</v>
      </c>
      <c r="B253" s="11" t="str">
        <f>HYPERLINK("https://twitter.com/twit_siyasi","@twit_siyasi")</f>
        <v>@twit_siyasi</v>
      </c>
      <c r="C253" s="6" t="s">
        <v>2837</v>
      </c>
      <c r="D253" s="5" t="s">
        <v>1556</v>
      </c>
      <c r="E253" s="9" t="str">
        <f>HYPERLINK("https://twitter.com/twit_siyasi/status/1044929257129037824","1044929257129037824")</f>
        <v>1044929257129037824</v>
      </c>
      <c r="F253" s="4"/>
      <c r="G253" s="4"/>
      <c r="H253" s="4"/>
      <c r="I253" s="10" t="str">
        <f>HYPERLINK("http://twitter.com/download/iphone","Twitter for iPhone")</f>
        <v>Twitter for iPhone</v>
      </c>
      <c r="J253" s="2">
        <v>357</v>
      </c>
      <c r="K253" s="2">
        <v>2075</v>
      </c>
      <c r="L253" s="2">
        <v>0</v>
      </c>
      <c r="M253" s="2"/>
      <c r="N253" s="8">
        <v>43189.341724537036</v>
      </c>
      <c r="O253" s="4"/>
      <c r="P253" s="3" t="s">
        <v>2836</v>
      </c>
      <c r="Q253" s="4"/>
      <c r="R253" s="4"/>
      <c r="S253" s="9" t="str">
        <f>HYPERLINK("https://pbs.twimg.com/profile_images/979619698391244800/ywkw6wZk.jpg","View")</f>
        <v>View</v>
      </c>
    </row>
    <row r="254" spans="1:19" ht="30">
      <c r="A254" s="8">
        <v>43369.672569444447</v>
      </c>
      <c r="B254" s="11" t="str">
        <f>HYPERLINK("https://twitter.com/Alaindelon213","@Alaindelon213")</f>
        <v>@Alaindelon213</v>
      </c>
      <c r="C254" s="6" t="s">
        <v>2835</v>
      </c>
      <c r="D254" s="5" t="s">
        <v>2559</v>
      </c>
      <c r="E254" s="9" t="str">
        <f>HYPERLINK("https://twitter.com/Alaindelon213/status/1044929202057867264","1044929202057867264")</f>
        <v>1044929202057867264</v>
      </c>
      <c r="F254" s="4"/>
      <c r="G254" s="10" t="s">
        <v>2558</v>
      </c>
      <c r="H254" s="4"/>
      <c r="I254" s="10" t="str">
        <f>HYPERLINK("http://twitter.com/download/android","Twitter for Android")</f>
        <v>Twitter for Android</v>
      </c>
      <c r="J254" s="2">
        <v>418</v>
      </c>
      <c r="K254" s="2">
        <v>1910</v>
      </c>
      <c r="L254" s="2">
        <v>4</v>
      </c>
      <c r="M254" s="2"/>
      <c r="N254" s="8">
        <v>42432.260347222225</v>
      </c>
      <c r="O254" s="4"/>
      <c r="P254" s="3"/>
      <c r="Q254" s="4"/>
      <c r="R254" s="4"/>
      <c r="S254" s="9" t="str">
        <f>HYPERLINK("https://pbs.twimg.com/profile_images/1025715369984618497/jWc2gNaW.jpg","View")</f>
        <v>View</v>
      </c>
    </row>
    <row r="255" spans="1:19" ht="30">
      <c r="A255" s="8">
        <v>43369.672476851847</v>
      </c>
      <c r="B255" s="11" t="str">
        <f>HYPERLINK("https://twitter.com/Tehran1234567","@Tehran1234567")</f>
        <v>@Tehran1234567</v>
      </c>
      <c r="C255" s="6" t="s">
        <v>2192</v>
      </c>
      <c r="D255" s="5" t="s">
        <v>2774</v>
      </c>
      <c r="E255" s="9" t="str">
        <f>HYPERLINK("https://twitter.com/Tehran1234567/status/1044929167530373121","1044929167530373121")</f>
        <v>1044929167530373121</v>
      </c>
      <c r="F255" s="10" t="s">
        <v>2763</v>
      </c>
      <c r="G255" s="10" t="s">
        <v>2762</v>
      </c>
      <c r="H255" s="4"/>
      <c r="I255" s="10" t="str">
        <f>HYPERLINK("http://twitter.com/download/android","Twitter for Android")</f>
        <v>Twitter for Android</v>
      </c>
      <c r="J255" s="2">
        <v>1175</v>
      </c>
      <c r="K255" s="2">
        <v>2207</v>
      </c>
      <c r="L255" s="2">
        <v>0</v>
      </c>
      <c r="M255" s="2"/>
      <c r="N255" s="8">
        <v>42756.784490740742</v>
      </c>
      <c r="O255" s="4"/>
      <c r="P255" s="3" t="s">
        <v>2191</v>
      </c>
      <c r="Q255" s="4"/>
      <c r="R255" s="4"/>
      <c r="S255" s="9" t="str">
        <f>HYPERLINK("https://pbs.twimg.com/profile_images/1015534748129792000/xpHXpFxn.jpg","View")</f>
        <v>View</v>
      </c>
    </row>
    <row r="256" spans="1:19" ht="50">
      <c r="A256" s="8">
        <v>43369.671898148154</v>
      </c>
      <c r="B256" s="11" t="str">
        <f>HYPERLINK("https://twitter.com/azizi0017","@azizi0017")</f>
        <v>@azizi0017</v>
      </c>
      <c r="C256" s="6" t="s">
        <v>2834</v>
      </c>
      <c r="D256" s="5" t="s">
        <v>2624</v>
      </c>
      <c r="E256" s="9" t="str">
        <f>HYPERLINK("https://twitter.com/azizi0017/status/1044928957773213697","1044928957773213697")</f>
        <v>1044928957773213697</v>
      </c>
      <c r="F256" s="4"/>
      <c r="G256" s="4"/>
      <c r="H256" s="4"/>
      <c r="I256" s="10" t="str">
        <f>HYPERLINK("http://twitter.com/download/android","Twitter for Android")</f>
        <v>Twitter for Android</v>
      </c>
      <c r="J256" s="2">
        <v>13</v>
      </c>
      <c r="K256" s="2">
        <v>24</v>
      </c>
      <c r="L256" s="2">
        <v>0</v>
      </c>
      <c r="M256" s="2"/>
      <c r="N256" s="8">
        <v>43366.49799768519</v>
      </c>
      <c r="O256" s="4" t="s">
        <v>2833</v>
      </c>
      <c r="P256" s="3" t="s">
        <v>2832</v>
      </c>
      <c r="Q256" s="4"/>
      <c r="R256" s="4"/>
      <c r="S256" s="9" t="str">
        <f>HYPERLINK("https://pbs.twimg.com/profile_images/1043782925710516224/Dz-0Um0F.jpg","View")</f>
        <v>View</v>
      </c>
    </row>
    <row r="257" spans="1:19" ht="40">
      <c r="A257" s="8">
        <v>43369.671898148154</v>
      </c>
      <c r="B257" s="11" t="str">
        <f>HYPERLINK("https://twitter.com/faride_kzmi","@faride_kzmi")</f>
        <v>@faride_kzmi</v>
      </c>
      <c r="C257" s="6" t="s">
        <v>2831</v>
      </c>
      <c r="D257" s="5" t="s">
        <v>1556</v>
      </c>
      <c r="E257" s="9" t="str">
        <f>HYPERLINK("https://twitter.com/faride_kzmi/status/1044928957706121216","1044928957706121216")</f>
        <v>1044928957706121216</v>
      </c>
      <c r="F257" s="4"/>
      <c r="G257" s="4"/>
      <c r="H257" s="4"/>
      <c r="I257" s="10" t="str">
        <f>HYPERLINK("http://twitter.com/download/iphone","Twitter for iPhone")</f>
        <v>Twitter for iPhone</v>
      </c>
      <c r="J257" s="2">
        <v>90</v>
      </c>
      <c r="K257" s="2">
        <v>109</v>
      </c>
      <c r="L257" s="2">
        <v>0</v>
      </c>
      <c r="M257" s="2"/>
      <c r="N257" s="8">
        <v>43142.972696759258</v>
      </c>
      <c r="O257" s="4"/>
      <c r="P257" s="3" t="s">
        <v>2830</v>
      </c>
      <c r="Q257" s="4"/>
      <c r="R257" s="4"/>
      <c r="S257" s="9" t="str">
        <f>HYPERLINK("https://pbs.twimg.com/profile_images/1039602877914861568/1TI9q7nP.jpg","View")</f>
        <v>View</v>
      </c>
    </row>
    <row r="258" spans="1:19" ht="40">
      <c r="A258" s="8">
        <v>43369.671099537038</v>
      </c>
      <c r="B258" s="11" t="str">
        <f>HYPERLINK("https://twitter.com/faryad_bidar","@faryad_bidar")</f>
        <v>@faryad_bidar</v>
      </c>
      <c r="C258" s="6" t="s">
        <v>2829</v>
      </c>
      <c r="D258" s="5" t="s">
        <v>1556</v>
      </c>
      <c r="E258" s="9" t="str">
        <f>HYPERLINK("https://twitter.com/faryad_bidar/status/1044928669544787968","1044928669544787968")</f>
        <v>1044928669544787968</v>
      </c>
      <c r="F258" s="4"/>
      <c r="G258" s="4"/>
      <c r="H258" s="4"/>
      <c r="I258" s="10" t="str">
        <f>HYPERLINK("http://twitter.com/download/android","Twitter for Android")</f>
        <v>Twitter for Android</v>
      </c>
      <c r="J258" s="2">
        <v>10</v>
      </c>
      <c r="K258" s="2">
        <v>28</v>
      </c>
      <c r="L258" s="2">
        <v>0</v>
      </c>
      <c r="M258" s="2"/>
      <c r="N258" s="8">
        <v>42686.041435185187</v>
      </c>
      <c r="O258" s="4"/>
      <c r="P258" s="3"/>
      <c r="Q258" s="4"/>
      <c r="R258" s="4"/>
      <c r="S258" s="9" t="str">
        <f>HYPERLINK("https://pbs.twimg.com/profile_images/982454702171394048/S5AajwN5.jpg","View")</f>
        <v>View</v>
      </c>
    </row>
    <row r="259" spans="1:19" ht="50">
      <c r="A259" s="8">
        <v>43369.67087962963</v>
      </c>
      <c r="B259" s="11" t="str">
        <f>HYPERLINK("https://twitter.com/masoudsaketof","@masoudsaketof")</f>
        <v>@masoudsaketof</v>
      </c>
      <c r="C259" s="6" t="s">
        <v>2828</v>
      </c>
      <c r="D259" s="5" t="s">
        <v>2712</v>
      </c>
      <c r="E259" s="9" t="str">
        <f>HYPERLINK("https://twitter.com/masoudsaketof/status/1044928590985539585","1044928590985539585")</f>
        <v>1044928590985539585</v>
      </c>
      <c r="F259" s="4"/>
      <c r="G259" s="10" t="s">
        <v>2659</v>
      </c>
      <c r="H259" s="4"/>
      <c r="I259" s="10" t="str">
        <f>HYPERLINK("http://twitter.com/download/android","Twitter for Android")</f>
        <v>Twitter for Android</v>
      </c>
      <c r="J259" s="2">
        <v>141</v>
      </c>
      <c r="K259" s="2">
        <v>200</v>
      </c>
      <c r="L259" s="2">
        <v>1</v>
      </c>
      <c r="M259" s="2"/>
      <c r="N259" s="8">
        <v>42777.390949074077</v>
      </c>
      <c r="O259" s="4" t="s">
        <v>2827</v>
      </c>
      <c r="P259" s="3" t="s">
        <v>2826</v>
      </c>
      <c r="Q259" s="4"/>
      <c r="R259" s="4"/>
      <c r="S259" s="9" t="str">
        <f>HYPERLINK("https://pbs.twimg.com/profile_images/839135959455252480/yQOQISFc.jpg","View")</f>
        <v>View</v>
      </c>
    </row>
    <row r="260" spans="1:19" ht="30">
      <c r="A260" s="8">
        <v>43369.670486111107</v>
      </c>
      <c r="B260" s="11" t="str">
        <f>HYPERLINK("https://twitter.com/Pluvi00phile","@Pluvi00phile")</f>
        <v>@Pluvi00phile</v>
      </c>
      <c r="C260" s="6" t="s">
        <v>2825</v>
      </c>
      <c r="D260" s="5" t="s">
        <v>2559</v>
      </c>
      <c r="E260" s="9" t="str">
        <f>HYPERLINK("https://twitter.com/Pluvi00phile/status/1044928449243156480","1044928449243156480")</f>
        <v>1044928449243156480</v>
      </c>
      <c r="F260" s="4"/>
      <c r="G260" s="10" t="s">
        <v>2558</v>
      </c>
      <c r="H260" s="4"/>
      <c r="I260" s="10" t="str">
        <f>HYPERLINK("https://mobile.twitter.com","Twitter Lite")</f>
        <v>Twitter Lite</v>
      </c>
      <c r="J260" s="2">
        <v>55</v>
      </c>
      <c r="K260" s="2">
        <v>325</v>
      </c>
      <c r="L260" s="2">
        <v>0</v>
      </c>
      <c r="M260" s="2"/>
      <c r="N260" s="8">
        <v>43362.849328703705</v>
      </c>
      <c r="O260" s="4" t="s">
        <v>2824</v>
      </c>
      <c r="P260" s="3" t="s">
        <v>2823</v>
      </c>
      <c r="Q260" s="4"/>
      <c r="R260" s="4"/>
      <c r="S260" s="9" t="str">
        <f>HYPERLINK("https://pbs.twimg.com/profile_images/1043542333629829124/y0lL2wSY.jpg","View")</f>
        <v>View</v>
      </c>
    </row>
    <row r="261" spans="1:19" ht="40">
      <c r="A261" s="8">
        <v>43369.670312499999</v>
      </c>
      <c r="B261" s="11" t="str">
        <f>HYPERLINK("https://twitter.com/Nilli41695456","@Nilli41695456")</f>
        <v>@Nilli41695456</v>
      </c>
      <c r="C261" s="6" t="s">
        <v>551</v>
      </c>
      <c r="D261" s="5" t="s">
        <v>1556</v>
      </c>
      <c r="E261" s="9" t="str">
        <f>HYPERLINK("https://twitter.com/Nilli41695456/status/1044928383866621952","1044928383866621952")</f>
        <v>1044928383866621952</v>
      </c>
      <c r="F261" s="4"/>
      <c r="G261" s="4"/>
      <c r="H261" s="4"/>
      <c r="I261" s="10" t="str">
        <f>HYPERLINK("http://twitter.com/download/iphone","Twitter for iPhone")</f>
        <v>Twitter for iPhone</v>
      </c>
      <c r="J261" s="2">
        <v>8</v>
      </c>
      <c r="K261" s="2">
        <v>23</v>
      </c>
      <c r="L261" s="2">
        <v>0</v>
      </c>
      <c r="M261" s="2"/>
      <c r="N261" s="8">
        <v>43309.712060185186</v>
      </c>
      <c r="O261" s="4"/>
      <c r="P261" s="3"/>
      <c r="Q261" s="4"/>
      <c r="R261" s="4"/>
      <c r="S261" s="9" t="str">
        <f>HYPERLINK("https://pbs.twimg.com/profile_images/1023186402165641216/eSZbniuP.jpg","View")</f>
        <v>View</v>
      </c>
    </row>
    <row r="262" spans="1:19" ht="30">
      <c r="A262" s="8">
        <v>43369.670081018514</v>
      </c>
      <c r="B262" s="11" t="str">
        <f>HYPERLINK("https://twitter.com/SassanBahman","@SassanBahman")</f>
        <v>@SassanBahman</v>
      </c>
      <c r="C262" s="6" t="s">
        <v>2822</v>
      </c>
      <c r="D262" s="5" t="s">
        <v>2559</v>
      </c>
      <c r="E262" s="9" t="str">
        <f>HYPERLINK("https://twitter.com/SassanBahman/status/1044928301993742336","1044928301993742336")</f>
        <v>1044928301993742336</v>
      </c>
      <c r="F262" s="4"/>
      <c r="G262" s="10" t="s">
        <v>2558</v>
      </c>
      <c r="H262" s="4"/>
      <c r="I262" s="10" t="str">
        <f>HYPERLINK("http://twitter.com/download/android","Twitter for Android")</f>
        <v>Twitter for Android</v>
      </c>
      <c r="J262" s="2">
        <v>278</v>
      </c>
      <c r="K262" s="2">
        <v>66</v>
      </c>
      <c r="L262" s="2">
        <v>1</v>
      </c>
      <c r="M262" s="2"/>
      <c r="N262" s="8">
        <v>41259.025092592594</v>
      </c>
      <c r="O262" s="4" t="s">
        <v>1847</v>
      </c>
      <c r="P262" s="3" t="s">
        <v>2821</v>
      </c>
      <c r="Q262" s="10" t="s">
        <v>2820</v>
      </c>
      <c r="R262" s="4"/>
      <c r="S262" s="9" t="str">
        <f>HYPERLINK("https://pbs.twimg.com/profile_images/865884894051930113/UB6-GnFo.jpg","View")</f>
        <v>View</v>
      </c>
    </row>
    <row r="263" spans="1:19" ht="30">
      <c r="A263" s="8">
        <v>43369.669733796298</v>
      </c>
      <c r="B263" s="11" t="str">
        <f>HYPERLINK("https://twitter.com/ReZo0Li","@ReZo0Li")</f>
        <v>@ReZo0Li</v>
      </c>
      <c r="C263" s="6" t="s">
        <v>2819</v>
      </c>
      <c r="D263" s="5" t="s">
        <v>2818</v>
      </c>
      <c r="E263" s="9" t="str">
        <f>HYPERLINK("https://twitter.com/ReZo0Li/status/1044928175921405952","1044928175921405952")</f>
        <v>1044928175921405952</v>
      </c>
      <c r="F263" s="4"/>
      <c r="G263" s="4"/>
      <c r="H263" s="4"/>
      <c r="I263" s="10" t="str">
        <f>HYPERLINK("http://twitter.com/download/iphone","Twitter for iPhone")</f>
        <v>Twitter for iPhone</v>
      </c>
      <c r="J263" s="2">
        <v>49</v>
      </c>
      <c r="K263" s="2">
        <v>87</v>
      </c>
      <c r="L263" s="2">
        <v>0</v>
      </c>
      <c r="M263" s="2"/>
      <c r="N263" s="8">
        <v>42008.04310185185</v>
      </c>
      <c r="O263" s="4" t="s">
        <v>2817</v>
      </c>
      <c r="P263" s="3" t="s">
        <v>2816</v>
      </c>
      <c r="Q263" s="4"/>
      <c r="R263" s="4"/>
      <c r="S263" s="9" t="str">
        <f>HYPERLINK("https://pbs.twimg.com/profile_images/1040390649932120064/kcncX9Ky.jpg","View")</f>
        <v>View</v>
      </c>
    </row>
    <row r="264" spans="1:19" ht="30">
      <c r="A264" s="8">
        <v>43369.66914351852</v>
      </c>
      <c r="B264" s="11" t="str">
        <f>HYPERLINK("https://twitter.com/DokhtareFreud","@DokhtareFreud")</f>
        <v>@DokhtareFreud</v>
      </c>
      <c r="C264" s="6" t="s">
        <v>2815</v>
      </c>
      <c r="D264" s="5" t="s">
        <v>2559</v>
      </c>
      <c r="E264" s="9" t="str">
        <f>HYPERLINK("https://twitter.com/DokhtareFreud/status/1044927959889584128","1044927959889584128")</f>
        <v>1044927959889584128</v>
      </c>
      <c r="F264" s="4"/>
      <c r="G264" s="10" t="s">
        <v>2558</v>
      </c>
      <c r="H264" s="4"/>
      <c r="I264" s="10" t="str">
        <f>HYPERLINK("http://twitter.com/download/android","Twitter for Android")</f>
        <v>Twitter for Android</v>
      </c>
      <c r="J264" s="2">
        <v>9</v>
      </c>
      <c r="K264" s="2">
        <v>28</v>
      </c>
      <c r="L264" s="2">
        <v>0</v>
      </c>
      <c r="M264" s="2"/>
      <c r="N264" s="8">
        <v>43366.915243055555</v>
      </c>
      <c r="O264" s="4"/>
      <c r="P264" s="3" t="s">
        <v>2814</v>
      </c>
      <c r="Q264" s="4"/>
      <c r="R264" s="4"/>
      <c r="S264" s="9" t="str">
        <f>HYPERLINK("https://pbs.twimg.com/profile_images/1044664832258125825/vK_hrJM1.jpg","View")</f>
        <v>View</v>
      </c>
    </row>
    <row r="265" spans="1:19" ht="50">
      <c r="A265" s="8">
        <v>43369.669016203705</v>
      </c>
      <c r="B265" s="11" t="str">
        <f>HYPERLINK("https://twitter.com/alirezakey1","@alirezakey1")</f>
        <v>@alirezakey1</v>
      </c>
      <c r="C265" s="6" t="s">
        <v>1369</v>
      </c>
      <c r="D265" s="5" t="s">
        <v>2813</v>
      </c>
      <c r="E265" s="9" t="str">
        <f>HYPERLINK("https://twitter.com/alirezakey1/status/1044927915127975936","1044927915127975936")</f>
        <v>1044927915127975936</v>
      </c>
      <c r="F265" s="4"/>
      <c r="G265" s="4"/>
      <c r="H265" s="4"/>
      <c r="I265" s="10" t="str">
        <f>HYPERLINK("http://twitter.com/download/android","Twitter for Android")</f>
        <v>Twitter for Android</v>
      </c>
      <c r="J265" s="2">
        <v>1399</v>
      </c>
      <c r="K265" s="2">
        <v>1962</v>
      </c>
      <c r="L265" s="2">
        <v>0</v>
      </c>
      <c r="M265" s="2"/>
      <c r="N265" s="8">
        <v>42408.702175925922</v>
      </c>
      <c r="O265" s="4"/>
      <c r="P265" s="3" t="s">
        <v>1368</v>
      </c>
      <c r="Q265" s="4"/>
      <c r="R265" s="4"/>
      <c r="S265" s="9" t="str">
        <f>HYPERLINK("https://pbs.twimg.com/profile_images/862323835210739713/Nu5ofDZ-.jpg","View")</f>
        <v>View</v>
      </c>
    </row>
    <row r="266" spans="1:19" ht="30">
      <c r="A266" s="8">
        <v>43369.667939814812</v>
      </c>
      <c r="B266" s="11" t="str">
        <f>HYPERLINK("https://twitter.com/ManiMonfared","@ManiMonfared")</f>
        <v>@ManiMonfared</v>
      </c>
      <c r="C266" s="6" t="s">
        <v>2812</v>
      </c>
      <c r="D266" s="5" t="s">
        <v>2559</v>
      </c>
      <c r="E266" s="9" t="str">
        <f>HYPERLINK("https://twitter.com/ManiMonfared/status/1044927523967004672","1044927523967004672")</f>
        <v>1044927523967004672</v>
      </c>
      <c r="F266" s="4"/>
      <c r="G266" s="10" t="s">
        <v>2558</v>
      </c>
      <c r="H266" s="4"/>
      <c r="I266" s="10" t="str">
        <f>HYPERLINK("http://twitter.com/download/iphone","Twitter for iPhone")</f>
        <v>Twitter for iPhone</v>
      </c>
      <c r="J266" s="2">
        <v>196</v>
      </c>
      <c r="K266" s="2">
        <v>130</v>
      </c>
      <c r="L266" s="2">
        <v>0</v>
      </c>
      <c r="M266" s="2"/>
      <c r="N266" s="8">
        <v>42999.072893518518</v>
      </c>
      <c r="O266" s="4" t="s">
        <v>16</v>
      </c>
      <c r="P266" s="3" t="s">
        <v>2811</v>
      </c>
      <c r="Q266" s="4"/>
      <c r="R266" s="4"/>
      <c r="S266" s="2" t="s">
        <v>21</v>
      </c>
    </row>
    <row r="267" spans="1:19" ht="30">
      <c r="A267" s="8">
        <v>43369.667928240742</v>
      </c>
      <c r="B267" s="11" t="str">
        <f>HYPERLINK("https://twitter.com/4rknevis","@4rknevis")</f>
        <v>@4rknevis</v>
      </c>
      <c r="C267" s="6" t="s">
        <v>2810</v>
      </c>
      <c r="D267" s="5" t="s">
        <v>2809</v>
      </c>
      <c r="E267" s="9" t="str">
        <f>HYPERLINK("https://twitter.com/4rknevis/status/1044927521018531840","1044927521018531840")</f>
        <v>1044927521018531840</v>
      </c>
      <c r="F267" s="4"/>
      <c r="G267" s="4"/>
      <c r="H267" s="4"/>
      <c r="I267" s="10" t="str">
        <f>HYPERLINK("http://twitter.com","Twitter Web Client")</f>
        <v>Twitter Web Client</v>
      </c>
      <c r="J267" s="2">
        <v>88</v>
      </c>
      <c r="K267" s="2">
        <v>80</v>
      </c>
      <c r="L267" s="2">
        <v>0</v>
      </c>
      <c r="M267" s="2"/>
      <c r="N267" s="8">
        <v>41465.589490740742</v>
      </c>
      <c r="O267" s="4"/>
      <c r="P267" s="3" t="s">
        <v>2808</v>
      </c>
      <c r="Q267" s="4"/>
      <c r="R267" s="4"/>
      <c r="S267" s="9" t="str">
        <f>HYPERLINK("https://pbs.twimg.com/profile_images/1029250754098458625/2ku0PZgW.jpg","View")</f>
        <v>View</v>
      </c>
    </row>
    <row r="268" spans="1:19" ht="30">
      <c r="A268" s="8">
        <v>43369.66710648148</v>
      </c>
      <c r="B268" s="11" t="str">
        <f>HYPERLINK("https://twitter.com/FANOSS4","@FANOSS4")</f>
        <v>@FANOSS4</v>
      </c>
      <c r="C268" s="6" t="s">
        <v>2807</v>
      </c>
      <c r="D268" s="5" t="s">
        <v>2559</v>
      </c>
      <c r="E268" s="9" t="str">
        <f>HYPERLINK("https://twitter.com/FANOSS4/status/1044927224653254656","1044927224653254656")</f>
        <v>1044927224653254656</v>
      </c>
      <c r="F268" s="4"/>
      <c r="G268" s="10" t="s">
        <v>2558</v>
      </c>
      <c r="H268" s="4"/>
      <c r="I268" s="10" t="str">
        <f>HYPERLINK("http://twitter.com/download/android","Twitter for Android")</f>
        <v>Twitter for Android</v>
      </c>
      <c r="J268" s="2">
        <v>48</v>
      </c>
      <c r="K268" s="2">
        <v>89</v>
      </c>
      <c r="L268" s="2">
        <v>0</v>
      </c>
      <c r="M268" s="2"/>
      <c r="N268" s="8">
        <v>43347.510405092587</v>
      </c>
      <c r="O268" s="4"/>
      <c r="P268" s="3" t="s">
        <v>2806</v>
      </c>
      <c r="Q268" s="4"/>
      <c r="R268" s="4"/>
      <c r="S268" s="9" t="str">
        <f>HYPERLINK("https://pbs.twimg.com/profile_images/1038337847147876352/WBHuBx4O.jpg","View")</f>
        <v>View</v>
      </c>
    </row>
    <row r="269" spans="1:19" ht="20">
      <c r="A269" s="8">
        <v>43369.666712962964</v>
      </c>
      <c r="B269" s="11" t="str">
        <f>HYPERLINK("https://twitter.com/jamarannews","@jamarannews")</f>
        <v>@jamarannews</v>
      </c>
      <c r="C269" s="6" t="s">
        <v>2805</v>
      </c>
      <c r="D269" s="5" t="s">
        <v>2804</v>
      </c>
      <c r="E269" s="9" t="str">
        <f>HYPERLINK("https://twitter.com/jamarannews/status/1044927079706488832","1044927079706488832")</f>
        <v>1044927079706488832</v>
      </c>
      <c r="F269" s="4"/>
      <c r="G269" s="10" t="s">
        <v>2803</v>
      </c>
      <c r="H269" s="4"/>
      <c r="I269" s="10" t="str">
        <f>HYPERLINK("http://twitter.com","Twitter Web Client")</f>
        <v>Twitter Web Client</v>
      </c>
      <c r="J269" s="2">
        <v>19515</v>
      </c>
      <c r="K269" s="2">
        <v>88</v>
      </c>
      <c r="L269" s="2">
        <v>110</v>
      </c>
      <c r="M269" s="2"/>
      <c r="N269" s="8">
        <v>41877.645810185189</v>
      </c>
      <c r="O269" s="4" t="s">
        <v>295</v>
      </c>
      <c r="P269" s="3"/>
      <c r="Q269" s="10" t="s">
        <v>2802</v>
      </c>
      <c r="R269" s="4"/>
      <c r="S269" s="9" t="str">
        <f>HYPERLINK("https://pbs.twimg.com/profile_images/947033228560318464/S8vXCXbM.jpg","View")</f>
        <v>View</v>
      </c>
    </row>
    <row r="270" spans="1:19" ht="40">
      <c r="A270" s="8">
        <v>43369.666597222225</v>
      </c>
      <c r="B270" s="11" t="str">
        <f>HYPERLINK("https://twitter.com/Amir0sharif","@Amir0sharif")</f>
        <v>@Amir0sharif</v>
      </c>
      <c r="C270" s="6" t="s">
        <v>727</v>
      </c>
      <c r="D270" s="5" t="s">
        <v>1556</v>
      </c>
      <c r="E270" s="9" t="str">
        <f>HYPERLINK("https://twitter.com/Amir0sharif/status/1044927038392434689","1044927038392434689")</f>
        <v>1044927038392434689</v>
      </c>
      <c r="F270" s="4"/>
      <c r="G270" s="4"/>
      <c r="H270" s="4"/>
      <c r="I270" s="10" t="str">
        <f>HYPERLINK("http://twitter.com/download/iphone","Twitter for iPhone")</f>
        <v>Twitter for iPhone</v>
      </c>
      <c r="J270" s="2">
        <v>303</v>
      </c>
      <c r="K270" s="2">
        <v>542</v>
      </c>
      <c r="L270" s="2">
        <v>1</v>
      </c>
      <c r="M270" s="2"/>
      <c r="N270" s="8">
        <v>42902.792233796295</v>
      </c>
      <c r="O270" s="4"/>
      <c r="P270" s="3"/>
      <c r="Q270" s="4"/>
      <c r="R270" s="4"/>
      <c r="S270" s="9" t="str">
        <f>HYPERLINK("https://pbs.twimg.com/profile_images/991331874839646208/uFD1lRj8.jpg","View")</f>
        <v>View</v>
      </c>
    </row>
    <row r="271" spans="1:19" ht="30">
      <c r="A271" s="8">
        <v>43369.666504629626</v>
      </c>
      <c r="B271" s="11" t="str">
        <f>HYPERLINK("https://twitter.com/TheANGRY_Travis","@TheANGRY_Travis")</f>
        <v>@TheANGRY_Travis</v>
      </c>
      <c r="C271" s="6" t="s">
        <v>2801</v>
      </c>
      <c r="D271" s="5" t="s">
        <v>2559</v>
      </c>
      <c r="E271" s="9" t="str">
        <f>HYPERLINK("https://twitter.com/TheANGRY_Travis/status/1044927005530025984","1044927005530025984")</f>
        <v>1044927005530025984</v>
      </c>
      <c r="F271" s="4"/>
      <c r="G271" s="10" t="s">
        <v>2558</v>
      </c>
      <c r="H271" s="4"/>
      <c r="I271" s="10" t="str">
        <f>HYPERLINK("http://twitter.com/download/android","Twitter for Android")</f>
        <v>Twitter for Android</v>
      </c>
      <c r="J271" s="2">
        <v>8</v>
      </c>
      <c r="K271" s="2">
        <v>23</v>
      </c>
      <c r="L271" s="2">
        <v>0</v>
      </c>
      <c r="M271" s="2"/>
      <c r="N271" s="8">
        <v>43321.563090277778</v>
      </c>
      <c r="O271" s="4"/>
      <c r="P271" s="3"/>
      <c r="Q271" s="4"/>
      <c r="R271" s="4"/>
      <c r="S271" s="9" t="str">
        <f>HYPERLINK("https://pbs.twimg.com/profile_images/1027484043493892096/S8xRlByZ.jpg","View")</f>
        <v>View</v>
      </c>
    </row>
    <row r="272" spans="1:19" ht="40">
      <c r="A272" s="8">
        <v>43369.666226851856</v>
      </c>
      <c r="B272" s="11" t="str">
        <f>HYPERLINK("https://twitter.com/aminras03770856","@aminras03770856")</f>
        <v>@aminras03770856</v>
      </c>
      <c r="C272" s="6" t="s">
        <v>2800</v>
      </c>
      <c r="D272" s="5" t="s">
        <v>1556</v>
      </c>
      <c r="E272" s="9" t="str">
        <f>HYPERLINK("https://twitter.com/aminras03770856/status/1044926903117893635","1044926903117893635")</f>
        <v>1044926903117893635</v>
      </c>
      <c r="F272" s="4"/>
      <c r="G272" s="4"/>
      <c r="H272" s="4"/>
      <c r="I272" s="10" t="str">
        <f>HYPERLINK("http://twitter.com/download/iphone","Twitter for iPhone")</f>
        <v>Twitter for iPhone</v>
      </c>
      <c r="J272" s="2">
        <v>5</v>
      </c>
      <c r="K272" s="2">
        <v>57</v>
      </c>
      <c r="L272" s="2">
        <v>0</v>
      </c>
      <c r="M272" s="2"/>
      <c r="N272" s="8">
        <v>43364.963854166665</v>
      </c>
      <c r="O272" s="4"/>
      <c r="P272" s="3"/>
      <c r="Q272" s="4"/>
      <c r="R272" s="4"/>
      <c r="S272" s="9" t="str">
        <f>HYPERLINK("https://pbs.twimg.com/profile_images/1043240945469272064/HnxeKuav.jpg","View")</f>
        <v>View</v>
      </c>
    </row>
    <row r="273" spans="1:19" ht="30">
      <c r="A273" s="8">
        <v>43369.665925925925</v>
      </c>
      <c r="B273" s="11" t="str">
        <f>HYPERLINK("https://twitter.com/SmilingPanda3","@SmilingPanda3")</f>
        <v>@SmilingPanda3</v>
      </c>
      <c r="C273" s="6" t="s">
        <v>2799</v>
      </c>
      <c r="D273" s="5" t="s">
        <v>2559</v>
      </c>
      <c r="E273" s="9" t="str">
        <f>HYPERLINK("https://twitter.com/SmilingPanda3/status/1044926794174992385","1044926794174992385")</f>
        <v>1044926794174992385</v>
      </c>
      <c r="F273" s="4"/>
      <c r="G273" s="10" t="s">
        <v>2558</v>
      </c>
      <c r="H273" s="4"/>
      <c r="I273" s="10" t="str">
        <f>HYPERLINK("http://twitter.com/download/android","Twitter for Android")</f>
        <v>Twitter for Android</v>
      </c>
      <c r="J273" s="2">
        <v>376</v>
      </c>
      <c r="K273" s="2">
        <v>605</v>
      </c>
      <c r="L273" s="2">
        <v>0</v>
      </c>
      <c r="M273" s="2"/>
      <c r="N273" s="8">
        <v>43335.552210648151</v>
      </c>
      <c r="O273" s="4"/>
      <c r="P273" s="3" t="s">
        <v>2798</v>
      </c>
      <c r="Q273" s="4"/>
      <c r="R273" s="4"/>
      <c r="S273" s="9" t="str">
        <f>HYPERLINK("https://pbs.twimg.com/profile_images/1032555162429272065/siqu9JPI.jpg","View")</f>
        <v>View</v>
      </c>
    </row>
    <row r="274" spans="1:19" ht="30">
      <c r="A274" s="8">
        <v>43369.665752314817</v>
      </c>
      <c r="B274" s="11" t="str">
        <f>HYPERLINK("https://twitter.com/vahid81747318","@vahid81747318")</f>
        <v>@vahid81747318</v>
      </c>
      <c r="C274" s="6" t="s">
        <v>2797</v>
      </c>
      <c r="D274" s="5" t="s">
        <v>2559</v>
      </c>
      <c r="E274" s="9" t="str">
        <f>HYPERLINK("https://twitter.com/vahid81747318/status/1044926732946608128","1044926732946608128")</f>
        <v>1044926732946608128</v>
      </c>
      <c r="F274" s="4"/>
      <c r="G274" s="10" t="s">
        <v>2558</v>
      </c>
      <c r="H274" s="4"/>
      <c r="I274" s="10" t="str">
        <f>HYPERLINK("http://twitter.com/download/android","Twitter for Android")</f>
        <v>Twitter for Android</v>
      </c>
      <c r="J274" s="2">
        <v>812</v>
      </c>
      <c r="K274" s="2">
        <v>971</v>
      </c>
      <c r="L274" s="2">
        <v>1</v>
      </c>
      <c r="M274" s="2"/>
      <c r="N274" s="8">
        <v>43291.647476851853</v>
      </c>
      <c r="O274" s="4" t="s">
        <v>2796</v>
      </c>
      <c r="P274" s="3"/>
      <c r="Q274" s="4"/>
      <c r="R274" s="4"/>
      <c r="S274" s="9" t="str">
        <f>HYPERLINK("https://pbs.twimg.com/profile_images/1037773656607391744/yqD4gbBE.jpg","View")</f>
        <v>View</v>
      </c>
    </row>
    <row r="275" spans="1:19" ht="30">
      <c r="A275" s="8">
        <v>43369.665520833332</v>
      </c>
      <c r="B275" s="11" t="str">
        <f>HYPERLINK("https://twitter.com/saharp1101","@saharp1101")</f>
        <v>@saharp1101</v>
      </c>
      <c r="C275" s="6" t="s">
        <v>2744</v>
      </c>
      <c r="D275" s="5" t="s">
        <v>1071</v>
      </c>
      <c r="E275" s="9" t="str">
        <f>HYPERLINK("https://twitter.com/saharp1101/status/1044926649735806976","1044926649735806976")</f>
        <v>1044926649735806976</v>
      </c>
      <c r="F275" s="4"/>
      <c r="G275" s="4"/>
      <c r="H275" s="4"/>
      <c r="I275" s="10" t="str">
        <f>HYPERLINK("http://twitter.com","Twitter Web Client")</f>
        <v>Twitter Web Client</v>
      </c>
      <c r="J275" s="2">
        <v>186</v>
      </c>
      <c r="K275" s="2">
        <v>350</v>
      </c>
      <c r="L275" s="2">
        <v>0</v>
      </c>
      <c r="M275" s="2"/>
      <c r="N275" s="8">
        <v>43352.577696759261</v>
      </c>
      <c r="O275" s="4"/>
      <c r="P275" s="3" t="s">
        <v>2743</v>
      </c>
      <c r="Q275" s="4"/>
      <c r="R275" s="4"/>
      <c r="S275" s="9" t="str">
        <f>HYPERLINK("https://pbs.twimg.com/profile_images/1038727339570606080/khQf0oem.jpg","View")</f>
        <v>View</v>
      </c>
    </row>
    <row r="276" spans="1:19" ht="30">
      <c r="A276" s="8">
        <v>43369.66542824074</v>
      </c>
      <c r="B276" s="11" t="str">
        <f>HYPERLINK("https://twitter.com/alirezaam9","@alirezaam9")</f>
        <v>@alirezaam9</v>
      </c>
      <c r="C276" s="6" t="s">
        <v>2795</v>
      </c>
      <c r="D276" s="5" t="s">
        <v>2559</v>
      </c>
      <c r="E276" s="9" t="str">
        <f>HYPERLINK("https://twitter.com/alirezaam9/status/1044926615891988481","1044926615891988481")</f>
        <v>1044926615891988481</v>
      </c>
      <c r="F276" s="4"/>
      <c r="G276" s="10" t="s">
        <v>2558</v>
      </c>
      <c r="H276" s="4"/>
      <c r="I276" s="10" t="str">
        <f>HYPERLINK("http://twitter.com/download/iphone","Twitter for iPhone")</f>
        <v>Twitter for iPhone</v>
      </c>
      <c r="J276" s="2">
        <v>219</v>
      </c>
      <c r="K276" s="2">
        <v>350</v>
      </c>
      <c r="L276" s="2">
        <v>0</v>
      </c>
      <c r="M276" s="2"/>
      <c r="N276" s="8">
        <v>43228.44131944445</v>
      </c>
      <c r="O276" s="4" t="s">
        <v>2794</v>
      </c>
      <c r="P276" s="3" t="s">
        <v>2793</v>
      </c>
      <c r="Q276" s="4"/>
      <c r="R276" s="4"/>
      <c r="S276" s="9" t="str">
        <f>HYPERLINK("https://pbs.twimg.com/profile_images/1041576561055608832/Wif401vu.jpg","View")</f>
        <v>View</v>
      </c>
    </row>
    <row r="277" spans="1:19" ht="30">
      <c r="A277" s="8">
        <v>43369.664872685185</v>
      </c>
      <c r="B277" s="11" t="str">
        <f>HYPERLINK("https://twitter.com/voidvolano","@voidvolano")</f>
        <v>@voidvolano</v>
      </c>
      <c r="C277" s="6" t="s">
        <v>2792</v>
      </c>
      <c r="D277" s="5" t="s">
        <v>2559</v>
      </c>
      <c r="E277" s="9" t="str">
        <f>HYPERLINK("https://twitter.com/voidvolano/status/1044926412464050176","1044926412464050176")</f>
        <v>1044926412464050176</v>
      </c>
      <c r="F277" s="4"/>
      <c r="G277" s="10" t="s">
        <v>2558</v>
      </c>
      <c r="H277" s="4"/>
      <c r="I277" s="10" t="str">
        <f>HYPERLINK("http://twitter.com/download/android","Twitter for Android")</f>
        <v>Twitter for Android</v>
      </c>
      <c r="J277" s="2">
        <v>153</v>
      </c>
      <c r="K277" s="2">
        <v>356</v>
      </c>
      <c r="L277" s="2">
        <v>0</v>
      </c>
      <c r="M277" s="2"/>
      <c r="N277" s="8">
        <v>43298.574675925927</v>
      </c>
      <c r="O277" s="4"/>
      <c r="P277" s="3"/>
      <c r="Q277" s="4"/>
      <c r="R277" s="4"/>
      <c r="S277" s="9" t="str">
        <f>HYPERLINK("https://pbs.twimg.com/profile_images/1025315684358602752/Ce_Ujloo.jpg","View")</f>
        <v>View</v>
      </c>
    </row>
    <row r="278" spans="1:19" ht="40">
      <c r="A278" s="8">
        <v>43369.664849537032</v>
      </c>
      <c r="B278" s="11" t="str">
        <f>HYPERLINK("https://twitter.com/mrgump7","@mrgump7")</f>
        <v>@mrgump7</v>
      </c>
      <c r="C278" s="6" t="s">
        <v>2791</v>
      </c>
      <c r="D278" s="5" t="s">
        <v>1239</v>
      </c>
      <c r="E278" s="9" t="str">
        <f>HYPERLINK("https://twitter.com/mrgump7/status/1044926404247396352","1044926404247396352")</f>
        <v>1044926404247396352</v>
      </c>
      <c r="F278" s="4"/>
      <c r="G278" s="4"/>
      <c r="H278" s="4"/>
      <c r="I278" s="10" t="str">
        <f>HYPERLINK("http://twitter.com/download/android","Twitter for Android")</f>
        <v>Twitter for Android</v>
      </c>
      <c r="J278" s="2">
        <v>386</v>
      </c>
      <c r="K278" s="2">
        <v>234</v>
      </c>
      <c r="L278" s="2">
        <v>6</v>
      </c>
      <c r="M278" s="2"/>
      <c r="N278" s="8">
        <v>42111.092870370368</v>
      </c>
      <c r="O278" s="4" t="s">
        <v>1654</v>
      </c>
      <c r="P278" s="3" t="s">
        <v>2790</v>
      </c>
      <c r="Q278" s="4"/>
      <c r="R278" s="4"/>
      <c r="S278" s="9" t="str">
        <f>HYPERLINK("https://pbs.twimg.com/profile_images/1043522675887493125/_TDQ1NlI.jpg","View")</f>
        <v>View</v>
      </c>
    </row>
    <row r="279" spans="1:19" ht="30">
      <c r="A279" s="8">
        <v>43369.663969907408</v>
      </c>
      <c r="B279" s="11" t="str">
        <f>HYPERLINK("https://twitter.com/alirezakey1","@alirezakey1")</f>
        <v>@alirezakey1</v>
      </c>
      <c r="C279" s="6" t="s">
        <v>1369</v>
      </c>
      <c r="D279" s="5" t="s">
        <v>2774</v>
      </c>
      <c r="E279" s="9" t="str">
        <f>HYPERLINK("https://twitter.com/alirezakey1/status/1044926088122716161","1044926088122716161")</f>
        <v>1044926088122716161</v>
      </c>
      <c r="F279" s="10" t="s">
        <v>2763</v>
      </c>
      <c r="G279" s="10" t="s">
        <v>2762</v>
      </c>
      <c r="H279" s="4"/>
      <c r="I279" s="10" t="str">
        <f>HYPERLINK("http://twitter.com/download/android","Twitter for Android")</f>
        <v>Twitter for Android</v>
      </c>
      <c r="J279" s="2">
        <v>1399</v>
      </c>
      <c r="K279" s="2">
        <v>1962</v>
      </c>
      <c r="L279" s="2">
        <v>0</v>
      </c>
      <c r="M279" s="2"/>
      <c r="N279" s="8">
        <v>42408.702175925922</v>
      </c>
      <c r="O279" s="4"/>
      <c r="P279" s="3" t="s">
        <v>1368</v>
      </c>
      <c r="Q279" s="4"/>
      <c r="R279" s="4"/>
      <c r="S279" s="9" t="str">
        <f>HYPERLINK("https://pbs.twimg.com/profile_images/862323835210739713/Nu5ofDZ-.jpg","View")</f>
        <v>View</v>
      </c>
    </row>
    <row r="280" spans="1:19" ht="20">
      <c r="A280" s="8">
        <v>43369.663912037038</v>
      </c>
      <c r="B280" s="11" t="str">
        <f>HYPERLINK("https://twitter.com/hamidkoper","@hamidkoper")</f>
        <v>@hamidkoper</v>
      </c>
      <c r="C280" s="6" t="s">
        <v>2789</v>
      </c>
      <c r="D280" s="5" t="s">
        <v>2788</v>
      </c>
      <c r="E280" s="9" t="str">
        <f>HYPERLINK("https://twitter.com/hamidkoper/status/1044926066463256577","1044926066463256577")</f>
        <v>1044926066463256577</v>
      </c>
      <c r="F280" s="4"/>
      <c r="G280" s="10" t="s">
        <v>2747</v>
      </c>
      <c r="H280" s="4"/>
      <c r="I280" s="10" t="str">
        <f>HYPERLINK("http://twitter.com","Twitter Web Client")</f>
        <v>Twitter Web Client</v>
      </c>
      <c r="J280" s="2">
        <v>206</v>
      </c>
      <c r="K280" s="2">
        <v>263</v>
      </c>
      <c r="L280" s="2">
        <v>0</v>
      </c>
      <c r="M280" s="2"/>
      <c r="N280" s="8">
        <v>41670.175474537034</v>
      </c>
      <c r="O280" s="4"/>
      <c r="P280" s="3" t="s">
        <v>2787</v>
      </c>
      <c r="Q280" s="4"/>
      <c r="R280" s="4"/>
      <c r="S280" s="2" t="s">
        <v>21</v>
      </c>
    </row>
    <row r="281" spans="1:19" ht="30">
      <c r="A281" s="8">
        <v>43369.663877314815</v>
      </c>
      <c r="B281" s="11" t="str">
        <f>HYPERLINK("https://twitter.com/tvazaadi","@tvazaadi")</f>
        <v>@tvazaadi</v>
      </c>
      <c r="C281" s="6" t="s">
        <v>14</v>
      </c>
      <c r="D281" s="5" t="s">
        <v>2786</v>
      </c>
      <c r="E281" s="9" t="str">
        <f>HYPERLINK("https://twitter.com/tvazaadi/status/1044926053234413571","1044926053234413571")</f>
        <v>1044926053234413571</v>
      </c>
      <c r="F281" s="4"/>
      <c r="G281" s="10" t="s">
        <v>2785</v>
      </c>
      <c r="H281" s="4"/>
      <c r="I281" s="10" t="str">
        <f>HYPERLINK("http://twitter.com/download/android","Twitter for Android")</f>
        <v>Twitter for Android</v>
      </c>
      <c r="J281" s="2">
        <v>14082</v>
      </c>
      <c r="K281" s="2">
        <v>23</v>
      </c>
      <c r="L281" s="2">
        <v>2</v>
      </c>
      <c r="M281" s="2"/>
      <c r="N281" s="8">
        <v>43133.578425925924</v>
      </c>
      <c r="O281" s="4" t="s">
        <v>13</v>
      </c>
      <c r="P281" s="3" t="s">
        <v>12</v>
      </c>
      <c r="Q281" s="4"/>
      <c r="R281" s="4"/>
      <c r="S281" s="9" t="str">
        <f>HYPERLINK("https://pbs.twimg.com/profile_images/999632961417854976/rb9QwB8X.jpg","View")</f>
        <v>View</v>
      </c>
    </row>
    <row r="282" spans="1:19" ht="30">
      <c r="A282" s="8">
        <v>43369.663587962961</v>
      </c>
      <c r="B282" s="11" t="str">
        <f>HYPERLINK("https://twitter.com/BatoolMahmudian","@BatoolMahmudian")</f>
        <v>@BatoolMahmudian</v>
      </c>
      <c r="C282" s="6" t="s">
        <v>2784</v>
      </c>
      <c r="D282" s="5" t="s">
        <v>49</v>
      </c>
      <c r="E282" s="9" t="str">
        <f>HYPERLINK("https://twitter.com/BatoolMahmudian/status/1044925947609321473","1044925947609321473")</f>
        <v>1044925947609321473</v>
      </c>
      <c r="F282" s="4"/>
      <c r="G282" s="4"/>
      <c r="H282" s="4"/>
      <c r="I282" s="10" t="str">
        <f>HYPERLINK("http://twitter.com/download/android","Twitter for Android")</f>
        <v>Twitter for Android</v>
      </c>
      <c r="J282" s="2">
        <v>86</v>
      </c>
      <c r="K282" s="2">
        <v>165</v>
      </c>
      <c r="L282" s="2">
        <v>0</v>
      </c>
      <c r="M282" s="2"/>
      <c r="N282" s="8">
        <v>42130.669502314813</v>
      </c>
      <c r="O282" s="4"/>
      <c r="P282" s="3"/>
      <c r="Q282" s="4"/>
      <c r="R282" s="4"/>
      <c r="S282" s="2" t="s">
        <v>21</v>
      </c>
    </row>
    <row r="283" spans="1:19" ht="40">
      <c r="A283" s="8">
        <v>43369.663437499999</v>
      </c>
      <c r="B283" s="11" t="str">
        <f>HYPERLINK("https://twitter.com/alirezakey1","@alirezakey1")</f>
        <v>@alirezakey1</v>
      </c>
      <c r="C283" s="6" t="s">
        <v>1369</v>
      </c>
      <c r="D283" s="5" t="s">
        <v>2783</v>
      </c>
      <c r="E283" s="9" t="str">
        <f>HYPERLINK("https://twitter.com/alirezakey1/status/1044925893301469184","1044925893301469184")</f>
        <v>1044925893301469184</v>
      </c>
      <c r="F283" s="10" t="s">
        <v>2771</v>
      </c>
      <c r="G283" s="4"/>
      <c r="H283" s="4"/>
      <c r="I283" s="10" t="str">
        <f>HYPERLINK("http://twitter.com/download/android","Twitter for Android")</f>
        <v>Twitter for Android</v>
      </c>
      <c r="J283" s="2">
        <v>1399</v>
      </c>
      <c r="K283" s="2">
        <v>1962</v>
      </c>
      <c r="L283" s="2">
        <v>0</v>
      </c>
      <c r="M283" s="2"/>
      <c r="N283" s="8">
        <v>42408.702175925922</v>
      </c>
      <c r="O283" s="4"/>
      <c r="P283" s="3" t="s">
        <v>1368</v>
      </c>
      <c r="Q283" s="4"/>
      <c r="R283" s="4"/>
      <c r="S283" s="9" t="str">
        <f>HYPERLINK("https://pbs.twimg.com/profile_images/862323835210739713/Nu5ofDZ-.jpg","View")</f>
        <v>View</v>
      </c>
    </row>
    <row r="284" spans="1:19" ht="50">
      <c r="A284" s="8">
        <v>43369.66337962963</v>
      </c>
      <c r="B284" s="11" t="str">
        <f>HYPERLINK("https://twitter.com/arakh67","@arakh67")</f>
        <v>@arakh67</v>
      </c>
      <c r="C284" s="6" t="s">
        <v>2782</v>
      </c>
      <c r="D284" s="5" t="s">
        <v>2712</v>
      </c>
      <c r="E284" s="9" t="str">
        <f>HYPERLINK("https://twitter.com/arakh67/status/1044925871759462402","1044925871759462402")</f>
        <v>1044925871759462402</v>
      </c>
      <c r="F284" s="4"/>
      <c r="G284" s="10" t="s">
        <v>2659</v>
      </c>
      <c r="H284" s="4"/>
      <c r="I284" s="10" t="str">
        <f>HYPERLINK("http://twitter.com/download/android","Twitter for Android")</f>
        <v>Twitter for Android</v>
      </c>
      <c r="J284" s="2">
        <v>39</v>
      </c>
      <c r="K284" s="2">
        <v>67</v>
      </c>
      <c r="L284" s="2">
        <v>0</v>
      </c>
      <c r="M284" s="2"/>
      <c r="N284" s="8">
        <v>40965.89738425926</v>
      </c>
      <c r="O284" s="4"/>
      <c r="P284" s="3" t="s">
        <v>2781</v>
      </c>
      <c r="Q284" s="4"/>
      <c r="R284" s="4"/>
      <c r="S284" s="9" t="str">
        <f>HYPERLINK("https://pbs.twimg.com/profile_images/925256341798694912/0fSixEzN.jpg","View")</f>
        <v>View</v>
      </c>
    </row>
    <row r="285" spans="1:19" ht="30">
      <c r="A285" s="8">
        <v>43369.663298611107</v>
      </c>
      <c r="B285" s="11" t="str">
        <f>HYPERLINK("https://twitter.com/Sa94033663","@Sa94033663")</f>
        <v>@Sa94033663</v>
      </c>
      <c r="C285" s="6" t="s">
        <v>2780</v>
      </c>
      <c r="D285" s="5" t="s">
        <v>2559</v>
      </c>
      <c r="E285" s="9" t="str">
        <f>HYPERLINK("https://twitter.com/Sa94033663/status/1044925842902667264","1044925842902667264")</f>
        <v>1044925842902667264</v>
      </c>
      <c r="F285" s="4"/>
      <c r="G285" s="10" t="s">
        <v>2558</v>
      </c>
      <c r="H285" s="4"/>
      <c r="I285" s="10" t="str">
        <f>HYPERLINK("http://twitter.com/download/iphone","Twitter for iPhone")</f>
        <v>Twitter for iPhone</v>
      </c>
      <c r="J285" s="2">
        <v>92</v>
      </c>
      <c r="K285" s="2">
        <v>136</v>
      </c>
      <c r="L285" s="2">
        <v>1</v>
      </c>
      <c r="M285" s="2"/>
      <c r="N285" s="8">
        <v>43307.71638888889</v>
      </c>
      <c r="O285" s="4"/>
      <c r="P285" s="3"/>
      <c r="Q285" s="4"/>
      <c r="R285" s="4"/>
      <c r="S285" s="9" t="str">
        <f>HYPERLINK("https://pbs.twimg.com/profile_images/1043188544490090497/JuyTaxP8.jpg","View")</f>
        <v>View</v>
      </c>
    </row>
    <row r="286" spans="1:19" ht="40">
      <c r="A286" s="8">
        <v>43369.663263888884</v>
      </c>
      <c r="B286" s="11" t="str">
        <f>HYPERLINK("https://twitter.com/rmoshiry","@rmoshiry")</f>
        <v>@rmoshiry</v>
      </c>
      <c r="C286" s="6" t="s">
        <v>2779</v>
      </c>
      <c r="D286" s="5" t="s">
        <v>2778</v>
      </c>
      <c r="E286" s="9" t="str">
        <f>HYPERLINK("https://twitter.com/rmoshiry/status/1044925829279612934","1044925829279612934")</f>
        <v>1044925829279612934</v>
      </c>
      <c r="F286" s="4"/>
      <c r="G286" s="4"/>
      <c r="H286" s="4"/>
      <c r="I286" s="10" t="str">
        <f>HYPERLINK("http://twitter.com/download/iphone","Twitter for iPhone")</f>
        <v>Twitter for iPhone</v>
      </c>
      <c r="J286" s="2">
        <v>161</v>
      </c>
      <c r="K286" s="2">
        <v>235</v>
      </c>
      <c r="L286" s="2">
        <v>1</v>
      </c>
      <c r="M286" s="2"/>
      <c r="N286" s="8">
        <v>41235.574074074073</v>
      </c>
      <c r="O286" s="4" t="s">
        <v>2777</v>
      </c>
      <c r="P286" s="3" t="s">
        <v>2776</v>
      </c>
      <c r="Q286" s="4"/>
      <c r="R286" s="4"/>
      <c r="S286" s="9" t="str">
        <f>HYPERLINK("https://pbs.twimg.com/profile_images/1023907658418536448/azgsRZWl.jpg","View")</f>
        <v>View</v>
      </c>
    </row>
    <row r="287" spans="1:19" ht="30">
      <c r="A287" s="8">
        <v>43369.663148148145</v>
      </c>
      <c r="B287" s="11" t="str">
        <f>HYPERLINK("https://twitter.com/venomsnakeiran","@venomsnakeiran")</f>
        <v>@venomsnakeiran</v>
      </c>
      <c r="C287" s="6" t="s">
        <v>1347</v>
      </c>
      <c r="D287" s="5" t="s">
        <v>2559</v>
      </c>
      <c r="E287" s="9" t="str">
        <f>HYPERLINK("https://twitter.com/venomsnakeiran/status/1044925790260015104","1044925790260015104")</f>
        <v>1044925790260015104</v>
      </c>
      <c r="F287" s="4"/>
      <c r="G287" s="10" t="s">
        <v>2558</v>
      </c>
      <c r="H287" s="4"/>
      <c r="I287" s="10" t="str">
        <f>HYPERLINK("http://twitter.com/download/iphone","Twitter for iPhone")</f>
        <v>Twitter for iPhone</v>
      </c>
      <c r="J287" s="2">
        <v>397</v>
      </c>
      <c r="K287" s="2">
        <v>849</v>
      </c>
      <c r="L287" s="2">
        <v>0</v>
      </c>
      <c r="M287" s="2"/>
      <c r="N287" s="8">
        <v>40927.601157407407</v>
      </c>
      <c r="O287" s="4" t="s">
        <v>1346</v>
      </c>
      <c r="P287" s="3" t="s">
        <v>1345</v>
      </c>
      <c r="Q287" s="4"/>
      <c r="R287" s="4"/>
      <c r="S287" s="9" t="str">
        <f>HYPERLINK("https://pbs.twimg.com/profile_images/1037363967948201984/bwARhv1h.jpg","View")</f>
        <v>View</v>
      </c>
    </row>
    <row r="288" spans="1:19" ht="40">
      <c r="A288" s="8">
        <v>43369.662893518514</v>
      </c>
      <c r="B288" s="11" t="str">
        <f>HYPERLINK("https://twitter.com/alibara2530","@alibara2530")</f>
        <v>@alibara2530</v>
      </c>
      <c r="C288" s="6" t="s">
        <v>2775</v>
      </c>
      <c r="D288" s="5" t="s">
        <v>1548</v>
      </c>
      <c r="E288" s="9" t="str">
        <f>HYPERLINK("https://twitter.com/alibara2530/status/1044925697255501825","1044925697255501825")</f>
        <v>1044925697255501825</v>
      </c>
      <c r="F288" s="4"/>
      <c r="G288" s="4"/>
      <c r="H288" s="4"/>
      <c r="I288" s="10" t="str">
        <f>HYPERLINK("http://twitter.com/download/android","Twitter for Android")</f>
        <v>Twitter for Android</v>
      </c>
      <c r="J288" s="2">
        <v>185</v>
      </c>
      <c r="K288" s="2">
        <v>156</v>
      </c>
      <c r="L288" s="2">
        <v>0</v>
      </c>
      <c r="M288" s="2"/>
      <c r="N288" s="8">
        <v>42951.707326388889</v>
      </c>
      <c r="O288" s="4"/>
      <c r="P288" s="3"/>
      <c r="Q288" s="4"/>
      <c r="R288" s="4"/>
      <c r="S288" s="9" t="str">
        <f>HYPERLINK("https://pbs.twimg.com/profile_images/893802973528297473/Z24BfzUC.jpg","View")</f>
        <v>View</v>
      </c>
    </row>
    <row r="289" spans="1:19" ht="30">
      <c r="A289" s="8">
        <v>43369.662800925929</v>
      </c>
      <c r="B289" s="11" t="str">
        <f>HYPERLINK("https://twitter.com/mhrezaa","@mhrezaa")</f>
        <v>@mhrezaa</v>
      </c>
      <c r="C289" s="6" t="s">
        <v>111</v>
      </c>
      <c r="D289" s="5" t="s">
        <v>2774</v>
      </c>
      <c r="E289" s="9" t="str">
        <f>HYPERLINK("https://twitter.com/mhrezaa/status/1044925661297741826","1044925661297741826")</f>
        <v>1044925661297741826</v>
      </c>
      <c r="F289" s="10" t="s">
        <v>2763</v>
      </c>
      <c r="G289" s="10" t="s">
        <v>2762</v>
      </c>
      <c r="H289" s="4"/>
      <c r="I289" s="10" t="str">
        <f>HYPERLINK("http://twitter.com/download/android","Twitter for Android")</f>
        <v>Twitter for Android</v>
      </c>
      <c r="J289" s="2">
        <v>13106</v>
      </c>
      <c r="K289" s="2">
        <v>1845</v>
      </c>
      <c r="L289" s="2">
        <v>89</v>
      </c>
      <c r="M289" s="2"/>
      <c r="N289" s="8">
        <v>42156.458726851852</v>
      </c>
      <c r="O289" s="4" t="s">
        <v>16</v>
      </c>
      <c r="P289" s="3" t="s">
        <v>110</v>
      </c>
      <c r="Q289" s="4"/>
      <c r="R289" s="4"/>
      <c r="S289" s="9" t="str">
        <f>HYPERLINK("https://pbs.twimg.com/profile_images/1038821115056087040/DI0n771X.jpg","View")</f>
        <v>View</v>
      </c>
    </row>
    <row r="290" spans="1:19" ht="40">
      <c r="A290" s="8">
        <v>43369.662673611107</v>
      </c>
      <c r="B290" s="11" t="str">
        <f>HYPERLINK("https://twitter.com/IranIntl","@IranIntl")</f>
        <v>@IranIntl</v>
      </c>
      <c r="C290" s="6" t="s">
        <v>2773</v>
      </c>
      <c r="D290" s="5" t="s">
        <v>2772</v>
      </c>
      <c r="E290" s="9" t="str">
        <f>HYPERLINK("https://twitter.com/IranIntl/status/1044925618390003714","1044925618390003714")</f>
        <v>1044925618390003714</v>
      </c>
      <c r="F290" s="10" t="s">
        <v>2771</v>
      </c>
      <c r="G290" s="4"/>
      <c r="H290" s="4"/>
      <c r="I290" s="10" t="str">
        <f>HYPERLINK("http://www.falcon.io","Falcon Social Media Management ")</f>
        <v xml:space="preserve">Falcon Social Media Management </v>
      </c>
      <c r="J290" s="2">
        <v>12284</v>
      </c>
      <c r="K290" s="2">
        <v>39</v>
      </c>
      <c r="L290" s="2">
        <v>84</v>
      </c>
      <c r="M290" s="2"/>
      <c r="N290" s="8">
        <v>42495.854155092587</v>
      </c>
      <c r="O290" s="4" t="s">
        <v>2770</v>
      </c>
      <c r="P290" s="3" t="s">
        <v>2769</v>
      </c>
      <c r="Q290" s="10" t="s">
        <v>2768</v>
      </c>
      <c r="R290" s="4"/>
      <c r="S290" s="9" t="str">
        <f>HYPERLINK("https://pbs.twimg.com/profile_images/959109044987416576/LIHHUain.jpg","View")</f>
        <v>View</v>
      </c>
    </row>
    <row r="291" spans="1:19" ht="50">
      <c r="A291" s="8">
        <v>43369.662673611107</v>
      </c>
      <c r="B291" s="11" t="str">
        <f>HYPERLINK("https://twitter.com/awmer07","@awmer07")</f>
        <v>@awmer07</v>
      </c>
      <c r="C291" s="6" t="s">
        <v>2767</v>
      </c>
      <c r="D291" s="5" t="s">
        <v>109</v>
      </c>
      <c r="E291" s="9" t="str">
        <f>HYPERLINK("https://twitter.com/awmer07/status/1044925614837325824","1044925614837325824")</f>
        <v>1044925614837325824</v>
      </c>
      <c r="F291" s="4"/>
      <c r="G291" s="4"/>
      <c r="H291" s="4"/>
      <c r="I291" s="10" t="str">
        <f>HYPERLINK("http://twitter.com/download/android","Twitter for Android")</f>
        <v>Twitter for Android</v>
      </c>
      <c r="J291" s="2">
        <v>93</v>
      </c>
      <c r="K291" s="2">
        <v>50</v>
      </c>
      <c r="L291" s="2">
        <v>0</v>
      </c>
      <c r="M291" s="2"/>
      <c r="N291" s="8">
        <v>42863.413923611108</v>
      </c>
      <c r="O291" s="4" t="s">
        <v>2766</v>
      </c>
      <c r="P291" s="3" t="s">
        <v>2765</v>
      </c>
      <c r="Q291" s="4"/>
      <c r="R291" s="4"/>
      <c r="S291" s="9" t="str">
        <f>HYPERLINK("https://pbs.twimg.com/profile_images/1033951228257099776/jU_KQK0f.jpg","View")</f>
        <v>View</v>
      </c>
    </row>
    <row r="292" spans="1:19" ht="30">
      <c r="A292" s="8">
        <v>43369.661898148144</v>
      </c>
      <c r="B292" s="11" t="str">
        <f>HYPERLINK("https://twitter.com/Tasnimnews_Fa","@Tasnimnews_Fa")</f>
        <v>@Tasnimnews_Fa</v>
      </c>
      <c r="C292" s="6" t="s">
        <v>27</v>
      </c>
      <c r="D292" s="5" t="s">
        <v>2764</v>
      </c>
      <c r="E292" s="9" t="str">
        <f>HYPERLINK("https://twitter.com/Tasnimnews_Fa/status/1044925337396817920","1044925337396817920")</f>
        <v>1044925337396817920</v>
      </c>
      <c r="F292" s="10" t="s">
        <v>2763</v>
      </c>
      <c r="G292" s="10" t="s">
        <v>2762</v>
      </c>
      <c r="H292" s="4"/>
      <c r="I292" s="10" t="str">
        <f>HYPERLINK("http://twitter.com","Twitter Web Client")</f>
        <v>Twitter Web Client</v>
      </c>
      <c r="J292" s="2">
        <v>110989</v>
      </c>
      <c r="K292" s="2">
        <v>19</v>
      </c>
      <c r="L292" s="2">
        <v>393</v>
      </c>
      <c r="M292" s="2" t="s">
        <v>26</v>
      </c>
      <c r="N292" s="8">
        <v>41868.671585648146</v>
      </c>
      <c r="O292" s="4" t="s">
        <v>25</v>
      </c>
      <c r="P292" s="3" t="s">
        <v>24</v>
      </c>
      <c r="Q292" s="10" t="s">
        <v>23</v>
      </c>
      <c r="R292" s="4"/>
      <c r="S292" s="9" t="str">
        <f>HYPERLINK("https://pbs.twimg.com/profile_images/942003149430239232/hvLw_1_E.jpg","View")</f>
        <v>View</v>
      </c>
    </row>
    <row r="293" spans="1:19" ht="30">
      <c r="A293" s="8">
        <v>43369.661898148144</v>
      </c>
      <c r="B293" s="11" t="str">
        <f>HYPERLINK("https://twitter.com/ASorush1","@ASorush1")</f>
        <v>@ASorush1</v>
      </c>
      <c r="C293" s="6" t="s">
        <v>2761</v>
      </c>
      <c r="D293" s="5" t="s">
        <v>2559</v>
      </c>
      <c r="E293" s="9" t="str">
        <f>HYPERLINK("https://twitter.com/ASorush1/status/1044925337296162819","1044925337296162819")</f>
        <v>1044925337296162819</v>
      </c>
      <c r="F293" s="4"/>
      <c r="G293" s="10" t="s">
        <v>2558</v>
      </c>
      <c r="H293" s="4"/>
      <c r="I293" s="10" t="str">
        <f>HYPERLINK("http://twitter.com/download/android","Twitter for Android")</f>
        <v>Twitter for Android</v>
      </c>
      <c r="J293" s="2">
        <v>132</v>
      </c>
      <c r="K293" s="2">
        <v>270</v>
      </c>
      <c r="L293" s="2">
        <v>0</v>
      </c>
      <c r="M293" s="2"/>
      <c r="N293" s="8">
        <v>43332.965335648143</v>
      </c>
      <c r="O293" s="4"/>
      <c r="P293" s="3" t="s">
        <v>2760</v>
      </c>
      <c r="Q293" s="4"/>
      <c r="R293" s="4"/>
      <c r="S293" s="9" t="str">
        <f>HYPERLINK("https://pbs.twimg.com/profile_images/1031613696865435648/pianvoMH.jpg","View")</f>
        <v>View</v>
      </c>
    </row>
    <row r="294" spans="1:19" ht="30">
      <c r="A294" s="8">
        <v>43369.661724537036</v>
      </c>
      <c r="B294" s="11" t="str">
        <f>HYPERLINK("https://twitter.com/SepidareBoland","@SepidareBoland")</f>
        <v>@SepidareBoland</v>
      </c>
      <c r="C294" s="6" t="s">
        <v>2759</v>
      </c>
      <c r="D294" s="5" t="s">
        <v>2559</v>
      </c>
      <c r="E294" s="9" t="str">
        <f>HYPERLINK("https://twitter.com/SepidareBoland/status/1044925274159284224","1044925274159284224")</f>
        <v>1044925274159284224</v>
      </c>
      <c r="F294" s="4"/>
      <c r="G294" s="10" t="s">
        <v>2558</v>
      </c>
      <c r="H294" s="4"/>
      <c r="I294" s="10" t="str">
        <f>HYPERLINK("http://twitter.com/download/iphone","Twitter for iPhone")</f>
        <v>Twitter for iPhone</v>
      </c>
      <c r="J294" s="2">
        <v>182</v>
      </c>
      <c r="K294" s="2">
        <v>205</v>
      </c>
      <c r="L294" s="2">
        <v>0</v>
      </c>
      <c r="M294" s="2"/>
      <c r="N294" s="8">
        <v>43222.615659722222</v>
      </c>
      <c r="O294" s="4" t="s">
        <v>16</v>
      </c>
      <c r="P294" s="3"/>
      <c r="Q294" s="4"/>
      <c r="R294" s="4"/>
      <c r="S294" s="9" t="str">
        <f>HYPERLINK("https://pbs.twimg.com/profile_images/1043940558006349824/jUPKQdPh.jpg","View")</f>
        <v>View</v>
      </c>
    </row>
    <row r="295" spans="1:19" ht="20">
      <c r="A295" s="8">
        <v>43369.661666666667</v>
      </c>
      <c r="B295" s="11" t="str">
        <f>HYPERLINK("https://twitter.com/zehneno","@zehneno")</f>
        <v>@zehneno</v>
      </c>
      <c r="C295" s="6" t="s">
        <v>2758</v>
      </c>
      <c r="D295" s="5" t="s">
        <v>736</v>
      </c>
      <c r="E295" s="9" t="str">
        <f>HYPERLINK("https://twitter.com/zehneno/status/1044925252931911680","1044925252931911680")</f>
        <v>1044925252931911680</v>
      </c>
      <c r="F295" s="4"/>
      <c r="G295" s="10" t="s">
        <v>732</v>
      </c>
      <c r="H295" s="4"/>
      <c r="I295" s="10" t="str">
        <f>HYPERLINK("http://twitter.com/download/android","Twitter for Android")</f>
        <v>Twitter for Android</v>
      </c>
      <c r="J295" s="2">
        <v>487</v>
      </c>
      <c r="K295" s="2">
        <v>285</v>
      </c>
      <c r="L295" s="2">
        <v>0</v>
      </c>
      <c r="M295" s="2"/>
      <c r="N295" s="8">
        <v>42659.287210648152</v>
      </c>
      <c r="O295" s="4" t="s">
        <v>461</v>
      </c>
      <c r="P295" s="3" t="s">
        <v>2757</v>
      </c>
      <c r="Q295" s="4"/>
      <c r="R295" s="4"/>
      <c r="S295" s="9" t="str">
        <f>HYPERLINK("https://pbs.twimg.com/profile_images/1043497911605112832/TsTvRttj.jpg","View")</f>
        <v>View</v>
      </c>
    </row>
    <row r="296" spans="1:19" ht="40">
      <c r="A296" s="8">
        <v>43369.661504629628</v>
      </c>
      <c r="B296" s="11" t="str">
        <f>HYPERLINK("https://twitter.com/javadth71","@javadth71")</f>
        <v>@javadth71</v>
      </c>
      <c r="C296" s="6" t="s">
        <v>2756</v>
      </c>
      <c r="D296" s="5" t="s">
        <v>2755</v>
      </c>
      <c r="E296" s="9" t="str">
        <f>HYPERLINK("https://twitter.com/javadth71/status/1044925192311631872","1044925192311631872")</f>
        <v>1044925192311631872</v>
      </c>
      <c r="F296" s="4"/>
      <c r="G296" s="4"/>
      <c r="H296" s="4"/>
      <c r="I296" s="10" t="str">
        <f>HYPERLINK("http://twitter.com","Twitter Web Client")</f>
        <v>Twitter Web Client</v>
      </c>
      <c r="J296" s="2">
        <v>397</v>
      </c>
      <c r="K296" s="2">
        <v>373</v>
      </c>
      <c r="L296" s="2">
        <v>1</v>
      </c>
      <c r="M296" s="2"/>
      <c r="N296" s="8">
        <v>43247.751377314809</v>
      </c>
      <c r="O296" s="4" t="s">
        <v>2754</v>
      </c>
      <c r="P296" s="3" t="s">
        <v>2753</v>
      </c>
      <c r="Q296" s="4"/>
      <c r="R296" s="4"/>
      <c r="S296" s="9" t="str">
        <f>HYPERLINK("https://pbs.twimg.com/profile_images/1000870421200297990/YMaj5m6z.jpg","View")</f>
        <v>View</v>
      </c>
    </row>
    <row r="297" spans="1:19" ht="30">
      <c r="A297" s="8">
        <v>43369.660983796297</v>
      </c>
      <c r="B297" s="11" t="str">
        <f>HYPERLINK("https://twitter.com/darya07479728","@darya07479728")</f>
        <v>@darya07479728</v>
      </c>
      <c r="C297" s="6" t="s">
        <v>2752</v>
      </c>
      <c r="D297" s="5" t="s">
        <v>2559</v>
      </c>
      <c r="E297" s="9" t="str">
        <f>HYPERLINK("https://twitter.com/darya07479728/status/1044925004264222720","1044925004264222720")</f>
        <v>1044925004264222720</v>
      </c>
      <c r="F297" s="4"/>
      <c r="G297" s="10" t="s">
        <v>2558</v>
      </c>
      <c r="H297" s="4"/>
      <c r="I297" s="10" t="str">
        <f>HYPERLINK("http://twitter.com/download/iphone","Twitter for iPhone")</f>
        <v>Twitter for iPhone</v>
      </c>
      <c r="J297" s="2">
        <v>37</v>
      </c>
      <c r="K297" s="2">
        <v>148</v>
      </c>
      <c r="L297" s="2">
        <v>1</v>
      </c>
      <c r="M297" s="2"/>
      <c r="N297" s="8">
        <v>43104.843796296293</v>
      </c>
      <c r="O297" s="4"/>
      <c r="P297" s="3"/>
      <c r="Q297" s="4"/>
      <c r="R297" s="4"/>
      <c r="S297" s="9" t="str">
        <f>HYPERLINK("https://pbs.twimg.com/profile_images/951842999645982721/SC2wxA-b.jpg","View")</f>
        <v>View</v>
      </c>
    </row>
    <row r="298" spans="1:19" ht="40">
      <c r="A298" s="8">
        <v>43369.660844907412</v>
      </c>
      <c r="B298" s="11" t="str">
        <f>HYPERLINK("https://twitter.com/PedramSohrabloo","@PedramSohrabloo")</f>
        <v>@PedramSohrabloo</v>
      </c>
      <c r="C298" s="6" t="s">
        <v>2751</v>
      </c>
      <c r="D298" s="5" t="s">
        <v>2750</v>
      </c>
      <c r="E298" s="9" t="str">
        <f>HYPERLINK("https://twitter.com/PedramSohrabloo/status/1044924955346046979","1044924955346046979")</f>
        <v>1044924955346046979</v>
      </c>
      <c r="F298" s="4"/>
      <c r="G298" s="4"/>
      <c r="H298" s="4"/>
      <c r="I298" s="10" t="str">
        <f>HYPERLINK("http://twitter.com/download/android","Twitter for Android")</f>
        <v>Twitter for Android</v>
      </c>
      <c r="J298" s="2">
        <v>141</v>
      </c>
      <c r="K298" s="2">
        <v>368</v>
      </c>
      <c r="L298" s="2">
        <v>0</v>
      </c>
      <c r="M298" s="2"/>
      <c r="N298" s="8">
        <v>43258.935856481483</v>
      </c>
      <c r="O298" s="4"/>
      <c r="P298" s="3" t="s">
        <v>2749</v>
      </c>
      <c r="Q298" s="4"/>
      <c r="R298" s="4"/>
      <c r="S298" s="9" t="str">
        <f>HYPERLINK("https://pbs.twimg.com/profile_images/1004786905542688771/I1nMXsxn.jpg","View")</f>
        <v>View</v>
      </c>
    </row>
    <row r="299" spans="1:19" ht="20">
      <c r="A299" s="8">
        <v>43369.660821759258</v>
      </c>
      <c r="B299" s="11" t="str">
        <f>HYPERLINK("https://twitter.com/jamejamCPI","@jamejamCPI")</f>
        <v>@jamejamCPI</v>
      </c>
      <c r="C299" s="6" t="s">
        <v>6</v>
      </c>
      <c r="D299" s="5" t="s">
        <v>2748</v>
      </c>
      <c r="E299" s="9" t="str">
        <f>HYPERLINK("https://twitter.com/jamejamCPI/status/1044924946533822464","1044924946533822464")</f>
        <v>1044924946533822464</v>
      </c>
      <c r="F299" s="4"/>
      <c r="G299" s="10" t="s">
        <v>2747</v>
      </c>
      <c r="H299" s="4"/>
      <c r="I299" s="10" t="str">
        <f>HYPERLINK("http://twitter.com/download/android","Twitter for Android")</f>
        <v>Twitter for Android</v>
      </c>
      <c r="J299" s="2">
        <v>27090</v>
      </c>
      <c r="K299" s="2">
        <v>1410</v>
      </c>
      <c r="L299" s="2">
        <v>146</v>
      </c>
      <c r="M299" s="2"/>
      <c r="N299" s="8">
        <v>41548.76021990741</v>
      </c>
      <c r="O299" s="4" t="s">
        <v>5</v>
      </c>
      <c r="P299" s="3" t="s">
        <v>4</v>
      </c>
      <c r="Q299" s="10" t="s">
        <v>3</v>
      </c>
      <c r="R299" s="4"/>
      <c r="S299" s="9" t="str">
        <f>HYPERLINK("https://pbs.twimg.com/profile_images/1016553348819046405/PBNorYe4.jpg","View")</f>
        <v>View</v>
      </c>
    </row>
    <row r="300" spans="1:19" ht="30">
      <c r="A300" s="8">
        <v>43369.660567129627</v>
      </c>
      <c r="B300" s="11" t="str">
        <f>HYPERLINK("https://twitter.com/johncazalee","@johncazalee")</f>
        <v>@johncazalee</v>
      </c>
      <c r="C300" s="6" t="s">
        <v>2746</v>
      </c>
      <c r="D300" s="5" t="s">
        <v>2559</v>
      </c>
      <c r="E300" s="9" t="str">
        <f>HYPERLINK("https://twitter.com/johncazalee/status/1044924853319544832","1044924853319544832")</f>
        <v>1044924853319544832</v>
      </c>
      <c r="F300" s="4"/>
      <c r="G300" s="10" t="s">
        <v>2558</v>
      </c>
      <c r="H300" s="4"/>
      <c r="I300" s="10" t="str">
        <f>HYPERLINK("http://twitter.com/download/iphone","Twitter for iPhone")</f>
        <v>Twitter for iPhone</v>
      </c>
      <c r="J300" s="2">
        <v>201</v>
      </c>
      <c r="K300" s="2">
        <v>75</v>
      </c>
      <c r="L300" s="2">
        <v>0</v>
      </c>
      <c r="M300" s="2"/>
      <c r="N300" s="8">
        <v>40975.535868055558</v>
      </c>
      <c r="O300" s="4" t="s">
        <v>16</v>
      </c>
      <c r="P300" s="3" t="s">
        <v>2745</v>
      </c>
      <c r="Q300" s="4"/>
      <c r="R300" s="4"/>
      <c r="S300" s="9" t="str">
        <f>HYPERLINK("https://pbs.twimg.com/profile_images/1042760806922952705/srmhJmhx.jpg","View")</f>
        <v>View</v>
      </c>
    </row>
    <row r="301" spans="1:19" ht="20">
      <c r="A301" s="8">
        <v>43369.660555555558</v>
      </c>
      <c r="B301" s="11" t="str">
        <f>HYPERLINK("https://twitter.com/saharp1101","@saharp1101")</f>
        <v>@saharp1101</v>
      </c>
      <c r="C301" s="6" t="s">
        <v>2744</v>
      </c>
      <c r="D301" s="5" t="s">
        <v>15</v>
      </c>
      <c r="E301" s="9" t="str">
        <f>HYPERLINK("https://twitter.com/saharp1101/status/1044924849565650945","1044924849565650945")</f>
        <v>1044924849565650945</v>
      </c>
      <c r="F301" s="4"/>
      <c r="G301" s="4"/>
      <c r="H301" s="4"/>
      <c r="I301" s="10" t="str">
        <f>HYPERLINK("http://twitter.com","Twitter Web Client")</f>
        <v>Twitter Web Client</v>
      </c>
      <c r="J301" s="2">
        <v>186</v>
      </c>
      <c r="K301" s="2">
        <v>350</v>
      </c>
      <c r="L301" s="2">
        <v>0</v>
      </c>
      <c r="M301" s="2"/>
      <c r="N301" s="8">
        <v>43352.577696759261</v>
      </c>
      <c r="O301" s="4"/>
      <c r="P301" s="3" t="s">
        <v>2743</v>
      </c>
      <c r="Q301" s="4"/>
      <c r="R301" s="4"/>
      <c r="S301" s="9" t="str">
        <f>HYPERLINK("https://pbs.twimg.com/profile_images/1038727339570606080/khQf0oem.jpg","View")</f>
        <v>View</v>
      </c>
    </row>
    <row r="302" spans="1:19" ht="40">
      <c r="A302" s="8">
        <v>43369.638032407413</v>
      </c>
      <c r="B302" s="11" t="str">
        <f>HYPERLINK("https://twitter.com/SHAMLOO_1978","@SHAMLOO_1978")</f>
        <v>@SHAMLOO_1978</v>
      </c>
      <c r="C302" s="6" t="s">
        <v>2742</v>
      </c>
      <c r="D302" s="5" t="s">
        <v>2564</v>
      </c>
      <c r="E302" s="9" t="str">
        <f>HYPERLINK("https://twitter.com/SHAMLOO_1978/status/1044916686334218240","1044916686334218240")</f>
        <v>1044916686334218240</v>
      </c>
      <c r="F302" s="4"/>
      <c r="G302" s="10" t="s">
        <v>2563</v>
      </c>
      <c r="H302" s="4"/>
      <c r="I302" s="10" t="str">
        <f>HYPERLINK("http://twitter.com","Twitter Web Client")</f>
        <v>Twitter Web Client</v>
      </c>
      <c r="J302" s="2">
        <v>715</v>
      </c>
      <c r="K302" s="2">
        <v>832</v>
      </c>
      <c r="L302" s="2">
        <v>0</v>
      </c>
      <c r="M302" s="2"/>
      <c r="N302" s="8">
        <v>43263.38416666667</v>
      </c>
      <c r="O302" s="4" t="s">
        <v>428</v>
      </c>
      <c r="P302" s="3" t="s">
        <v>2741</v>
      </c>
      <c r="Q302" s="4"/>
      <c r="R302" s="4"/>
      <c r="S302" s="9" t="str">
        <f>HYPERLINK("https://pbs.twimg.com/profile_images/1028572565789335553/OlPKKG_Z.jpg","View")</f>
        <v>View</v>
      </c>
    </row>
    <row r="303" spans="1:19" ht="20">
      <c r="A303" s="8">
        <v>43369.637928240743</v>
      </c>
      <c r="B303" s="11" t="str">
        <f>HYPERLINK("https://twitter.com/yzpQI1RyS4UtUvx","@yzpQI1RyS4UtUvx")</f>
        <v>@yzpQI1RyS4UtUvx</v>
      </c>
      <c r="C303" s="6" t="s">
        <v>2740</v>
      </c>
      <c r="D303" s="5" t="s">
        <v>102</v>
      </c>
      <c r="E303" s="9" t="str">
        <f>HYPERLINK("https://twitter.com/yzpQI1RyS4UtUvx/status/1044916649940455424","1044916649940455424")</f>
        <v>1044916649940455424</v>
      </c>
      <c r="F303" s="4"/>
      <c r="G303" s="4"/>
      <c r="H303" s="4"/>
      <c r="I303" s="10" t="str">
        <f>HYPERLINK("http://twitter.com/download/android","Twitter for Android")</f>
        <v>Twitter for Android</v>
      </c>
      <c r="J303" s="2">
        <v>75</v>
      </c>
      <c r="K303" s="2">
        <v>57</v>
      </c>
      <c r="L303" s="2">
        <v>0</v>
      </c>
      <c r="M303" s="2"/>
      <c r="N303" s="8">
        <v>43220.100069444445</v>
      </c>
      <c r="O303" s="4"/>
      <c r="P303" s="3"/>
      <c r="Q303" s="4"/>
      <c r="R303" s="4"/>
      <c r="S303" s="2" t="s">
        <v>21</v>
      </c>
    </row>
    <row r="304" spans="1:19" ht="40">
      <c r="A304" s="8">
        <v>43369.637789351851</v>
      </c>
      <c r="B304" s="11" t="str">
        <f>HYPERLINK("https://twitter.com/ForceHumaniste","@ForceHumaniste")</f>
        <v>@ForceHumaniste</v>
      </c>
      <c r="C304" s="6" t="s">
        <v>2739</v>
      </c>
      <c r="D304" s="5" t="s">
        <v>2738</v>
      </c>
      <c r="E304" s="9" t="str">
        <f>HYPERLINK("https://twitter.com/ForceHumaniste/status/1044916599726198784","1044916599726198784")</f>
        <v>1044916599726198784</v>
      </c>
      <c r="F304" s="4"/>
      <c r="G304" s="10" t="s">
        <v>2732</v>
      </c>
      <c r="H304" s="4"/>
      <c r="I304" s="10" t="str">
        <f>HYPERLINK("https://twitter.com/ForceCollectiv","Retwitteuse")</f>
        <v>Retwitteuse</v>
      </c>
      <c r="J304" s="2">
        <v>553</v>
      </c>
      <c r="K304" s="2">
        <v>3055</v>
      </c>
      <c r="L304" s="2">
        <v>4</v>
      </c>
      <c r="M304" s="2"/>
      <c r="N304" s="8">
        <v>43313.747499999998</v>
      </c>
      <c r="O304" s="4" t="s">
        <v>2737</v>
      </c>
      <c r="P304" s="3" t="s">
        <v>2736</v>
      </c>
      <c r="Q304" s="10" t="s">
        <v>2735</v>
      </c>
      <c r="R304" s="4"/>
      <c r="S304" s="9" t="str">
        <f>HYPERLINK("https://pbs.twimg.com/profile_images/1025352719077437441/TJ1U9SJa.jpg","View")</f>
        <v>View</v>
      </c>
    </row>
    <row r="305" spans="1:19" ht="20">
      <c r="A305" s="8">
        <v>43369.637546296297</v>
      </c>
      <c r="B305" s="11" t="str">
        <f>HYPERLINK("https://twitter.com/mahdihadavandkh","@mahdihadavandkh")</f>
        <v>@mahdihadavandkh</v>
      </c>
      <c r="C305" s="6" t="s">
        <v>2734</v>
      </c>
      <c r="D305" s="5" t="s">
        <v>2733</v>
      </c>
      <c r="E305" s="9" t="str">
        <f>HYPERLINK("https://twitter.com/mahdihadavandkh/status/1044916509057982464","1044916509057982464")</f>
        <v>1044916509057982464</v>
      </c>
      <c r="F305" s="4"/>
      <c r="G305" s="10" t="s">
        <v>2732</v>
      </c>
      <c r="H305" s="4"/>
      <c r="I305" s="10" t="str">
        <f>HYPERLINK("https://mobile.twitter.com","Twitter Lite")</f>
        <v>Twitter Lite</v>
      </c>
      <c r="J305" s="2">
        <v>134</v>
      </c>
      <c r="K305" s="2">
        <v>138</v>
      </c>
      <c r="L305" s="2">
        <v>1</v>
      </c>
      <c r="M305" s="2"/>
      <c r="N305" s="8">
        <v>40574.103252314817</v>
      </c>
      <c r="O305" s="4" t="s">
        <v>25</v>
      </c>
      <c r="P305" s="3" t="s">
        <v>2731</v>
      </c>
      <c r="Q305" s="10" t="s">
        <v>2730</v>
      </c>
      <c r="R305" s="4"/>
      <c r="S305" s="9" t="str">
        <f>HYPERLINK("https://pbs.twimg.com/profile_images/979810023714025479/S98BK5WW.jpg","View")</f>
        <v>View</v>
      </c>
    </row>
    <row r="306" spans="1:19" ht="40">
      <c r="A306" s="8">
        <v>43369.637499999997</v>
      </c>
      <c r="B306" s="11" t="str">
        <f>HYPERLINK("https://twitter.com/m_shad55_3","@m_shad55_3")</f>
        <v>@m_shad55_3</v>
      </c>
      <c r="C306" s="6" t="s">
        <v>2729</v>
      </c>
      <c r="D306" s="5" t="s">
        <v>1473</v>
      </c>
      <c r="E306" s="9" t="str">
        <f>HYPERLINK("https://twitter.com/m_shad55_3/status/1044916492763058176","1044916492763058176")</f>
        <v>1044916492763058176</v>
      </c>
      <c r="F306" s="4"/>
      <c r="G306" s="4"/>
      <c r="H306" s="4"/>
      <c r="I306" s="10" t="str">
        <f>HYPERLINK("http://twitter.com/download/android","Twitter for Android")</f>
        <v>Twitter for Android</v>
      </c>
      <c r="J306" s="2">
        <v>1252</v>
      </c>
      <c r="K306" s="2">
        <v>2712</v>
      </c>
      <c r="L306" s="2">
        <v>0</v>
      </c>
      <c r="M306" s="2"/>
      <c r="N306" s="8">
        <v>43328.092546296291</v>
      </c>
      <c r="O306" s="4" t="s">
        <v>187</v>
      </c>
      <c r="P306" s="3" t="s">
        <v>2728</v>
      </c>
      <c r="Q306" s="4"/>
      <c r="R306" s="4"/>
      <c r="S306" s="9" t="str">
        <f>HYPERLINK("https://pbs.twimg.com/profile_images/1030560233758896131/YveNcD42.jpg","View")</f>
        <v>View</v>
      </c>
    </row>
    <row r="307" spans="1:19" ht="30">
      <c r="A307" s="8">
        <v>43369.637384259258</v>
      </c>
      <c r="B307" s="11" t="str">
        <f>HYPERLINK("https://twitter.com/nazmik2xxx","@nazmik2xxx")</f>
        <v>@nazmik2xxx</v>
      </c>
      <c r="C307" s="6" t="s">
        <v>2727</v>
      </c>
      <c r="D307" s="5" t="s">
        <v>2559</v>
      </c>
      <c r="E307" s="9" t="str">
        <f>HYPERLINK("https://twitter.com/nazmik2xxx/status/1044916451025588224","1044916451025588224")</f>
        <v>1044916451025588224</v>
      </c>
      <c r="F307" s="4"/>
      <c r="G307" s="10" t="s">
        <v>2558</v>
      </c>
      <c r="H307" s="4"/>
      <c r="I307" s="10" t="str">
        <f>HYPERLINK("http://twitter.com/download/android","Twitter for Android")</f>
        <v>Twitter for Android</v>
      </c>
      <c r="J307" s="2">
        <v>113</v>
      </c>
      <c r="K307" s="2">
        <v>83</v>
      </c>
      <c r="L307" s="2">
        <v>0</v>
      </c>
      <c r="M307" s="2"/>
      <c r="N307" s="8">
        <v>39984.772488425922</v>
      </c>
      <c r="O307" s="4"/>
      <c r="P307" s="3" t="s">
        <v>2726</v>
      </c>
      <c r="Q307" s="4"/>
      <c r="R307" s="4"/>
      <c r="S307" s="9" t="str">
        <f>HYPERLINK("https://pbs.twimg.com/profile_images/1025171641985314816/BSFBlH9I.jpg","View")</f>
        <v>View</v>
      </c>
    </row>
    <row r="308" spans="1:19" ht="30">
      <c r="A308" s="8">
        <v>43369.637280092589</v>
      </c>
      <c r="B308" s="11" t="str">
        <f>HYPERLINK("https://twitter.com/ahmadjavidan","@ahmadjavidan")</f>
        <v>@ahmadjavidan</v>
      </c>
      <c r="C308" s="6" t="s">
        <v>2725</v>
      </c>
      <c r="D308" s="5" t="s">
        <v>2559</v>
      </c>
      <c r="E308" s="9" t="str">
        <f>HYPERLINK("https://twitter.com/ahmadjavidan/status/1044916415415939072","1044916415415939072")</f>
        <v>1044916415415939072</v>
      </c>
      <c r="F308" s="4"/>
      <c r="G308" s="10" t="s">
        <v>2558</v>
      </c>
      <c r="H308" s="4"/>
      <c r="I308" s="10" t="str">
        <f>HYPERLINK("http://twitter.com/download/iphone","Twitter for iPhone")</f>
        <v>Twitter for iPhone</v>
      </c>
      <c r="J308" s="2">
        <v>547</v>
      </c>
      <c r="K308" s="2">
        <v>523</v>
      </c>
      <c r="L308" s="2">
        <v>0</v>
      </c>
      <c r="M308" s="2"/>
      <c r="N308" s="8">
        <v>43121.146493055552</v>
      </c>
      <c r="O308" s="4" t="s">
        <v>2724</v>
      </c>
      <c r="P308" s="3" t="s">
        <v>2723</v>
      </c>
      <c r="Q308" s="4"/>
      <c r="R308" s="4"/>
      <c r="S308" s="9" t="str">
        <f>HYPERLINK("https://pbs.twimg.com/profile_images/955899539868868609/dL6_-zcu.jpg","View")</f>
        <v>View</v>
      </c>
    </row>
    <row r="309" spans="1:19" ht="20">
      <c r="A309" s="8">
        <v>43369.636655092589</v>
      </c>
      <c r="B309" s="11" t="str">
        <f>HYPERLINK("https://twitter.com/shimidan_ir","@shimidan_ir")</f>
        <v>@shimidan_ir</v>
      </c>
      <c r="C309" s="6" t="s">
        <v>2722</v>
      </c>
      <c r="D309" s="5" t="s">
        <v>2721</v>
      </c>
      <c r="E309" s="9" t="str">
        <f>HYPERLINK("https://twitter.com/shimidan_ir/status/1044916187359059970","1044916187359059970")</f>
        <v>1044916187359059970</v>
      </c>
      <c r="F309" s="4"/>
      <c r="G309" s="10" t="s">
        <v>2534</v>
      </c>
      <c r="H309" s="4"/>
      <c r="I309" s="10" t="str">
        <f>HYPERLINK("http://twitter.com/download/android","Twitter for Android")</f>
        <v>Twitter for Android</v>
      </c>
      <c r="J309" s="2">
        <v>16</v>
      </c>
      <c r="K309" s="2">
        <v>110</v>
      </c>
      <c r="L309" s="2">
        <v>0</v>
      </c>
      <c r="M309" s="2"/>
      <c r="N309" s="8">
        <v>43340.398865740739</v>
      </c>
      <c r="O309" s="4" t="s">
        <v>8</v>
      </c>
      <c r="P309" s="3" t="s">
        <v>2720</v>
      </c>
      <c r="Q309" s="4"/>
      <c r="R309" s="4"/>
      <c r="S309" s="9" t="str">
        <f>HYPERLINK("https://pbs.twimg.com/profile_images/1034859312324247552/bwzXWC4r.jpg","View")</f>
        <v>View</v>
      </c>
    </row>
    <row r="310" spans="1:19" ht="30">
      <c r="A310" s="8">
        <v>43369.636446759258</v>
      </c>
      <c r="B310" s="11" t="str">
        <f>HYPERLINK("https://twitter.com/qvwhsuej_7he73n","@qvwhsuej_7he73n")</f>
        <v>@qvwhsuej_7he73n</v>
      </c>
      <c r="C310" s="6" t="s">
        <v>2719</v>
      </c>
      <c r="D310" s="5" t="s">
        <v>2559</v>
      </c>
      <c r="E310" s="9" t="str">
        <f>HYPERLINK("https://twitter.com/qvwhsuej_7he73n/status/1044916112993935361","1044916112993935361")</f>
        <v>1044916112993935361</v>
      </c>
      <c r="F310" s="4"/>
      <c r="G310" s="10" t="s">
        <v>2558</v>
      </c>
      <c r="H310" s="4"/>
      <c r="I310" s="10" t="str">
        <f>HYPERLINK("http://twitter.com/download/android","Twitter for Android")</f>
        <v>Twitter for Android</v>
      </c>
      <c r="J310" s="2">
        <v>68</v>
      </c>
      <c r="K310" s="2">
        <v>12</v>
      </c>
      <c r="L310" s="2">
        <v>0</v>
      </c>
      <c r="M310" s="2"/>
      <c r="N310" s="8">
        <v>43300.293391203704</v>
      </c>
      <c r="O310" s="4"/>
      <c r="P310" s="3" t="s">
        <v>2718</v>
      </c>
      <c r="Q310" s="4"/>
      <c r="R310" s="4"/>
      <c r="S310" s="9" t="str">
        <f>HYPERLINK("https://pbs.twimg.com/profile_images/1043532894923378689/6iz0b5RR.jpg","View")</f>
        <v>View</v>
      </c>
    </row>
    <row r="311" spans="1:19" ht="40">
      <c r="A311" s="8">
        <v>43369.636365740742</v>
      </c>
      <c r="B311" s="11" t="str">
        <f>HYPERLINK("https://twitter.com/mohammadvs1983","@mohammadvs1983")</f>
        <v>@mohammadvs1983</v>
      </c>
      <c r="C311" s="6" t="s">
        <v>2717</v>
      </c>
      <c r="D311" s="5" t="s">
        <v>1556</v>
      </c>
      <c r="E311" s="9" t="str">
        <f>HYPERLINK("https://twitter.com/mohammadvs1983/status/1044916083273158656","1044916083273158656")</f>
        <v>1044916083273158656</v>
      </c>
      <c r="F311" s="4"/>
      <c r="G311" s="4"/>
      <c r="H311" s="4"/>
      <c r="I311" s="10" t="str">
        <f>HYPERLINK("http://twitter.com/download/android","Twitter for Android")</f>
        <v>Twitter for Android</v>
      </c>
      <c r="J311" s="2">
        <v>72</v>
      </c>
      <c r="K311" s="2">
        <v>265</v>
      </c>
      <c r="L311" s="2">
        <v>0</v>
      </c>
      <c r="M311" s="2"/>
      <c r="N311" s="8">
        <v>43025.792453703703</v>
      </c>
      <c r="O311" s="4" t="s">
        <v>1</v>
      </c>
      <c r="P311" s="3" t="s">
        <v>2716</v>
      </c>
      <c r="Q311" s="4"/>
      <c r="R311" s="4"/>
      <c r="S311" s="9" t="str">
        <f>HYPERLINK("https://pbs.twimg.com/profile_images/991251291807633408/aRn_x44T.jpg","View")</f>
        <v>View</v>
      </c>
    </row>
    <row r="312" spans="1:19" ht="30">
      <c r="A312" s="8">
        <v>43369.636354166665</v>
      </c>
      <c r="B312" s="11" t="str">
        <f>HYPERLINK("https://twitter.com/MayahiMobin","@MayahiMobin")</f>
        <v>@MayahiMobin</v>
      </c>
      <c r="C312" s="6" t="s">
        <v>2715</v>
      </c>
      <c r="D312" s="5" t="s">
        <v>2559</v>
      </c>
      <c r="E312" s="9" t="str">
        <f>HYPERLINK("https://twitter.com/MayahiMobin/status/1044916081025069056","1044916081025069056")</f>
        <v>1044916081025069056</v>
      </c>
      <c r="F312" s="4"/>
      <c r="G312" s="10" t="s">
        <v>2558</v>
      </c>
      <c r="H312" s="4"/>
      <c r="I312" s="10" t="str">
        <f>HYPERLINK("http://twitter.com/download/android","Twitter for Android")</f>
        <v>Twitter for Android</v>
      </c>
      <c r="J312" s="2">
        <v>15</v>
      </c>
      <c r="K312" s="2">
        <v>63</v>
      </c>
      <c r="L312" s="2">
        <v>0</v>
      </c>
      <c r="M312" s="2"/>
      <c r="N312" s="8">
        <v>43337.733761574069</v>
      </c>
      <c r="O312" s="4"/>
      <c r="P312" s="3" t="s">
        <v>2714</v>
      </c>
      <c r="Q312" s="4"/>
      <c r="R312" s="4"/>
      <c r="S312" s="9" t="str">
        <f>HYPERLINK("https://pbs.twimg.com/profile_images/1033340842201755650/xZKKob2a.jpg","View")</f>
        <v>View</v>
      </c>
    </row>
    <row r="313" spans="1:19" ht="50">
      <c r="A313" s="8">
        <v>43369.636273148149</v>
      </c>
      <c r="B313" s="11" t="str">
        <f>HYPERLINK("https://twitter.com/MohammadVahidii","@MohammadVahidii")</f>
        <v>@MohammadVahidii</v>
      </c>
      <c r="C313" s="6" t="s">
        <v>2713</v>
      </c>
      <c r="D313" s="5" t="s">
        <v>2712</v>
      </c>
      <c r="E313" s="9" t="str">
        <f>HYPERLINK("https://twitter.com/MohammadVahidii/status/1044916047642611712","1044916047642611712")</f>
        <v>1044916047642611712</v>
      </c>
      <c r="F313" s="4"/>
      <c r="G313" s="10" t="s">
        <v>2659</v>
      </c>
      <c r="H313" s="4"/>
      <c r="I313" s="10" t="str">
        <f>HYPERLINK("http://twitter.com/download/android","Twitter for Android")</f>
        <v>Twitter for Android</v>
      </c>
      <c r="J313" s="2">
        <v>1385</v>
      </c>
      <c r="K313" s="2">
        <v>185</v>
      </c>
      <c r="L313" s="2">
        <v>7</v>
      </c>
      <c r="M313" s="2"/>
      <c r="N313" s="8">
        <v>43221.03524305555</v>
      </c>
      <c r="O313" s="4" t="s">
        <v>7</v>
      </c>
      <c r="P313" s="3" t="s">
        <v>2711</v>
      </c>
      <c r="Q313" s="10" t="s">
        <v>2710</v>
      </c>
      <c r="R313" s="4"/>
      <c r="S313" s="9" t="str">
        <f>HYPERLINK("https://pbs.twimg.com/profile_images/991054260019212288/iJQPpRhr.jpg","View")</f>
        <v>View</v>
      </c>
    </row>
    <row r="314" spans="1:19" ht="30">
      <c r="A314" s="8">
        <v>43369.636180555557</v>
      </c>
      <c r="B314" s="11" t="str">
        <f>HYPERLINK("https://twitter.com/Qasedak10","@Qasedak10")</f>
        <v>@Qasedak10</v>
      </c>
      <c r="C314" s="6" t="s">
        <v>2709</v>
      </c>
      <c r="D314" s="5" t="s">
        <v>2559</v>
      </c>
      <c r="E314" s="9" t="str">
        <f>HYPERLINK("https://twitter.com/Qasedak10/status/1044916015052795904","1044916015052795904")</f>
        <v>1044916015052795904</v>
      </c>
      <c r="F314" s="4"/>
      <c r="G314" s="10" t="s">
        <v>2558</v>
      </c>
      <c r="H314" s="4"/>
      <c r="I314" s="10" t="str">
        <f>HYPERLINK("http://twitter.com/download/android","Twitter for Android")</f>
        <v>Twitter for Android</v>
      </c>
      <c r="J314" s="2">
        <v>58</v>
      </c>
      <c r="K314" s="2">
        <v>164</v>
      </c>
      <c r="L314" s="2">
        <v>0</v>
      </c>
      <c r="M314" s="2"/>
      <c r="N314" s="8">
        <v>43347.883877314816</v>
      </c>
      <c r="O314" s="4"/>
      <c r="P314" s="3" t="s">
        <v>2708</v>
      </c>
      <c r="Q314" s="4"/>
      <c r="R314" s="4"/>
      <c r="S314" s="9" t="str">
        <f>HYPERLINK("https://pbs.twimg.com/profile_images/1037098601275711488/rU4a9orh.jpg","View")</f>
        <v>View</v>
      </c>
    </row>
    <row r="315" spans="1:19" ht="30">
      <c r="A315" s="8">
        <v>43369.636157407411</v>
      </c>
      <c r="B315" s="11" t="str">
        <f>HYPERLINK("https://twitter.com/Ljpd7x8wLOe5sZH","@Ljpd7x8wLOe5sZH")</f>
        <v>@Ljpd7x8wLOe5sZH</v>
      </c>
      <c r="C315" s="6" t="s">
        <v>2707</v>
      </c>
      <c r="D315" s="5" t="s">
        <v>2559</v>
      </c>
      <c r="E315" s="9" t="str">
        <f>HYPERLINK("https://twitter.com/Ljpd7x8wLOe5sZH/status/1044916009679949830","1044916009679949830")</f>
        <v>1044916009679949830</v>
      </c>
      <c r="F315" s="4"/>
      <c r="G315" s="10" t="s">
        <v>2558</v>
      </c>
      <c r="H315" s="4"/>
      <c r="I315" s="10" t="str">
        <f>HYPERLINK("http://twitter.com/download/android","Twitter for Android")</f>
        <v>Twitter for Android</v>
      </c>
      <c r="J315" s="2">
        <v>29</v>
      </c>
      <c r="K315" s="2">
        <v>45</v>
      </c>
      <c r="L315" s="2">
        <v>0</v>
      </c>
      <c r="M315" s="2"/>
      <c r="N315" s="8">
        <v>43366.557638888888</v>
      </c>
      <c r="O315" s="4"/>
      <c r="P315" s="3"/>
      <c r="Q315" s="4"/>
      <c r="R315" s="4"/>
      <c r="S315" s="9" t="str">
        <f>HYPERLINK("https://pbs.twimg.com/profile_images/1043805348589703168/bOM-gzw8.jpg","View")</f>
        <v>View</v>
      </c>
    </row>
    <row r="316" spans="1:19" ht="40">
      <c r="A316" s="8">
        <v>43369.635960648149</v>
      </c>
      <c r="B316" s="11" t="str">
        <f>HYPERLINK("https://twitter.com/m_zamani1362","@m_zamani1362")</f>
        <v>@m_zamani1362</v>
      </c>
      <c r="C316" s="6" t="s">
        <v>1496</v>
      </c>
      <c r="D316" s="5" t="s">
        <v>1556</v>
      </c>
      <c r="E316" s="9" t="str">
        <f>HYPERLINK("https://twitter.com/m_zamani1362/status/1044915936174788608","1044915936174788608")</f>
        <v>1044915936174788608</v>
      </c>
      <c r="F316" s="4"/>
      <c r="G316" s="4"/>
      <c r="H316" s="4"/>
      <c r="I316" s="10" t="str">
        <f>HYPERLINK("http://twitter.com/download/android","Twitter for Android")</f>
        <v>Twitter for Android</v>
      </c>
      <c r="J316" s="2">
        <v>17</v>
      </c>
      <c r="K316" s="2">
        <v>24</v>
      </c>
      <c r="L316" s="2">
        <v>0</v>
      </c>
      <c r="M316" s="2"/>
      <c r="N316" s="8">
        <v>43241.798275462963</v>
      </c>
      <c r="O316" s="4"/>
      <c r="P316" s="3" t="s">
        <v>1495</v>
      </c>
      <c r="Q316" s="4"/>
      <c r="R316" s="4"/>
      <c r="S316" s="9" t="str">
        <f>HYPERLINK("https://pbs.twimg.com/profile_images/998640443138101248/HSlW56b9.jpg","View")</f>
        <v>View</v>
      </c>
    </row>
    <row r="317" spans="1:19" ht="30">
      <c r="A317" s="8">
        <v>43369.635787037041</v>
      </c>
      <c r="B317" s="11" t="str">
        <f>HYPERLINK("https://twitter.com/Greatpersia1980","@Greatpersia1980")</f>
        <v>@Greatpersia1980</v>
      </c>
      <c r="C317" s="6" t="s">
        <v>2706</v>
      </c>
      <c r="D317" s="5" t="s">
        <v>2559</v>
      </c>
      <c r="E317" s="9" t="str">
        <f>HYPERLINK("https://twitter.com/Greatpersia1980/status/1044915871485972480","1044915871485972480")</f>
        <v>1044915871485972480</v>
      </c>
      <c r="F317" s="4"/>
      <c r="G317" s="10" t="s">
        <v>2558</v>
      </c>
      <c r="H317" s="4"/>
      <c r="I317" s="10" t="str">
        <f>HYPERLINK("http://twitter.com/download/android","Twitter for Android")</f>
        <v>Twitter for Android</v>
      </c>
      <c r="J317" s="2">
        <v>2513</v>
      </c>
      <c r="K317" s="2">
        <v>1123</v>
      </c>
      <c r="L317" s="2">
        <v>3</v>
      </c>
      <c r="M317" s="2"/>
      <c r="N317" s="8">
        <v>43242.911458333328</v>
      </c>
      <c r="O317" s="4"/>
      <c r="P317" s="3" t="s">
        <v>2705</v>
      </c>
      <c r="Q317" s="4"/>
      <c r="R317" s="4"/>
      <c r="S317" s="9" t="str">
        <f>HYPERLINK("https://pbs.twimg.com/profile_images/1039523433200025600/hRiNl3K7.jpg","View")</f>
        <v>View</v>
      </c>
    </row>
    <row r="318" spans="1:19" ht="30">
      <c r="A318" s="8">
        <v>43369.635694444441</v>
      </c>
      <c r="B318" s="11" t="str">
        <f>HYPERLINK("https://twitter.com/Mehdi___Mehri","@Mehdi___Mehri")</f>
        <v>@Mehdi___Mehri</v>
      </c>
      <c r="C318" s="6" t="s">
        <v>2704</v>
      </c>
      <c r="D318" s="5" t="s">
        <v>2703</v>
      </c>
      <c r="E318" s="9" t="str">
        <f>HYPERLINK("https://twitter.com/Mehdi___Mehri/status/1044915838388760576","1044915838388760576")</f>
        <v>1044915838388760576</v>
      </c>
      <c r="F318" s="4"/>
      <c r="G318" s="4"/>
      <c r="H318" s="4"/>
      <c r="I318" s="10" t="str">
        <f>HYPERLINK("http://twitter.com/download/android","Twitter for Android")</f>
        <v>Twitter for Android</v>
      </c>
      <c r="J318" s="2">
        <v>47</v>
      </c>
      <c r="K318" s="2">
        <v>25</v>
      </c>
      <c r="L318" s="2">
        <v>0</v>
      </c>
      <c r="M318" s="2"/>
      <c r="N318" s="8">
        <v>42914.103437500002</v>
      </c>
      <c r="O318" s="4" t="s">
        <v>7</v>
      </c>
      <c r="P318" s="3" t="s">
        <v>2702</v>
      </c>
      <c r="Q318" s="4"/>
      <c r="R318" s="4"/>
      <c r="S318" s="9" t="str">
        <f>HYPERLINK("https://pbs.twimg.com/profile_images/1040506514925084672/67cT3SnW.jpg","View")</f>
        <v>View</v>
      </c>
    </row>
    <row r="319" spans="1:19" ht="30">
      <c r="A319" s="8">
        <v>43369.635509259257</v>
      </c>
      <c r="B319" s="11" t="str">
        <f>HYPERLINK("https://twitter.com/persianfreesoul","@persianfreesoul")</f>
        <v>@persianfreesoul</v>
      </c>
      <c r="C319" s="6" t="s">
        <v>2701</v>
      </c>
      <c r="D319" s="5" t="s">
        <v>2559</v>
      </c>
      <c r="E319" s="9" t="str">
        <f>HYPERLINK("https://twitter.com/persianfreesoul/status/1044915772064055296","1044915772064055296")</f>
        <v>1044915772064055296</v>
      </c>
      <c r="F319" s="4"/>
      <c r="G319" s="10" t="s">
        <v>2558</v>
      </c>
      <c r="H319" s="4"/>
      <c r="I319" s="10" t="str">
        <f>HYPERLINK("http://twitter.com/download/iphone","Twitter for iPhone")</f>
        <v>Twitter for iPhone</v>
      </c>
      <c r="J319" s="2">
        <v>107</v>
      </c>
      <c r="K319" s="2">
        <v>73</v>
      </c>
      <c r="L319" s="2">
        <v>0</v>
      </c>
      <c r="M319" s="2"/>
      <c r="N319" s="8">
        <v>41033.919976851852</v>
      </c>
      <c r="O319" s="4"/>
      <c r="P319" s="3"/>
      <c r="Q319" s="4"/>
      <c r="R319" s="4"/>
      <c r="S319" s="9" t="str">
        <f>HYPERLINK("https://pbs.twimg.com/profile_images/1040522224086736897/_aKanpFE.jpg","View")</f>
        <v>View</v>
      </c>
    </row>
    <row r="320" spans="1:19" ht="30">
      <c r="A320" s="8">
        <v>43369.635428240741</v>
      </c>
      <c r="B320" s="11" t="str">
        <f>HYPERLINK("https://twitter.com/24041599","@24041599")</f>
        <v>@24041599</v>
      </c>
      <c r="C320" s="6" t="s">
        <v>2700</v>
      </c>
      <c r="D320" s="5" t="s">
        <v>2559</v>
      </c>
      <c r="E320" s="9" t="str">
        <f>HYPERLINK("https://twitter.com/24041599/status/1044915741827485696","1044915741827485696")</f>
        <v>1044915741827485696</v>
      </c>
      <c r="F320" s="4"/>
      <c r="G320" s="10" t="s">
        <v>2558</v>
      </c>
      <c r="H320" s="4"/>
      <c r="I320" s="10" t="str">
        <f>HYPERLINK("http://twitter.com/download/android","Twitter for Android")</f>
        <v>Twitter for Android</v>
      </c>
      <c r="J320" s="2">
        <v>3269</v>
      </c>
      <c r="K320" s="2">
        <v>3267</v>
      </c>
      <c r="L320" s="2">
        <v>2</v>
      </c>
      <c r="M320" s="2"/>
      <c r="N320" s="8">
        <v>41039.539918981478</v>
      </c>
      <c r="O320" s="4"/>
      <c r="P320" s="3" t="s">
        <v>2699</v>
      </c>
      <c r="Q320" s="4"/>
      <c r="R320" s="4"/>
      <c r="S320" s="9" t="str">
        <f>HYPERLINK("https://pbs.twimg.com/profile_images/956645504011546626/jcRtklop.jpg","View")</f>
        <v>View</v>
      </c>
    </row>
    <row r="321" spans="1:19" ht="30">
      <c r="A321" s="8">
        <v>43369.635081018518</v>
      </c>
      <c r="B321" s="11" t="str">
        <f>HYPERLINK("https://twitter.com/ashi_khaaan","@ashi_khaaan")</f>
        <v>@ashi_khaaan</v>
      </c>
      <c r="C321" s="6" t="s">
        <v>2698</v>
      </c>
      <c r="D321" s="5" t="s">
        <v>2559</v>
      </c>
      <c r="E321" s="9" t="str">
        <f>HYPERLINK("https://twitter.com/ashi_khaaan/status/1044915616472281093","1044915616472281093")</f>
        <v>1044915616472281093</v>
      </c>
      <c r="F321" s="4"/>
      <c r="G321" s="10" t="s">
        <v>2558</v>
      </c>
      <c r="H321" s="4"/>
      <c r="I321" s="10" t="str">
        <f>HYPERLINK("http://twitter.com/download/iphone","Twitter for iPhone")</f>
        <v>Twitter for iPhone</v>
      </c>
      <c r="J321" s="2">
        <v>2380</v>
      </c>
      <c r="K321" s="2">
        <v>347</v>
      </c>
      <c r="L321" s="2">
        <v>8</v>
      </c>
      <c r="M321" s="2"/>
      <c r="N321" s="8">
        <v>41976.069560185184</v>
      </c>
      <c r="O321" s="4">
        <v>21</v>
      </c>
      <c r="P321" s="3" t="s">
        <v>2697</v>
      </c>
      <c r="Q321" s="4"/>
      <c r="R321" s="4"/>
      <c r="S321" s="9" t="str">
        <f>HYPERLINK("https://pbs.twimg.com/profile_images/1043606462025621506/Cw2XTMXm.jpg","View")</f>
        <v>View</v>
      </c>
    </row>
    <row r="322" spans="1:19" ht="40">
      <c r="A322" s="8">
        <v>43369.634733796294</v>
      </c>
      <c r="B322" s="11" t="str">
        <f>HYPERLINK("https://twitter.com/DaeeHassan","@DaeeHassan")</f>
        <v>@DaeeHassan</v>
      </c>
      <c r="C322" s="6" t="s">
        <v>2077</v>
      </c>
      <c r="D322" s="5" t="s">
        <v>2685</v>
      </c>
      <c r="E322" s="9" t="str">
        <f>HYPERLINK("https://twitter.com/DaeeHassan/status/1044915492882763776","1044915492882763776")</f>
        <v>1044915492882763776</v>
      </c>
      <c r="F322" s="4"/>
      <c r="G322" s="4"/>
      <c r="H322" s="4"/>
      <c r="I322" s="10" t="str">
        <f>HYPERLINK("http://twitter.com/download/android","Twitter for Android")</f>
        <v>Twitter for Android</v>
      </c>
      <c r="J322" s="2">
        <v>1405</v>
      </c>
      <c r="K322" s="2">
        <v>1030</v>
      </c>
      <c r="L322" s="2">
        <v>1</v>
      </c>
      <c r="M322" s="2"/>
      <c r="N322" s="8">
        <v>42773.082974537036</v>
      </c>
      <c r="O322" s="4" t="s">
        <v>2075</v>
      </c>
      <c r="P322" s="3" t="s">
        <v>2074</v>
      </c>
      <c r="Q322" s="4"/>
      <c r="R322" s="4"/>
      <c r="S322" s="9" t="str">
        <f>HYPERLINK("https://pbs.twimg.com/profile_images/943173983079424000/nkx3mVMx.jpg","View")</f>
        <v>View</v>
      </c>
    </row>
    <row r="323" spans="1:19" ht="30">
      <c r="A323" s="8">
        <v>43369.634710648148</v>
      </c>
      <c r="B323" s="11" t="str">
        <f>HYPERLINK("https://twitter.com/Maryam211111","@Maryam211111")</f>
        <v>@Maryam211111</v>
      </c>
      <c r="C323" s="6" t="s">
        <v>1887</v>
      </c>
      <c r="D323" s="5" t="s">
        <v>2559</v>
      </c>
      <c r="E323" s="9" t="str">
        <f>HYPERLINK("https://twitter.com/Maryam211111/status/1044915484934770688","1044915484934770688")</f>
        <v>1044915484934770688</v>
      </c>
      <c r="F323" s="4"/>
      <c r="G323" s="10" t="s">
        <v>2558</v>
      </c>
      <c r="H323" s="4"/>
      <c r="I323" s="10" t="str">
        <f>HYPERLINK("http://twitter.com/download/android","Twitter for Android")</f>
        <v>Twitter for Android</v>
      </c>
      <c r="J323" s="2">
        <v>449</v>
      </c>
      <c r="K323" s="2">
        <v>533</v>
      </c>
      <c r="L323" s="2">
        <v>2</v>
      </c>
      <c r="M323" s="2"/>
      <c r="N323" s="8">
        <v>43295.022060185191</v>
      </c>
      <c r="O323" s="4"/>
      <c r="P323" s="3" t="s">
        <v>2696</v>
      </c>
      <c r="Q323" s="4"/>
      <c r="R323" s="4"/>
      <c r="S323" s="9" t="str">
        <f>HYPERLINK("https://pbs.twimg.com/profile_images/1030513654939172864/Gymvs9Wf.jpg","View")</f>
        <v>View</v>
      </c>
    </row>
    <row r="324" spans="1:19" ht="30">
      <c r="A324" s="8">
        <v>43369.634629629625</v>
      </c>
      <c r="B324" s="11" t="str">
        <f>HYPERLINK("https://twitter.com/sushiintokyo","@sushiintokyo")</f>
        <v>@sushiintokyo</v>
      </c>
      <c r="C324" s="6" t="s">
        <v>2695</v>
      </c>
      <c r="D324" s="5" t="s">
        <v>2559</v>
      </c>
      <c r="E324" s="9" t="str">
        <f>HYPERLINK("https://twitter.com/sushiintokyo/status/1044915454677053440","1044915454677053440")</f>
        <v>1044915454677053440</v>
      </c>
      <c r="F324" s="4"/>
      <c r="G324" s="10" t="s">
        <v>2558</v>
      </c>
      <c r="H324" s="4"/>
      <c r="I324" s="10" t="str">
        <f>HYPERLINK("http://twitter.com/download/iphone","Twitter for iPhone")</f>
        <v>Twitter for iPhone</v>
      </c>
      <c r="J324" s="2">
        <v>834</v>
      </c>
      <c r="K324" s="2">
        <v>1203</v>
      </c>
      <c r="L324" s="2">
        <v>0</v>
      </c>
      <c r="M324" s="2"/>
      <c r="N324" s="8">
        <v>43104.97855324074</v>
      </c>
      <c r="O324" s="4"/>
      <c r="P324" s="3" t="s">
        <v>2694</v>
      </c>
      <c r="Q324" s="4"/>
      <c r="R324" s="4"/>
      <c r="S324" s="9" t="str">
        <f>HYPERLINK("https://pbs.twimg.com/profile_images/1014216146797592577/Ag12EHg_.jpg","View")</f>
        <v>View</v>
      </c>
    </row>
    <row r="325" spans="1:19" ht="30">
      <c r="A325" s="8">
        <v>43369.634606481486</v>
      </c>
      <c r="B325" s="11" t="str">
        <f>HYPERLINK("https://twitter.com/soochelaa","@soochelaa")</f>
        <v>@soochelaa</v>
      </c>
      <c r="C325" s="6" t="s">
        <v>2693</v>
      </c>
      <c r="D325" s="5" t="s">
        <v>2692</v>
      </c>
      <c r="E325" s="9" t="str">
        <f>HYPERLINK("https://twitter.com/soochelaa/status/1044915445684297728","1044915445684297728")</f>
        <v>1044915445684297728</v>
      </c>
      <c r="F325" s="4"/>
      <c r="G325" s="4"/>
      <c r="H325" s="4"/>
      <c r="I325" s="10" t="str">
        <f>HYPERLINK("http://twitter.com","Twitter Web Client")</f>
        <v>Twitter Web Client</v>
      </c>
      <c r="J325" s="2">
        <v>18</v>
      </c>
      <c r="K325" s="2">
        <v>158</v>
      </c>
      <c r="L325" s="2">
        <v>0</v>
      </c>
      <c r="M325" s="2"/>
      <c r="N325" s="8">
        <v>43360.779733796298</v>
      </c>
      <c r="O325" s="4"/>
      <c r="P325" s="3"/>
      <c r="Q325" s="4"/>
      <c r="R325" s="4"/>
      <c r="S325" s="9" t="str">
        <f>HYPERLINK("https://pbs.twimg.com/profile_images/1041829807510519808/GN11kRSA.jpg","View")</f>
        <v>View</v>
      </c>
    </row>
    <row r="326" spans="1:19" ht="30">
      <c r="A326" s="8">
        <v>43369.63417824074</v>
      </c>
      <c r="B326" s="11" t="str">
        <f>HYPERLINK("https://twitter.com/Perryslily","@Perryslily")</f>
        <v>@Perryslily</v>
      </c>
      <c r="C326" s="6" t="s">
        <v>2691</v>
      </c>
      <c r="D326" s="5" t="s">
        <v>2559</v>
      </c>
      <c r="E326" s="9" t="str">
        <f>HYPERLINK("https://twitter.com/Perryslily/status/1044915289341788160","1044915289341788160")</f>
        <v>1044915289341788160</v>
      </c>
      <c r="F326" s="4"/>
      <c r="G326" s="10" t="s">
        <v>2558</v>
      </c>
      <c r="H326" s="4"/>
      <c r="I326" s="10" t="str">
        <f>HYPERLINK("http://twitter.com/download/android","Twitter for Android")</f>
        <v>Twitter for Android</v>
      </c>
      <c r="J326" s="2">
        <v>76</v>
      </c>
      <c r="K326" s="2">
        <v>32</v>
      </c>
      <c r="L326" s="2">
        <v>0</v>
      </c>
      <c r="M326" s="2"/>
      <c r="N326" s="8">
        <v>41836.645474537036</v>
      </c>
      <c r="O326" s="4"/>
      <c r="P326" s="3" t="s">
        <v>2690</v>
      </c>
      <c r="Q326" s="4"/>
      <c r="R326" s="4"/>
      <c r="S326" s="9" t="str">
        <f>HYPERLINK("https://pbs.twimg.com/profile_images/968536011247669249/PYW3Cgtd.jpg","View")</f>
        <v>View</v>
      </c>
    </row>
    <row r="327" spans="1:19" ht="40">
      <c r="A327" s="8">
        <v>43369.634155092594</v>
      </c>
      <c r="B327" s="11" t="str">
        <f>HYPERLINK("https://twitter.com/MehdiSardiny","@MehdiSardiny")</f>
        <v>@MehdiSardiny</v>
      </c>
      <c r="C327" s="6" t="s">
        <v>1633</v>
      </c>
      <c r="D327" s="5" t="s">
        <v>1556</v>
      </c>
      <c r="E327" s="9" t="str">
        <f>HYPERLINK("https://twitter.com/MehdiSardiny/status/1044915283750780928","1044915283750780928")</f>
        <v>1044915283750780928</v>
      </c>
      <c r="F327" s="4"/>
      <c r="G327" s="4"/>
      <c r="H327" s="4"/>
      <c r="I327" s="10" t="str">
        <f>HYPERLINK("http://twitter.com/download/android","Twitter for Android")</f>
        <v>Twitter for Android</v>
      </c>
      <c r="J327" s="2">
        <v>200</v>
      </c>
      <c r="K327" s="2">
        <v>900</v>
      </c>
      <c r="L327" s="2">
        <v>0</v>
      </c>
      <c r="M327" s="2"/>
      <c r="N327" s="8">
        <v>43022.639166666668</v>
      </c>
      <c r="O327" s="4"/>
      <c r="P327" s="3" t="s">
        <v>1632</v>
      </c>
      <c r="Q327" s="4"/>
      <c r="R327" s="4"/>
      <c r="S327" s="9" t="str">
        <f>HYPERLINK("https://pbs.twimg.com/profile_images/1038737904003112961/fJteU7Mw.jpg","View")</f>
        <v>View</v>
      </c>
    </row>
    <row r="328" spans="1:19" ht="30">
      <c r="A328" s="8">
        <v>43369.633981481486</v>
      </c>
      <c r="B328" s="11" t="str">
        <f>HYPERLINK("https://twitter.com/sss_khatmi","@sss_khatmi")</f>
        <v>@sss_khatmi</v>
      </c>
      <c r="C328" s="6" t="s">
        <v>2689</v>
      </c>
      <c r="D328" s="5" t="s">
        <v>2559</v>
      </c>
      <c r="E328" s="9" t="str">
        <f>HYPERLINK("https://twitter.com/sss_khatmi/status/1044915220076871680","1044915220076871680")</f>
        <v>1044915220076871680</v>
      </c>
      <c r="F328" s="4"/>
      <c r="G328" s="10" t="s">
        <v>2558</v>
      </c>
      <c r="H328" s="4"/>
      <c r="I328" s="10" t="str">
        <f>HYPERLINK("http://twitter.com/download/android","Twitter for Android")</f>
        <v>Twitter for Android</v>
      </c>
      <c r="J328" s="2">
        <v>229</v>
      </c>
      <c r="K328" s="2">
        <v>359</v>
      </c>
      <c r="L328" s="2">
        <v>0</v>
      </c>
      <c r="M328" s="2"/>
      <c r="N328" s="8">
        <v>43051.401076388887</v>
      </c>
      <c r="O328" s="4"/>
      <c r="P328" s="3" t="s">
        <v>2688</v>
      </c>
      <c r="Q328" s="4"/>
      <c r="R328" s="4"/>
      <c r="S328" s="9" t="str">
        <f>HYPERLINK("https://pbs.twimg.com/profile_images/1044238153664483328/YTB6f5nR.jpg","View")</f>
        <v>View</v>
      </c>
    </row>
    <row r="329" spans="1:19" ht="50">
      <c r="A329" s="8">
        <v>43369.633761574078</v>
      </c>
      <c r="B329" s="11" t="str">
        <f>HYPERLINK("https://twitter.com/hz_mahboobeh","@hz_mahboobeh")</f>
        <v>@hz_mahboobeh</v>
      </c>
      <c r="C329" s="6" t="s">
        <v>2687</v>
      </c>
      <c r="D329" s="5" t="s">
        <v>9</v>
      </c>
      <c r="E329" s="9" t="str">
        <f>HYPERLINK("https://twitter.com/hz_mahboobeh/status/1044915141479784448","1044915141479784448")</f>
        <v>1044915141479784448</v>
      </c>
      <c r="F329" s="4"/>
      <c r="G329" s="4"/>
      <c r="H329" s="4"/>
      <c r="I329" s="10" t="str">
        <f>HYPERLINK("http://twitter.com/download/android","Twitter for Android")</f>
        <v>Twitter for Android</v>
      </c>
      <c r="J329" s="2">
        <v>303</v>
      </c>
      <c r="K329" s="2">
        <v>185</v>
      </c>
      <c r="L329" s="2">
        <v>2</v>
      </c>
      <c r="M329" s="2"/>
      <c r="N329" s="8">
        <v>42199.450312500005</v>
      </c>
      <c r="O329" s="4"/>
      <c r="P329" s="3"/>
      <c r="Q329" s="4"/>
      <c r="R329" s="4"/>
      <c r="S329" s="9" t="str">
        <f>HYPERLINK("https://pbs.twimg.com/profile_images/946348880634847232/Z6djySyz.jpg","View")</f>
        <v>View</v>
      </c>
    </row>
    <row r="330" spans="1:19" ht="40">
      <c r="A330" s="8">
        <v>43369.633587962962</v>
      </c>
      <c r="B330" s="11" t="str">
        <f>HYPERLINK("https://twitter.com/Hamidrz41","@Hamidrz41")</f>
        <v>@Hamidrz41</v>
      </c>
      <c r="C330" s="6" t="s">
        <v>88</v>
      </c>
      <c r="D330" s="5" t="s">
        <v>1392</v>
      </c>
      <c r="E330" s="9" t="str">
        <f>HYPERLINK("https://twitter.com/Hamidrz41/status/1044915074849280006","1044915074849280006")</f>
        <v>1044915074849280006</v>
      </c>
      <c r="F330" s="4"/>
      <c r="G330" s="4"/>
      <c r="H330" s="4"/>
      <c r="I330" s="10" t="str">
        <f>HYPERLINK("http://twitter.com/download/android","Twitter for Android")</f>
        <v>Twitter for Android</v>
      </c>
      <c r="J330" s="2">
        <v>270</v>
      </c>
      <c r="K330" s="2">
        <v>267</v>
      </c>
      <c r="L330" s="2">
        <v>0</v>
      </c>
      <c r="M330" s="2"/>
      <c r="N330" s="8">
        <v>43044.022696759261</v>
      </c>
      <c r="O330" s="4"/>
      <c r="P330" s="3"/>
      <c r="Q330" s="4"/>
      <c r="R330" s="4"/>
      <c r="S330" s="9" t="str">
        <f>HYPERLINK("https://pbs.twimg.com/profile_images/947886990736920576/zwMu5Xl5.jpg","View")</f>
        <v>View</v>
      </c>
    </row>
    <row r="331" spans="1:19" ht="40">
      <c r="A331" s="8">
        <v>43369.633530092593</v>
      </c>
      <c r="B331" s="11" t="str">
        <f>HYPERLINK("https://twitter.com/saharheydari68","@saharheydari68")</f>
        <v>@saharheydari68</v>
      </c>
      <c r="C331" s="6" t="s">
        <v>2686</v>
      </c>
      <c r="D331" s="5" t="s">
        <v>2685</v>
      </c>
      <c r="E331" s="9" t="str">
        <f>HYPERLINK("https://twitter.com/saharheydari68/status/1044915053827444741","1044915053827444741")</f>
        <v>1044915053827444741</v>
      </c>
      <c r="F331" s="4"/>
      <c r="G331" s="4"/>
      <c r="H331" s="4"/>
      <c r="I331" s="10" t="str">
        <f>HYPERLINK("http://twitter.com/download/android","Twitter for Android")</f>
        <v>Twitter for Android</v>
      </c>
      <c r="J331" s="2">
        <v>786</v>
      </c>
      <c r="K331" s="2">
        <v>1624</v>
      </c>
      <c r="L331" s="2">
        <v>0</v>
      </c>
      <c r="M331" s="2"/>
      <c r="N331" s="8">
        <v>43061.865914351853</v>
      </c>
      <c r="O331" s="4"/>
      <c r="P331" s="3" t="s">
        <v>2684</v>
      </c>
      <c r="Q331" s="4"/>
      <c r="R331" s="4"/>
      <c r="S331" s="9" t="str">
        <f>HYPERLINK("https://pbs.twimg.com/profile_images/1033764045915127811/NySkwQ7M.jpg","View")</f>
        <v>View</v>
      </c>
    </row>
    <row r="332" spans="1:19" ht="30">
      <c r="A332" s="8">
        <v>43369.633391203708</v>
      </c>
      <c r="B332" s="11" t="str">
        <f>HYPERLINK("https://twitter.com/Mahdyar971","@Mahdyar971")</f>
        <v>@Mahdyar971</v>
      </c>
      <c r="C332" s="6" t="s">
        <v>2683</v>
      </c>
      <c r="D332" s="5" t="s">
        <v>2613</v>
      </c>
      <c r="E332" s="9" t="str">
        <f>HYPERLINK("https://twitter.com/Mahdyar971/status/1044915003541860353","1044915003541860353")</f>
        <v>1044915003541860353</v>
      </c>
      <c r="F332" s="4"/>
      <c r="G332" s="10" t="s">
        <v>2505</v>
      </c>
      <c r="H332" s="4"/>
      <c r="I332" s="10" t="str">
        <f>HYPERLINK("http://twitter.com/download/android","Twitter for Android")</f>
        <v>Twitter for Android</v>
      </c>
      <c r="J332" s="2">
        <v>142</v>
      </c>
      <c r="K332" s="2">
        <v>177</v>
      </c>
      <c r="L332" s="2">
        <v>0</v>
      </c>
      <c r="M332" s="2"/>
      <c r="N332" s="8">
        <v>43349.40452546296</v>
      </c>
      <c r="O332" s="4" t="s">
        <v>7</v>
      </c>
      <c r="P332" s="3" t="s">
        <v>2682</v>
      </c>
      <c r="Q332" s="4"/>
      <c r="R332" s="4"/>
      <c r="S332" s="9" t="str">
        <f>HYPERLINK("https://pbs.twimg.com/profile_images/1038073480548364288/L5puLZ6t.jpg","View")</f>
        <v>View</v>
      </c>
    </row>
    <row r="333" spans="1:19" ht="40">
      <c r="A333" s="8">
        <v>43369.633310185185</v>
      </c>
      <c r="B333" s="11" t="str">
        <f>HYPERLINK("https://twitter.com/amin2017samin","@amin2017samin")</f>
        <v>@amin2017samin</v>
      </c>
      <c r="C333" s="6" t="s">
        <v>2681</v>
      </c>
      <c r="D333" s="5" t="s">
        <v>58</v>
      </c>
      <c r="E333" s="9" t="str">
        <f>HYPERLINK("https://twitter.com/amin2017samin/status/1044914975192567810","1044914975192567810")</f>
        <v>1044914975192567810</v>
      </c>
      <c r="F333" s="4"/>
      <c r="G333" s="10" t="s">
        <v>57</v>
      </c>
      <c r="H333" s="4"/>
      <c r="I333" s="10" t="str">
        <f>HYPERLINK("http://twitter.com","Twitter Web Client")</f>
        <v>Twitter Web Client</v>
      </c>
      <c r="J333" s="2">
        <v>74</v>
      </c>
      <c r="K333" s="2">
        <v>106</v>
      </c>
      <c r="L333" s="2">
        <v>0</v>
      </c>
      <c r="M333" s="2"/>
      <c r="N333" s="8">
        <v>42844.843831018516</v>
      </c>
      <c r="O333" s="4" t="s">
        <v>73</v>
      </c>
      <c r="P333" s="3" t="s">
        <v>2680</v>
      </c>
      <c r="Q333" s="4"/>
      <c r="R333" s="4"/>
      <c r="S333" s="9" t="str">
        <f>HYPERLINK("https://pbs.twimg.com/profile_images/983432169552011269/3tRoii6b.jpg","View")</f>
        <v>View</v>
      </c>
    </row>
    <row r="334" spans="1:19" ht="20">
      <c r="A334" s="8">
        <v>43369.633240740739</v>
      </c>
      <c r="B334" s="11" t="str">
        <f>HYPERLINK("https://twitter.com/masoudghasemii","@masoudghasemii")</f>
        <v>@masoudghasemii</v>
      </c>
      <c r="C334" s="6" t="s">
        <v>2679</v>
      </c>
      <c r="D334" s="5" t="s">
        <v>2678</v>
      </c>
      <c r="E334" s="9" t="str">
        <f>HYPERLINK("https://twitter.com/masoudghasemii/status/1044914948839788545","1044914948839788545")</f>
        <v>1044914948839788545</v>
      </c>
      <c r="F334" s="4"/>
      <c r="G334" s="4"/>
      <c r="H334" s="4"/>
      <c r="I334" s="10" t="str">
        <f>HYPERLINK("http://twitter.com/download/android","Twitter for Android")</f>
        <v>Twitter for Android</v>
      </c>
      <c r="J334" s="2">
        <v>108</v>
      </c>
      <c r="K334" s="2">
        <v>105</v>
      </c>
      <c r="L334" s="2">
        <v>0</v>
      </c>
      <c r="M334" s="2"/>
      <c r="N334" s="8">
        <v>42758.468032407407</v>
      </c>
      <c r="O334" s="4" t="s">
        <v>2677</v>
      </c>
      <c r="P334" s="3" t="s">
        <v>2676</v>
      </c>
      <c r="Q334" s="4"/>
      <c r="R334" s="4"/>
      <c r="S334" s="9" t="str">
        <f>HYPERLINK("https://pbs.twimg.com/profile_images/836260438472077312/XazeB4To.jpg","View")</f>
        <v>View</v>
      </c>
    </row>
    <row r="335" spans="1:19" ht="30">
      <c r="A335" s="8">
        <v>43369.632974537039</v>
      </c>
      <c r="B335" s="11" t="str">
        <f>HYPERLINK("https://twitter.com/hkeyghobadi","@hkeyghobadi")</f>
        <v>@hkeyghobadi</v>
      </c>
      <c r="C335" s="6" t="s">
        <v>2675</v>
      </c>
      <c r="D335" s="5" t="s">
        <v>2613</v>
      </c>
      <c r="E335" s="9" t="str">
        <f>HYPERLINK("https://twitter.com/hkeyghobadi/status/1044914852517548032","1044914852517548032")</f>
        <v>1044914852517548032</v>
      </c>
      <c r="F335" s="4"/>
      <c r="G335" s="10" t="s">
        <v>2505</v>
      </c>
      <c r="H335" s="4"/>
      <c r="I335" s="10" t="str">
        <f>HYPERLINK("http://twitter.com/download/android","Twitter for Android")</f>
        <v>Twitter for Android</v>
      </c>
      <c r="J335" s="2">
        <v>2224</v>
      </c>
      <c r="K335" s="2">
        <v>2529</v>
      </c>
      <c r="L335" s="2">
        <v>4</v>
      </c>
      <c r="M335" s="2"/>
      <c r="N335" s="8">
        <v>42592.096886574072</v>
      </c>
      <c r="O335" s="4" t="s">
        <v>77</v>
      </c>
      <c r="P335" s="3" t="s">
        <v>2674</v>
      </c>
      <c r="Q335" s="4"/>
      <c r="R335" s="4"/>
      <c r="S335" s="9" t="str">
        <f>HYPERLINK("https://pbs.twimg.com/profile_images/977645727466905601/GQLdcaMJ.jpg","View")</f>
        <v>View</v>
      </c>
    </row>
    <row r="336" spans="1:19" ht="40">
      <c r="A336" s="8">
        <v>43369.632731481484</v>
      </c>
      <c r="B336" s="11" t="str">
        <f>HYPERLINK("https://twitter.com/mahdieh__a","@mahdieh__a")</f>
        <v>@mahdieh__a</v>
      </c>
      <c r="C336" s="6" t="s">
        <v>2673</v>
      </c>
      <c r="D336" s="5" t="s">
        <v>1548</v>
      </c>
      <c r="E336" s="9" t="str">
        <f>HYPERLINK("https://twitter.com/mahdieh__a/status/1044914764902813696","1044914764902813696")</f>
        <v>1044914764902813696</v>
      </c>
      <c r="F336" s="4"/>
      <c r="G336" s="4"/>
      <c r="H336" s="4"/>
      <c r="I336" s="10" t="str">
        <f>HYPERLINK("http://twitter.com/download/iphone","Twitter for iPhone")</f>
        <v>Twitter for iPhone</v>
      </c>
      <c r="J336" s="2">
        <v>824</v>
      </c>
      <c r="K336" s="2">
        <v>662</v>
      </c>
      <c r="L336" s="2">
        <v>0</v>
      </c>
      <c r="M336" s="2"/>
      <c r="N336" s="8">
        <v>43119.842465277776</v>
      </c>
      <c r="O336" s="4"/>
      <c r="P336" s="3" t="s">
        <v>2672</v>
      </c>
      <c r="Q336" s="4"/>
      <c r="R336" s="4"/>
      <c r="S336" s="9" t="str">
        <f>HYPERLINK("https://pbs.twimg.com/profile_images/1039185543442116609/-N9fsx3R.jpg","View")</f>
        <v>View</v>
      </c>
    </row>
    <row r="337" spans="1:19" ht="30">
      <c r="A337" s="8">
        <v>43369.632627314815</v>
      </c>
      <c r="B337" s="11" t="str">
        <f>HYPERLINK("https://twitter.com/maryammm7854","@maryammm7854")</f>
        <v>@maryammm7854</v>
      </c>
      <c r="C337" s="6" t="s">
        <v>2671</v>
      </c>
      <c r="D337" s="5" t="s">
        <v>2559</v>
      </c>
      <c r="E337" s="9" t="str">
        <f>HYPERLINK("https://twitter.com/maryammm7854/status/1044914730324770816","1044914730324770816")</f>
        <v>1044914730324770816</v>
      </c>
      <c r="F337" s="4"/>
      <c r="G337" s="10" t="s">
        <v>2558</v>
      </c>
      <c r="H337" s="4"/>
      <c r="I337" s="10" t="str">
        <f>HYPERLINK("http://twitter.com","Twitter Web Client")</f>
        <v>Twitter Web Client</v>
      </c>
      <c r="J337" s="2">
        <v>10</v>
      </c>
      <c r="K337" s="2">
        <v>65</v>
      </c>
      <c r="L337" s="2">
        <v>0</v>
      </c>
      <c r="M337" s="2"/>
      <c r="N337" s="8">
        <v>43337.507951388892</v>
      </c>
      <c r="O337" s="4"/>
      <c r="P337" s="3"/>
      <c r="Q337" s="4"/>
      <c r="R337" s="4"/>
      <c r="S337" s="2" t="s">
        <v>21</v>
      </c>
    </row>
    <row r="338" spans="1:19" ht="30">
      <c r="A338" s="8">
        <v>43369.632476851853</v>
      </c>
      <c r="B338" s="11" t="str">
        <f>HYPERLINK("https://twitter.com/mimsin12","@mimsin12")</f>
        <v>@mimsin12</v>
      </c>
      <c r="C338" s="6" t="s">
        <v>2670</v>
      </c>
      <c r="D338" s="5" t="s">
        <v>2559</v>
      </c>
      <c r="E338" s="9" t="str">
        <f>HYPERLINK("https://twitter.com/mimsin12/status/1044914672355495936","1044914672355495936")</f>
        <v>1044914672355495936</v>
      </c>
      <c r="F338" s="4"/>
      <c r="G338" s="10" t="s">
        <v>2558</v>
      </c>
      <c r="H338" s="4"/>
      <c r="I338" s="10" t="str">
        <f>HYPERLINK("http://twitter.com/download/android","Twitter for Android")</f>
        <v>Twitter for Android</v>
      </c>
      <c r="J338" s="2">
        <v>14</v>
      </c>
      <c r="K338" s="2">
        <v>17</v>
      </c>
      <c r="L338" s="2">
        <v>0</v>
      </c>
      <c r="M338" s="2"/>
      <c r="N338" s="8">
        <v>43367.71975694444</v>
      </c>
      <c r="O338" s="4"/>
      <c r="P338" s="3"/>
      <c r="Q338" s="4"/>
      <c r="R338" s="4"/>
      <c r="S338" s="9" t="str">
        <f>HYPERLINK("https://pbs.twimg.com/profile_images/1044226904264445954/wlM_AMzS.jpg","View")</f>
        <v>View</v>
      </c>
    </row>
    <row r="339" spans="1:19" ht="30">
      <c r="A339" s="8">
        <v>43369.632361111115</v>
      </c>
      <c r="B339" s="11" t="str">
        <f>HYPERLINK("https://twitter.com/raghsan","@raghsan")</f>
        <v>@raghsan</v>
      </c>
      <c r="C339" s="6" t="s">
        <v>2669</v>
      </c>
      <c r="D339" s="5" t="s">
        <v>2559</v>
      </c>
      <c r="E339" s="9" t="str">
        <f>HYPERLINK("https://twitter.com/raghsan/status/1044914631909814272","1044914631909814272")</f>
        <v>1044914631909814272</v>
      </c>
      <c r="F339" s="4"/>
      <c r="G339" s="10" t="s">
        <v>2558</v>
      </c>
      <c r="H339" s="4"/>
      <c r="I339" s="10" t="str">
        <f>HYPERLINK("http://twitter.com/download/android","Twitter for Android")</f>
        <v>Twitter for Android</v>
      </c>
      <c r="J339" s="2">
        <v>69</v>
      </c>
      <c r="K339" s="2">
        <v>344</v>
      </c>
      <c r="L339" s="2">
        <v>0</v>
      </c>
      <c r="M339" s="2"/>
      <c r="N339" s="8">
        <v>43209.51295138889</v>
      </c>
      <c r="O339" s="4"/>
      <c r="P339" s="3"/>
      <c r="Q339" s="4"/>
      <c r="R339" s="4"/>
      <c r="S339" s="9" t="str">
        <f>HYPERLINK("https://pbs.twimg.com/profile_images/998673047119806464/hgTpSFdG.jpg","View")</f>
        <v>View</v>
      </c>
    </row>
    <row r="340" spans="1:19" ht="30">
      <c r="A340" s="8">
        <v>43369.632361111115</v>
      </c>
      <c r="B340" s="11" t="str">
        <f>HYPERLINK("https://twitter.com/M3hdiii_N","@M3hdiii_N")</f>
        <v>@M3hdiii_N</v>
      </c>
      <c r="C340" s="6" t="s">
        <v>720</v>
      </c>
      <c r="D340" s="5" t="s">
        <v>2559</v>
      </c>
      <c r="E340" s="9" t="str">
        <f>HYPERLINK("https://twitter.com/M3hdiii_N/status/1044914630399643648","1044914630399643648")</f>
        <v>1044914630399643648</v>
      </c>
      <c r="F340" s="4"/>
      <c r="G340" s="10" t="s">
        <v>2558</v>
      </c>
      <c r="H340" s="4"/>
      <c r="I340" s="10" t="str">
        <f>HYPERLINK("http://twitter.com/download/android","Twitter for Android")</f>
        <v>Twitter for Android</v>
      </c>
      <c r="J340" s="2">
        <v>1028</v>
      </c>
      <c r="K340" s="2">
        <v>1598</v>
      </c>
      <c r="L340" s="2">
        <v>3</v>
      </c>
      <c r="M340" s="2"/>
      <c r="N340" s="8">
        <v>41505.995856481481</v>
      </c>
      <c r="O340" s="4" t="s">
        <v>718</v>
      </c>
      <c r="P340" s="3" t="s">
        <v>717</v>
      </c>
      <c r="Q340" s="10" t="s">
        <v>716</v>
      </c>
      <c r="R340" s="4"/>
      <c r="S340" s="9" t="str">
        <f>HYPERLINK("https://pbs.twimg.com/profile_images/1013548988329611266/dNLGCLaP.jpg","View")</f>
        <v>View</v>
      </c>
    </row>
    <row r="341" spans="1:19" ht="30">
      <c r="A341" s="8">
        <v>43369.631898148145</v>
      </c>
      <c r="B341" s="11" t="str">
        <f>HYPERLINK("https://twitter.com/Mega_Mind_A","@Mega_Mind_A")</f>
        <v>@Mega_Mind_A</v>
      </c>
      <c r="C341" s="6" t="s">
        <v>2668</v>
      </c>
      <c r="D341" s="5" t="s">
        <v>2559</v>
      </c>
      <c r="E341" s="9" t="str">
        <f>HYPERLINK("https://twitter.com/Mega_Mind_A/status/1044914463810486272","1044914463810486272")</f>
        <v>1044914463810486272</v>
      </c>
      <c r="F341" s="4"/>
      <c r="G341" s="10" t="s">
        <v>2558</v>
      </c>
      <c r="H341" s="4"/>
      <c r="I341" s="10" t="str">
        <f>HYPERLINK("http://twitter.com/download/android","Twitter for Android")</f>
        <v>Twitter for Android</v>
      </c>
      <c r="J341" s="2">
        <v>93</v>
      </c>
      <c r="K341" s="2">
        <v>132</v>
      </c>
      <c r="L341" s="2">
        <v>0</v>
      </c>
      <c r="M341" s="2"/>
      <c r="N341" s="8">
        <v>43225.61855324074</v>
      </c>
      <c r="O341" s="4"/>
      <c r="P341" s="3" t="s">
        <v>2667</v>
      </c>
      <c r="Q341" s="4"/>
      <c r="R341" s="4"/>
      <c r="S341" s="9" t="str">
        <f>HYPERLINK("https://pbs.twimg.com/profile_images/992713574727503872/TYvMp9I1.jpg","View")</f>
        <v>View</v>
      </c>
    </row>
    <row r="342" spans="1:19" ht="30">
      <c r="A342" s="8">
        <v>43369.631851851853</v>
      </c>
      <c r="B342" s="11" t="str">
        <f>HYPERLINK("https://twitter.com/estiiven2000","@estiiven2000")</f>
        <v>@estiiven2000</v>
      </c>
      <c r="C342" s="6" t="s">
        <v>2666</v>
      </c>
      <c r="D342" s="5" t="s">
        <v>2559</v>
      </c>
      <c r="E342" s="9" t="str">
        <f>HYPERLINK("https://twitter.com/estiiven2000/status/1044914449491087363","1044914449491087363")</f>
        <v>1044914449491087363</v>
      </c>
      <c r="F342" s="4"/>
      <c r="G342" s="10" t="s">
        <v>2558</v>
      </c>
      <c r="H342" s="4"/>
      <c r="I342" s="10" t="str">
        <f>HYPERLINK("http://twitter.com/download/android","Twitter for Android")</f>
        <v>Twitter for Android</v>
      </c>
      <c r="J342" s="2">
        <v>1340</v>
      </c>
      <c r="K342" s="2">
        <v>180</v>
      </c>
      <c r="L342" s="2">
        <v>1</v>
      </c>
      <c r="M342" s="2"/>
      <c r="N342" s="8">
        <v>42718.850972222222</v>
      </c>
      <c r="O342" s="4" t="s">
        <v>2665</v>
      </c>
      <c r="P342" s="3" t="s">
        <v>2664</v>
      </c>
      <c r="Q342" s="4"/>
      <c r="R342" s="4"/>
      <c r="S342" s="9" t="str">
        <f>HYPERLINK("https://pbs.twimg.com/profile_images/1044892563545739270/JwHB-kca.jpg","View")</f>
        <v>View</v>
      </c>
    </row>
    <row r="343" spans="1:19" ht="30">
      <c r="A343" s="8">
        <v>43369.631851851853</v>
      </c>
      <c r="B343" s="11" t="str">
        <f>HYPERLINK("https://twitter.com/Rebelzebel","@Rebelzebel")</f>
        <v>@Rebelzebel</v>
      </c>
      <c r="C343" s="6" t="s">
        <v>2663</v>
      </c>
      <c r="D343" s="5" t="s">
        <v>2559</v>
      </c>
      <c r="E343" s="9" t="str">
        <f>HYPERLINK("https://twitter.com/Rebelzebel/status/1044914446945017856","1044914446945017856")</f>
        <v>1044914446945017856</v>
      </c>
      <c r="F343" s="4"/>
      <c r="G343" s="10" t="s">
        <v>2558</v>
      </c>
      <c r="H343" s="4"/>
      <c r="I343" s="10" t="str">
        <f>HYPERLINK("http://twitter.com/download/iphone","Twitter for iPhone")</f>
        <v>Twitter for iPhone</v>
      </c>
      <c r="J343" s="2">
        <v>216</v>
      </c>
      <c r="K343" s="2">
        <v>515</v>
      </c>
      <c r="L343" s="2">
        <v>0</v>
      </c>
      <c r="M343" s="2"/>
      <c r="N343" s="8">
        <v>43204.747939814813</v>
      </c>
      <c r="O343" s="4"/>
      <c r="P343" s="3" t="s">
        <v>2662</v>
      </c>
      <c r="Q343" s="4"/>
      <c r="R343" s="4"/>
      <c r="S343" s="9" t="str">
        <f>HYPERLINK("https://pbs.twimg.com/profile_images/985149207119060993/zop4XIQ8.jpg","View")</f>
        <v>View</v>
      </c>
    </row>
    <row r="344" spans="1:19" ht="40">
      <c r="A344" s="8">
        <v>43369.631631944445</v>
      </c>
      <c r="B344" s="11" t="str">
        <f>HYPERLINK("https://twitter.com/sadeq_hosseini","@sadeq_hosseini")</f>
        <v>@sadeq_hosseini</v>
      </c>
      <c r="C344" s="6" t="s">
        <v>2661</v>
      </c>
      <c r="D344" s="5" t="s">
        <v>2660</v>
      </c>
      <c r="E344" s="9" t="str">
        <f>HYPERLINK("https://twitter.com/sadeq_hosseini/status/1044914367651811328","1044914367651811328")</f>
        <v>1044914367651811328</v>
      </c>
      <c r="F344" s="4"/>
      <c r="G344" s="10" t="s">
        <v>2659</v>
      </c>
      <c r="H344" s="4"/>
      <c r="I344" s="10" t="str">
        <f>HYPERLINK("http://twitter.com/download/iphone","Twitter for iPhone")</f>
        <v>Twitter for iPhone</v>
      </c>
      <c r="J344" s="2">
        <v>4320</v>
      </c>
      <c r="K344" s="2">
        <v>259</v>
      </c>
      <c r="L344" s="2">
        <v>50</v>
      </c>
      <c r="M344" s="2"/>
      <c r="N344" s="8">
        <v>41468.055902777778</v>
      </c>
      <c r="O344" s="4" t="s">
        <v>2658</v>
      </c>
      <c r="P344" s="3" t="s">
        <v>2657</v>
      </c>
      <c r="Q344" s="10" t="s">
        <v>2656</v>
      </c>
      <c r="R344" s="4"/>
      <c r="S344" s="9" t="str">
        <f>HYPERLINK("https://pbs.twimg.com/profile_images/1043544142331006976/P1IrTysb.jpg","View")</f>
        <v>View</v>
      </c>
    </row>
    <row r="345" spans="1:19" ht="30">
      <c r="A345" s="8">
        <v>43369.631504629629</v>
      </c>
      <c r="B345" s="11" t="str">
        <f>HYPERLINK("https://twitter.com/GirlFromSun2","@GirlFromSun2")</f>
        <v>@GirlFromSun2</v>
      </c>
      <c r="C345" s="6" t="s">
        <v>2655</v>
      </c>
      <c r="D345" s="5" t="s">
        <v>2559</v>
      </c>
      <c r="E345" s="9" t="str">
        <f>HYPERLINK("https://twitter.com/GirlFromSun2/status/1044914320038133760","1044914320038133760")</f>
        <v>1044914320038133760</v>
      </c>
      <c r="F345" s="4"/>
      <c r="G345" s="10" t="s">
        <v>2558</v>
      </c>
      <c r="H345" s="4"/>
      <c r="I345" s="10" t="str">
        <f>HYPERLINK("http://twitter.com/download/android","Twitter for Android")</f>
        <v>Twitter for Android</v>
      </c>
      <c r="J345" s="2">
        <v>400</v>
      </c>
      <c r="K345" s="2">
        <v>1129</v>
      </c>
      <c r="L345" s="2">
        <v>0</v>
      </c>
      <c r="M345" s="2"/>
      <c r="N345" s="8">
        <v>43348.836284722223</v>
      </c>
      <c r="O345" s="4" t="s">
        <v>7</v>
      </c>
      <c r="P345" s="3" t="s">
        <v>2654</v>
      </c>
      <c r="Q345" s="4"/>
      <c r="R345" s="4"/>
      <c r="S345" s="9" t="str">
        <f>HYPERLINK("https://pbs.twimg.com/profile_images/1037410112347021314/Zu5HbPnA.jpg","View")</f>
        <v>View</v>
      </c>
    </row>
    <row r="346" spans="1:19" ht="40">
      <c r="A346" s="8">
        <v>43369.630868055552</v>
      </c>
      <c r="B346" s="11" t="str">
        <f>HYPERLINK("https://twitter.com/Zahra08129782","@Zahra08129782")</f>
        <v>@Zahra08129782</v>
      </c>
      <c r="C346" s="6" t="s">
        <v>2653</v>
      </c>
      <c r="D346" s="5" t="s">
        <v>72</v>
      </c>
      <c r="E346" s="9" t="str">
        <f>HYPERLINK("https://twitter.com/Zahra08129782/status/1044914091649904640","1044914091649904640")</f>
        <v>1044914091649904640</v>
      </c>
      <c r="F346" s="4"/>
      <c r="G346" s="4"/>
      <c r="H346" s="4"/>
      <c r="I346" s="10" t="str">
        <f>HYPERLINK("http://twitter.com/download/android","Twitter for Android")</f>
        <v>Twitter for Android</v>
      </c>
      <c r="J346" s="2">
        <v>14</v>
      </c>
      <c r="K346" s="2">
        <v>1</v>
      </c>
      <c r="L346" s="2">
        <v>0</v>
      </c>
      <c r="M346" s="2"/>
      <c r="N346" s="8">
        <v>43358.740312499998</v>
      </c>
      <c r="O346" s="4"/>
      <c r="P346" s="3" t="s">
        <v>2652</v>
      </c>
      <c r="Q346" s="4"/>
      <c r="R346" s="4"/>
      <c r="S346" s="9" t="str">
        <f>HYPERLINK("https://pbs.twimg.com/profile_images/1041366984032772096/IwfwtLKK.jpg","View")</f>
        <v>View</v>
      </c>
    </row>
    <row r="347" spans="1:19" ht="30">
      <c r="A347" s="8">
        <v>43369.630868055552</v>
      </c>
      <c r="B347" s="11" t="str">
        <f>HYPERLINK("https://twitter.com/iranjaviidan","@iranjaviidan")</f>
        <v>@iranjaviidan</v>
      </c>
      <c r="C347" s="6" t="s">
        <v>2651</v>
      </c>
      <c r="D347" s="5" t="s">
        <v>2559</v>
      </c>
      <c r="E347" s="9" t="str">
        <f>HYPERLINK("https://twitter.com/iranjaviidan/status/1044914089171070978","1044914089171070978")</f>
        <v>1044914089171070978</v>
      </c>
      <c r="F347" s="4"/>
      <c r="G347" s="10" t="s">
        <v>2558</v>
      </c>
      <c r="H347" s="4"/>
      <c r="I347" s="10" t="str">
        <f>HYPERLINK("http://twitter.com/download/android","Twitter for Android")</f>
        <v>Twitter for Android</v>
      </c>
      <c r="J347" s="2">
        <v>475</v>
      </c>
      <c r="K347" s="2">
        <v>364</v>
      </c>
      <c r="L347" s="2">
        <v>1</v>
      </c>
      <c r="M347" s="2"/>
      <c r="N347" s="8">
        <v>43127.93236111111</v>
      </c>
      <c r="O347" s="4"/>
      <c r="P347" s="3"/>
      <c r="Q347" s="4"/>
      <c r="R347" s="4"/>
      <c r="S347" s="9" t="str">
        <f>HYPERLINK("https://pbs.twimg.com/profile_images/1037655912180137984/pM3teOOh.jpg","View")</f>
        <v>View</v>
      </c>
    </row>
    <row r="348" spans="1:19" ht="30">
      <c r="A348" s="8">
        <v>43369.630856481483</v>
      </c>
      <c r="B348" s="11" t="str">
        <f>HYPERLINK("https://twitter.com/PesareIran79","@PesareIran79")</f>
        <v>@PesareIran79</v>
      </c>
      <c r="C348" s="6" t="s">
        <v>2650</v>
      </c>
      <c r="D348" s="5" t="s">
        <v>2559</v>
      </c>
      <c r="E348" s="9" t="str">
        <f>HYPERLINK("https://twitter.com/PesareIran79/status/1044914087455543297","1044914087455543297")</f>
        <v>1044914087455543297</v>
      </c>
      <c r="F348" s="4"/>
      <c r="G348" s="10" t="s">
        <v>2558</v>
      </c>
      <c r="H348" s="4"/>
      <c r="I348" s="10" t="str">
        <f>HYPERLINK("http://twitter.com/download/iphone","Twitter for iPhone")</f>
        <v>Twitter for iPhone</v>
      </c>
      <c r="J348" s="2">
        <v>368</v>
      </c>
      <c r="K348" s="2">
        <v>681</v>
      </c>
      <c r="L348" s="2">
        <v>0</v>
      </c>
      <c r="M348" s="2"/>
      <c r="N348" s="8">
        <v>43109.531423611115</v>
      </c>
      <c r="O348" s="4" t="s">
        <v>101</v>
      </c>
      <c r="P348" s="3" t="s">
        <v>2649</v>
      </c>
      <c r="Q348" s="4"/>
      <c r="R348" s="4"/>
      <c r="S348" s="9" t="str">
        <f>HYPERLINK("https://pbs.twimg.com/profile_images/999682809600950273/LMkqX5eh.jpg","View")</f>
        <v>View</v>
      </c>
    </row>
    <row r="349" spans="1:19" ht="30">
      <c r="A349" s="8">
        <v>43369.630775462967</v>
      </c>
      <c r="B349" s="11" t="str">
        <f>HYPERLINK("https://twitter.com/Jason__Momoa","@Jason__Momoa")</f>
        <v>@Jason__Momoa</v>
      </c>
      <c r="C349" s="6" t="s">
        <v>2648</v>
      </c>
      <c r="D349" s="5" t="s">
        <v>2559</v>
      </c>
      <c r="E349" s="9" t="str">
        <f>HYPERLINK("https://twitter.com/Jason__Momoa/status/1044914055327207424","1044914055327207424")</f>
        <v>1044914055327207424</v>
      </c>
      <c r="F349" s="4"/>
      <c r="G349" s="10" t="s">
        <v>2558</v>
      </c>
      <c r="H349" s="4"/>
      <c r="I349" s="10" t="str">
        <f>HYPERLINK("http://twitter.com/download/android","Twitter for Android")</f>
        <v>Twitter for Android</v>
      </c>
      <c r="J349" s="2">
        <v>3224</v>
      </c>
      <c r="K349" s="2">
        <v>2829</v>
      </c>
      <c r="L349" s="2">
        <v>3</v>
      </c>
      <c r="M349" s="2"/>
      <c r="N349" s="8">
        <v>42912.719097222223</v>
      </c>
      <c r="O349" s="4" t="s">
        <v>2647</v>
      </c>
      <c r="P349" s="3" t="s">
        <v>2646</v>
      </c>
      <c r="Q349" s="4"/>
      <c r="R349" s="4"/>
      <c r="S349" s="9" t="str">
        <f>HYPERLINK("https://pbs.twimg.com/profile_images/1026753449789202432/5Q4S-FD2.jpg","View")</f>
        <v>View</v>
      </c>
    </row>
    <row r="350" spans="1:19" ht="30">
      <c r="A350" s="8">
        <v>43369.630706018521</v>
      </c>
      <c r="B350" s="11" t="str">
        <f>HYPERLINK("https://twitter.com/vahidyar7","@vahidyar7")</f>
        <v>@vahidyar7</v>
      </c>
      <c r="C350" s="6" t="s">
        <v>521</v>
      </c>
      <c r="D350" s="5" t="s">
        <v>2559</v>
      </c>
      <c r="E350" s="9" t="str">
        <f>HYPERLINK("https://twitter.com/vahidyar7/status/1044914032904425477","1044914032904425477")</f>
        <v>1044914032904425477</v>
      </c>
      <c r="F350" s="4"/>
      <c r="G350" s="10" t="s">
        <v>2558</v>
      </c>
      <c r="H350" s="4"/>
      <c r="I350" s="10" t="str">
        <f>HYPERLINK("http://twitter.com/download/android","Twitter for Android")</f>
        <v>Twitter for Android</v>
      </c>
      <c r="J350" s="2">
        <v>155</v>
      </c>
      <c r="K350" s="2">
        <v>188</v>
      </c>
      <c r="L350" s="2">
        <v>0</v>
      </c>
      <c r="M350" s="2"/>
      <c r="N350" s="8">
        <v>41970.720810185187</v>
      </c>
      <c r="O350" s="4"/>
      <c r="P350" s="3"/>
      <c r="Q350" s="4"/>
      <c r="R350" s="4"/>
      <c r="S350" s="9" t="str">
        <f>HYPERLINK("https://pbs.twimg.com/profile_images/717230133355159552/g5vSFxoA.jpg","View")</f>
        <v>View</v>
      </c>
    </row>
    <row r="351" spans="1:19" ht="30">
      <c r="A351" s="8">
        <v>43369.630555555559</v>
      </c>
      <c r="B351" s="11" t="str">
        <f>HYPERLINK("https://twitter.com/barandazim","@barandazim")</f>
        <v>@barandazim</v>
      </c>
      <c r="C351" s="6" t="s">
        <v>2645</v>
      </c>
      <c r="D351" s="5" t="s">
        <v>2559</v>
      </c>
      <c r="E351" s="9" t="str">
        <f>HYPERLINK("https://twitter.com/barandazim/status/1044913976100831232","1044913976100831232")</f>
        <v>1044913976100831232</v>
      </c>
      <c r="F351" s="4"/>
      <c r="G351" s="10" t="s">
        <v>2558</v>
      </c>
      <c r="H351" s="4"/>
      <c r="I351" s="10" t="str">
        <f>HYPERLINK("http://twitter.com/download/android","Twitter for Android")</f>
        <v>Twitter for Android</v>
      </c>
      <c r="J351" s="2">
        <v>1825</v>
      </c>
      <c r="K351" s="2">
        <v>1784</v>
      </c>
      <c r="L351" s="2">
        <v>0</v>
      </c>
      <c r="M351" s="2"/>
      <c r="N351" s="8">
        <v>42876.017083333332</v>
      </c>
      <c r="O351" s="4" t="s">
        <v>2644</v>
      </c>
      <c r="P351" s="3" t="s">
        <v>2643</v>
      </c>
      <c r="Q351" s="4"/>
      <c r="R351" s="4"/>
      <c r="S351" s="9" t="str">
        <f>HYPERLINK("https://pbs.twimg.com/profile_images/1016540094700965888/XHavVql1.jpg","View")</f>
        <v>View</v>
      </c>
    </row>
    <row r="352" spans="1:19" ht="30">
      <c r="A352" s="8">
        <v>43369.629756944443</v>
      </c>
      <c r="B352" s="11" t="str">
        <f>HYPERLINK("https://twitter.com/ArashAr67059381","@ArashAr67059381")</f>
        <v>@ArashAr67059381</v>
      </c>
      <c r="C352" s="6" t="s">
        <v>2642</v>
      </c>
      <c r="D352" s="5" t="s">
        <v>2559</v>
      </c>
      <c r="E352" s="9" t="str">
        <f>HYPERLINK("https://twitter.com/ArashAr67059381/status/1044913690162720768","1044913690162720768")</f>
        <v>1044913690162720768</v>
      </c>
      <c r="F352" s="4"/>
      <c r="G352" s="10" t="s">
        <v>2558</v>
      </c>
      <c r="H352" s="4"/>
      <c r="I352" s="10" t="str">
        <f>HYPERLINK("https://mobile.twitter.com","Twitter Lite")</f>
        <v>Twitter Lite</v>
      </c>
      <c r="J352" s="2">
        <v>93</v>
      </c>
      <c r="K352" s="2">
        <v>177</v>
      </c>
      <c r="L352" s="2">
        <v>0</v>
      </c>
      <c r="M352" s="2"/>
      <c r="N352" s="8">
        <v>43333.481041666666</v>
      </c>
      <c r="O352" s="4"/>
      <c r="P352" s="3" t="s">
        <v>2641</v>
      </c>
      <c r="Q352" s="4"/>
      <c r="R352" s="4"/>
      <c r="S352" s="9" t="str">
        <f>HYPERLINK("https://pbs.twimg.com/profile_images/1044514450588520448/jFhwlZYI.jpg","View")</f>
        <v>View</v>
      </c>
    </row>
    <row r="353" spans="1:19" ht="30">
      <c r="A353" s="8">
        <v>43369.629733796297</v>
      </c>
      <c r="B353" s="11" t="str">
        <f>HYPERLINK("https://twitter.com/Sh3555114","@Sh3555114")</f>
        <v>@Sh3555114</v>
      </c>
      <c r="C353" s="6" t="s">
        <v>2640</v>
      </c>
      <c r="D353" s="5" t="s">
        <v>2559</v>
      </c>
      <c r="E353" s="9" t="str">
        <f>HYPERLINK("https://twitter.com/Sh3555114/status/1044913679479820288","1044913679479820288")</f>
        <v>1044913679479820288</v>
      </c>
      <c r="F353" s="4"/>
      <c r="G353" s="10" t="s">
        <v>2558</v>
      </c>
      <c r="H353" s="4"/>
      <c r="I353" s="10" t="str">
        <f>HYPERLINK("http://twitter.com/download/android","Twitter for Android")</f>
        <v>Twitter for Android</v>
      </c>
      <c r="J353" s="2">
        <v>176</v>
      </c>
      <c r="K353" s="2">
        <v>82</v>
      </c>
      <c r="L353" s="2">
        <v>0</v>
      </c>
      <c r="M353" s="2"/>
      <c r="N353" s="8">
        <v>42608.764155092591</v>
      </c>
      <c r="O353" s="4"/>
      <c r="P353" s="3"/>
      <c r="Q353" s="4"/>
      <c r="R353" s="4"/>
      <c r="S353" s="9" t="str">
        <f>HYPERLINK("https://pbs.twimg.com/profile_images/1044639196923736066/fPNUlMOh.jpg","View")</f>
        <v>View</v>
      </c>
    </row>
    <row r="354" spans="1:19" ht="30">
      <c r="A354" s="8">
        <v>43369.62972222222</v>
      </c>
      <c r="B354" s="11" t="str">
        <f>HYPERLINK("https://twitter.com/darke_hole_warm","@darke_hole_warm")</f>
        <v>@darke_hole_warm</v>
      </c>
      <c r="C354" s="6" t="s">
        <v>2639</v>
      </c>
      <c r="D354" s="5" t="s">
        <v>2559</v>
      </c>
      <c r="E354" s="9" t="str">
        <f>HYPERLINK("https://twitter.com/darke_hole_warm/status/1044913674702508032","1044913674702508032")</f>
        <v>1044913674702508032</v>
      </c>
      <c r="F354" s="4"/>
      <c r="G354" s="10" t="s">
        <v>2558</v>
      </c>
      <c r="H354" s="4"/>
      <c r="I354" s="10" t="str">
        <f>HYPERLINK("http://twitter.com/download/android","Twitter for Android")</f>
        <v>Twitter for Android</v>
      </c>
      <c r="J354" s="2">
        <v>88</v>
      </c>
      <c r="K354" s="2">
        <v>107</v>
      </c>
      <c r="L354" s="2">
        <v>0</v>
      </c>
      <c r="M354" s="2"/>
      <c r="N354" s="8">
        <v>43096.124756944446</v>
      </c>
      <c r="O354" s="4"/>
      <c r="P354" s="3" t="s">
        <v>2638</v>
      </c>
      <c r="Q354" s="4"/>
      <c r="R354" s="4"/>
      <c r="S354" s="9" t="str">
        <f>HYPERLINK("https://pbs.twimg.com/profile_images/948115176007577601/RdngxUz1.jpg","View")</f>
        <v>View</v>
      </c>
    </row>
    <row r="355" spans="1:19" ht="40">
      <c r="A355" s="8">
        <v>43369.629259259258</v>
      </c>
      <c r="B355" s="11" t="str">
        <f>HYPERLINK("https://twitter.com/SORENA2577","@SORENA2577")</f>
        <v>@SORENA2577</v>
      </c>
      <c r="C355" s="6" t="s">
        <v>2637</v>
      </c>
      <c r="D355" s="5" t="s">
        <v>2564</v>
      </c>
      <c r="E355" s="9" t="str">
        <f>HYPERLINK("https://twitter.com/SORENA2577/status/1044913508339601413","1044913508339601413")</f>
        <v>1044913508339601413</v>
      </c>
      <c r="F355" s="4"/>
      <c r="G355" s="10" t="s">
        <v>2563</v>
      </c>
      <c r="H355" s="4"/>
      <c r="I355" s="10" t="str">
        <f>HYPERLINK("http://twitter.com/download/android","Twitter for Android")</f>
        <v>Twitter for Android</v>
      </c>
      <c r="J355" s="2">
        <v>501</v>
      </c>
      <c r="K355" s="2">
        <v>148</v>
      </c>
      <c r="L355" s="2">
        <v>0</v>
      </c>
      <c r="M355" s="2"/>
      <c r="N355" s="8">
        <v>43244.320810185185</v>
      </c>
      <c r="O355" s="4"/>
      <c r="P355" s="3" t="s">
        <v>2636</v>
      </c>
      <c r="Q355" s="4"/>
      <c r="R355" s="4"/>
      <c r="S355" s="9" t="str">
        <f>HYPERLINK("https://pbs.twimg.com/profile_images/1044712756400803841/e0cu1BLE.jpg","View")</f>
        <v>View</v>
      </c>
    </row>
    <row r="356" spans="1:19" ht="30">
      <c r="A356" s="8">
        <v>43369.629004629634</v>
      </c>
      <c r="B356" s="11" t="str">
        <f>HYPERLINK("https://twitter.com/SORENA2577","@SORENA2577")</f>
        <v>@SORENA2577</v>
      </c>
      <c r="C356" s="6" t="s">
        <v>2637</v>
      </c>
      <c r="D356" s="5" t="s">
        <v>2559</v>
      </c>
      <c r="E356" s="9" t="str">
        <f>HYPERLINK("https://twitter.com/SORENA2577/status/1044913417063202817","1044913417063202817")</f>
        <v>1044913417063202817</v>
      </c>
      <c r="F356" s="4"/>
      <c r="G356" s="10" t="s">
        <v>2558</v>
      </c>
      <c r="H356" s="4"/>
      <c r="I356" s="10" t="str">
        <f>HYPERLINK("http://twitter.com/download/android","Twitter for Android")</f>
        <v>Twitter for Android</v>
      </c>
      <c r="J356" s="2">
        <v>501</v>
      </c>
      <c r="K356" s="2">
        <v>148</v>
      </c>
      <c r="L356" s="2">
        <v>0</v>
      </c>
      <c r="M356" s="2"/>
      <c r="N356" s="8">
        <v>43244.320810185185</v>
      </c>
      <c r="O356" s="4"/>
      <c r="P356" s="3" t="s">
        <v>2636</v>
      </c>
      <c r="Q356" s="4"/>
      <c r="R356" s="4"/>
      <c r="S356" s="9" t="str">
        <f>HYPERLINK("https://pbs.twimg.com/profile_images/1044712756400803841/e0cu1BLE.jpg","View")</f>
        <v>View</v>
      </c>
    </row>
    <row r="357" spans="1:19" ht="30">
      <c r="A357" s="8">
        <v>43369.628842592589</v>
      </c>
      <c r="B357" s="11" t="str">
        <f>HYPERLINK("https://twitter.com/ghari00","@ghari00")</f>
        <v>@ghari00</v>
      </c>
      <c r="C357" s="6" t="s">
        <v>2635</v>
      </c>
      <c r="D357" s="5" t="s">
        <v>2559</v>
      </c>
      <c r="E357" s="9" t="str">
        <f>HYPERLINK("https://twitter.com/ghari00/status/1044913355465641984","1044913355465641984")</f>
        <v>1044913355465641984</v>
      </c>
      <c r="F357" s="4"/>
      <c r="G357" s="10" t="s">
        <v>2558</v>
      </c>
      <c r="H357" s="4"/>
      <c r="I357" s="10" t="str">
        <f>HYPERLINK("http://twitter.com/download/android","Twitter for Android")</f>
        <v>Twitter for Android</v>
      </c>
      <c r="J357" s="2">
        <v>1232</v>
      </c>
      <c r="K357" s="2">
        <v>2203</v>
      </c>
      <c r="L357" s="2">
        <v>1</v>
      </c>
      <c r="M357" s="2"/>
      <c r="N357" s="8">
        <v>42913.788622685184</v>
      </c>
      <c r="O357" s="4" t="s">
        <v>8</v>
      </c>
      <c r="P357" s="3" t="s">
        <v>2634</v>
      </c>
      <c r="Q357" s="4"/>
      <c r="R357" s="4"/>
      <c r="S357" s="9" t="str">
        <f>HYPERLINK("https://pbs.twimg.com/profile_images/1044204466055139329/zU5XArZQ.jpg","View")</f>
        <v>View</v>
      </c>
    </row>
    <row r="358" spans="1:19" ht="30">
      <c r="A358" s="8">
        <v>43369.628761574073</v>
      </c>
      <c r="B358" s="11" t="str">
        <f>HYPERLINK("https://twitter.com/amin5731","@amin5731")</f>
        <v>@amin5731</v>
      </c>
      <c r="C358" s="6" t="s">
        <v>2633</v>
      </c>
      <c r="D358" s="5" t="s">
        <v>736</v>
      </c>
      <c r="E358" s="9" t="str">
        <f>HYPERLINK("https://twitter.com/amin5731/status/1044913329532276736","1044913329532276736")</f>
        <v>1044913329532276736</v>
      </c>
      <c r="F358" s="4"/>
      <c r="G358" s="10" t="s">
        <v>732</v>
      </c>
      <c r="H358" s="4"/>
      <c r="I358" s="10" t="str">
        <f>HYPERLINK("http://twitter.com/download/android","Twitter for Android")</f>
        <v>Twitter for Android</v>
      </c>
      <c r="J358" s="2">
        <v>1160</v>
      </c>
      <c r="K358" s="2">
        <v>313</v>
      </c>
      <c r="L358" s="2">
        <v>0</v>
      </c>
      <c r="M358" s="2"/>
      <c r="N358" s="8">
        <v>43122.880150462966</v>
      </c>
      <c r="O358" s="4"/>
      <c r="P358" s="3" t="s">
        <v>2632</v>
      </c>
      <c r="Q358" s="4"/>
      <c r="R358" s="4"/>
      <c r="S358" s="9" t="str">
        <f>HYPERLINK("https://pbs.twimg.com/profile_images/1043949220510793728/qnUEw8pW.jpg","View")</f>
        <v>View</v>
      </c>
    </row>
    <row r="359" spans="1:19" ht="30">
      <c r="A359" s="8">
        <v>43369.628761574073</v>
      </c>
      <c r="B359" s="11" t="str">
        <f>HYPERLINK("https://twitter.com/ShirinNariman","@ShirinNariman")</f>
        <v>@ShirinNariman</v>
      </c>
      <c r="C359" s="6" t="s">
        <v>2631</v>
      </c>
      <c r="D359" s="5" t="s">
        <v>1683</v>
      </c>
      <c r="E359" s="9" t="str">
        <f>HYPERLINK("https://twitter.com/ShirinNariman/status/1044913327544193025","1044913327544193025")</f>
        <v>1044913327544193025</v>
      </c>
      <c r="F359" s="4"/>
      <c r="G359" s="10" t="s">
        <v>1658</v>
      </c>
      <c r="H359" s="4"/>
      <c r="I359" s="10" t="str">
        <f>HYPERLINK("http://twitter.com/download/iphone","Twitter for iPhone")</f>
        <v>Twitter for iPhone</v>
      </c>
      <c r="J359" s="2">
        <v>4496</v>
      </c>
      <c r="K359" s="2">
        <v>344</v>
      </c>
      <c r="L359" s="2">
        <v>52</v>
      </c>
      <c r="M359" s="2"/>
      <c r="N359" s="8">
        <v>39895.963865740741</v>
      </c>
      <c r="O359" s="4"/>
      <c r="P359" s="3" t="s">
        <v>2630</v>
      </c>
      <c r="Q359" s="10" t="s">
        <v>2629</v>
      </c>
      <c r="R359" s="4"/>
      <c r="S359" s="9" t="str">
        <f>HYPERLINK("https://pbs.twimg.com/profile_images/378800000417634784/573c1878b83ab7d8cbc44b9c4b873f12.jpeg","View")</f>
        <v>View</v>
      </c>
    </row>
    <row r="360" spans="1:19" ht="30">
      <c r="A360" s="8">
        <v>43369.62871527778</v>
      </c>
      <c r="B360" s="11" t="str">
        <f>HYPERLINK("https://twitter.com/BigliBigly","@BigliBigly")</f>
        <v>@BigliBigly</v>
      </c>
      <c r="C360" s="6" t="s">
        <v>2628</v>
      </c>
      <c r="D360" s="5" t="s">
        <v>2559</v>
      </c>
      <c r="E360" s="9" t="str">
        <f>HYPERLINK("https://twitter.com/BigliBigly/status/1044913310494273537","1044913310494273537")</f>
        <v>1044913310494273537</v>
      </c>
      <c r="F360" s="4"/>
      <c r="G360" s="10" t="s">
        <v>2558</v>
      </c>
      <c r="H360" s="4"/>
      <c r="I360" s="10" t="str">
        <f>HYPERLINK("http://twitter.com/download/iphone","Twitter for iPhone")</f>
        <v>Twitter for iPhone</v>
      </c>
      <c r="J360" s="2">
        <v>468</v>
      </c>
      <c r="K360" s="2">
        <v>815</v>
      </c>
      <c r="L360" s="2">
        <v>0</v>
      </c>
      <c r="M360" s="2"/>
      <c r="N360" s="8">
        <v>40215.840243055558</v>
      </c>
      <c r="O360" s="4" t="s">
        <v>513</v>
      </c>
      <c r="P360" s="3" t="s">
        <v>2627</v>
      </c>
      <c r="Q360" s="4"/>
      <c r="R360" s="4"/>
      <c r="S360" s="9" t="str">
        <f>HYPERLINK("https://pbs.twimg.com/profile_images/1044744390525292544/5N4Gbmyk.jpg","View")</f>
        <v>View</v>
      </c>
    </row>
    <row r="361" spans="1:19" ht="30">
      <c r="A361" s="8">
        <v>43369.628703703704</v>
      </c>
      <c r="B361" s="11" t="str">
        <f>HYPERLINK("https://twitter.com/AliAkhlaghii","@AliAkhlaghii")</f>
        <v>@AliAkhlaghii</v>
      </c>
      <c r="C361" s="6" t="s">
        <v>2626</v>
      </c>
      <c r="D361" s="5" t="s">
        <v>2559</v>
      </c>
      <c r="E361" s="9" t="str">
        <f>HYPERLINK("https://twitter.com/AliAkhlaghii/status/1044913306027401216","1044913306027401216")</f>
        <v>1044913306027401216</v>
      </c>
      <c r="F361" s="4"/>
      <c r="G361" s="10" t="s">
        <v>2558</v>
      </c>
      <c r="H361" s="4"/>
      <c r="I361" s="10" t="str">
        <f>HYPERLINK("http://twitter.com","Twitter Web Client")</f>
        <v>Twitter Web Client</v>
      </c>
      <c r="J361" s="2">
        <v>50</v>
      </c>
      <c r="K361" s="2">
        <v>51</v>
      </c>
      <c r="L361" s="2">
        <v>0</v>
      </c>
      <c r="M361" s="2"/>
      <c r="N361" s="8">
        <v>43000.951956018514</v>
      </c>
      <c r="O361" s="4" t="s">
        <v>25</v>
      </c>
      <c r="P361" s="3"/>
      <c r="Q361" s="4"/>
      <c r="R361" s="4"/>
      <c r="S361" s="9" t="str">
        <f>HYPERLINK("https://pbs.twimg.com/profile_images/1002455541103329281/50FLpnGs.jpg","View")</f>
        <v>View</v>
      </c>
    </row>
    <row r="362" spans="1:19" ht="20">
      <c r="A362" s="8">
        <v>43369.628541666665</v>
      </c>
      <c r="B362" s="11" t="str">
        <f>HYPERLINK("https://twitter.com/VahidAllcapone","@VahidAllcapone")</f>
        <v>@VahidAllcapone</v>
      </c>
      <c r="C362" s="6" t="s">
        <v>2361</v>
      </c>
      <c r="D362" s="5" t="s">
        <v>172</v>
      </c>
      <c r="E362" s="9" t="str">
        <f>HYPERLINK("https://twitter.com/VahidAllcapone/status/1044913246388604930","1044913246388604930")</f>
        <v>1044913246388604930</v>
      </c>
      <c r="F362" s="10" t="s">
        <v>171</v>
      </c>
      <c r="G362" s="4"/>
      <c r="H362" s="4"/>
      <c r="I362" s="10" t="str">
        <f>HYPERLINK("https://mobile.twitter.com","Twitter Lite")</f>
        <v>Twitter Lite</v>
      </c>
      <c r="J362" s="2">
        <v>556</v>
      </c>
      <c r="K362" s="2">
        <v>631</v>
      </c>
      <c r="L362" s="2">
        <v>0</v>
      </c>
      <c r="M362" s="2"/>
      <c r="N362" s="8">
        <v>42460.623703703706</v>
      </c>
      <c r="O362" s="4"/>
      <c r="P362" s="3" t="s">
        <v>2360</v>
      </c>
      <c r="Q362" s="4"/>
      <c r="R362" s="4"/>
      <c r="S362" s="9" t="str">
        <f>HYPERLINK("https://pbs.twimg.com/profile_images/958403693073739776/P-DqV8Hi.jpg","View")</f>
        <v>View</v>
      </c>
    </row>
    <row r="363" spans="1:19" ht="50">
      <c r="A363" s="8">
        <v>43369.628252314811</v>
      </c>
      <c r="B363" s="11" t="str">
        <f>HYPERLINK("https://twitter.com/SBarshandeh","@SBarshandeh")</f>
        <v>@SBarshandeh</v>
      </c>
      <c r="C363" s="6" t="s">
        <v>2625</v>
      </c>
      <c r="D363" s="5" t="s">
        <v>2624</v>
      </c>
      <c r="E363" s="9" t="str">
        <f>HYPERLINK("https://twitter.com/SBarshandeh/status/1044913142956994561","1044913142956994561")</f>
        <v>1044913142956994561</v>
      </c>
      <c r="F363" s="4"/>
      <c r="G363" s="4"/>
      <c r="H363" s="4"/>
      <c r="I363" s="10" t="str">
        <f>HYPERLINK("http://twitter.com/download/iphone","Twitter for iPhone")</f>
        <v>Twitter for iPhone</v>
      </c>
      <c r="J363" s="2">
        <v>1143</v>
      </c>
      <c r="K363" s="2">
        <v>1172</v>
      </c>
      <c r="L363" s="2">
        <v>2</v>
      </c>
      <c r="M363" s="2"/>
      <c r="N363" s="8">
        <v>42911.841967592598</v>
      </c>
      <c r="O363" s="4" t="s">
        <v>25</v>
      </c>
      <c r="P363" s="3" t="s">
        <v>2623</v>
      </c>
      <c r="Q363" s="10" t="s">
        <v>2622</v>
      </c>
      <c r="R363" s="4"/>
      <c r="S363" s="9" t="str">
        <f>HYPERLINK("https://pbs.twimg.com/profile_images/1039973384132718592/2MIJKHeC.jpg","View")</f>
        <v>View</v>
      </c>
    </row>
    <row r="364" spans="1:19" ht="30">
      <c r="A364" s="8">
        <v>43369.627870370372</v>
      </c>
      <c r="B364" s="11" t="str">
        <f>HYPERLINK("https://twitter.com/shaden_banoo","@shaden_banoo")</f>
        <v>@shaden_banoo</v>
      </c>
      <c r="C364" s="6" t="s">
        <v>608</v>
      </c>
      <c r="D364" s="5" t="s">
        <v>2559</v>
      </c>
      <c r="E364" s="9" t="str">
        <f>HYPERLINK("https://twitter.com/shaden_banoo/status/1044913005664890880","1044913005664890880")</f>
        <v>1044913005664890880</v>
      </c>
      <c r="F364" s="4"/>
      <c r="G364" s="10" t="s">
        <v>2558</v>
      </c>
      <c r="H364" s="4"/>
      <c r="I364" s="10" t="str">
        <f>HYPERLINK("http://twitter.com/download/android","Twitter for Android")</f>
        <v>Twitter for Android</v>
      </c>
      <c r="J364" s="2">
        <v>78</v>
      </c>
      <c r="K364" s="2">
        <v>172</v>
      </c>
      <c r="L364" s="2">
        <v>0</v>
      </c>
      <c r="M364" s="2"/>
      <c r="N364" s="8">
        <v>43172.456782407404</v>
      </c>
      <c r="O364" s="4"/>
      <c r="P364" s="3"/>
      <c r="Q364" s="4"/>
      <c r="R364" s="4"/>
      <c r="S364" s="9" t="str">
        <f>HYPERLINK("https://pbs.twimg.com/profile_images/998810535339614208/bOqdoKTb.jpg","View")</f>
        <v>View</v>
      </c>
    </row>
    <row r="365" spans="1:19" ht="30">
      <c r="A365" s="8">
        <v>43369.627800925926</v>
      </c>
      <c r="B365" s="11" t="str">
        <f>HYPERLINK("https://twitter.com/SETAREH2538","@SETAREH2538")</f>
        <v>@SETAREH2538</v>
      </c>
      <c r="C365" s="6" t="s">
        <v>71</v>
      </c>
      <c r="D365" s="5" t="s">
        <v>2559</v>
      </c>
      <c r="E365" s="9" t="str">
        <f>HYPERLINK("https://twitter.com/SETAREH2538/status/1044912979089678336","1044912979089678336")</f>
        <v>1044912979089678336</v>
      </c>
      <c r="F365" s="4"/>
      <c r="G365" s="10" t="s">
        <v>2558</v>
      </c>
      <c r="H365" s="4"/>
      <c r="I365" s="10" t="str">
        <f>HYPERLINK("http://twitter.com/download/android","Twitter for Android")</f>
        <v>Twitter for Android</v>
      </c>
      <c r="J365" s="2">
        <v>7886</v>
      </c>
      <c r="K365" s="2">
        <v>2933</v>
      </c>
      <c r="L365" s="2">
        <v>25</v>
      </c>
      <c r="M365" s="2"/>
      <c r="N365" s="8">
        <v>43083.530543981484</v>
      </c>
      <c r="O365" s="4" t="s">
        <v>70</v>
      </c>
      <c r="P365" s="3" t="s">
        <v>69</v>
      </c>
      <c r="Q365" s="4"/>
      <c r="R365" s="4"/>
      <c r="S365" s="9" t="str">
        <f>HYPERLINK("https://pbs.twimg.com/profile_images/1009731131724443648/WsRiYhiE.jpg","View")</f>
        <v>View</v>
      </c>
    </row>
    <row r="366" spans="1:19" ht="30">
      <c r="A366" s="8">
        <v>43369.627766203703</v>
      </c>
      <c r="B366" s="11" t="str">
        <f>HYPERLINK("https://twitter.com/theJeff1996","@theJeff1996")</f>
        <v>@theJeff1996</v>
      </c>
      <c r="C366" s="6" t="s">
        <v>2621</v>
      </c>
      <c r="D366" s="5" t="s">
        <v>2613</v>
      </c>
      <c r="E366" s="9" t="str">
        <f>HYPERLINK("https://twitter.com/theJeff1996/status/1044912968813686791","1044912968813686791")</f>
        <v>1044912968813686791</v>
      </c>
      <c r="F366" s="4"/>
      <c r="G366" s="10" t="s">
        <v>2505</v>
      </c>
      <c r="H366" s="4"/>
      <c r="I366" s="10" t="str">
        <f>HYPERLINK("https://mobile.twitter.com","Twitter Lite")</f>
        <v>Twitter Lite</v>
      </c>
      <c r="J366" s="2">
        <v>413</v>
      </c>
      <c r="K366" s="2">
        <v>403</v>
      </c>
      <c r="L366" s="2">
        <v>1</v>
      </c>
      <c r="M366" s="2"/>
      <c r="N366" s="8">
        <v>43220.754351851851</v>
      </c>
      <c r="O366" s="4"/>
      <c r="P366" s="3" t="s">
        <v>2620</v>
      </c>
      <c r="Q366" s="4"/>
      <c r="R366" s="4"/>
      <c r="S366" s="9" t="str">
        <f>HYPERLINK("https://pbs.twimg.com/profile_images/995718397005479941/6jUG5HQz.jpg","View")</f>
        <v>View</v>
      </c>
    </row>
    <row r="367" spans="1:19" ht="40">
      <c r="A367" s="8">
        <v>43369.627696759257</v>
      </c>
      <c r="B367" s="11" t="str">
        <f>HYPERLINK("https://twitter.com/AmirAbbasblk","@AmirAbbasblk")</f>
        <v>@AmirAbbasblk</v>
      </c>
      <c r="C367" s="6" t="s">
        <v>2619</v>
      </c>
      <c r="D367" s="5" t="s">
        <v>1556</v>
      </c>
      <c r="E367" s="9" t="str">
        <f>HYPERLINK("https://twitter.com/AmirAbbasblk/status/1044912942314135553","1044912942314135553")</f>
        <v>1044912942314135553</v>
      </c>
      <c r="F367" s="4"/>
      <c r="G367" s="4"/>
      <c r="H367" s="4"/>
      <c r="I367" s="10" t="str">
        <f>HYPERLINK("http://twitter.com/download/iphone","Twitter for iPhone")</f>
        <v>Twitter for iPhone</v>
      </c>
      <c r="J367" s="2">
        <v>224</v>
      </c>
      <c r="K367" s="2">
        <v>920</v>
      </c>
      <c r="L367" s="2">
        <v>1</v>
      </c>
      <c r="M367" s="2"/>
      <c r="N367" s="8">
        <v>42702.002199074079</v>
      </c>
      <c r="O367" s="4" t="s">
        <v>2618</v>
      </c>
      <c r="P367" s="3"/>
      <c r="Q367" s="4"/>
      <c r="R367" s="4"/>
      <c r="S367" s="9" t="str">
        <f>HYPERLINK("https://pbs.twimg.com/profile_images/812427947537813504/sKnDGG8F.jpg","View")</f>
        <v>View</v>
      </c>
    </row>
    <row r="368" spans="1:19" ht="30">
      <c r="A368" s="8">
        <v>43369.627604166672</v>
      </c>
      <c r="B368" s="11" t="str">
        <f>HYPERLINK("https://twitter.com/arghaaavan","@arghaaavan")</f>
        <v>@arghaaavan</v>
      </c>
      <c r="C368" s="6" t="s">
        <v>2617</v>
      </c>
      <c r="D368" s="5" t="s">
        <v>2559</v>
      </c>
      <c r="E368" s="9" t="str">
        <f>HYPERLINK("https://twitter.com/arghaaavan/status/1044912909384593410","1044912909384593410")</f>
        <v>1044912909384593410</v>
      </c>
      <c r="F368" s="4"/>
      <c r="G368" s="10" t="s">
        <v>2558</v>
      </c>
      <c r="H368" s="4"/>
      <c r="I368" s="10" t="str">
        <f>HYPERLINK("https://mobile.twitter.com","Twitter Lite")</f>
        <v>Twitter Lite</v>
      </c>
      <c r="J368" s="2">
        <v>410</v>
      </c>
      <c r="K368" s="2">
        <v>444</v>
      </c>
      <c r="L368" s="2">
        <v>0</v>
      </c>
      <c r="M368" s="2"/>
      <c r="N368" s="8">
        <v>43249.188310185185</v>
      </c>
      <c r="O368" s="4" t="s">
        <v>16</v>
      </c>
      <c r="P368" s="3" t="s">
        <v>2616</v>
      </c>
      <c r="Q368" s="4"/>
      <c r="R368" s="4"/>
      <c r="S368" s="9" t="str">
        <f>HYPERLINK("https://pbs.twimg.com/profile_images/1001512620220919808/-2xGMoGB.jpg","View")</f>
        <v>View</v>
      </c>
    </row>
    <row r="369" spans="1:19" ht="30">
      <c r="A369" s="8">
        <v>43369.627384259264</v>
      </c>
      <c r="B369" s="11" t="str">
        <f>HYPERLINK("https://twitter.com/vahid_freedom","@vahid_freedom")</f>
        <v>@vahid_freedom</v>
      </c>
      <c r="C369" s="6" t="s">
        <v>2615</v>
      </c>
      <c r="D369" s="5" t="s">
        <v>2559</v>
      </c>
      <c r="E369" s="9" t="str">
        <f>HYPERLINK("https://twitter.com/vahid_freedom/status/1044912829260865537","1044912829260865537")</f>
        <v>1044912829260865537</v>
      </c>
      <c r="F369" s="4"/>
      <c r="G369" s="10" t="s">
        <v>2558</v>
      </c>
      <c r="H369" s="4"/>
      <c r="I369" s="10" t="str">
        <f>HYPERLINK("http://twitter.com/download/android","Twitter for Android")</f>
        <v>Twitter for Android</v>
      </c>
      <c r="J369" s="2">
        <v>4071</v>
      </c>
      <c r="K369" s="2">
        <v>3863</v>
      </c>
      <c r="L369" s="2">
        <v>3</v>
      </c>
      <c r="M369" s="2"/>
      <c r="N369" s="8">
        <v>42703.783125000002</v>
      </c>
      <c r="O369" s="4"/>
      <c r="P369" s="3" t="s">
        <v>2614</v>
      </c>
      <c r="Q369" s="4"/>
      <c r="R369" s="4"/>
      <c r="S369" s="9" t="str">
        <f>HYPERLINK("https://pbs.twimg.com/profile_images/1025329419697774592/Y3g7mPHh.jpg","View")</f>
        <v>View</v>
      </c>
    </row>
    <row r="370" spans="1:19" ht="30">
      <c r="A370" s="8">
        <v>43369.627152777779</v>
      </c>
      <c r="B370" s="11" t="str">
        <f>HYPERLINK("https://twitter.com/Reza_Shaban78","@Reza_Shaban78")</f>
        <v>@Reza_Shaban78</v>
      </c>
      <c r="C370" s="6" t="s">
        <v>2594</v>
      </c>
      <c r="D370" s="5" t="s">
        <v>2613</v>
      </c>
      <c r="E370" s="9" t="str">
        <f>HYPERLINK("https://twitter.com/Reza_Shaban78/status/1044912745978753025","1044912745978753025")</f>
        <v>1044912745978753025</v>
      </c>
      <c r="F370" s="4"/>
      <c r="G370" s="10" t="s">
        <v>2505</v>
      </c>
      <c r="H370" s="4"/>
      <c r="I370" s="10" t="str">
        <f>HYPERLINK("http://twitter.com/download/android","Twitter for Android")</f>
        <v>Twitter for Android</v>
      </c>
      <c r="J370" s="2">
        <v>5579</v>
      </c>
      <c r="K370" s="2">
        <v>5612</v>
      </c>
      <c r="L370" s="2">
        <v>7</v>
      </c>
      <c r="M370" s="2"/>
      <c r="N370" s="8">
        <v>43288.706331018519</v>
      </c>
      <c r="O370" s="4" t="s">
        <v>1</v>
      </c>
      <c r="P370" s="3" t="s">
        <v>2593</v>
      </c>
      <c r="Q370" s="4"/>
      <c r="R370" s="4"/>
      <c r="S370" s="9" t="str">
        <f>HYPERLINK("https://pbs.twimg.com/profile_images/1032620670121857025/iXGvV_V9.jpg","View")</f>
        <v>View</v>
      </c>
    </row>
    <row r="371" spans="1:19" ht="30">
      <c r="A371" s="8">
        <v>43369.627118055556</v>
      </c>
      <c r="B371" s="11" t="str">
        <f>HYPERLINK("https://twitter.com/Arash_121","@Arash_121")</f>
        <v>@Arash_121</v>
      </c>
      <c r="C371" s="6" t="s">
        <v>2612</v>
      </c>
      <c r="D371" s="5" t="s">
        <v>49</v>
      </c>
      <c r="E371" s="9" t="str">
        <f>HYPERLINK("https://twitter.com/Arash_121/status/1044912733710422016","1044912733710422016")</f>
        <v>1044912733710422016</v>
      </c>
      <c r="F371" s="4"/>
      <c r="G371" s="4"/>
      <c r="H371" s="4"/>
      <c r="I371" s="10" t="str">
        <f>HYPERLINK("http://twitter.com/download/iphone","Twitter for iPhone")</f>
        <v>Twitter for iPhone</v>
      </c>
      <c r="J371" s="2">
        <v>310</v>
      </c>
      <c r="K371" s="2">
        <v>719</v>
      </c>
      <c r="L371" s="2">
        <v>2</v>
      </c>
      <c r="M371" s="2"/>
      <c r="N371" s="8">
        <v>40512.668344907404</v>
      </c>
      <c r="O371" s="4"/>
      <c r="P371" s="3" t="s">
        <v>2611</v>
      </c>
      <c r="Q371" s="4"/>
      <c r="R371" s="4"/>
      <c r="S371" s="9" t="str">
        <f>HYPERLINK("https://pbs.twimg.com/profile_images/1024557777061142528/JyCtj3cV.jpg","View")</f>
        <v>View</v>
      </c>
    </row>
    <row r="372" spans="1:19" ht="30">
      <c r="A372" s="8">
        <v>43369.62704861111</v>
      </c>
      <c r="B372" s="11" t="str">
        <f>HYPERLINK("https://twitter.com/fatemeai","@fatemeai")</f>
        <v>@fatemeai</v>
      </c>
      <c r="C372" s="6" t="s">
        <v>2610</v>
      </c>
      <c r="D372" s="5" t="s">
        <v>2559</v>
      </c>
      <c r="E372" s="9" t="str">
        <f>HYPERLINK("https://twitter.com/fatemeai/status/1044912708041277440","1044912708041277440")</f>
        <v>1044912708041277440</v>
      </c>
      <c r="F372" s="4"/>
      <c r="G372" s="10" t="s">
        <v>2558</v>
      </c>
      <c r="H372" s="4"/>
      <c r="I372" s="10" t="str">
        <f>HYPERLINK("http://twitter.com/download/iphone","Twitter for iPhone")</f>
        <v>Twitter for iPhone</v>
      </c>
      <c r="J372" s="2">
        <v>83</v>
      </c>
      <c r="K372" s="2">
        <v>433</v>
      </c>
      <c r="L372" s="2">
        <v>1</v>
      </c>
      <c r="M372" s="2"/>
      <c r="N372" s="8">
        <v>43090.011388888888</v>
      </c>
      <c r="O372" s="4"/>
      <c r="P372" s="3" t="s">
        <v>2609</v>
      </c>
      <c r="Q372" s="4"/>
      <c r="R372" s="4"/>
      <c r="S372" s="9" t="str">
        <f>HYPERLINK("https://pbs.twimg.com/profile_images/1023612679213199361/y6pJEDyN.jpg","View")</f>
        <v>View</v>
      </c>
    </row>
    <row r="373" spans="1:19" ht="30">
      <c r="A373" s="8">
        <v>43369.626944444448</v>
      </c>
      <c r="B373" s="11" t="str">
        <f>HYPERLINK("https://twitter.com/Iranism3810","@Iranism3810")</f>
        <v>@Iranism3810</v>
      </c>
      <c r="C373" s="6" t="s">
        <v>2608</v>
      </c>
      <c r="D373" s="5" t="s">
        <v>2559</v>
      </c>
      <c r="E373" s="9" t="str">
        <f>HYPERLINK("https://twitter.com/Iranism3810/status/1044912669520736256","1044912669520736256")</f>
        <v>1044912669520736256</v>
      </c>
      <c r="F373" s="4"/>
      <c r="G373" s="10" t="s">
        <v>2558</v>
      </c>
      <c r="H373" s="4"/>
      <c r="I373" s="10" t="str">
        <f>HYPERLINK("http://twitter.com/download/android","Twitter for Android")</f>
        <v>Twitter for Android</v>
      </c>
      <c r="J373" s="2">
        <v>17</v>
      </c>
      <c r="K373" s="2">
        <v>48</v>
      </c>
      <c r="L373" s="2">
        <v>0</v>
      </c>
      <c r="M373" s="2"/>
      <c r="N373" s="8">
        <v>43302.519803240742</v>
      </c>
      <c r="O373" s="4"/>
      <c r="P373" s="3" t="s">
        <v>2607</v>
      </c>
      <c r="Q373" s="4"/>
      <c r="R373" s="4"/>
      <c r="S373" s="9" t="str">
        <f>HYPERLINK("https://pbs.twimg.com/profile_images/1020580960662892544/4FHeHTqc.jpg","View")</f>
        <v>View</v>
      </c>
    </row>
    <row r="374" spans="1:19" ht="30">
      <c r="A374" s="8">
        <v>43369.626863425925</v>
      </c>
      <c r="B374" s="11" t="str">
        <f>HYPERLINK("https://twitter.com/majid01772502","@majid01772502")</f>
        <v>@majid01772502</v>
      </c>
      <c r="C374" s="6" t="s">
        <v>2606</v>
      </c>
      <c r="D374" s="5" t="s">
        <v>2559</v>
      </c>
      <c r="E374" s="9" t="str">
        <f>HYPERLINK("https://twitter.com/majid01772502/status/1044912639837646848","1044912639837646848")</f>
        <v>1044912639837646848</v>
      </c>
      <c r="F374" s="4"/>
      <c r="G374" s="10" t="s">
        <v>2558</v>
      </c>
      <c r="H374" s="4"/>
      <c r="I374" s="10" t="str">
        <f>HYPERLINK("http://twitter.com/download/iphone","Twitter for iPhone")</f>
        <v>Twitter for iPhone</v>
      </c>
      <c r="J374" s="2">
        <v>275</v>
      </c>
      <c r="K374" s="2">
        <v>347</v>
      </c>
      <c r="L374" s="2">
        <v>0</v>
      </c>
      <c r="M374" s="2"/>
      <c r="N374" s="8">
        <v>43110.783194444448</v>
      </c>
      <c r="O374" s="4" t="s">
        <v>2605</v>
      </c>
      <c r="P374" s="3" t="s">
        <v>2604</v>
      </c>
      <c r="Q374" s="4"/>
      <c r="R374" s="4"/>
      <c r="S374" s="9" t="str">
        <f>HYPERLINK("https://pbs.twimg.com/profile_images/1004371819867107330/mqecdSK6.jpg","View")</f>
        <v>View</v>
      </c>
    </row>
    <row r="375" spans="1:19" ht="20">
      <c r="A375" s="8">
        <v>43369.626840277779</v>
      </c>
      <c r="B375" s="11" t="str">
        <f>HYPERLINK("https://twitter.com/compocehamid","@compocehamid")</f>
        <v>@compocehamid</v>
      </c>
      <c r="C375" s="6" t="s">
        <v>2603</v>
      </c>
      <c r="D375" s="5" t="s">
        <v>102</v>
      </c>
      <c r="E375" s="9" t="str">
        <f>HYPERLINK("https://twitter.com/compocehamid/status/1044912633332346880","1044912633332346880")</f>
        <v>1044912633332346880</v>
      </c>
      <c r="F375" s="4"/>
      <c r="G375" s="4"/>
      <c r="H375" s="4"/>
      <c r="I375" s="10" t="str">
        <f>HYPERLINK("http://twitter.com/download/android","Twitter for Android")</f>
        <v>Twitter for Android</v>
      </c>
      <c r="J375" s="2">
        <v>249</v>
      </c>
      <c r="K375" s="2">
        <v>398</v>
      </c>
      <c r="L375" s="2">
        <v>1</v>
      </c>
      <c r="M375" s="2"/>
      <c r="N375" s="8">
        <v>42861.37877314815</v>
      </c>
      <c r="O375" s="4" t="s">
        <v>2602</v>
      </c>
      <c r="P375" s="3" t="s">
        <v>2601</v>
      </c>
      <c r="Q375" s="10" t="s">
        <v>2600</v>
      </c>
      <c r="R375" s="4"/>
      <c r="S375" s="9" t="str">
        <f>HYPERLINK("https://pbs.twimg.com/profile_images/1039627061776842752/Q8ZSelbq.jpg","View")</f>
        <v>View</v>
      </c>
    </row>
    <row r="376" spans="1:19" ht="30">
      <c r="A376" s="8">
        <v>43369.626712962963</v>
      </c>
      <c r="B376" s="11" t="str">
        <f>HYPERLINK("https://twitter.com/atoosa_2702","@atoosa_2702")</f>
        <v>@atoosa_2702</v>
      </c>
      <c r="C376" s="6" t="s">
        <v>2599</v>
      </c>
      <c r="D376" s="5" t="s">
        <v>2559</v>
      </c>
      <c r="E376" s="9" t="str">
        <f>HYPERLINK("https://twitter.com/atoosa_2702/status/1044912583738884096","1044912583738884096")</f>
        <v>1044912583738884096</v>
      </c>
      <c r="F376" s="4"/>
      <c r="G376" s="10" t="s">
        <v>2558</v>
      </c>
      <c r="H376" s="4"/>
      <c r="I376" s="10" t="str">
        <f>HYPERLINK("http://twitter.com/download/android","Twitter for Android")</f>
        <v>Twitter for Android</v>
      </c>
      <c r="J376" s="2">
        <v>101</v>
      </c>
      <c r="K376" s="2">
        <v>96</v>
      </c>
      <c r="L376" s="2">
        <v>0</v>
      </c>
      <c r="M376" s="2"/>
      <c r="N376" s="8">
        <v>43312.593692129631</v>
      </c>
      <c r="O376" s="4" t="s">
        <v>2598</v>
      </c>
      <c r="P376" s="3" t="s">
        <v>2597</v>
      </c>
      <c r="Q376" s="4"/>
      <c r="R376" s="4"/>
      <c r="S376" s="9" t="str">
        <f>HYPERLINK("https://pbs.twimg.com/profile_images/1043784633417183232/HsL5cOLS.jpg","View")</f>
        <v>View</v>
      </c>
    </row>
    <row r="377" spans="1:19" ht="20">
      <c r="A377" s="8">
        <v>43369.626701388886</v>
      </c>
      <c r="B377" s="11" t="str">
        <f>HYPERLINK("https://twitter.com/varesh313","@varesh313")</f>
        <v>@varesh313</v>
      </c>
      <c r="C377" s="6" t="s">
        <v>2596</v>
      </c>
      <c r="D377" s="5" t="s">
        <v>102</v>
      </c>
      <c r="E377" s="9" t="str">
        <f>HYPERLINK("https://twitter.com/varesh313/status/1044912579133485056","1044912579133485056")</f>
        <v>1044912579133485056</v>
      </c>
      <c r="F377" s="4"/>
      <c r="G377" s="4"/>
      <c r="H377" s="4"/>
      <c r="I377" s="10" t="str">
        <f>HYPERLINK("http://twitter.com/download/android","Twitter for Android")</f>
        <v>Twitter for Android</v>
      </c>
      <c r="J377" s="2">
        <v>3682</v>
      </c>
      <c r="K377" s="2">
        <v>3322</v>
      </c>
      <c r="L377" s="2">
        <v>16</v>
      </c>
      <c r="M377" s="2"/>
      <c r="N377" s="8">
        <v>42984.470983796295</v>
      </c>
      <c r="O377" s="4"/>
      <c r="P377" s="3" t="s">
        <v>2595</v>
      </c>
      <c r="Q377" s="4"/>
      <c r="R377" s="4"/>
      <c r="S377" s="9" t="str">
        <f>HYPERLINK("https://pbs.twimg.com/profile_images/1038793577143390208/ZifDkR_2.jpg","View")</f>
        <v>View</v>
      </c>
    </row>
    <row r="378" spans="1:19" ht="40">
      <c r="A378" s="8">
        <v>43369.625983796301</v>
      </c>
      <c r="B378" s="11" t="str">
        <f>HYPERLINK("https://twitter.com/Reza_Shaban78","@Reza_Shaban78")</f>
        <v>@Reza_Shaban78</v>
      </c>
      <c r="C378" s="6" t="s">
        <v>2594</v>
      </c>
      <c r="D378" s="5" t="s">
        <v>1473</v>
      </c>
      <c r="E378" s="9" t="str">
        <f>HYPERLINK("https://twitter.com/Reza_Shaban78/status/1044912320042987521","1044912320042987521")</f>
        <v>1044912320042987521</v>
      </c>
      <c r="F378" s="4"/>
      <c r="G378" s="4"/>
      <c r="H378" s="4"/>
      <c r="I378" s="10" t="str">
        <f>HYPERLINK("http://twitter.com/download/android","Twitter for Android")</f>
        <v>Twitter for Android</v>
      </c>
      <c r="J378" s="2">
        <v>5579</v>
      </c>
      <c r="K378" s="2">
        <v>5612</v>
      </c>
      <c r="L378" s="2">
        <v>7</v>
      </c>
      <c r="M378" s="2"/>
      <c r="N378" s="8">
        <v>43288.706331018519</v>
      </c>
      <c r="O378" s="4" t="s">
        <v>1</v>
      </c>
      <c r="P378" s="3" t="s">
        <v>2593</v>
      </c>
      <c r="Q378" s="4"/>
      <c r="R378" s="4"/>
      <c r="S378" s="9" t="str">
        <f>HYPERLINK("https://pbs.twimg.com/profile_images/1032620670121857025/iXGvV_V9.jpg","View")</f>
        <v>View</v>
      </c>
    </row>
    <row r="379" spans="1:19" ht="40">
      <c r="A379" s="8">
        <v>43369.625787037032</v>
      </c>
      <c r="B379" s="11" t="str">
        <f>HYPERLINK("https://twitter.com/Nozhan_b","@Nozhan_b")</f>
        <v>@Nozhan_b</v>
      </c>
      <c r="C379" s="6" t="s">
        <v>2592</v>
      </c>
      <c r="D379" s="5" t="s">
        <v>2559</v>
      </c>
      <c r="E379" s="9" t="str">
        <f>HYPERLINK("https://twitter.com/Nozhan_b/status/1044912247779315712","1044912247779315712")</f>
        <v>1044912247779315712</v>
      </c>
      <c r="F379" s="4"/>
      <c r="G379" s="10" t="s">
        <v>2558</v>
      </c>
      <c r="H379" s="4"/>
      <c r="I379" s="10" t="str">
        <f>HYPERLINK("http://twitter.com/download/android","Twitter for Android")</f>
        <v>Twitter for Android</v>
      </c>
      <c r="J379" s="2">
        <v>101</v>
      </c>
      <c r="K379" s="2">
        <v>33</v>
      </c>
      <c r="L379" s="2">
        <v>0</v>
      </c>
      <c r="M379" s="2"/>
      <c r="N379" s="8">
        <v>41558.197500000002</v>
      </c>
      <c r="O379" s="4" t="s">
        <v>30</v>
      </c>
      <c r="P379" s="3" t="s">
        <v>2591</v>
      </c>
      <c r="Q379" s="10" t="s">
        <v>2590</v>
      </c>
      <c r="R379" s="4"/>
      <c r="S379" s="9" t="str">
        <f>HYPERLINK("https://pbs.twimg.com/profile_images/952647733239742465/QnYsH0a0.jpg","View")</f>
        <v>View</v>
      </c>
    </row>
    <row r="380" spans="1:19" ht="20">
      <c r="A380" s="8">
        <v>43369.62563657407</v>
      </c>
      <c r="B380" s="11" t="str">
        <f>HYPERLINK("https://twitter.com/24Golestan","@24Golestan")</f>
        <v>@24Golestan</v>
      </c>
      <c r="C380" s="6" t="s">
        <v>2589</v>
      </c>
      <c r="D380" s="5" t="s">
        <v>102</v>
      </c>
      <c r="E380" s="9" t="str">
        <f>HYPERLINK("https://twitter.com/24Golestan/status/1044912195002408961","1044912195002408961")</f>
        <v>1044912195002408961</v>
      </c>
      <c r="F380" s="4"/>
      <c r="G380" s="4"/>
      <c r="H380" s="4"/>
      <c r="I380" s="10" t="str">
        <f>HYPERLINK("http://twitter.com/download/android","Twitter for Android")</f>
        <v>Twitter for Android</v>
      </c>
      <c r="J380" s="2">
        <v>2120</v>
      </c>
      <c r="K380" s="2">
        <v>4723</v>
      </c>
      <c r="L380" s="2">
        <v>0</v>
      </c>
      <c r="M380" s="2"/>
      <c r="N380" s="8">
        <v>43158.878425925926</v>
      </c>
      <c r="O380" s="4"/>
      <c r="P380" s="3"/>
      <c r="Q380" s="4"/>
      <c r="R380" s="4"/>
      <c r="S380" s="9" t="str">
        <f>HYPERLINK("https://pbs.twimg.com/profile_images/968540553364344833/DmIFLGXn.jpg","View")</f>
        <v>View</v>
      </c>
    </row>
    <row r="381" spans="1:19" ht="20">
      <c r="A381" s="8">
        <v>43369.625497685185</v>
      </c>
      <c r="B381" s="11" t="str">
        <f>HYPERLINK("https://twitter.com/mojtabaazad71_3","@mojtabaazad71_3")</f>
        <v>@mojtabaazad71_3</v>
      </c>
      <c r="C381" s="6" t="s">
        <v>2588</v>
      </c>
      <c r="D381" s="5" t="s">
        <v>102</v>
      </c>
      <c r="E381" s="9" t="str">
        <f>HYPERLINK("https://twitter.com/mojtabaazad71_3/status/1044912143504740353","1044912143504740353")</f>
        <v>1044912143504740353</v>
      </c>
      <c r="F381" s="4"/>
      <c r="G381" s="4"/>
      <c r="H381" s="4"/>
      <c r="I381" s="10" t="str">
        <f>HYPERLINK("http://twitter.com/download/android","Twitter for Android")</f>
        <v>Twitter for Android</v>
      </c>
      <c r="J381" s="2">
        <v>779</v>
      </c>
      <c r="K381" s="2">
        <v>130</v>
      </c>
      <c r="L381" s="2">
        <v>2</v>
      </c>
      <c r="M381" s="2"/>
      <c r="N381" s="8">
        <v>43070.102893518517</v>
      </c>
      <c r="O381" s="4"/>
      <c r="P381" s="3"/>
      <c r="Q381" s="4"/>
      <c r="R381" s="4"/>
      <c r="S381" s="9" t="str">
        <f>HYPERLINK("https://pbs.twimg.com/profile_images/1020880353484001281/ALeJBNVp.jpg","View")</f>
        <v>View</v>
      </c>
    </row>
    <row r="382" spans="1:19" ht="30">
      <c r="A382" s="8">
        <v>43369.625451388885</v>
      </c>
      <c r="B382" s="11" t="str">
        <f>HYPERLINK("https://twitter.com/VahidGh76","@VahidGh76")</f>
        <v>@VahidGh76</v>
      </c>
      <c r="C382" s="6" t="s">
        <v>2587</v>
      </c>
      <c r="D382" s="5" t="s">
        <v>2559</v>
      </c>
      <c r="E382" s="9" t="str">
        <f>HYPERLINK("https://twitter.com/VahidGh76/status/1044912126811410434","1044912126811410434")</f>
        <v>1044912126811410434</v>
      </c>
      <c r="F382" s="4"/>
      <c r="G382" s="10" t="s">
        <v>2558</v>
      </c>
      <c r="H382" s="4"/>
      <c r="I382" s="10" t="str">
        <f>HYPERLINK("http://twitter.com/download/android","Twitter for Android")</f>
        <v>Twitter for Android</v>
      </c>
      <c r="J382" s="2">
        <v>97</v>
      </c>
      <c r="K382" s="2">
        <v>97</v>
      </c>
      <c r="L382" s="2">
        <v>0</v>
      </c>
      <c r="M382" s="2"/>
      <c r="N382" s="8">
        <v>43104.573726851857</v>
      </c>
      <c r="O382" s="4"/>
      <c r="P382" s="3"/>
      <c r="Q382" s="4"/>
      <c r="R382" s="4"/>
      <c r="S382" s="9" t="str">
        <f>HYPERLINK("https://pbs.twimg.com/profile_images/1019384569152393216/Y_Jb5rqo.jpg","View")</f>
        <v>View</v>
      </c>
    </row>
    <row r="383" spans="1:19" ht="40">
      <c r="A383" s="8">
        <v>43369.625428240739</v>
      </c>
      <c r="B383" s="11" t="str">
        <f>HYPERLINK("https://twitter.com/paradox2071","@paradox2071")</f>
        <v>@paradox2071</v>
      </c>
      <c r="C383" s="6" t="s">
        <v>930</v>
      </c>
      <c r="D383" s="5" t="s">
        <v>2564</v>
      </c>
      <c r="E383" s="9" t="str">
        <f>HYPERLINK("https://twitter.com/paradox2071/status/1044912120976924672","1044912120976924672")</f>
        <v>1044912120976924672</v>
      </c>
      <c r="F383" s="4"/>
      <c r="G383" s="10" t="s">
        <v>2563</v>
      </c>
      <c r="H383" s="4"/>
      <c r="I383" s="10" t="str">
        <f>HYPERLINK("http://twitter.com/download/android","Twitter for Android")</f>
        <v>Twitter for Android</v>
      </c>
      <c r="J383" s="2">
        <v>1124</v>
      </c>
      <c r="K383" s="2">
        <v>1108</v>
      </c>
      <c r="L383" s="2">
        <v>1</v>
      </c>
      <c r="M383" s="2"/>
      <c r="N383" s="8">
        <v>43103.333877314813</v>
      </c>
      <c r="O383" s="4" t="s">
        <v>929</v>
      </c>
      <c r="P383" s="3"/>
      <c r="Q383" s="4"/>
      <c r="R383" s="4"/>
      <c r="S383" s="9" t="str">
        <f>HYPERLINK("https://pbs.twimg.com/profile_images/1011158472279220225/aKPM8F0D.jpg","View")</f>
        <v>View</v>
      </c>
    </row>
    <row r="384" spans="1:19" ht="30">
      <c r="A384" s="8">
        <v>43369.6253587963</v>
      </c>
      <c r="B384" s="11" t="str">
        <f>HYPERLINK("https://twitter.com/barandazei","@barandazei")</f>
        <v>@barandazei</v>
      </c>
      <c r="C384" s="6" t="s">
        <v>2572</v>
      </c>
      <c r="D384" s="5" t="s">
        <v>2559</v>
      </c>
      <c r="E384" s="9" t="str">
        <f>HYPERLINK("https://twitter.com/barandazei/status/1044912094859153409","1044912094859153409")</f>
        <v>1044912094859153409</v>
      </c>
      <c r="F384" s="4"/>
      <c r="G384" s="10" t="s">
        <v>2558</v>
      </c>
      <c r="H384" s="4"/>
      <c r="I384" s="10" t="str">
        <f>HYPERLINK("http://twitter.com/download/android","Twitter for Android")</f>
        <v>Twitter for Android</v>
      </c>
      <c r="J384" s="2">
        <v>151</v>
      </c>
      <c r="K384" s="2">
        <v>118</v>
      </c>
      <c r="L384" s="2">
        <v>0</v>
      </c>
      <c r="M384" s="2"/>
      <c r="N384" s="8">
        <v>41416.956087962964</v>
      </c>
      <c r="O384" s="4" t="s">
        <v>197</v>
      </c>
      <c r="P384" s="3" t="s">
        <v>2571</v>
      </c>
      <c r="Q384" s="4"/>
      <c r="R384" s="4"/>
      <c r="S384" s="9" t="str">
        <f>HYPERLINK("https://pbs.twimg.com/profile_images/1044908773280747521/1QT8PRpH.jpg","View")</f>
        <v>View</v>
      </c>
    </row>
    <row r="385" spans="1:19" ht="30">
      <c r="A385" s="8">
        <v>43369.625289351854</v>
      </c>
      <c r="B385" s="11" t="str">
        <f>HYPERLINK("https://twitter.com/fsmoghadam","@fsmoghadam")</f>
        <v>@fsmoghadam</v>
      </c>
      <c r="C385" s="6" t="s">
        <v>1319</v>
      </c>
      <c r="D385" s="5" t="s">
        <v>2586</v>
      </c>
      <c r="E385" s="9" t="str">
        <f>HYPERLINK("https://twitter.com/fsmoghadam/status/1044912069664026624","1044912069664026624")</f>
        <v>1044912069664026624</v>
      </c>
      <c r="F385" s="4"/>
      <c r="G385" s="4"/>
      <c r="H385" s="4"/>
      <c r="I385" s="10" t="str">
        <f>HYPERLINK("http://twitter.com/download/android","Twitter for Android")</f>
        <v>Twitter for Android</v>
      </c>
      <c r="J385" s="2">
        <v>911</v>
      </c>
      <c r="K385" s="2">
        <v>2999</v>
      </c>
      <c r="L385" s="2">
        <v>4</v>
      </c>
      <c r="M385" s="2"/>
      <c r="N385" s="8">
        <v>42760.00712962963</v>
      </c>
      <c r="O385" s="4" t="s">
        <v>7</v>
      </c>
      <c r="P385" s="3" t="s">
        <v>1318</v>
      </c>
      <c r="Q385" s="10" t="s">
        <v>1317</v>
      </c>
      <c r="R385" s="4"/>
      <c r="S385" s="9" t="str">
        <f>HYPERLINK("https://pbs.twimg.com/profile_images/878430088764813312/t4flT2RQ.jpg","View")</f>
        <v>View</v>
      </c>
    </row>
    <row r="386" spans="1:19" ht="40">
      <c r="A386" s="8">
        <v>43369.625219907408</v>
      </c>
      <c r="B386" s="11" t="str">
        <f>HYPERLINK("https://twitter.com/mehdi6104","@mehdi6104")</f>
        <v>@mehdi6104</v>
      </c>
      <c r="C386" s="6" t="s">
        <v>2585</v>
      </c>
      <c r="D386" s="5" t="s">
        <v>2564</v>
      </c>
      <c r="E386" s="9" t="str">
        <f>HYPERLINK("https://twitter.com/mehdi6104/status/1044912045601288192","1044912045601288192")</f>
        <v>1044912045601288192</v>
      </c>
      <c r="F386" s="4"/>
      <c r="G386" s="10" t="s">
        <v>2563</v>
      </c>
      <c r="H386" s="4"/>
      <c r="I386" s="10" t="str">
        <f>HYPERLINK("http://twitter.com/download/android","Twitter for Android")</f>
        <v>Twitter for Android</v>
      </c>
      <c r="J386" s="2">
        <v>418</v>
      </c>
      <c r="K386" s="2">
        <v>639</v>
      </c>
      <c r="L386" s="2">
        <v>0</v>
      </c>
      <c r="M386" s="2"/>
      <c r="N386" s="8">
        <v>42954.824062500003</v>
      </c>
      <c r="O386" s="4"/>
      <c r="P386" s="3" t="s">
        <v>2584</v>
      </c>
      <c r="Q386" s="4"/>
      <c r="R386" s="4"/>
      <c r="S386" s="9" t="str">
        <f>HYPERLINK("https://pbs.twimg.com/profile_images/1034407504376156161/wbNZ6Gqi.jpg","View")</f>
        <v>View</v>
      </c>
    </row>
    <row r="387" spans="1:19" ht="30">
      <c r="A387" s="8">
        <v>43369.625081018516</v>
      </c>
      <c r="B387" s="11" t="str">
        <f>HYPERLINK("https://twitter.com/biet_s","@biet_s")</f>
        <v>@biet_s</v>
      </c>
      <c r="C387" s="6" t="s">
        <v>2583</v>
      </c>
      <c r="D387" s="5" t="s">
        <v>2559</v>
      </c>
      <c r="E387" s="9" t="str">
        <f>HYPERLINK("https://twitter.com/biet_s/status/1044911995085090817","1044911995085090817")</f>
        <v>1044911995085090817</v>
      </c>
      <c r="F387" s="4"/>
      <c r="G387" s="10" t="s">
        <v>2558</v>
      </c>
      <c r="H387" s="4"/>
      <c r="I387" s="10" t="str">
        <f>HYPERLINK("http://twitter.com/download/android","Twitter for Android")</f>
        <v>Twitter for Android</v>
      </c>
      <c r="J387" s="2">
        <v>4142</v>
      </c>
      <c r="K387" s="2">
        <v>410</v>
      </c>
      <c r="L387" s="2">
        <v>16</v>
      </c>
      <c r="M387" s="2"/>
      <c r="N387" s="8">
        <v>41884.29822916667</v>
      </c>
      <c r="O387" s="4"/>
      <c r="P387" s="3" t="s">
        <v>2582</v>
      </c>
      <c r="Q387" s="4"/>
      <c r="R387" s="4"/>
      <c r="S387" s="9" t="str">
        <f>HYPERLINK("https://pbs.twimg.com/profile_images/1038941590700613632/BWSMaviv.jpg","View")</f>
        <v>View</v>
      </c>
    </row>
    <row r="388" spans="1:19" ht="30">
      <c r="A388" s="8">
        <v>43369.624965277777</v>
      </c>
      <c r="B388" s="11" t="str">
        <f>HYPERLINK("https://twitter.com/perinsisil","@perinsisil")</f>
        <v>@perinsisil</v>
      </c>
      <c r="C388" s="6" t="s">
        <v>2581</v>
      </c>
      <c r="D388" s="5" t="s">
        <v>2559</v>
      </c>
      <c r="E388" s="9" t="str">
        <f>HYPERLINK("https://twitter.com/perinsisil/status/1044911952345124864","1044911952345124864")</f>
        <v>1044911952345124864</v>
      </c>
      <c r="F388" s="4"/>
      <c r="G388" s="10" t="s">
        <v>2558</v>
      </c>
      <c r="H388" s="4"/>
      <c r="I388" s="10" t="str">
        <f>HYPERLINK("http://twitter.com/download/android","Twitter for Android")</f>
        <v>Twitter for Android</v>
      </c>
      <c r="J388" s="2">
        <v>1168</v>
      </c>
      <c r="K388" s="2">
        <v>370</v>
      </c>
      <c r="L388" s="2">
        <v>23</v>
      </c>
      <c r="M388" s="2"/>
      <c r="N388" s="8">
        <v>41810.680208333331</v>
      </c>
      <c r="O388" s="4"/>
      <c r="P388" s="3" t="s">
        <v>2580</v>
      </c>
      <c r="Q388" s="4"/>
      <c r="R388" s="4"/>
      <c r="S388" s="9" t="str">
        <f>HYPERLINK("https://pbs.twimg.com/profile_images/1037455419445264384/ooE5-q-Q.jpg","View")</f>
        <v>View</v>
      </c>
    </row>
    <row r="389" spans="1:19" ht="30">
      <c r="A389" s="8">
        <v>43369.624861111108</v>
      </c>
      <c r="B389" s="11" t="str">
        <f>HYPERLINK("https://twitter.com/lady_sooraty","@lady_sooraty")</f>
        <v>@lady_sooraty</v>
      </c>
      <c r="C389" s="6" t="s">
        <v>2579</v>
      </c>
      <c r="D389" s="5" t="s">
        <v>2559</v>
      </c>
      <c r="E389" s="9" t="str">
        <f>HYPERLINK("https://twitter.com/lady_sooraty/status/1044911914827026433","1044911914827026433")</f>
        <v>1044911914827026433</v>
      </c>
      <c r="F389" s="4"/>
      <c r="G389" s="10" t="s">
        <v>2558</v>
      </c>
      <c r="H389" s="4"/>
      <c r="I389" s="10" t="str">
        <f>HYPERLINK("http://twitter.com/download/iphone","Twitter for iPhone")</f>
        <v>Twitter for iPhone</v>
      </c>
      <c r="J389" s="2">
        <v>128</v>
      </c>
      <c r="K389" s="2">
        <v>250</v>
      </c>
      <c r="L389" s="2">
        <v>0</v>
      </c>
      <c r="M389" s="2"/>
      <c r="N389" s="8">
        <v>42734.513275462959</v>
      </c>
      <c r="O389" s="4" t="s">
        <v>7</v>
      </c>
      <c r="P389" s="3" t="s">
        <v>2578</v>
      </c>
      <c r="Q389" s="4"/>
      <c r="R389" s="4"/>
      <c r="S389" s="9" t="str">
        <f>HYPERLINK("https://pbs.twimg.com/profile_images/1042300746635649024/OcZIKwJp.jpg","View")</f>
        <v>View</v>
      </c>
    </row>
    <row r="390" spans="1:19" ht="30">
      <c r="A390" s="8">
        <v>43369.624664351853</v>
      </c>
      <c r="B390" s="11" t="str">
        <f>HYPERLINK("https://twitter.com/albtakin63","@albtakin63")</f>
        <v>@albtakin63</v>
      </c>
      <c r="C390" s="6" t="s">
        <v>2577</v>
      </c>
      <c r="D390" s="5" t="s">
        <v>2559</v>
      </c>
      <c r="E390" s="9" t="str">
        <f>HYPERLINK("https://twitter.com/albtakin63/status/1044911841544228864","1044911841544228864")</f>
        <v>1044911841544228864</v>
      </c>
      <c r="F390" s="4"/>
      <c r="G390" s="10" t="s">
        <v>2558</v>
      </c>
      <c r="H390" s="4"/>
      <c r="I390" s="10" t="str">
        <f>HYPERLINK("http://twitter.com/download/iphone","Twitter for iPhone")</f>
        <v>Twitter for iPhone</v>
      </c>
      <c r="J390" s="2">
        <v>21</v>
      </c>
      <c r="K390" s="2">
        <v>48</v>
      </c>
      <c r="L390" s="2">
        <v>0</v>
      </c>
      <c r="M390" s="2"/>
      <c r="N390" s="8">
        <v>43019.503946759258</v>
      </c>
      <c r="O390" s="4"/>
      <c r="P390" s="3"/>
      <c r="Q390" s="4"/>
      <c r="R390" s="4"/>
      <c r="S390" s="2" t="s">
        <v>21</v>
      </c>
    </row>
    <row r="391" spans="1:19" ht="30">
      <c r="A391" s="8">
        <v>43369.6246412037</v>
      </c>
      <c r="B391" s="11" t="str">
        <f>HYPERLINK("https://twitter.com/DAriyaei","@DAriyaei")</f>
        <v>@DAriyaei</v>
      </c>
      <c r="C391" s="6" t="s">
        <v>18</v>
      </c>
      <c r="D391" s="5" t="s">
        <v>2559</v>
      </c>
      <c r="E391" s="9" t="str">
        <f>HYPERLINK("https://twitter.com/DAriyaei/status/1044911833914716161","1044911833914716161")</f>
        <v>1044911833914716161</v>
      </c>
      <c r="F391" s="4"/>
      <c r="G391" s="10" t="s">
        <v>2558</v>
      </c>
      <c r="H391" s="4"/>
      <c r="I391" s="10" t="str">
        <f>HYPERLINK("http://twitter.com/download/android","Twitter for Android")</f>
        <v>Twitter for Android</v>
      </c>
      <c r="J391" s="2">
        <v>238</v>
      </c>
      <c r="K391" s="2">
        <v>255</v>
      </c>
      <c r="L391" s="2">
        <v>1</v>
      </c>
      <c r="M391" s="2"/>
      <c r="N391" s="8">
        <v>41823.937986111108</v>
      </c>
      <c r="O391" s="4"/>
      <c r="P391" s="3" t="s">
        <v>17</v>
      </c>
      <c r="Q391" s="4"/>
      <c r="R391" s="4"/>
      <c r="S391" s="9" t="str">
        <f>HYPERLINK("https://pbs.twimg.com/profile_images/1005755873619267584/ARtnzULm.jpg","View")</f>
        <v>View</v>
      </c>
    </row>
    <row r="392" spans="1:19" ht="40">
      <c r="A392" s="8">
        <v>43369.624537037038</v>
      </c>
      <c r="B392" s="11" t="str">
        <f>HYPERLINK("https://twitter.com/Elham64061650","@Elham64061650")</f>
        <v>@Elham64061650</v>
      </c>
      <c r="C392" s="6" t="s">
        <v>2576</v>
      </c>
      <c r="D392" s="5" t="s">
        <v>72</v>
      </c>
      <c r="E392" s="9" t="str">
        <f>HYPERLINK("https://twitter.com/Elham64061650/status/1044911797566869504","1044911797566869504")</f>
        <v>1044911797566869504</v>
      </c>
      <c r="F392" s="4"/>
      <c r="G392" s="4"/>
      <c r="H392" s="4"/>
      <c r="I392" s="10" t="str">
        <f>HYPERLINK("http://twitter.com/download/android","Twitter for Android")</f>
        <v>Twitter for Android</v>
      </c>
      <c r="J392" s="2">
        <v>23</v>
      </c>
      <c r="K392" s="2">
        <v>30</v>
      </c>
      <c r="L392" s="2">
        <v>0</v>
      </c>
      <c r="M392" s="2"/>
      <c r="N392" s="8">
        <v>42727.6722337963</v>
      </c>
      <c r="O392" s="4"/>
      <c r="P392" s="3" t="s">
        <v>2575</v>
      </c>
      <c r="Q392" s="4"/>
      <c r="R392" s="4"/>
      <c r="S392" s="9" t="str">
        <f>HYPERLINK("https://pbs.twimg.com/profile_images/1043069809620119552/5jBbjEud.jpg","View")</f>
        <v>View</v>
      </c>
    </row>
    <row r="393" spans="1:19" ht="30">
      <c r="A393" s="8">
        <v>43369.624282407407</v>
      </c>
      <c r="B393" s="11" t="str">
        <f>HYPERLINK("https://twitter.com/_BERZRK_","@_BERZRK_")</f>
        <v>@_BERZRK_</v>
      </c>
      <c r="C393" s="6" t="s">
        <v>2574</v>
      </c>
      <c r="D393" s="5" t="s">
        <v>2559</v>
      </c>
      <c r="E393" s="9" t="str">
        <f>HYPERLINK("https://twitter.com/_BERZRK_/status/1044911704080076800","1044911704080076800")</f>
        <v>1044911704080076800</v>
      </c>
      <c r="F393" s="4"/>
      <c r="G393" s="10" t="s">
        <v>2558</v>
      </c>
      <c r="H393" s="4"/>
      <c r="I393" s="10" t="str">
        <f>HYPERLINK("http://twitter.com/download/android","Twitter for Android")</f>
        <v>Twitter for Android</v>
      </c>
      <c r="J393" s="2">
        <v>10</v>
      </c>
      <c r="K393" s="2">
        <v>10</v>
      </c>
      <c r="L393" s="2">
        <v>0</v>
      </c>
      <c r="M393" s="2"/>
      <c r="N393" s="8">
        <v>43194.495879629627</v>
      </c>
      <c r="O393" s="4"/>
      <c r="P393" s="3"/>
      <c r="Q393" s="4"/>
      <c r="R393" s="4"/>
      <c r="S393" s="9" t="str">
        <f>HYPERLINK("https://pbs.twimg.com/profile_images/994259928528379904/QCSo5hNl.jpg","View")</f>
        <v>View</v>
      </c>
    </row>
    <row r="394" spans="1:19" ht="30">
      <c r="A394" s="8">
        <v>43369.624236111107</v>
      </c>
      <c r="B394" s="11" t="str">
        <f>HYPERLINK("https://twitter.com/shahababay","@shahababay")</f>
        <v>@shahababay</v>
      </c>
      <c r="C394" s="6" t="s">
        <v>2573</v>
      </c>
      <c r="D394" s="5" t="s">
        <v>2559</v>
      </c>
      <c r="E394" s="9" t="str">
        <f>HYPERLINK("https://twitter.com/shahababay/status/1044911687483166720","1044911687483166720")</f>
        <v>1044911687483166720</v>
      </c>
      <c r="F394" s="4"/>
      <c r="G394" s="10" t="s">
        <v>2558</v>
      </c>
      <c r="H394" s="4"/>
      <c r="I394" s="10" t="str">
        <f>HYPERLINK("http://twitter.com/download/android","Twitter for Android")</f>
        <v>Twitter for Android</v>
      </c>
      <c r="J394" s="2">
        <v>66</v>
      </c>
      <c r="K394" s="2">
        <v>155</v>
      </c>
      <c r="L394" s="2">
        <v>0</v>
      </c>
      <c r="M394" s="2"/>
      <c r="N394" s="8">
        <v>42757.34778935185</v>
      </c>
      <c r="O394" s="4"/>
      <c r="P394" s="3"/>
      <c r="Q394" s="4"/>
      <c r="R394" s="4"/>
      <c r="S394" s="9" t="str">
        <f>HYPERLINK("https://pbs.twimg.com/profile_images/1019870688855887872/-P2v2Yy4.jpg","View")</f>
        <v>View</v>
      </c>
    </row>
    <row r="395" spans="1:19" ht="40">
      <c r="A395" s="8">
        <v>43369.624027777776</v>
      </c>
      <c r="B395" s="11" t="str">
        <f>HYPERLINK("https://twitter.com/barandazei","@barandazei")</f>
        <v>@barandazei</v>
      </c>
      <c r="C395" s="6" t="s">
        <v>2572</v>
      </c>
      <c r="D395" s="5" t="s">
        <v>296</v>
      </c>
      <c r="E395" s="9" t="str">
        <f>HYPERLINK("https://twitter.com/barandazei/status/1044911610140262403","1044911610140262403")</f>
        <v>1044911610140262403</v>
      </c>
      <c r="F395" s="4"/>
      <c r="G395" s="4"/>
      <c r="H395" s="4"/>
      <c r="I395" s="10" t="str">
        <f>HYPERLINK("http://twitter.com/download/android","Twitter for Android")</f>
        <v>Twitter for Android</v>
      </c>
      <c r="J395" s="2">
        <v>151</v>
      </c>
      <c r="K395" s="2">
        <v>118</v>
      </c>
      <c r="L395" s="2">
        <v>0</v>
      </c>
      <c r="M395" s="2"/>
      <c r="N395" s="8">
        <v>41416.956087962964</v>
      </c>
      <c r="O395" s="4" t="s">
        <v>197</v>
      </c>
      <c r="P395" s="3" t="s">
        <v>2571</v>
      </c>
      <c r="Q395" s="4"/>
      <c r="R395" s="4"/>
      <c r="S395" s="9" t="str">
        <f>HYPERLINK("https://pbs.twimg.com/profile_images/1044908773280747521/1QT8PRpH.jpg","View")</f>
        <v>View</v>
      </c>
    </row>
    <row r="396" spans="1:19" ht="30">
      <c r="A396" s="8">
        <v>43369.623703703706</v>
      </c>
      <c r="B396" s="11" t="str">
        <f>HYPERLINK("https://twitter.com/Moh3nShokree","@Moh3nShokree")</f>
        <v>@Moh3nShokree</v>
      </c>
      <c r="C396" s="6" t="s">
        <v>2570</v>
      </c>
      <c r="D396" s="5" t="s">
        <v>2559</v>
      </c>
      <c r="E396" s="9" t="str">
        <f>HYPERLINK("https://twitter.com/Moh3nShokree/status/1044911495367266304","1044911495367266304")</f>
        <v>1044911495367266304</v>
      </c>
      <c r="F396" s="4"/>
      <c r="G396" s="10" t="s">
        <v>2558</v>
      </c>
      <c r="H396" s="4"/>
      <c r="I396" s="10" t="str">
        <f>HYPERLINK("http://twitter.com/download/android","Twitter for Android")</f>
        <v>Twitter for Android</v>
      </c>
      <c r="J396" s="2">
        <v>10</v>
      </c>
      <c r="K396" s="2">
        <v>13</v>
      </c>
      <c r="L396" s="2">
        <v>0</v>
      </c>
      <c r="M396" s="2"/>
      <c r="N396" s="8">
        <v>43105.808240740742</v>
      </c>
      <c r="O396" s="4" t="s">
        <v>101</v>
      </c>
      <c r="P396" s="3" t="s">
        <v>2569</v>
      </c>
      <c r="Q396" s="4"/>
      <c r="R396" s="4"/>
      <c r="S396" s="9" t="str">
        <f>HYPERLINK("https://pbs.twimg.com/profile_images/1044701673875271683/vOnejHhw.jpg","View")</f>
        <v>View</v>
      </c>
    </row>
    <row r="397" spans="1:19" ht="40">
      <c r="A397" s="8">
        <v>43369.623622685191</v>
      </c>
      <c r="B397" s="11" t="str">
        <f>HYPERLINK("https://twitter.com/ali_krv28","@ali_krv28")</f>
        <v>@ali_krv28</v>
      </c>
      <c r="C397" s="6" t="s">
        <v>2568</v>
      </c>
      <c r="D397" s="5" t="s">
        <v>1556</v>
      </c>
      <c r="E397" s="9" t="str">
        <f>HYPERLINK("https://twitter.com/ali_krv28/status/1044911466678296582","1044911466678296582")</f>
        <v>1044911466678296582</v>
      </c>
      <c r="F397" s="4"/>
      <c r="G397" s="4"/>
      <c r="H397" s="4"/>
      <c r="I397" s="10" t="str">
        <f>HYPERLINK("http://twitter.com/download/android","Twitter for Android")</f>
        <v>Twitter for Android</v>
      </c>
      <c r="J397" s="2">
        <v>48</v>
      </c>
      <c r="K397" s="2">
        <v>32</v>
      </c>
      <c r="L397" s="2">
        <v>0</v>
      </c>
      <c r="M397" s="2"/>
      <c r="N397" s="8">
        <v>43024.242361111115</v>
      </c>
      <c r="O397" s="4" t="s">
        <v>2567</v>
      </c>
      <c r="P397" s="3" t="s">
        <v>2566</v>
      </c>
      <c r="Q397" s="4"/>
      <c r="R397" s="4"/>
      <c r="S397" s="9" t="str">
        <f>HYPERLINK("https://pbs.twimg.com/profile_images/1004268308366086144/F34cgr01.jpg","View")</f>
        <v>View</v>
      </c>
    </row>
    <row r="398" spans="1:19" ht="40">
      <c r="A398" s="8">
        <v>43369.623310185183</v>
      </c>
      <c r="B398" s="11" t="str">
        <f>HYPERLINK("https://twitter.com/pVP6EBNagvVB6zM","@pVP6EBNagvVB6zM")</f>
        <v>@pVP6EBNagvVB6zM</v>
      </c>
      <c r="C398" s="6" t="s">
        <v>2565</v>
      </c>
      <c r="D398" s="5" t="s">
        <v>2564</v>
      </c>
      <c r="E398" s="9" t="str">
        <f>HYPERLINK("https://twitter.com/pVP6EBNagvVB6zM/status/1044911353457184768","1044911353457184768")</f>
        <v>1044911353457184768</v>
      </c>
      <c r="F398" s="4"/>
      <c r="G398" s="10" t="s">
        <v>2563</v>
      </c>
      <c r="H398" s="4"/>
      <c r="I398" s="10" t="str">
        <f>HYPERLINK("http://twitter.com/download/android","Twitter for Android")</f>
        <v>Twitter for Android</v>
      </c>
      <c r="J398" s="2">
        <v>1064</v>
      </c>
      <c r="K398" s="2">
        <v>1636</v>
      </c>
      <c r="L398" s="2">
        <v>0</v>
      </c>
      <c r="M398" s="2"/>
      <c r="N398" s="8">
        <v>43244.443020833336</v>
      </c>
      <c r="O398" s="4" t="s">
        <v>13</v>
      </c>
      <c r="P398" s="3" t="s">
        <v>2562</v>
      </c>
      <c r="Q398" s="4"/>
      <c r="R398" s="4"/>
      <c r="S398" s="9" t="str">
        <f>HYPERLINK("https://pbs.twimg.com/profile_images/1043888080158171137/7mc4W-7g.jpg","View")</f>
        <v>View</v>
      </c>
    </row>
    <row r="399" spans="1:19" ht="20">
      <c r="A399" s="8">
        <v>43369.62327546296</v>
      </c>
      <c r="B399" s="11" t="str">
        <f>HYPERLINK("https://twitter.com/Aban__dokht","@Aban__dokht")</f>
        <v>@Aban__dokht</v>
      </c>
      <c r="C399" s="6" t="s">
        <v>742</v>
      </c>
      <c r="D399" s="5" t="s">
        <v>11</v>
      </c>
      <c r="E399" s="9" t="str">
        <f>HYPERLINK("https://twitter.com/Aban__dokht/status/1044911337539809285","1044911337539809285")</f>
        <v>1044911337539809285</v>
      </c>
      <c r="F399" s="4"/>
      <c r="G399" s="4"/>
      <c r="H399" s="4"/>
      <c r="I399" s="10" t="str">
        <f>HYPERLINK("http://twitter.com/download/android","Twitter for Android")</f>
        <v>Twitter for Android</v>
      </c>
      <c r="J399" s="2">
        <v>1512</v>
      </c>
      <c r="K399" s="2">
        <v>1498</v>
      </c>
      <c r="L399" s="2">
        <v>0</v>
      </c>
      <c r="M399" s="2"/>
      <c r="N399" s="8">
        <v>41207.959780092591</v>
      </c>
      <c r="O399" s="4"/>
      <c r="P399" s="3" t="s">
        <v>741</v>
      </c>
      <c r="Q399" s="4"/>
      <c r="R399" s="4"/>
      <c r="S399" s="9" t="str">
        <f>HYPERLINK("https://pbs.twimg.com/profile_images/1038710395442225152/qO2j40fo.jpg","View")</f>
        <v>View</v>
      </c>
    </row>
    <row r="400" spans="1:19" ht="30">
      <c r="A400" s="8">
        <v>43369.623159722221</v>
      </c>
      <c r="B400" s="11" t="str">
        <f>HYPERLINK("https://twitter.com/mehraniraniran","@mehraniraniran")</f>
        <v>@mehraniraniran</v>
      </c>
      <c r="C400" s="6" t="s">
        <v>2561</v>
      </c>
      <c r="D400" s="5" t="s">
        <v>2559</v>
      </c>
      <c r="E400" s="9" t="str">
        <f>HYPERLINK("https://twitter.com/mehraniraniran/status/1044911295491969025","1044911295491969025")</f>
        <v>1044911295491969025</v>
      </c>
      <c r="F400" s="4"/>
      <c r="G400" s="10" t="s">
        <v>2558</v>
      </c>
      <c r="H400" s="4"/>
      <c r="I400" s="10" t="str">
        <f>HYPERLINK("http://twitter.com/download/android","Twitter for Android")</f>
        <v>Twitter for Android</v>
      </c>
      <c r="J400" s="2">
        <v>41</v>
      </c>
      <c r="K400" s="2">
        <v>135</v>
      </c>
      <c r="L400" s="2">
        <v>0</v>
      </c>
      <c r="M400" s="2"/>
      <c r="N400" s="8">
        <v>43221.697465277779</v>
      </c>
      <c r="O400" s="4"/>
      <c r="P400" s="3"/>
      <c r="Q400" s="4"/>
      <c r="R400" s="4"/>
      <c r="S400" s="9" t="str">
        <f>HYPERLINK("https://pbs.twimg.com/profile_images/1025137153725132802/CiMawgX2.jpg","View")</f>
        <v>View</v>
      </c>
    </row>
    <row r="401" spans="1:19" ht="30">
      <c r="A401" s="8">
        <v>43369.623148148152</v>
      </c>
      <c r="B401" s="11" t="str">
        <f>HYPERLINK("https://twitter.com/9ebrahimE","@9ebrahimE")</f>
        <v>@9ebrahimE</v>
      </c>
      <c r="C401" s="6" t="s">
        <v>2560</v>
      </c>
      <c r="D401" s="5" t="s">
        <v>2559</v>
      </c>
      <c r="E401" s="9" t="str">
        <f>HYPERLINK("https://twitter.com/9ebrahimE/status/1044911291863887872","1044911291863887872")</f>
        <v>1044911291863887872</v>
      </c>
      <c r="F401" s="4"/>
      <c r="G401" s="10" t="s">
        <v>2558</v>
      </c>
      <c r="H401" s="4"/>
      <c r="I401" s="10" t="str">
        <f>HYPERLINK("http://twitter.com/download/android","Twitter for Android")</f>
        <v>Twitter for Android</v>
      </c>
      <c r="J401" s="2">
        <v>22</v>
      </c>
      <c r="K401" s="2">
        <v>135</v>
      </c>
      <c r="L401" s="2">
        <v>0</v>
      </c>
      <c r="M401" s="2"/>
      <c r="N401" s="8">
        <v>43368.866979166662</v>
      </c>
      <c r="O401" s="4"/>
      <c r="P401" s="3"/>
      <c r="Q401" s="4"/>
      <c r="R401" s="4"/>
      <c r="S401" s="9" t="str">
        <f>HYPERLINK("https://pbs.twimg.com/profile_images/1044650566125858818/qi8RUjwn.jpg","View")</f>
        <v>View</v>
      </c>
    </row>
    <row r="402" spans="1:19" ht="30">
      <c r="A402" s="8">
        <v>43369.595833333333</v>
      </c>
      <c r="B402" s="11" t="str">
        <f>HYPERLINK("https://twitter.com/ahmad_mazaheri","@ahmad_mazaheri")</f>
        <v>@ahmad_mazaheri</v>
      </c>
      <c r="C402" s="6" t="s">
        <v>2557</v>
      </c>
      <c r="D402" s="5" t="s">
        <v>2556</v>
      </c>
      <c r="E402" s="9" t="str">
        <f>HYPERLINK("https://twitter.com/ahmad_mazaheri/status/1044901393633546240","1044901393633546240")</f>
        <v>1044901393633546240</v>
      </c>
      <c r="F402" s="4"/>
      <c r="G402" s="4"/>
      <c r="H402" s="4"/>
      <c r="I402" s="10" t="str">
        <f>HYPERLINK("http://twitter.com/download/iphone","Twitter for iPhone")</f>
        <v>Twitter for iPhone</v>
      </c>
      <c r="J402" s="2">
        <v>140</v>
      </c>
      <c r="K402" s="2">
        <v>194</v>
      </c>
      <c r="L402" s="2">
        <v>1</v>
      </c>
      <c r="M402" s="2"/>
      <c r="N402" s="8">
        <v>40002.683124999996</v>
      </c>
      <c r="O402" s="4" t="s">
        <v>8</v>
      </c>
      <c r="P402" s="3" t="s">
        <v>2555</v>
      </c>
      <c r="Q402" s="10" t="s">
        <v>2554</v>
      </c>
      <c r="R402" s="4"/>
      <c r="S402" s="9" t="str">
        <f>HYPERLINK("https://pbs.twimg.com/profile_images/1023269195906252800/niEu4ewO.jpg","View")</f>
        <v>View</v>
      </c>
    </row>
    <row r="403" spans="1:19" ht="40">
      <c r="A403" s="8">
        <v>43369.595254629632</v>
      </c>
      <c r="B403" s="11" t="str">
        <f>HYPERLINK("https://twitter.com/hassan24422","@hassan24422")</f>
        <v>@hassan24422</v>
      </c>
      <c r="C403" s="6" t="s">
        <v>2553</v>
      </c>
      <c r="D403" s="5" t="s">
        <v>1556</v>
      </c>
      <c r="E403" s="9" t="str">
        <f>HYPERLINK("https://twitter.com/hassan24422/status/1044901185210077184","1044901185210077184")</f>
        <v>1044901185210077184</v>
      </c>
      <c r="F403" s="4"/>
      <c r="G403" s="4"/>
      <c r="H403" s="4"/>
      <c r="I403" s="10" t="str">
        <f>HYPERLINK("https://mobile.twitter.com","Twitter Lite")</f>
        <v>Twitter Lite</v>
      </c>
      <c r="J403" s="2">
        <v>22</v>
      </c>
      <c r="K403" s="2">
        <v>46</v>
      </c>
      <c r="L403" s="2">
        <v>0</v>
      </c>
      <c r="M403" s="2"/>
      <c r="N403" s="8">
        <v>42768.590069444443</v>
      </c>
      <c r="O403" s="4" t="s">
        <v>101</v>
      </c>
      <c r="P403" s="3" t="s">
        <v>2552</v>
      </c>
      <c r="Q403" s="4"/>
      <c r="R403" s="4"/>
      <c r="S403" s="2" t="s">
        <v>21</v>
      </c>
    </row>
    <row r="404" spans="1:19" ht="50">
      <c r="A404" s="8">
        <v>43369.594733796301</v>
      </c>
      <c r="B404" s="11" t="str">
        <f>HYPERLINK("https://twitter.com/Plutonium_238","@Plutonium_238")</f>
        <v>@Plutonium_238</v>
      </c>
      <c r="C404" s="6" t="s">
        <v>2540</v>
      </c>
      <c r="D404" s="5" t="s">
        <v>2551</v>
      </c>
      <c r="E404" s="9" t="str">
        <f>HYPERLINK("https://twitter.com/Plutonium_238/status/1044900997544517632","1044900997544517632")</f>
        <v>1044900997544517632</v>
      </c>
      <c r="F404" s="4"/>
      <c r="G404" s="10" t="s">
        <v>2538</v>
      </c>
      <c r="H404" s="4"/>
      <c r="I404" s="10" t="str">
        <f>HYPERLINK("http://twitter.com","Twitter Web Client")</f>
        <v>Twitter Web Client</v>
      </c>
      <c r="J404" s="2">
        <v>610</v>
      </c>
      <c r="K404" s="2">
        <v>640</v>
      </c>
      <c r="L404" s="2">
        <v>1</v>
      </c>
      <c r="M404" s="2"/>
      <c r="N404" s="8">
        <v>43099.893703703703</v>
      </c>
      <c r="O404" s="4" t="s">
        <v>2537</v>
      </c>
      <c r="P404" s="3" t="s">
        <v>2536</v>
      </c>
      <c r="Q404" s="4"/>
      <c r="R404" s="4"/>
      <c r="S404" s="9" t="str">
        <f>HYPERLINK("https://pbs.twimg.com/profile_images/961648992206643200/AhRk2eer.jpg","View")</f>
        <v>View</v>
      </c>
    </row>
    <row r="405" spans="1:19" ht="40">
      <c r="A405" s="8">
        <v>43369.594293981485</v>
      </c>
      <c r="B405" s="11" t="str">
        <f>HYPERLINK("https://twitter.com/green_tired","@green_tired")</f>
        <v>@green_tired</v>
      </c>
      <c r="C405" s="6" t="s">
        <v>2550</v>
      </c>
      <c r="D405" s="5" t="s">
        <v>1556</v>
      </c>
      <c r="E405" s="9" t="str">
        <f>HYPERLINK("https://twitter.com/green_tired/status/1044900837099798528","1044900837099798528")</f>
        <v>1044900837099798528</v>
      </c>
      <c r="F405" s="4"/>
      <c r="G405" s="4"/>
      <c r="H405" s="4"/>
      <c r="I405" s="10" t="str">
        <f>HYPERLINK("http://twitter.com/download/android","Twitter for Android")</f>
        <v>Twitter for Android</v>
      </c>
      <c r="J405" s="2">
        <v>2422</v>
      </c>
      <c r="K405" s="2">
        <v>704</v>
      </c>
      <c r="L405" s="2">
        <v>13</v>
      </c>
      <c r="M405" s="2"/>
      <c r="N405" s="8">
        <v>42860.999062499999</v>
      </c>
      <c r="O405" s="4" t="s">
        <v>2549</v>
      </c>
      <c r="P405" s="3" t="s">
        <v>2548</v>
      </c>
      <c r="Q405" s="4"/>
      <c r="R405" s="4"/>
      <c r="S405" s="9" t="str">
        <f>HYPERLINK("https://pbs.twimg.com/profile_images/1024622156414513152/GPkMFpNs.jpg","View")</f>
        <v>View</v>
      </c>
    </row>
    <row r="406" spans="1:19" ht="20">
      <c r="A406" s="8">
        <v>43369.594224537039</v>
      </c>
      <c r="B406" s="11" t="str">
        <f>HYPERLINK("https://twitter.com/WYPssDON77kIChN","@WYPssDON77kIChN")</f>
        <v>@WYPssDON77kIChN</v>
      </c>
      <c r="C406" s="6" t="s">
        <v>2547</v>
      </c>
      <c r="D406" s="5" t="s">
        <v>15</v>
      </c>
      <c r="E406" s="9" t="str">
        <f>HYPERLINK("https://twitter.com/WYPssDON77kIChN/status/1044900811455762432","1044900811455762432")</f>
        <v>1044900811455762432</v>
      </c>
      <c r="F406" s="4"/>
      <c r="G406" s="4"/>
      <c r="H406" s="4"/>
      <c r="I406" s="10" t="str">
        <f>HYPERLINK("http://twitter.com/download/android","Twitter for Android")</f>
        <v>Twitter for Android</v>
      </c>
      <c r="J406" s="2">
        <v>23</v>
      </c>
      <c r="K406" s="2">
        <v>8</v>
      </c>
      <c r="L406" s="2">
        <v>0</v>
      </c>
      <c r="M406" s="2"/>
      <c r="N406" s="8">
        <v>43361.38354166667</v>
      </c>
      <c r="O406" s="4"/>
      <c r="P406" s="3"/>
      <c r="Q406" s="4"/>
      <c r="R406" s="4"/>
      <c r="S406" s="9" t="str">
        <f>HYPERLINK("https://pbs.twimg.com/profile_images/1041911465538666496/WHkJVw_n.jpg","View")</f>
        <v>View</v>
      </c>
    </row>
    <row r="407" spans="1:19" ht="20">
      <c r="A407" s="8">
        <v>43369.593564814815</v>
      </c>
      <c r="B407" s="11" t="str">
        <f>HYPERLINK("https://twitter.com/mamanecharles","@mamanecharles")</f>
        <v>@mamanecharles</v>
      </c>
      <c r="C407" s="6" t="s">
        <v>2546</v>
      </c>
      <c r="D407" s="5" t="s">
        <v>736</v>
      </c>
      <c r="E407" s="9" t="str">
        <f>HYPERLINK("https://twitter.com/mamanecharles/status/1044900572271456256","1044900572271456256")</f>
        <v>1044900572271456256</v>
      </c>
      <c r="F407" s="4"/>
      <c r="G407" s="10" t="s">
        <v>732</v>
      </c>
      <c r="H407" s="4"/>
      <c r="I407" s="10" t="str">
        <f>HYPERLINK("http://twitter.com/download/iphone","Twitter for iPhone")</f>
        <v>Twitter for iPhone</v>
      </c>
      <c r="J407" s="2">
        <v>172</v>
      </c>
      <c r="K407" s="2">
        <v>365</v>
      </c>
      <c r="L407" s="2">
        <v>0</v>
      </c>
      <c r="M407" s="2"/>
      <c r="N407" s="8">
        <v>43257.546006944445</v>
      </c>
      <c r="O407" s="4"/>
      <c r="P407" s="3" t="s">
        <v>2545</v>
      </c>
      <c r="Q407" s="4"/>
      <c r="R407" s="4"/>
      <c r="S407" s="9" t="str">
        <f>HYPERLINK("https://pbs.twimg.com/profile_images/1004284245509005314/4_WTGQ-A.jpg","View")</f>
        <v>View</v>
      </c>
    </row>
    <row r="408" spans="1:19" ht="20">
      <c r="A408" s="8">
        <v>43369.593495370369</v>
      </c>
      <c r="B408" s="11" t="str">
        <f>HYPERLINK("https://twitter.com/kardinal_284","@kardinal_284")</f>
        <v>@kardinal_284</v>
      </c>
      <c r="C408" s="6" t="s">
        <v>1713</v>
      </c>
      <c r="D408" s="5" t="s">
        <v>736</v>
      </c>
      <c r="E408" s="9" t="str">
        <f>HYPERLINK("https://twitter.com/kardinal_284/status/1044900547340496896","1044900547340496896")</f>
        <v>1044900547340496896</v>
      </c>
      <c r="F408" s="4"/>
      <c r="G408" s="10" t="s">
        <v>732</v>
      </c>
      <c r="H408" s="4"/>
      <c r="I408" s="10" t="str">
        <f>HYPERLINK("http://twitter.com","Twitter Web Client")</f>
        <v>Twitter Web Client</v>
      </c>
      <c r="J408" s="2">
        <v>419</v>
      </c>
      <c r="K408" s="2">
        <v>907</v>
      </c>
      <c r="L408" s="2">
        <v>0</v>
      </c>
      <c r="M408" s="2"/>
      <c r="N408" s="8">
        <v>43101.471782407403</v>
      </c>
      <c r="O408" s="4"/>
      <c r="P408" s="3" t="s">
        <v>1712</v>
      </c>
      <c r="Q408" s="4"/>
      <c r="R408" s="4"/>
      <c r="S408" s="9" t="str">
        <f>HYPERLINK("https://pbs.twimg.com/profile_images/1035775028770611200/wqnTVoog.jpg","View")</f>
        <v>View</v>
      </c>
    </row>
    <row r="409" spans="1:19" ht="40">
      <c r="A409" s="8">
        <v>43369.593460648146</v>
      </c>
      <c r="B409" s="11" t="str">
        <f>HYPERLINK("https://twitter.com/vvhly","@vvhly")</f>
        <v>@vvhly</v>
      </c>
      <c r="C409" s="6" t="s">
        <v>950</v>
      </c>
      <c r="D409" s="5" t="s">
        <v>72</v>
      </c>
      <c r="E409" s="9" t="str">
        <f>HYPERLINK("https://twitter.com/vvhly/status/1044900534518534144","1044900534518534144")</f>
        <v>1044900534518534144</v>
      </c>
      <c r="F409" s="4"/>
      <c r="G409" s="4"/>
      <c r="H409" s="4"/>
      <c r="I409" s="10" t="str">
        <f>HYPERLINK("http://twitter.com/download/iphone","Twitter for iPhone")</f>
        <v>Twitter for iPhone</v>
      </c>
      <c r="J409" s="2">
        <v>458</v>
      </c>
      <c r="K409" s="2">
        <v>380</v>
      </c>
      <c r="L409" s="2">
        <v>2</v>
      </c>
      <c r="M409" s="2"/>
      <c r="N409" s="8">
        <v>41317.006527777776</v>
      </c>
      <c r="O409" s="4" t="s">
        <v>33</v>
      </c>
      <c r="P409" s="3" t="s">
        <v>949</v>
      </c>
      <c r="Q409" s="4"/>
      <c r="R409" s="4"/>
      <c r="S409" s="9" t="str">
        <f>HYPERLINK("https://pbs.twimg.com/profile_images/918880113814589440/D1aYk2kc.jpg","View")</f>
        <v>View</v>
      </c>
    </row>
    <row r="410" spans="1:19" ht="40">
      <c r="A410" s="8">
        <v>43369.593194444446</v>
      </c>
      <c r="B410" s="11" t="str">
        <f>HYPERLINK("https://twitter.com/narges6928","@narges6928")</f>
        <v>@narges6928</v>
      </c>
      <c r="C410" s="6" t="s">
        <v>2544</v>
      </c>
      <c r="D410" s="5" t="s">
        <v>174</v>
      </c>
      <c r="E410" s="9" t="str">
        <f>HYPERLINK("https://twitter.com/narges6928/status/1044900436728254464","1044900436728254464")</f>
        <v>1044900436728254464</v>
      </c>
      <c r="F410" s="4"/>
      <c r="G410" s="4"/>
      <c r="H410" s="4"/>
      <c r="I410" s="10" t="str">
        <f>HYPERLINK("http://twitter.com/download/android","Twitter for Android")</f>
        <v>Twitter for Android</v>
      </c>
      <c r="J410" s="2">
        <v>3074</v>
      </c>
      <c r="K410" s="2">
        <v>3497</v>
      </c>
      <c r="L410" s="2">
        <v>6</v>
      </c>
      <c r="M410" s="2"/>
      <c r="N410" s="8">
        <v>43213.696956018517</v>
      </c>
      <c r="O410" s="4"/>
      <c r="P410" s="3"/>
      <c r="Q410" s="4"/>
      <c r="R410" s="4"/>
      <c r="S410" s="9" t="str">
        <f>HYPERLINK("https://pbs.twimg.com/profile_images/999611011878432768/aXWSoT49.jpg","View")</f>
        <v>View</v>
      </c>
    </row>
    <row r="411" spans="1:19" ht="40">
      <c r="A411" s="8">
        <v>43369.593043981484</v>
      </c>
      <c r="B411" s="11" t="str">
        <f>HYPERLINK("https://twitter.com/mrzooon","@mrzooon")</f>
        <v>@mrzooon</v>
      </c>
      <c r="C411" s="6" t="s">
        <v>2543</v>
      </c>
      <c r="D411" s="5" t="s">
        <v>1473</v>
      </c>
      <c r="E411" s="9" t="str">
        <f>HYPERLINK("https://twitter.com/mrzooon/status/1044900381866840064","1044900381866840064")</f>
        <v>1044900381866840064</v>
      </c>
      <c r="F411" s="4"/>
      <c r="G411" s="4"/>
      <c r="H411" s="4"/>
      <c r="I411" s="10" t="str">
        <f>HYPERLINK("http://twitter.com","Twitter Web Client")</f>
        <v>Twitter Web Client</v>
      </c>
      <c r="J411" s="2">
        <v>778</v>
      </c>
      <c r="K411" s="2">
        <v>1174</v>
      </c>
      <c r="L411" s="2">
        <v>0</v>
      </c>
      <c r="M411" s="2"/>
      <c r="N411" s="8">
        <v>43176.463842592595</v>
      </c>
      <c r="O411" s="4"/>
      <c r="P411" s="3" t="s">
        <v>2542</v>
      </c>
      <c r="Q411" s="4"/>
      <c r="R411" s="4"/>
      <c r="S411" s="9" t="str">
        <f>HYPERLINK("https://pbs.twimg.com/profile_images/1023158270012411904/v6zTGTz3.jpg","View")</f>
        <v>View</v>
      </c>
    </row>
    <row r="412" spans="1:19" ht="20">
      <c r="A412" s="8">
        <v>43369.592708333337</v>
      </c>
      <c r="B412" s="11" t="str">
        <f>HYPERLINK("https://twitter.com/rahehagh12","@rahehagh12")</f>
        <v>@rahehagh12</v>
      </c>
      <c r="C412" s="6" t="s">
        <v>2541</v>
      </c>
      <c r="D412" s="5" t="s">
        <v>15</v>
      </c>
      <c r="E412" s="9" t="str">
        <f>HYPERLINK("https://twitter.com/rahehagh12/status/1044900260701765632","1044900260701765632")</f>
        <v>1044900260701765632</v>
      </c>
      <c r="F412" s="4"/>
      <c r="G412" s="4"/>
      <c r="H412" s="4"/>
      <c r="I412" s="10" t="str">
        <f>HYPERLINK("http://twitter.com/download/android","Twitter for Android")</f>
        <v>Twitter for Android</v>
      </c>
      <c r="J412" s="2">
        <v>54</v>
      </c>
      <c r="K412" s="2">
        <v>78</v>
      </c>
      <c r="L412" s="2">
        <v>0</v>
      </c>
      <c r="M412" s="2"/>
      <c r="N412" s="8">
        <v>43103.591921296298</v>
      </c>
      <c r="O412" s="4"/>
      <c r="P412" s="3"/>
      <c r="Q412" s="4"/>
      <c r="R412" s="4"/>
      <c r="S412" s="9" t="str">
        <f>HYPERLINK("https://pbs.twimg.com/profile_images/1032561266626375681/SFpeapuE.jpg","View")</f>
        <v>View</v>
      </c>
    </row>
    <row r="413" spans="1:19" ht="40">
      <c r="A413" s="8">
        <v>43369.592106481483</v>
      </c>
      <c r="B413" s="11" t="str">
        <f>HYPERLINK("https://twitter.com/Plutonium_238","@Plutonium_238")</f>
        <v>@Plutonium_238</v>
      </c>
      <c r="C413" s="6" t="s">
        <v>2540</v>
      </c>
      <c r="D413" s="5" t="s">
        <v>2539</v>
      </c>
      <c r="E413" s="9" t="str">
        <f>HYPERLINK("https://twitter.com/Plutonium_238/status/1044900043600400384","1044900043600400384")</f>
        <v>1044900043600400384</v>
      </c>
      <c r="F413" s="4"/>
      <c r="G413" s="10" t="s">
        <v>2538</v>
      </c>
      <c r="H413" s="4"/>
      <c r="I413" s="10" t="str">
        <f>HYPERLINK("http://twitter.com","Twitter Web Client")</f>
        <v>Twitter Web Client</v>
      </c>
      <c r="J413" s="2">
        <v>610</v>
      </c>
      <c r="K413" s="2">
        <v>640</v>
      </c>
      <c r="L413" s="2">
        <v>1</v>
      </c>
      <c r="M413" s="2"/>
      <c r="N413" s="8">
        <v>43099.893703703703</v>
      </c>
      <c r="O413" s="4" t="s">
        <v>2537</v>
      </c>
      <c r="P413" s="3" t="s">
        <v>2536</v>
      </c>
      <c r="Q413" s="4"/>
      <c r="R413" s="4"/>
      <c r="S413" s="9" t="str">
        <f>HYPERLINK("https://pbs.twimg.com/profile_images/961648992206643200/AhRk2eer.jpg","View")</f>
        <v>View</v>
      </c>
    </row>
    <row r="414" spans="1:19" ht="30">
      <c r="A414" s="8">
        <v>43369.59202546296</v>
      </c>
      <c r="B414" s="11" t="str">
        <f>HYPERLINK("https://twitter.com/tvazaadi","@tvazaadi")</f>
        <v>@tvazaadi</v>
      </c>
      <c r="C414" s="6" t="s">
        <v>14</v>
      </c>
      <c r="D414" s="5" t="s">
        <v>2535</v>
      </c>
      <c r="E414" s="9" t="str">
        <f>HYPERLINK("https://twitter.com/tvazaadi/status/1044900016085770240","1044900016085770240")</f>
        <v>1044900016085770240</v>
      </c>
      <c r="F414" s="4"/>
      <c r="G414" s="10" t="s">
        <v>2534</v>
      </c>
      <c r="H414" s="4"/>
      <c r="I414" s="10" t="str">
        <f>HYPERLINK("http://twitter.com/download/android","Twitter for Android")</f>
        <v>Twitter for Android</v>
      </c>
      <c r="J414" s="2">
        <v>14083</v>
      </c>
      <c r="K414" s="2">
        <v>23</v>
      </c>
      <c r="L414" s="2">
        <v>2</v>
      </c>
      <c r="M414" s="2"/>
      <c r="N414" s="8">
        <v>43133.578425925924</v>
      </c>
      <c r="O414" s="4" t="s">
        <v>13</v>
      </c>
      <c r="P414" s="3" t="s">
        <v>12</v>
      </c>
      <c r="Q414" s="4"/>
      <c r="R414" s="4"/>
      <c r="S414" s="9" t="str">
        <f>HYPERLINK("https://pbs.twimg.com/profile_images/999632961417854976/rb9QwB8X.jpg","View")</f>
        <v>View</v>
      </c>
    </row>
    <row r="415" spans="1:19" ht="20">
      <c r="A415" s="8">
        <v>43369.591273148151</v>
      </c>
      <c r="B415" s="11" t="str">
        <f>HYPERLINK("https://twitter.com/saamrradrrad","@saamrradrrad")</f>
        <v>@saamrradrrad</v>
      </c>
      <c r="C415" s="6" t="s">
        <v>2533</v>
      </c>
      <c r="D415" s="5" t="s">
        <v>736</v>
      </c>
      <c r="E415" s="9" t="str">
        <f>HYPERLINK("https://twitter.com/saamrradrrad/status/1044899742004711425","1044899742004711425")</f>
        <v>1044899742004711425</v>
      </c>
      <c r="F415" s="4"/>
      <c r="G415" s="10" t="s">
        <v>732</v>
      </c>
      <c r="H415" s="4"/>
      <c r="I415" s="10" t="str">
        <f>HYPERLINK("http://twitter.com/download/iphone","Twitter for iPhone")</f>
        <v>Twitter for iPhone</v>
      </c>
      <c r="J415" s="2">
        <v>1619</v>
      </c>
      <c r="K415" s="2">
        <v>2864</v>
      </c>
      <c r="L415" s="2">
        <v>0</v>
      </c>
      <c r="M415" s="2"/>
      <c r="N415" s="8">
        <v>43105.882696759261</v>
      </c>
      <c r="O415" s="4" t="s">
        <v>2532</v>
      </c>
      <c r="P415" s="3" t="s">
        <v>2531</v>
      </c>
      <c r="Q415" s="4"/>
      <c r="R415" s="4"/>
      <c r="S415" s="9" t="str">
        <f>HYPERLINK("https://pbs.twimg.com/profile_images/1013454868525314048/jfNTgOsr.jpg","View")</f>
        <v>View</v>
      </c>
    </row>
    <row r="416" spans="1:19" ht="50">
      <c r="A416" s="8">
        <v>43369.591157407413</v>
      </c>
      <c r="B416" s="11" t="str">
        <f>HYPERLINK("https://twitter.com/a22d655f4876443","@a22d655f4876443")</f>
        <v>@a22d655f4876443</v>
      </c>
      <c r="C416" s="6" t="s">
        <v>2530</v>
      </c>
      <c r="D416" s="5" t="s">
        <v>2529</v>
      </c>
      <c r="E416" s="9" t="str">
        <f>HYPERLINK("https://twitter.com/a22d655f4876443/status/1044899700833439744","1044899700833439744")</f>
        <v>1044899700833439744</v>
      </c>
      <c r="F416" s="4"/>
      <c r="G416" s="4"/>
      <c r="H416" s="4"/>
      <c r="I416" s="10" t="str">
        <f>HYPERLINK("http://twitter.com/download/android","Twitter for Android")</f>
        <v>Twitter for Android</v>
      </c>
      <c r="J416" s="2">
        <v>218</v>
      </c>
      <c r="K416" s="2">
        <v>354</v>
      </c>
      <c r="L416" s="2">
        <v>1</v>
      </c>
      <c r="M416" s="2"/>
      <c r="N416" s="8">
        <v>41866.849062499998</v>
      </c>
      <c r="O416" s="4"/>
      <c r="P416" s="3" t="s">
        <v>2528</v>
      </c>
      <c r="Q416" s="4"/>
      <c r="R416" s="4"/>
      <c r="S416" s="9" t="str">
        <f>HYPERLINK("https://pbs.twimg.com/profile_images/1038817536320659456/EHseVm0d.jpg","View")</f>
        <v>View</v>
      </c>
    </row>
    <row r="417" spans="1:19" ht="30">
      <c r="A417" s="8">
        <v>43369.59103009259</v>
      </c>
      <c r="B417" s="11" t="str">
        <f>HYPERLINK("https://twitter.com/a_driii60","@a_driii60")</f>
        <v>@a_driii60</v>
      </c>
      <c r="C417" s="6" t="s">
        <v>2527</v>
      </c>
      <c r="D417" s="5" t="s">
        <v>49</v>
      </c>
      <c r="E417" s="9" t="str">
        <f>HYPERLINK("https://twitter.com/a_driii60/status/1044899653211303936","1044899653211303936")</f>
        <v>1044899653211303936</v>
      </c>
      <c r="F417" s="4"/>
      <c r="G417" s="4"/>
      <c r="H417" s="4"/>
      <c r="I417" s="10" t="str">
        <f>HYPERLINK("http://twitter.com/download/android","Twitter for Android")</f>
        <v>Twitter for Android</v>
      </c>
      <c r="J417" s="2">
        <v>627</v>
      </c>
      <c r="K417" s="2">
        <v>655</v>
      </c>
      <c r="L417" s="2">
        <v>1</v>
      </c>
      <c r="M417" s="2"/>
      <c r="N417" s="8">
        <v>42633.441782407404</v>
      </c>
      <c r="O417" s="4"/>
      <c r="P417" s="3"/>
      <c r="Q417" s="4"/>
      <c r="R417" s="4"/>
      <c r="S417" s="9" t="str">
        <f>HYPERLINK("https://pbs.twimg.com/profile_images/1042853229506297856/CjGRfrhB.jpg","View")</f>
        <v>View</v>
      </c>
    </row>
    <row r="418" spans="1:19" ht="40">
      <c r="A418" s="8">
        <v>43369.590844907405</v>
      </c>
      <c r="B418" s="11" t="str">
        <f>HYPERLINK("https://twitter.com/ahorashahi1366","@ahorashahi1366")</f>
        <v>@ahorashahi1366</v>
      </c>
      <c r="C418" s="6" t="s">
        <v>2510</v>
      </c>
      <c r="D418" s="5" t="s">
        <v>2353</v>
      </c>
      <c r="E418" s="9" t="str">
        <f>HYPERLINK("https://twitter.com/ahorashahi1366/status/1044899587268509701","1044899587268509701")</f>
        <v>1044899587268509701</v>
      </c>
      <c r="F418" s="4"/>
      <c r="G418" s="4"/>
      <c r="H418" s="4"/>
      <c r="I418" s="10" t="str">
        <f>HYPERLINK("http://twitter.com/download/android","Twitter for Android")</f>
        <v>Twitter for Android</v>
      </c>
      <c r="J418" s="2">
        <v>498</v>
      </c>
      <c r="K418" s="2">
        <v>418</v>
      </c>
      <c r="L418" s="2">
        <v>1</v>
      </c>
      <c r="M418" s="2"/>
      <c r="N418" s="8">
        <v>43066.827928240746</v>
      </c>
      <c r="O418" s="4"/>
      <c r="P418" s="3" t="s">
        <v>2508</v>
      </c>
      <c r="Q418" s="4"/>
      <c r="R418" s="4"/>
      <c r="S418" s="9" t="str">
        <f>HYPERLINK("https://pbs.twimg.com/profile_images/999260420840964096/BbF01hEO.jpg","View")</f>
        <v>View</v>
      </c>
    </row>
    <row r="419" spans="1:19" ht="40">
      <c r="A419" s="8">
        <v>43369.590833333335</v>
      </c>
      <c r="B419" s="11" t="str">
        <f>HYPERLINK("https://twitter.com/Entekhab_News","@Entekhab_News")</f>
        <v>@Entekhab_News</v>
      </c>
      <c r="C419" s="6" t="s">
        <v>1936</v>
      </c>
      <c r="D419" s="5" t="s">
        <v>2526</v>
      </c>
      <c r="E419" s="9" t="str">
        <f>HYPERLINK("https://twitter.com/Entekhab_News/status/1044899581350346752","1044899581350346752")</f>
        <v>1044899581350346752</v>
      </c>
      <c r="F419" s="4"/>
      <c r="G419" s="10" t="s">
        <v>2525</v>
      </c>
      <c r="H419" s="4"/>
      <c r="I419" s="10" t="str">
        <f>HYPERLINK("http://twitter.com/download/android","Twitter for Android")</f>
        <v>Twitter for Android</v>
      </c>
      <c r="J419" s="2">
        <v>16335</v>
      </c>
      <c r="K419" s="2">
        <v>0</v>
      </c>
      <c r="L419" s="2">
        <v>156</v>
      </c>
      <c r="M419" s="2"/>
      <c r="N419" s="8">
        <v>41846.90483796296</v>
      </c>
      <c r="O419" s="4" t="s">
        <v>166</v>
      </c>
      <c r="P419" s="3" t="s">
        <v>1933</v>
      </c>
      <c r="Q419" s="10" t="s">
        <v>1932</v>
      </c>
      <c r="R419" s="4"/>
      <c r="S419" s="9" t="str">
        <f>HYPERLINK("https://pbs.twimg.com/profile_images/840302676332146689/objFI1sw.jpg","View")</f>
        <v>View</v>
      </c>
    </row>
    <row r="420" spans="1:19" ht="40">
      <c r="A420" s="8">
        <v>43369.590266203704</v>
      </c>
      <c r="B420" s="11" t="str">
        <f>HYPERLINK("https://twitter.com/ghasempo","@ghasempo")</f>
        <v>@ghasempo</v>
      </c>
      <c r="C420" s="6" t="s">
        <v>2524</v>
      </c>
      <c r="D420" s="5" t="s">
        <v>1556</v>
      </c>
      <c r="E420" s="9" t="str">
        <f>HYPERLINK("https://twitter.com/ghasempo/status/1044899378018897920","1044899378018897920")</f>
        <v>1044899378018897920</v>
      </c>
      <c r="F420" s="4"/>
      <c r="G420" s="4"/>
      <c r="H420" s="4"/>
      <c r="I420" s="10" t="str">
        <f>HYPERLINK("http://twitter.com/download/iphone","Twitter for iPhone")</f>
        <v>Twitter for iPhone</v>
      </c>
      <c r="J420" s="2">
        <v>76</v>
      </c>
      <c r="K420" s="2">
        <v>263</v>
      </c>
      <c r="L420" s="2">
        <v>0</v>
      </c>
      <c r="M420" s="2"/>
      <c r="N420" s="8">
        <v>41381.345995370371</v>
      </c>
      <c r="O420" s="4"/>
      <c r="P420" s="3"/>
      <c r="Q420" s="4"/>
      <c r="R420" s="4"/>
      <c r="S420" s="9" t="str">
        <f>HYPERLINK("https://pbs.twimg.com/profile_images/782655738074333184/Zt2srob6.jpg","View")</f>
        <v>View</v>
      </c>
    </row>
    <row r="421" spans="1:19" ht="40">
      <c r="A421" s="8">
        <v>43369.590185185181</v>
      </c>
      <c r="B421" s="11" t="str">
        <f>HYPERLINK("https://twitter.com/Khatesevom19861","@Khatesevom19861")</f>
        <v>@Khatesevom19861</v>
      </c>
      <c r="C421" s="6" t="s">
        <v>2523</v>
      </c>
      <c r="D421" s="5" t="s">
        <v>756</v>
      </c>
      <c r="E421" s="9" t="str">
        <f>HYPERLINK("https://twitter.com/Khatesevom19861/status/1044899346607738880","1044899346607738880")</f>
        <v>1044899346607738880</v>
      </c>
      <c r="F421" s="4"/>
      <c r="G421" s="4"/>
      <c r="H421" s="4"/>
      <c r="I421" s="10" t="str">
        <f>HYPERLINK("http://twitter.com/download/android","Twitter for Android")</f>
        <v>Twitter for Android</v>
      </c>
      <c r="J421" s="2">
        <v>139</v>
      </c>
      <c r="K421" s="2">
        <v>119</v>
      </c>
      <c r="L421" s="2">
        <v>1</v>
      </c>
      <c r="M421" s="2"/>
      <c r="N421" s="8">
        <v>43057.409328703703</v>
      </c>
      <c r="O421" s="4"/>
      <c r="P421" s="3" t="s">
        <v>2522</v>
      </c>
      <c r="Q421" s="4"/>
      <c r="R421" s="4"/>
      <c r="S421" s="9" t="str">
        <f>HYPERLINK("https://pbs.twimg.com/profile_images/1037437947426091009/OREDcu3E.jpg","View")</f>
        <v>View</v>
      </c>
    </row>
    <row r="422" spans="1:19" ht="40">
      <c r="A422" s="8">
        <v>43369.589398148149</v>
      </c>
      <c r="B422" s="11" t="str">
        <f>HYPERLINK("https://twitter.com/poorhadimahmood","@poorhadimahmood")</f>
        <v>@poorhadimahmood</v>
      </c>
      <c r="C422" s="6" t="s">
        <v>2521</v>
      </c>
      <c r="D422" s="5" t="s">
        <v>1556</v>
      </c>
      <c r="E422" s="9" t="str">
        <f>HYPERLINK("https://twitter.com/poorhadimahmood/status/1044899062229737472","1044899062229737472")</f>
        <v>1044899062229737472</v>
      </c>
      <c r="F422" s="4"/>
      <c r="G422" s="4"/>
      <c r="H422" s="4"/>
      <c r="I422" s="10" t="str">
        <f>HYPERLINK("http://twitter.com/download/android","Twitter for Android")</f>
        <v>Twitter for Android</v>
      </c>
      <c r="J422" s="2">
        <v>179</v>
      </c>
      <c r="K422" s="2">
        <v>1059</v>
      </c>
      <c r="L422" s="2">
        <v>0</v>
      </c>
      <c r="M422" s="2"/>
      <c r="N422" s="8">
        <v>43120.614016203705</v>
      </c>
      <c r="O422" s="4"/>
      <c r="P422" s="3"/>
      <c r="Q422" s="4"/>
      <c r="R422" s="4"/>
      <c r="S422" s="9" t="str">
        <f>HYPERLINK("https://pbs.twimg.com/profile_images/1037539419056758784/BC7TX1iJ.jpg","View")</f>
        <v>View</v>
      </c>
    </row>
    <row r="423" spans="1:19" ht="20">
      <c r="A423" s="8">
        <v>43369.588784722218</v>
      </c>
      <c r="B423" s="11" t="str">
        <f>HYPERLINK("https://twitter.com/mehrnews_fa","@mehrnews_fa")</f>
        <v>@mehrnews_fa</v>
      </c>
      <c r="C423" s="6" t="s">
        <v>2520</v>
      </c>
      <c r="D423" s="5" t="s">
        <v>2519</v>
      </c>
      <c r="E423" s="9" t="str">
        <f>HYPERLINK("https://twitter.com/mehrnews_fa/status/1044898840992776192","1044898840992776192")</f>
        <v>1044898840992776192</v>
      </c>
      <c r="F423" s="4"/>
      <c r="G423" s="4"/>
      <c r="H423" s="4"/>
      <c r="I423" s="10" t="str">
        <f>HYPERLINK("http://twitter.com","Twitter Web Client")</f>
        <v>Twitter Web Client</v>
      </c>
      <c r="J423" s="2">
        <v>25100</v>
      </c>
      <c r="K423" s="2">
        <v>8</v>
      </c>
      <c r="L423" s="2">
        <v>150</v>
      </c>
      <c r="M423" s="2"/>
      <c r="N423" s="8">
        <v>42113.452511574069</v>
      </c>
      <c r="O423" s="4" t="s">
        <v>1</v>
      </c>
      <c r="P423" s="3" t="s">
        <v>2518</v>
      </c>
      <c r="Q423" s="10" t="s">
        <v>2517</v>
      </c>
      <c r="R423" s="4"/>
      <c r="S423" s="9" t="str">
        <f>HYPERLINK("https://pbs.twimg.com/profile_images/1039170438293848064/-DZmav9C.jpg","View")</f>
        <v>View</v>
      </c>
    </row>
    <row r="424" spans="1:19" ht="20">
      <c r="A424" s="8">
        <v>43369.58866898148</v>
      </c>
      <c r="B424" s="11" t="str">
        <f>HYPERLINK("https://twitter.com/elnaz2577","@elnaz2577")</f>
        <v>@elnaz2577</v>
      </c>
      <c r="C424" s="6" t="s">
        <v>2516</v>
      </c>
      <c r="D424" s="5" t="s">
        <v>736</v>
      </c>
      <c r="E424" s="9" t="str">
        <f>HYPERLINK("https://twitter.com/elnaz2577/status/1044898796524597248","1044898796524597248")</f>
        <v>1044898796524597248</v>
      </c>
      <c r="F424" s="4"/>
      <c r="G424" s="10" t="s">
        <v>732</v>
      </c>
      <c r="H424" s="4"/>
      <c r="I424" s="10" t="str">
        <f>HYPERLINK("http://twitter.com/download/android","Twitter for Android")</f>
        <v>Twitter for Android</v>
      </c>
      <c r="J424" s="2">
        <v>1639</v>
      </c>
      <c r="K424" s="2">
        <v>1007</v>
      </c>
      <c r="L424" s="2">
        <v>1</v>
      </c>
      <c r="M424" s="2"/>
      <c r="N424" s="8">
        <v>43152.746620370366</v>
      </c>
      <c r="O424" s="4"/>
      <c r="P424" s="3" t="s">
        <v>2515</v>
      </c>
      <c r="Q424" s="4"/>
      <c r="R424" s="4"/>
      <c r="S424" s="9" t="str">
        <f>HYPERLINK("https://pbs.twimg.com/profile_images/966340221045493761/14fUqltz.jpg","View")</f>
        <v>View</v>
      </c>
    </row>
    <row r="425" spans="1:19" ht="40">
      <c r="A425" s="8">
        <v>43369.588136574079</v>
      </c>
      <c r="B425" s="11" t="str">
        <f>HYPERLINK("https://twitter.com/Mrgooood3","@Mrgooood3")</f>
        <v>@Mrgooood3</v>
      </c>
      <c r="C425" s="6" t="s">
        <v>2514</v>
      </c>
      <c r="D425" s="5" t="s">
        <v>1556</v>
      </c>
      <c r="E425" s="9" t="str">
        <f>HYPERLINK("https://twitter.com/Mrgooood3/status/1044898603481927681","1044898603481927681")</f>
        <v>1044898603481927681</v>
      </c>
      <c r="F425" s="4"/>
      <c r="G425" s="4"/>
      <c r="H425" s="4"/>
      <c r="I425" s="10" t="str">
        <f>HYPERLINK("http://twitter.com/download/android","Twitter for Android")</f>
        <v>Twitter for Android</v>
      </c>
      <c r="J425" s="2">
        <v>335</v>
      </c>
      <c r="K425" s="2">
        <v>392</v>
      </c>
      <c r="L425" s="2">
        <v>0</v>
      </c>
      <c r="M425" s="2"/>
      <c r="N425" s="8">
        <v>43104.997534722221</v>
      </c>
      <c r="O425" s="4"/>
      <c r="P425" s="3" t="s">
        <v>2513</v>
      </c>
      <c r="Q425" s="4"/>
      <c r="R425" s="4"/>
      <c r="S425" s="9" t="str">
        <f>HYPERLINK("https://pbs.twimg.com/profile_images/989929065988677632/sZcc5AC0.jpg","View")</f>
        <v>View</v>
      </c>
    </row>
    <row r="426" spans="1:19" ht="30">
      <c r="A426" s="8">
        <v>43369.587858796294</v>
      </c>
      <c r="B426" s="11" t="str">
        <f>HYPERLINK("https://twitter.com/Rater16030847","@Rater16030847")</f>
        <v>@Rater16030847</v>
      </c>
      <c r="C426" s="6" t="s">
        <v>2512</v>
      </c>
      <c r="D426" s="5" t="s">
        <v>2511</v>
      </c>
      <c r="E426" s="9" t="str">
        <f>HYPERLINK("https://twitter.com/Rater16030847/status/1044898503028289537","1044898503028289537")</f>
        <v>1044898503028289537</v>
      </c>
      <c r="F426" s="4"/>
      <c r="G426" s="10" t="s">
        <v>2422</v>
      </c>
      <c r="H426" s="4"/>
      <c r="I426" s="10" t="str">
        <f>HYPERLINK("http://twitter.com/download/iphone","Twitter for iPhone")</f>
        <v>Twitter for iPhone</v>
      </c>
      <c r="J426" s="2">
        <v>75</v>
      </c>
      <c r="K426" s="2">
        <v>230</v>
      </c>
      <c r="L426" s="2">
        <v>0</v>
      </c>
      <c r="M426" s="2"/>
      <c r="N426" s="8">
        <v>43315.122974537036</v>
      </c>
      <c r="O426" s="4"/>
      <c r="P426" s="3"/>
      <c r="Q426" s="4"/>
      <c r="R426" s="4"/>
      <c r="S426" s="9" t="str">
        <f>HYPERLINK("https://pbs.twimg.com/profile_images/1025147831223504897/ehjlJZul.jpg","View")</f>
        <v>View</v>
      </c>
    </row>
    <row r="427" spans="1:19" ht="30">
      <c r="A427" s="8">
        <v>43369.586805555555</v>
      </c>
      <c r="B427" s="11" t="str">
        <f>HYPERLINK("https://twitter.com/ahorashahi1366","@ahorashahi1366")</f>
        <v>@ahorashahi1366</v>
      </c>
      <c r="C427" s="6" t="s">
        <v>2510</v>
      </c>
      <c r="D427" s="5" t="s">
        <v>2509</v>
      </c>
      <c r="E427" s="9" t="str">
        <f>HYPERLINK("https://twitter.com/ahorashahi1366/status/1044898122651095041","1044898122651095041")</f>
        <v>1044898122651095041</v>
      </c>
      <c r="F427" s="4"/>
      <c r="G427" s="10" t="s">
        <v>2222</v>
      </c>
      <c r="H427" s="4"/>
      <c r="I427" s="10" t="str">
        <f>HYPERLINK("http://twitter.com/download/android","Twitter for Android")</f>
        <v>Twitter for Android</v>
      </c>
      <c r="J427" s="2">
        <v>498</v>
      </c>
      <c r="K427" s="2">
        <v>418</v>
      </c>
      <c r="L427" s="2">
        <v>1</v>
      </c>
      <c r="M427" s="2"/>
      <c r="N427" s="8">
        <v>43066.827928240746</v>
      </c>
      <c r="O427" s="4"/>
      <c r="P427" s="3" t="s">
        <v>2508</v>
      </c>
      <c r="Q427" s="4"/>
      <c r="R427" s="4"/>
      <c r="S427" s="9" t="str">
        <f>HYPERLINK("https://pbs.twimg.com/profile_images/999260420840964096/BbF01hEO.jpg","View")</f>
        <v>View</v>
      </c>
    </row>
    <row r="428" spans="1:19" ht="30">
      <c r="A428" s="8">
        <v>43369.58430555556</v>
      </c>
      <c r="B428" s="11" t="str">
        <f>HYPERLINK("https://twitter.com/Soheilfa1","@Soheilfa1")</f>
        <v>@Soheilfa1</v>
      </c>
      <c r="C428" s="11" t="s">
        <v>2507</v>
      </c>
      <c r="D428" s="5" t="s">
        <v>2506</v>
      </c>
      <c r="E428" s="9" t="str">
        <f>HYPERLINK("https://twitter.com/Soheilfa1/status/1044897218849906688","1044897218849906688")</f>
        <v>1044897218849906688</v>
      </c>
      <c r="F428" s="4"/>
      <c r="G428" s="10" t="s">
        <v>2505</v>
      </c>
      <c r="H428" s="4"/>
      <c r="I428" s="10" t="str">
        <f>HYPERLINK("http://twitter.com/download/iphone","Twitter for iPhone")</f>
        <v>Twitter for iPhone</v>
      </c>
      <c r="J428" s="2">
        <v>66</v>
      </c>
      <c r="K428" s="2">
        <v>90</v>
      </c>
      <c r="L428" s="2">
        <v>0</v>
      </c>
      <c r="M428" s="2"/>
      <c r="N428" s="8">
        <v>43327.368263888886</v>
      </c>
      <c r="O428" s="4" t="s">
        <v>7</v>
      </c>
      <c r="P428" s="3" t="s">
        <v>2504</v>
      </c>
      <c r="Q428" s="4"/>
      <c r="R428" s="4"/>
      <c r="S428" s="9" t="str">
        <f>HYPERLINK("https://pbs.twimg.com/profile_images/1030046678278189056/jS8QKsqn.jpg","View")</f>
        <v>View</v>
      </c>
    </row>
    <row r="429" spans="1:19" ht="40">
      <c r="A429" s="8">
        <v>43369.584178240737</v>
      </c>
      <c r="B429" s="11" t="str">
        <f>HYPERLINK("https://twitter.com/IraniSadra","@IraniSadra")</f>
        <v>@IraniSadra</v>
      </c>
      <c r="C429" s="6" t="s">
        <v>2503</v>
      </c>
      <c r="D429" s="5" t="s">
        <v>1556</v>
      </c>
      <c r="E429" s="9" t="str">
        <f>HYPERLINK("https://twitter.com/IraniSadra/status/1044897171928231936","1044897171928231936")</f>
        <v>1044897171928231936</v>
      </c>
      <c r="F429" s="4"/>
      <c r="G429" s="4"/>
      <c r="H429" s="4"/>
      <c r="I429" s="10" t="str">
        <f>HYPERLINK("http://twitter.com/download/android","Twitter for Android")</f>
        <v>Twitter for Android</v>
      </c>
      <c r="J429" s="2">
        <v>7</v>
      </c>
      <c r="K429" s="2">
        <v>63</v>
      </c>
      <c r="L429" s="2">
        <v>0</v>
      </c>
      <c r="M429" s="2"/>
      <c r="N429" s="8">
        <v>43057.693935185191</v>
      </c>
      <c r="O429" s="4" t="s">
        <v>1</v>
      </c>
      <c r="P429" s="3" t="s">
        <v>2502</v>
      </c>
      <c r="Q429" s="4"/>
      <c r="R429" s="4"/>
      <c r="S429" s="9" t="str">
        <f>HYPERLINK("https://pbs.twimg.com/profile_images/931873560922116096/DEonLdVO.jpg","View")</f>
        <v>View</v>
      </c>
    </row>
    <row r="430" spans="1:19" ht="30">
      <c r="A430" s="8">
        <v>43369.583958333329</v>
      </c>
      <c r="B430" s="11" t="str">
        <f>HYPERLINK("https://twitter.com/iribdena","@iribdena")</f>
        <v>@iribdena</v>
      </c>
      <c r="C430" s="6" t="s">
        <v>2501</v>
      </c>
      <c r="D430" s="5" t="s">
        <v>1071</v>
      </c>
      <c r="E430" s="9" t="str">
        <f>HYPERLINK("https://twitter.com/iribdena/status/1044897092928512000","1044897092928512000")</f>
        <v>1044897092928512000</v>
      </c>
      <c r="F430" s="4"/>
      <c r="G430" s="4"/>
      <c r="H430" s="4"/>
      <c r="I430" s="10" t="str">
        <f>HYPERLINK("http://twitter.com/download/android","Twitter for Android")</f>
        <v>Twitter for Android</v>
      </c>
      <c r="J430" s="2">
        <v>102</v>
      </c>
      <c r="K430" s="2">
        <v>195</v>
      </c>
      <c r="L430" s="2">
        <v>0</v>
      </c>
      <c r="M430" s="2"/>
      <c r="N430" s="8">
        <v>43330.840671296297</v>
      </c>
      <c r="O430" s="4" t="s">
        <v>2500</v>
      </c>
      <c r="P430" s="3"/>
      <c r="Q430" s="4"/>
      <c r="R430" s="4"/>
      <c r="S430" s="9" t="str">
        <f>HYPERLINK("https://pbs.twimg.com/profile_images/1030845514894516225/dbTonwJc.jpg","View")</f>
        <v>View</v>
      </c>
    </row>
    <row r="431" spans="1:19" ht="30">
      <c r="A431" s="8">
        <v>43369.583414351851</v>
      </c>
      <c r="B431" s="11" t="str">
        <f>HYPERLINK("https://twitter.com/mohammad_q68","@mohammad_q68")</f>
        <v>@mohammad_q68</v>
      </c>
      <c r="C431" s="6" t="s">
        <v>2499</v>
      </c>
      <c r="D431" s="5" t="s">
        <v>2498</v>
      </c>
      <c r="E431" s="9" t="str">
        <f>HYPERLINK("https://twitter.com/mohammad_q68/status/1044896894445670400","1044896894445670400")</f>
        <v>1044896894445670400</v>
      </c>
      <c r="F431" s="4"/>
      <c r="G431" s="4"/>
      <c r="H431" s="4"/>
      <c r="I431" s="10" t="str">
        <f>HYPERLINK("http://twitter.com/download/android","Twitter for Android")</f>
        <v>Twitter for Android</v>
      </c>
      <c r="J431" s="2">
        <v>248</v>
      </c>
      <c r="K431" s="2">
        <v>90</v>
      </c>
      <c r="L431" s="2">
        <v>1</v>
      </c>
      <c r="M431" s="2"/>
      <c r="N431" s="8">
        <v>42892.667349537034</v>
      </c>
      <c r="O431" s="4" t="s">
        <v>2497</v>
      </c>
      <c r="P431" s="3" t="s">
        <v>2496</v>
      </c>
      <c r="Q431" s="10" t="s">
        <v>2495</v>
      </c>
      <c r="R431" s="4"/>
      <c r="S431" s="9" t="str">
        <f>HYPERLINK("https://pbs.twimg.com/profile_images/1029415287572099072/kLWAkiO0.jpg","View")</f>
        <v>View</v>
      </c>
    </row>
    <row r="432" spans="1:19" ht="40">
      <c r="A432" s="8">
        <v>43369.582106481481</v>
      </c>
      <c r="B432" s="11" t="str">
        <f>HYPERLINK("https://twitter.com/arash_tehran","@arash_tehran")</f>
        <v>@arash_tehran</v>
      </c>
      <c r="C432" s="6" t="s">
        <v>2494</v>
      </c>
      <c r="D432" s="5" t="s">
        <v>1556</v>
      </c>
      <c r="E432" s="9" t="str">
        <f>HYPERLINK("https://twitter.com/arash_tehran/status/1044896418270466048","1044896418270466048")</f>
        <v>1044896418270466048</v>
      </c>
      <c r="F432" s="4"/>
      <c r="G432" s="4"/>
      <c r="H432" s="4"/>
      <c r="I432" s="10" t="str">
        <f>HYPERLINK("http://twitter.com/download/iphone","Twitter for iPhone")</f>
        <v>Twitter for iPhone</v>
      </c>
      <c r="J432" s="2">
        <v>14805</v>
      </c>
      <c r="K432" s="2">
        <v>2952</v>
      </c>
      <c r="L432" s="2">
        <v>304</v>
      </c>
      <c r="M432" s="2" t="s">
        <v>26</v>
      </c>
      <c r="N432" s="8">
        <v>39865.086446759262</v>
      </c>
      <c r="O432" s="4" t="s">
        <v>2493</v>
      </c>
      <c r="P432" s="3" t="s">
        <v>2492</v>
      </c>
      <c r="Q432" s="10" t="s">
        <v>2491</v>
      </c>
      <c r="R432" s="4"/>
      <c r="S432" s="9" t="str">
        <f>HYPERLINK("https://pbs.twimg.com/profile_images/929533854796402689/rPRkiyht.jpg","View")</f>
        <v>View</v>
      </c>
    </row>
    <row r="433" spans="1:19" ht="40">
      <c r="A433" s="8">
        <v>43369.581782407404</v>
      </c>
      <c r="B433" s="11" t="str">
        <f>HYPERLINK("https://twitter.com/rezasorouri2","@rezasorouri2")</f>
        <v>@rezasorouri2</v>
      </c>
      <c r="C433" s="6" t="s">
        <v>2490</v>
      </c>
      <c r="D433" s="5" t="s">
        <v>1556</v>
      </c>
      <c r="E433" s="9" t="str">
        <f>HYPERLINK("https://twitter.com/rezasorouri2/status/1044896302256066560","1044896302256066560")</f>
        <v>1044896302256066560</v>
      </c>
      <c r="F433" s="4"/>
      <c r="G433" s="4"/>
      <c r="H433" s="4"/>
      <c r="I433" s="10" t="str">
        <f>HYPERLINK("http://twitter.com/download/iphone","Twitter for iPhone")</f>
        <v>Twitter for iPhone</v>
      </c>
      <c r="J433" s="2">
        <v>71</v>
      </c>
      <c r="K433" s="2">
        <v>409</v>
      </c>
      <c r="L433" s="2">
        <v>0</v>
      </c>
      <c r="M433" s="2"/>
      <c r="N433" s="8">
        <v>43101.591840277775</v>
      </c>
      <c r="O433" s="4" t="s">
        <v>2489</v>
      </c>
      <c r="P433" s="3"/>
      <c r="Q433" s="4"/>
      <c r="R433" s="4"/>
      <c r="S433" s="9" t="str">
        <f>HYPERLINK("https://pbs.twimg.com/profile_images/1024511321402949632/zbmzrgVH.jpg","View")</f>
        <v>View</v>
      </c>
    </row>
    <row r="434" spans="1:19" ht="20">
      <c r="A434" s="8">
        <v>43369.581736111111</v>
      </c>
      <c r="B434" s="11" t="str">
        <f>HYPERLINK("https://twitter.com/Ahad46180940","@Ahad46180940")</f>
        <v>@Ahad46180940</v>
      </c>
      <c r="C434" s="6" t="s">
        <v>2488</v>
      </c>
      <c r="D434" s="5" t="s">
        <v>2487</v>
      </c>
      <c r="E434" s="9" t="str">
        <f>HYPERLINK("https://twitter.com/Ahad46180940/status/1044896287525687296","1044896287525687296")</f>
        <v>1044896287525687296</v>
      </c>
      <c r="F434" s="4"/>
      <c r="G434" s="4"/>
      <c r="H434" s="4"/>
      <c r="I434" s="10" t="str">
        <f>HYPERLINK("http://twitter.com/download/android","Twitter for Android")</f>
        <v>Twitter for Android</v>
      </c>
      <c r="J434" s="2">
        <v>6</v>
      </c>
      <c r="K434" s="2">
        <v>11</v>
      </c>
      <c r="L434" s="2">
        <v>0</v>
      </c>
      <c r="M434" s="2"/>
      <c r="N434" s="8">
        <v>43363.525636574079</v>
      </c>
      <c r="O434" s="4"/>
      <c r="P434" s="3"/>
      <c r="Q434" s="4"/>
      <c r="R434" s="4"/>
      <c r="S434" s="9" t="str">
        <f>HYPERLINK("https://pbs.twimg.com/profile_images/1042687264797716480/cDUBb806.jpg","View")</f>
        <v>View</v>
      </c>
    </row>
    <row r="435" spans="1:19" ht="20">
      <c r="A435" s="8">
        <v>43369.581435185188</v>
      </c>
      <c r="B435" s="11" t="str">
        <f>HYPERLINK("https://twitter.com/n_isavand","@n_isavand")</f>
        <v>@n_isavand</v>
      </c>
      <c r="C435" s="6" t="s">
        <v>2486</v>
      </c>
      <c r="D435" s="5" t="s">
        <v>2485</v>
      </c>
      <c r="E435" s="9" t="str">
        <f>HYPERLINK("https://twitter.com/n_isavand/status/1044896175634239488","1044896175634239488")</f>
        <v>1044896175634239488</v>
      </c>
      <c r="F435" s="4"/>
      <c r="G435" s="10" t="s">
        <v>2484</v>
      </c>
      <c r="H435" s="4"/>
      <c r="I435" s="10" t="str">
        <f>HYPERLINK("http://twitter.com/download/android","Twitter for Android")</f>
        <v>Twitter for Android</v>
      </c>
      <c r="J435" s="2">
        <v>2</v>
      </c>
      <c r="K435" s="2">
        <v>2</v>
      </c>
      <c r="L435" s="2">
        <v>0</v>
      </c>
      <c r="M435" s="2"/>
      <c r="N435" s="8">
        <v>43312.549189814818</v>
      </c>
      <c r="O435" s="4"/>
      <c r="P435" s="3" t="s">
        <v>2483</v>
      </c>
      <c r="Q435" s="4"/>
      <c r="R435" s="4"/>
      <c r="S435" s="9" t="str">
        <f>HYPERLINK("https://pbs.twimg.com/profile_images/1044694678350827520/5adnI-7w.jpg","View")</f>
        <v>View</v>
      </c>
    </row>
    <row r="436" spans="1:19" ht="70">
      <c r="A436" s="8">
        <v>43369.580694444448</v>
      </c>
      <c r="B436" s="11" t="str">
        <f>HYPERLINK("https://twitter.com/pimanf","@pimanf")</f>
        <v>@pimanf</v>
      </c>
      <c r="C436" s="6" t="s">
        <v>2482</v>
      </c>
      <c r="D436" s="5" t="s">
        <v>2481</v>
      </c>
      <c r="E436" s="9" t="str">
        <f>HYPERLINK("https://twitter.com/pimanf/status/1044895909614620674","1044895909614620674")</f>
        <v>1044895909614620674</v>
      </c>
      <c r="F436" s="10" t="s">
        <v>2480</v>
      </c>
      <c r="G436" s="4"/>
      <c r="H436" s="4"/>
      <c r="I436" s="10" t="str">
        <f>HYPERLINK("http://twitter.com/download/android","Twitter for Android")</f>
        <v>Twitter for Android</v>
      </c>
      <c r="J436" s="2">
        <v>154</v>
      </c>
      <c r="K436" s="2">
        <v>857</v>
      </c>
      <c r="L436" s="2">
        <v>1</v>
      </c>
      <c r="M436" s="2"/>
      <c r="N436" s="8">
        <v>41239.602719907409</v>
      </c>
      <c r="O436" s="4" t="s">
        <v>2479</v>
      </c>
      <c r="P436" s="3" t="s">
        <v>2478</v>
      </c>
      <c r="Q436" s="4"/>
      <c r="R436" s="4"/>
      <c r="S436" s="9" t="str">
        <f>HYPERLINK("https://pbs.twimg.com/profile_images/1037217274657234945/iY_-am9k.jpg","View")</f>
        <v>View</v>
      </c>
    </row>
    <row r="437" spans="1:19" ht="40">
      <c r="A437" s="8">
        <v>43369.580613425926</v>
      </c>
      <c r="B437" s="11" t="str">
        <f>HYPERLINK("https://twitter.com/shima__89","@shima__89")</f>
        <v>@shima__89</v>
      </c>
      <c r="C437" s="6" t="s">
        <v>2477</v>
      </c>
      <c r="D437" s="5" t="s">
        <v>1556</v>
      </c>
      <c r="E437" s="9" t="str">
        <f>HYPERLINK("https://twitter.com/shima__89/status/1044895877834395648","1044895877834395648")</f>
        <v>1044895877834395648</v>
      </c>
      <c r="F437" s="4"/>
      <c r="G437" s="4"/>
      <c r="H437" s="4"/>
      <c r="I437" s="10" t="str">
        <f>HYPERLINK("http://twitter.com/download/android","Twitter for Android")</f>
        <v>Twitter for Android</v>
      </c>
      <c r="J437" s="2">
        <v>710</v>
      </c>
      <c r="K437" s="2">
        <v>238</v>
      </c>
      <c r="L437" s="2">
        <v>2</v>
      </c>
      <c r="M437" s="2"/>
      <c r="N437" s="8">
        <v>43122.923831018517</v>
      </c>
      <c r="O437" s="4" t="s">
        <v>7</v>
      </c>
      <c r="P437" s="3" t="s">
        <v>2476</v>
      </c>
      <c r="Q437" s="4"/>
      <c r="R437" s="4"/>
      <c r="S437" s="9" t="str">
        <f>HYPERLINK("https://pbs.twimg.com/profile_images/1027292174302568448/pvOsuYQt.jpg","View")</f>
        <v>View</v>
      </c>
    </row>
    <row r="438" spans="1:19" ht="40">
      <c r="A438" s="8">
        <v>43369.580312499995</v>
      </c>
      <c r="B438" s="11" t="str">
        <f>HYPERLINK("https://twitter.com/W00IuSJVmcZypyV","@W00IuSJVmcZypyV")</f>
        <v>@W00IuSJVmcZypyV</v>
      </c>
      <c r="C438" s="6" t="s">
        <v>2475</v>
      </c>
      <c r="D438" s="5" t="s">
        <v>2474</v>
      </c>
      <c r="E438" s="9" t="str">
        <f>HYPERLINK("https://twitter.com/W00IuSJVmcZypyV/status/1044895770237968385","1044895770237968385")</f>
        <v>1044895770237968385</v>
      </c>
      <c r="F438" s="4"/>
      <c r="G438" s="4"/>
      <c r="H438" s="4"/>
      <c r="I438" s="10" t="str">
        <f>HYPERLINK("http://twitter.com/download/android","Twitter for Android")</f>
        <v>Twitter for Android</v>
      </c>
      <c r="J438" s="2">
        <v>77</v>
      </c>
      <c r="K438" s="2">
        <v>167</v>
      </c>
      <c r="L438" s="2">
        <v>1</v>
      </c>
      <c r="M438" s="2"/>
      <c r="N438" s="8">
        <v>43318.838252314818</v>
      </c>
      <c r="O438" s="4"/>
      <c r="P438" s="3" t="s">
        <v>2473</v>
      </c>
      <c r="Q438" s="4"/>
      <c r="R438" s="4"/>
      <c r="S438" s="9" t="str">
        <f>HYPERLINK("https://pbs.twimg.com/profile_images/1026506795731308544/6bGwfh7H.jpg","View")</f>
        <v>View</v>
      </c>
    </row>
    <row r="439" spans="1:19" ht="20">
      <c r="A439" s="8">
        <v>43369.579965277779</v>
      </c>
      <c r="B439" s="11" t="str">
        <f>HYPERLINK("https://twitter.com/TTayeban","@TTayeban")</f>
        <v>@TTayeban</v>
      </c>
      <c r="C439" s="6" t="s">
        <v>2472</v>
      </c>
      <c r="D439" s="5" t="s">
        <v>204</v>
      </c>
      <c r="E439" s="9" t="str">
        <f>HYPERLINK("https://twitter.com/TTayeban/status/1044895646145294336","1044895646145294336")</f>
        <v>1044895646145294336</v>
      </c>
      <c r="F439" s="4"/>
      <c r="G439" s="10" t="s">
        <v>203</v>
      </c>
      <c r="H439" s="4"/>
      <c r="I439" s="10" t="str">
        <f>HYPERLINK("http://twitter.com/download/iphone","Twitter for iPhone")</f>
        <v>Twitter for iPhone</v>
      </c>
      <c r="J439" s="2">
        <v>90</v>
      </c>
      <c r="K439" s="2">
        <v>961</v>
      </c>
      <c r="L439" s="2">
        <v>0</v>
      </c>
      <c r="M439" s="2"/>
      <c r="N439" s="8">
        <v>43366.610173611116</v>
      </c>
      <c r="O439" s="4" t="s">
        <v>96</v>
      </c>
      <c r="P439" s="3" t="s">
        <v>2471</v>
      </c>
      <c r="Q439" s="4"/>
      <c r="R439" s="4"/>
      <c r="S439" s="9" t="str">
        <f>HYPERLINK("https://pbs.twimg.com/profile_images/1043820389745520640/9lE9emOw.jpg","View")</f>
        <v>View</v>
      </c>
    </row>
    <row r="440" spans="1:19" ht="40">
      <c r="A440" s="8">
        <v>43369.579606481479</v>
      </c>
      <c r="B440" s="11" t="str">
        <f>HYPERLINK("https://twitter.com/jamejamCPI","@jamejamCPI")</f>
        <v>@jamejamCPI</v>
      </c>
      <c r="C440" s="6" t="s">
        <v>6</v>
      </c>
      <c r="D440" s="5" t="s">
        <v>2470</v>
      </c>
      <c r="E440" s="9" t="str">
        <f>HYPERLINK("https://twitter.com/jamejamCPI/status/1044895513370222592","1044895513370222592")</f>
        <v>1044895513370222592</v>
      </c>
      <c r="F440" s="4"/>
      <c r="G440" s="4"/>
      <c r="H440" s="4"/>
      <c r="I440" s="10" t="str">
        <f>HYPERLINK("http://twitter.com","Twitter Web Client")</f>
        <v>Twitter Web Client</v>
      </c>
      <c r="J440" s="2">
        <v>27088</v>
      </c>
      <c r="K440" s="2">
        <v>1410</v>
      </c>
      <c r="L440" s="2">
        <v>146</v>
      </c>
      <c r="M440" s="2"/>
      <c r="N440" s="8">
        <v>41548.76021990741</v>
      </c>
      <c r="O440" s="4" t="s">
        <v>5</v>
      </c>
      <c r="P440" s="3" t="s">
        <v>4</v>
      </c>
      <c r="Q440" s="10" t="s">
        <v>3</v>
      </c>
      <c r="R440" s="4"/>
      <c r="S440" s="9" t="str">
        <f>HYPERLINK("https://pbs.twimg.com/profile_images/1016553348819046405/PBNorYe4.jpg","View")</f>
        <v>View</v>
      </c>
    </row>
    <row r="441" spans="1:19" ht="40">
      <c r="A441" s="8">
        <v>43369.579270833332</v>
      </c>
      <c r="B441" s="11" t="str">
        <f>HYPERLINK("https://twitter.com/jamejamCPI","@jamejamCPI")</f>
        <v>@jamejamCPI</v>
      </c>
      <c r="C441" s="6" t="s">
        <v>6</v>
      </c>
      <c r="D441" s="5" t="s">
        <v>2469</v>
      </c>
      <c r="E441" s="9" t="str">
        <f>HYPERLINK("https://twitter.com/jamejamCPI/status/1044895390678552576","1044895390678552576")</f>
        <v>1044895390678552576</v>
      </c>
      <c r="F441" s="4"/>
      <c r="G441" s="4"/>
      <c r="H441" s="4"/>
      <c r="I441" s="10" t="str">
        <f>HYPERLINK("http://twitter.com","Twitter Web Client")</f>
        <v>Twitter Web Client</v>
      </c>
      <c r="J441" s="2">
        <v>27088</v>
      </c>
      <c r="K441" s="2">
        <v>1410</v>
      </c>
      <c r="L441" s="2">
        <v>146</v>
      </c>
      <c r="M441" s="2"/>
      <c r="N441" s="8">
        <v>41548.76021990741</v>
      </c>
      <c r="O441" s="4" t="s">
        <v>5</v>
      </c>
      <c r="P441" s="3" t="s">
        <v>4</v>
      </c>
      <c r="Q441" s="10" t="s">
        <v>3</v>
      </c>
      <c r="R441" s="4"/>
      <c r="S441" s="9" t="str">
        <f>HYPERLINK("https://pbs.twimg.com/profile_images/1016553348819046405/PBNorYe4.jpg","View")</f>
        <v>View</v>
      </c>
    </row>
    <row r="442" spans="1:19" ht="40">
      <c r="A442" s="8">
        <v>43369.579004629632</v>
      </c>
      <c r="B442" s="11" t="str">
        <f>HYPERLINK("https://twitter.com/Nimrokh2","@Nimrokh2")</f>
        <v>@Nimrokh2</v>
      </c>
      <c r="C442" s="6" t="s">
        <v>165</v>
      </c>
      <c r="D442" s="5" t="s">
        <v>1556</v>
      </c>
      <c r="E442" s="9" t="str">
        <f>HYPERLINK("https://twitter.com/Nimrokh2/status/1044895295367262208","1044895295367262208")</f>
        <v>1044895295367262208</v>
      </c>
      <c r="F442" s="4"/>
      <c r="G442" s="4"/>
      <c r="H442" s="4"/>
      <c r="I442" s="10" t="str">
        <f>HYPERLINK("http://twitter.com/download/android","Twitter for Android")</f>
        <v>Twitter for Android</v>
      </c>
      <c r="J442" s="2">
        <v>155</v>
      </c>
      <c r="K442" s="2">
        <v>582</v>
      </c>
      <c r="L442" s="2">
        <v>0</v>
      </c>
      <c r="M442" s="2"/>
      <c r="N442" s="8">
        <v>43276.352349537032</v>
      </c>
      <c r="O442" s="4" t="s">
        <v>7</v>
      </c>
      <c r="P442" s="3" t="s">
        <v>164</v>
      </c>
      <c r="Q442" s="4"/>
      <c r="R442" s="4"/>
      <c r="S442" s="9" t="str">
        <f>HYPERLINK("https://pbs.twimg.com/profile_images/1035323037489475585/Qhs80usu.jpg","View")</f>
        <v>View</v>
      </c>
    </row>
    <row r="443" spans="1:19" ht="40">
      <c r="A443" s="8">
        <v>43369.578842592593</v>
      </c>
      <c r="B443" s="11" t="str">
        <f>HYPERLINK("https://twitter.com/jamejamCPI","@jamejamCPI")</f>
        <v>@jamejamCPI</v>
      </c>
      <c r="C443" s="6" t="s">
        <v>6</v>
      </c>
      <c r="D443" s="5" t="s">
        <v>2468</v>
      </c>
      <c r="E443" s="9" t="str">
        <f>HYPERLINK("https://twitter.com/jamejamCPI/status/1044895237473271808","1044895237473271808")</f>
        <v>1044895237473271808</v>
      </c>
      <c r="F443" s="4"/>
      <c r="G443" s="4"/>
      <c r="H443" s="4"/>
      <c r="I443" s="10" t="str">
        <f>HYPERLINK("http://twitter.com","Twitter Web Client")</f>
        <v>Twitter Web Client</v>
      </c>
      <c r="J443" s="2">
        <v>27088</v>
      </c>
      <c r="K443" s="2">
        <v>1410</v>
      </c>
      <c r="L443" s="2">
        <v>146</v>
      </c>
      <c r="M443" s="2"/>
      <c r="N443" s="8">
        <v>41548.76021990741</v>
      </c>
      <c r="O443" s="4" t="s">
        <v>5</v>
      </c>
      <c r="P443" s="3" t="s">
        <v>4</v>
      </c>
      <c r="Q443" s="10" t="s">
        <v>3</v>
      </c>
      <c r="R443" s="4"/>
      <c r="S443" s="9" t="str">
        <f>HYPERLINK("https://pbs.twimg.com/profile_images/1016553348819046405/PBNorYe4.jpg","View")</f>
        <v>View</v>
      </c>
    </row>
    <row r="444" spans="1:19" ht="40">
      <c r="A444" s="8">
        <v>43369.578599537039</v>
      </c>
      <c r="B444" s="11" t="str">
        <f>HYPERLINK("https://twitter.com/jamejamCPI","@jamejamCPI")</f>
        <v>@jamejamCPI</v>
      </c>
      <c r="C444" s="6" t="s">
        <v>6</v>
      </c>
      <c r="D444" s="5" t="s">
        <v>2467</v>
      </c>
      <c r="E444" s="9" t="str">
        <f>HYPERLINK("https://twitter.com/jamejamCPI/status/1044895150986723328","1044895150986723328")</f>
        <v>1044895150986723328</v>
      </c>
      <c r="F444" s="4"/>
      <c r="G444" s="4"/>
      <c r="H444" s="4"/>
      <c r="I444" s="10" t="str">
        <f>HYPERLINK("http://twitter.com","Twitter Web Client")</f>
        <v>Twitter Web Client</v>
      </c>
      <c r="J444" s="2">
        <v>27088</v>
      </c>
      <c r="K444" s="2">
        <v>1410</v>
      </c>
      <c r="L444" s="2">
        <v>146</v>
      </c>
      <c r="M444" s="2"/>
      <c r="N444" s="8">
        <v>41548.76021990741</v>
      </c>
      <c r="O444" s="4" t="s">
        <v>5</v>
      </c>
      <c r="P444" s="3" t="s">
        <v>4</v>
      </c>
      <c r="Q444" s="10" t="s">
        <v>3</v>
      </c>
      <c r="R444" s="4"/>
      <c r="S444" s="9" t="str">
        <f>HYPERLINK("https://pbs.twimg.com/profile_images/1016553348819046405/PBNorYe4.jpg","View")</f>
        <v>View</v>
      </c>
    </row>
    <row r="445" spans="1:19" ht="40">
      <c r="A445" s="8">
        <v>43369.578125</v>
      </c>
      <c r="B445" s="11" t="str">
        <f>HYPERLINK("https://twitter.com/jamejamCPI","@jamejamCPI")</f>
        <v>@jamejamCPI</v>
      </c>
      <c r="C445" s="6" t="s">
        <v>6</v>
      </c>
      <c r="D445" s="5" t="s">
        <v>2466</v>
      </c>
      <c r="E445" s="9" t="str">
        <f>HYPERLINK("https://twitter.com/jamejamCPI/status/1044894978089070593","1044894978089070593")</f>
        <v>1044894978089070593</v>
      </c>
      <c r="F445" s="4"/>
      <c r="G445" s="4"/>
      <c r="H445" s="4"/>
      <c r="I445" s="10" t="str">
        <f>HYPERLINK("http://twitter.com","Twitter Web Client")</f>
        <v>Twitter Web Client</v>
      </c>
      <c r="J445" s="2">
        <v>27088</v>
      </c>
      <c r="K445" s="2">
        <v>1410</v>
      </c>
      <c r="L445" s="2">
        <v>146</v>
      </c>
      <c r="M445" s="2"/>
      <c r="N445" s="8">
        <v>41548.76021990741</v>
      </c>
      <c r="O445" s="4" t="s">
        <v>5</v>
      </c>
      <c r="P445" s="3" t="s">
        <v>4</v>
      </c>
      <c r="Q445" s="10" t="s">
        <v>3</v>
      </c>
      <c r="R445" s="4"/>
      <c r="S445" s="9" t="str">
        <f>HYPERLINK("https://pbs.twimg.com/profile_images/1016553348819046405/PBNorYe4.jpg","View")</f>
        <v>View</v>
      </c>
    </row>
    <row r="446" spans="1:19" ht="40">
      <c r="A446" s="8">
        <v>43369.577800925923</v>
      </c>
      <c r="B446" s="11" t="str">
        <f>HYPERLINK("https://twitter.com/sharam_niar","@sharam_niar")</f>
        <v>@sharam_niar</v>
      </c>
      <c r="C446" s="6" t="s">
        <v>2465</v>
      </c>
      <c r="D446" s="5" t="s">
        <v>1556</v>
      </c>
      <c r="E446" s="9" t="str">
        <f>HYPERLINK("https://twitter.com/sharam_niar/status/1044894861973893120","1044894861973893120")</f>
        <v>1044894861973893120</v>
      </c>
      <c r="F446" s="4"/>
      <c r="G446" s="4"/>
      <c r="H446" s="4"/>
      <c r="I446" s="10" t="str">
        <f>HYPERLINK("http://twitter.com/download/iphone","Twitter for iPhone")</f>
        <v>Twitter for iPhone</v>
      </c>
      <c r="J446" s="2">
        <v>149</v>
      </c>
      <c r="K446" s="2">
        <v>30</v>
      </c>
      <c r="L446" s="2">
        <v>0</v>
      </c>
      <c r="M446" s="2"/>
      <c r="N446" s="8">
        <v>40035.515138888892</v>
      </c>
      <c r="O446" s="4" t="s">
        <v>1842</v>
      </c>
      <c r="P446" s="3" t="s">
        <v>2464</v>
      </c>
      <c r="Q446" s="4"/>
      <c r="R446" s="4"/>
      <c r="S446" s="9" t="str">
        <f>HYPERLINK("https://pbs.twimg.com/profile_images/863760419260776449/uvxw9GWU.jpg","View")</f>
        <v>View</v>
      </c>
    </row>
    <row r="447" spans="1:19" ht="50">
      <c r="A447" s="8">
        <v>43369.577696759261</v>
      </c>
      <c r="B447" s="11" t="str">
        <f>HYPERLINK("https://twitter.com/sharam_niar","@sharam_niar")</f>
        <v>@sharam_niar</v>
      </c>
      <c r="C447" s="6" t="s">
        <v>2465</v>
      </c>
      <c r="D447" s="5" t="s">
        <v>109</v>
      </c>
      <c r="E447" s="9" t="str">
        <f>HYPERLINK("https://twitter.com/sharam_niar/status/1044894821750517761","1044894821750517761")</f>
        <v>1044894821750517761</v>
      </c>
      <c r="F447" s="4"/>
      <c r="G447" s="4"/>
      <c r="H447" s="4"/>
      <c r="I447" s="10" t="str">
        <f>HYPERLINK("http://twitter.com/download/iphone","Twitter for iPhone")</f>
        <v>Twitter for iPhone</v>
      </c>
      <c r="J447" s="2">
        <v>149</v>
      </c>
      <c r="K447" s="2">
        <v>30</v>
      </c>
      <c r="L447" s="2">
        <v>0</v>
      </c>
      <c r="M447" s="2"/>
      <c r="N447" s="8">
        <v>40035.515138888892</v>
      </c>
      <c r="O447" s="4" t="s">
        <v>1842</v>
      </c>
      <c r="P447" s="3" t="s">
        <v>2464</v>
      </c>
      <c r="Q447" s="4"/>
      <c r="R447" s="4"/>
      <c r="S447" s="9" t="str">
        <f>HYPERLINK("https://pbs.twimg.com/profile_images/863760419260776449/uvxw9GWU.jpg","View")</f>
        <v>View</v>
      </c>
    </row>
    <row r="448" spans="1:19" ht="40">
      <c r="A448" s="8">
        <v>43369.577638888892</v>
      </c>
      <c r="B448" s="11" t="str">
        <f>HYPERLINK("https://twitter.com/mohamadmirazadi","@mohamadmirazadi")</f>
        <v>@mohamadmirazadi</v>
      </c>
      <c r="C448" s="6" t="s">
        <v>2463</v>
      </c>
      <c r="D448" s="5" t="s">
        <v>2462</v>
      </c>
      <c r="E448" s="9" t="str">
        <f>HYPERLINK("https://twitter.com/mohamadmirazadi/status/1044894801286639616","1044894801286639616")</f>
        <v>1044894801286639616</v>
      </c>
      <c r="F448" s="4"/>
      <c r="G448" s="4"/>
      <c r="H448" s="4"/>
      <c r="I448" s="10" t="str">
        <f>HYPERLINK("http://twitter.com/download/android","Twitter for Android")</f>
        <v>Twitter for Android</v>
      </c>
      <c r="J448" s="2">
        <v>15</v>
      </c>
      <c r="K448" s="2">
        <v>69</v>
      </c>
      <c r="L448" s="2">
        <v>0</v>
      </c>
      <c r="M448" s="2"/>
      <c r="N448" s="8">
        <v>42794.355740740742</v>
      </c>
      <c r="O448" s="4" t="s">
        <v>8</v>
      </c>
      <c r="P448" s="3"/>
      <c r="Q448" s="4"/>
      <c r="R448" s="4"/>
      <c r="S448" s="9" t="str">
        <f>HYPERLINK("https://pbs.twimg.com/profile_images/1029027070372925440/obqLNpMD.jpg","View")</f>
        <v>View</v>
      </c>
    </row>
    <row r="449" spans="1:19" ht="30">
      <c r="A449" s="8">
        <v>43369.577592592592</v>
      </c>
      <c r="B449" s="11" t="str">
        <f>HYPERLINK("https://twitter.com/BervinMahdy","@BervinMahdy")</f>
        <v>@BervinMahdy</v>
      </c>
      <c r="C449" s="6" t="s">
        <v>2461</v>
      </c>
      <c r="D449" s="5" t="s">
        <v>200</v>
      </c>
      <c r="E449" s="9" t="str">
        <f>HYPERLINK("https://twitter.com/BervinMahdy/status/1044894782999470080","1044894782999470080")</f>
        <v>1044894782999470080</v>
      </c>
      <c r="F449" s="4"/>
      <c r="G449" s="4"/>
      <c r="H449" s="4"/>
      <c r="I449" s="10" t="str">
        <f>HYPERLINK("http://twitter.com/download/android","Twitter for Android")</f>
        <v>Twitter for Android</v>
      </c>
      <c r="J449" s="2">
        <v>170</v>
      </c>
      <c r="K449" s="2">
        <v>439</v>
      </c>
      <c r="L449" s="2">
        <v>1</v>
      </c>
      <c r="M449" s="2"/>
      <c r="N449" s="8">
        <v>43348.302719907406</v>
      </c>
      <c r="O449" s="4" t="s">
        <v>48</v>
      </c>
      <c r="P449" s="3" t="s">
        <v>2460</v>
      </c>
      <c r="Q449" s="4"/>
      <c r="R449" s="4"/>
      <c r="S449" s="9" t="str">
        <f>HYPERLINK("https://pbs.twimg.com/profile_images/1037675762999062529/pIerU5sB.jpg","View")</f>
        <v>View</v>
      </c>
    </row>
    <row r="450" spans="1:19" ht="30">
      <c r="A450" s="8">
        <v>43369.577222222222</v>
      </c>
      <c r="B450" s="11" t="str">
        <f>HYPERLINK("https://twitter.com/avab_ret","@avab_ret")</f>
        <v>@avab_ret</v>
      </c>
      <c r="C450" s="6" t="s">
        <v>2459</v>
      </c>
      <c r="D450" s="5" t="s">
        <v>1748</v>
      </c>
      <c r="E450" s="9" t="str">
        <f>HYPERLINK("https://twitter.com/avab_ret/status/1044894651747061760","1044894651747061760")</f>
        <v>1044894651747061760</v>
      </c>
      <c r="F450" s="4"/>
      <c r="G450" s="4"/>
      <c r="H450" s="4"/>
      <c r="I450" s="10" t="str">
        <f>HYPERLINK("http://twitter.com/download/android","Twitter for Android")</f>
        <v>Twitter for Android</v>
      </c>
      <c r="J450" s="2">
        <v>84</v>
      </c>
      <c r="K450" s="2">
        <v>78</v>
      </c>
      <c r="L450" s="2">
        <v>0</v>
      </c>
      <c r="M450" s="2"/>
      <c r="N450" s="8">
        <v>43359.52924768519</v>
      </c>
      <c r="O450" s="4" t="s">
        <v>2458</v>
      </c>
      <c r="P450" s="3"/>
      <c r="Q450" s="4"/>
      <c r="R450" s="4"/>
      <c r="S450" s="9" t="str">
        <f>HYPERLINK("https://pbs.twimg.com/profile_images/1041239114727804928/AEKxWn0C.jpg","View")</f>
        <v>View</v>
      </c>
    </row>
    <row r="451" spans="1:19" ht="50">
      <c r="A451" s="8">
        <v>43369.574930555551</v>
      </c>
      <c r="B451" s="11" t="str">
        <f>HYPERLINK("https://twitter.com/Hamid__Amirali","@Hamid__Amirali")</f>
        <v>@Hamid__Amirali</v>
      </c>
      <c r="C451" s="6" t="s">
        <v>2133</v>
      </c>
      <c r="D451" s="5" t="s">
        <v>109</v>
      </c>
      <c r="E451" s="9" t="str">
        <f>HYPERLINK("https://twitter.com/Hamid__Amirali/status/1044893819660095488","1044893819660095488")</f>
        <v>1044893819660095488</v>
      </c>
      <c r="F451" s="4"/>
      <c r="G451" s="4"/>
      <c r="H451" s="4"/>
      <c r="I451" s="10" t="str">
        <f>HYPERLINK("http://twitter.com/download/android","Twitter for Android")</f>
        <v>Twitter for Android</v>
      </c>
      <c r="J451" s="2">
        <v>801</v>
      </c>
      <c r="K451" s="2">
        <v>428</v>
      </c>
      <c r="L451" s="2">
        <v>0</v>
      </c>
      <c r="M451" s="2"/>
      <c r="N451" s="8">
        <v>42964.892534722225</v>
      </c>
      <c r="O451" s="4" t="s">
        <v>2132</v>
      </c>
      <c r="P451" s="3" t="s">
        <v>2131</v>
      </c>
      <c r="Q451" s="4"/>
      <c r="R451" s="4"/>
      <c r="S451" s="9" t="str">
        <f>HYPERLINK("https://pbs.twimg.com/profile_images/1030205866417512449/2ZGuksPi.jpg","View")</f>
        <v>View</v>
      </c>
    </row>
    <row r="452" spans="1:19" ht="30">
      <c r="A452" s="8">
        <v>43369.574120370366</v>
      </c>
      <c r="B452" s="11" t="str">
        <f>HYPERLINK("https://twitter.com/Entekhab_News","@Entekhab_News")</f>
        <v>@Entekhab_News</v>
      </c>
      <c r="C452" s="6" t="s">
        <v>1936</v>
      </c>
      <c r="D452" s="5" t="s">
        <v>2457</v>
      </c>
      <c r="E452" s="9" t="str">
        <f>HYPERLINK("https://twitter.com/Entekhab_News/status/1044893527057092608","1044893527057092608")</f>
        <v>1044893527057092608</v>
      </c>
      <c r="F452" s="4"/>
      <c r="G452" s="10" t="s">
        <v>2456</v>
      </c>
      <c r="H452" s="4"/>
      <c r="I452" s="10" t="str">
        <f>HYPERLINK("http://twitter.com/download/android","Twitter for Android")</f>
        <v>Twitter for Android</v>
      </c>
      <c r="J452" s="2">
        <v>16335</v>
      </c>
      <c r="K452" s="2">
        <v>0</v>
      </c>
      <c r="L452" s="2">
        <v>156</v>
      </c>
      <c r="M452" s="2"/>
      <c r="N452" s="8">
        <v>41846.90483796296</v>
      </c>
      <c r="O452" s="4" t="s">
        <v>166</v>
      </c>
      <c r="P452" s="3" t="s">
        <v>1933</v>
      </c>
      <c r="Q452" s="10" t="s">
        <v>1932</v>
      </c>
      <c r="R452" s="4"/>
      <c r="S452" s="9" t="str">
        <f>HYPERLINK("https://pbs.twimg.com/profile_images/840302676332146689/objFI1sw.jpg","View")</f>
        <v>View</v>
      </c>
    </row>
    <row r="453" spans="1:19" ht="30">
      <c r="A453" s="8">
        <v>43369.573298611111</v>
      </c>
      <c r="B453" s="11" t="str">
        <f>HYPERLINK("https://twitter.com/little_petr","@little_petr")</f>
        <v>@little_petr</v>
      </c>
      <c r="C453" s="6" t="s">
        <v>2455</v>
      </c>
      <c r="D453" s="5" t="s">
        <v>49</v>
      </c>
      <c r="E453" s="9" t="str">
        <f>HYPERLINK("https://twitter.com/little_petr/status/1044893228451995650","1044893228451995650")</f>
        <v>1044893228451995650</v>
      </c>
      <c r="F453" s="4"/>
      <c r="G453" s="4"/>
      <c r="H453" s="4"/>
      <c r="I453" s="10" t="str">
        <f>HYPERLINK("https://mobile.twitter.com","Twitter Lite")</f>
        <v>Twitter Lite</v>
      </c>
      <c r="J453" s="2">
        <v>54</v>
      </c>
      <c r="K453" s="2">
        <v>232</v>
      </c>
      <c r="L453" s="2">
        <v>0</v>
      </c>
      <c r="M453" s="2"/>
      <c r="N453" s="8">
        <v>41041.012696759259</v>
      </c>
      <c r="O453" s="4"/>
      <c r="P453" s="3"/>
      <c r="Q453" s="4"/>
      <c r="R453" s="4"/>
      <c r="S453" s="9" t="str">
        <f>HYPERLINK("https://pbs.twimg.com/profile_images/895441481137258496/P9oZsFo6.jpg","View")</f>
        <v>View</v>
      </c>
    </row>
    <row r="454" spans="1:19" ht="40">
      <c r="A454" s="8">
        <v>43369.573078703703</v>
      </c>
      <c r="B454" s="11" t="str">
        <f>HYPERLINK("https://twitter.com/jamejamCPI","@jamejamCPI")</f>
        <v>@jamejamCPI</v>
      </c>
      <c r="C454" s="6" t="s">
        <v>6</v>
      </c>
      <c r="D454" s="5" t="s">
        <v>2454</v>
      </c>
      <c r="E454" s="9" t="str">
        <f>HYPERLINK("https://twitter.com/jamejamCPI/status/1044893149401939968","1044893149401939968")</f>
        <v>1044893149401939968</v>
      </c>
      <c r="F454" s="4"/>
      <c r="G454" s="4"/>
      <c r="H454" s="4"/>
      <c r="I454" s="10" t="str">
        <f>HYPERLINK("http://twitter.com","Twitter Web Client")</f>
        <v>Twitter Web Client</v>
      </c>
      <c r="J454" s="2">
        <v>27088</v>
      </c>
      <c r="K454" s="2">
        <v>1410</v>
      </c>
      <c r="L454" s="2">
        <v>146</v>
      </c>
      <c r="M454" s="2"/>
      <c r="N454" s="8">
        <v>41548.76021990741</v>
      </c>
      <c r="O454" s="4" t="s">
        <v>5</v>
      </c>
      <c r="P454" s="3" t="s">
        <v>4</v>
      </c>
      <c r="Q454" s="10" t="s">
        <v>3</v>
      </c>
      <c r="R454" s="4"/>
      <c r="S454" s="9" t="str">
        <f>HYPERLINK("https://pbs.twimg.com/profile_images/1016553348819046405/PBNorYe4.jpg","View")</f>
        <v>View</v>
      </c>
    </row>
    <row r="455" spans="1:19" ht="30">
      <c r="A455" s="8">
        <v>43369.572337962964</v>
      </c>
      <c r="B455" s="11" t="str">
        <f>HYPERLINK("https://twitter.com/khojast28488234","@khojast28488234")</f>
        <v>@khojast28488234</v>
      </c>
      <c r="C455" s="6" t="s">
        <v>2453</v>
      </c>
      <c r="D455" s="5" t="s">
        <v>49</v>
      </c>
      <c r="E455" s="9" t="str">
        <f>HYPERLINK("https://twitter.com/khojast28488234/status/1044892881847242752","1044892881847242752")</f>
        <v>1044892881847242752</v>
      </c>
      <c r="F455" s="4"/>
      <c r="G455" s="4"/>
      <c r="H455" s="4"/>
      <c r="I455" s="10" t="str">
        <f>HYPERLINK("http://twitter.com/download/iphone","Twitter for iPhone")</f>
        <v>Twitter for iPhone</v>
      </c>
      <c r="J455" s="2">
        <v>248</v>
      </c>
      <c r="K455" s="2">
        <v>558</v>
      </c>
      <c r="L455" s="2">
        <v>0</v>
      </c>
      <c r="M455" s="2"/>
      <c r="N455" s="8">
        <v>43231.597962962958</v>
      </c>
      <c r="O455" s="4"/>
      <c r="P455" s="3" t="s">
        <v>2452</v>
      </c>
      <c r="Q455" s="4"/>
      <c r="R455" s="4"/>
      <c r="S455" s="9" t="str">
        <f>HYPERLINK("https://pbs.twimg.com/profile_images/1039123324763348992/rx2l0oMW.jpg","View")</f>
        <v>View</v>
      </c>
    </row>
    <row r="456" spans="1:19" ht="30">
      <c r="A456" s="8">
        <v>43369.572152777779</v>
      </c>
      <c r="B456" s="11" t="str">
        <f>HYPERLINK("https://twitter.com/Tabesh223","@Tabesh223")</f>
        <v>@Tabesh223</v>
      </c>
      <c r="C456" s="6" t="s">
        <v>2451</v>
      </c>
      <c r="D456" s="5" t="s">
        <v>49</v>
      </c>
      <c r="E456" s="9" t="str">
        <f>HYPERLINK("https://twitter.com/Tabesh223/status/1044892812377038848","1044892812377038848")</f>
        <v>1044892812377038848</v>
      </c>
      <c r="F456" s="4"/>
      <c r="G456" s="4"/>
      <c r="H456" s="4"/>
      <c r="I456" s="10" t="str">
        <f>HYPERLINK("https://mobile.twitter.com","Twitter Lite")</f>
        <v>Twitter Lite</v>
      </c>
      <c r="J456" s="2">
        <v>67</v>
      </c>
      <c r="K456" s="2">
        <v>236</v>
      </c>
      <c r="L456" s="2">
        <v>0</v>
      </c>
      <c r="M456" s="2"/>
      <c r="N456" s="8">
        <v>42719.955462962964</v>
      </c>
      <c r="O456" s="4"/>
      <c r="P456" s="3"/>
      <c r="Q456" s="4"/>
      <c r="R456" s="4"/>
      <c r="S456" s="9" t="str">
        <f>HYPERLINK("https://pbs.twimg.com/profile_images/993968897513721857/KIX3Dj7q.jpg","View")</f>
        <v>View</v>
      </c>
    </row>
    <row r="457" spans="1:19" ht="40">
      <c r="A457" s="8">
        <v>43369.572083333333</v>
      </c>
      <c r="B457" s="11" t="str">
        <f>HYPERLINK("https://twitter.com/mohammadalihed4","@mohammadalihed4")</f>
        <v>@mohammadalihed4</v>
      </c>
      <c r="C457" s="6" t="s">
        <v>2450</v>
      </c>
      <c r="D457" s="5" t="s">
        <v>2449</v>
      </c>
      <c r="E457" s="9" t="str">
        <f>HYPERLINK("https://twitter.com/mohammadalihed4/status/1044892789560012800","1044892789560012800")</f>
        <v>1044892789560012800</v>
      </c>
      <c r="F457" s="4"/>
      <c r="G457" s="4"/>
      <c r="H457" s="4"/>
      <c r="I457" s="10" t="str">
        <f>HYPERLINK("http://twitter.com/download/iphone","Twitter for iPhone")</f>
        <v>Twitter for iPhone</v>
      </c>
      <c r="J457" s="2">
        <v>1</v>
      </c>
      <c r="K457" s="2">
        <v>44</v>
      </c>
      <c r="L457" s="2">
        <v>0</v>
      </c>
      <c r="M457" s="2"/>
      <c r="N457" s="8">
        <v>43147.547847222224</v>
      </c>
      <c r="O457" s="4" t="s">
        <v>1</v>
      </c>
      <c r="P457" s="3" t="s">
        <v>2448</v>
      </c>
      <c r="Q457" s="4"/>
      <c r="R457" s="4"/>
      <c r="S457" s="9" t="str">
        <f>HYPERLINK("https://pbs.twimg.com/profile_images/964435613440139265/yE3zDe8B.jpg","View")</f>
        <v>View</v>
      </c>
    </row>
    <row r="458" spans="1:19" ht="40">
      <c r="A458" s="8">
        <v>43369.571145833332</v>
      </c>
      <c r="B458" s="11" t="str">
        <f>HYPERLINK("https://twitter.com/ghsalahshour","@ghsalahshour")</f>
        <v>@ghsalahshour</v>
      </c>
      <c r="C458" s="6" t="s">
        <v>2447</v>
      </c>
      <c r="D458" s="5" t="s">
        <v>1556</v>
      </c>
      <c r="E458" s="9" t="str">
        <f>HYPERLINK("https://twitter.com/ghsalahshour/status/1044892449729126401","1044892449729126401")</f>
        <v>1044892449729126401</v>
      </c>
      <c r="F458" s="4"/>
      <c r="G458" s="4"/>
      <c r="H458" s="4"/>
      <c r="I458" s="10" t="str">
        <f>HYPERLINK("http://twitter.com/download/iphone","Twitter for iPhone")</f>
        <v>Twitter for iPhone</v>
      </c>
      <c r="J458" s="2">
        <v>35</v>
      </c>
      <c r="K458" s="2">
        <v>178</v>
      </c>
      <c r="L458" s="2">
        <v>0</v>
      </c>
      <c r="M458" s="2"/>
      <c r="N458" s="8">
        <v>43071.55195601852</v>
      </c>
      <c r="O458" s="4"/>
      <c r="P458" s="3" t="s">
        <v>2446</v>
      </c>
      <c r="Q458" s="4"/>
      <c r="R458" s="4"/>
      <c r="S458" s="9" t="str">
        <f>HYPERLINK("https://pbs.twimg.com/profile_images/936894984246067201/OCKDgjBP.jpg","View")</f>
        <v>View</v>
      </c>
    </row>
    <row r="459" spans="1:19" ht="30">
      <c r="A459" s="8">
        <v>43369.570891203708</v>
      </c>
      <c r="B459" s="11" t="str">
        <f>HYPERLINK("https://twitter.com/aghaei42","@aghaei42")</f>
        <v>@aghaei42</v>
      </c>
      <c r="C459" s="6" t="s">
        <v>151</v>
      </c>
      <c r="D459" s="5" t="s">
        <v>520</v>
      </c>
      <c r="E459" s="9" t="str">
        <f>HYPERLINK("https://twitter.com/aghaei42/status/1044892354774216704","1044892354774216704")</f>
        <v>1044892354774216704</v>
      </c>
      <c r="F459" s="4"/>
      <c r="G459" s="4"/>
      <c r="H459" s="4"/>
      <c r="I459" s="10" t="str">
        <f>HYPERLINK("http://twitter.com/download/android","Twitter for Android")</f>
        <v>Twitter for Android</v>
      </c>
      <c r="J459" s="2">
        <v>98</v>
      </c>
      <c r="K459" s="2">
        <v>376</v>
      </c>
      <c r="L459" s="2">
        <v>0</v>
      </c>
      <c r="M459" s="2"/>
      <c r="N459" s="8">
        <v>41963.864363425921</v>
      </c>
      <c r="O459" s="4"/>
      <c r="P459" s="3"/>
      <c r="Q459" s="4"/>
      <c r="R459" s="4"/>
      <c r="S459" s="9" t="str">
        <f>HYPERLINK("https://pbs.twimg.com/profile_images/779396255017492481/aLCEzVxT.jpg","View")</f>
        <v>View</v>
      </c>
    </row>
    <row r="460" spans="1:19" ht="20">
      <c r="A460" s="8">
        <v>43369.570486111115</v>
      </c>
      <c r="B460" s="11" t="str">
        <f>HYPERLINK("https://twitter.com/mahdi__313__","@mahdi__313__")</f>
        <v>@mahdi__313__</v>
      </c>
      <c r="C460" s="6" t="s">
        <v>2445</v>
      </c>
      <c r="D460" s="5" t="s">
        <v>102</v>
      </c>
      <c r="E460" s="9" t="str">
        <f>HYPERLINK("https://twitter.com/mahdi__313__/status/1044892207835172865","1044892207835172865")</f>
        <v>1044892207835172865</v>
      </c>
      <c r="F460" s="4"/>
      <c r="G460" s="4"/>
      <c r="H460" s="4"/>
      <c r="I460" s="10" t="str">
        <f>HYPERLINK("http://twitter.com/download/android","Twitter for Android")</f>
        <v>Twitter for Android</v>
      </c>
      <c r="J460" s="2">
        <v>367</v>
      </c>
      <c r="K460" s="2">
        <v>429</v>
      </c>
      <c r="L460" s="2">
        <v>0</v>
      </c>
      <c r="M460" s="2"/>
      <c r="N460" s="8">
        <v>42771.864953703705</v>
      </c>
      <c r="O460" s="4" t="s">
        <v>1</v>
      </c>
      <c r="P460" s="3" t="s">
        <v>2444</v>
      </c>
      <c r="Q460" s="4"/>
      <c r="R460" s="4"/>
      <c r="S460" s="9" t="str">
        <f>HYPERLINK("https://pbs.twimg.com/profile_images/830475787597922304/VdTIExAJ.jpg","View")</f>
        <v>View</v>
      </c>
    </row>
    <row r="461" spans="1:19" ht="40">
      <c r="A461" s="8">
        <v>43369.570474537039</v>
      </c>
      <c r="B461" s="11" t="str">
        <f>HYPERLINK("https://twitter.com/movvasagh","@movvasagh")</f>
        <v>@movvasagh</v>
      </c>
      <c r="C461" s="6" t="s">
        <v>2172</v>
      </c>
      <c r="D461" s="5" t="s">
        <v>128</v>
      </c>
      <c r="E461" s="9" t="str">
        <f>HYPERLINK("https://twitter.com/movvasagh/status/1044892206010642433","1044892206010642433")</f>
        <v>1044892206010642433</v>
      </c>
      <c r="F461" s="4"/>
      <c r="G461" s="4"/>
      <c r="H461" s="4"/>
      <c r="I461" s="10" t="str">
        <f>HYPERLINK("http://twitter.com/download/android","Twitter for Android")</f>
        <v>Twitter for Android</v>
      </c>
      <c r="J461" s="2">
        <v>13</v>
      </c>
      <c r="K461" s="2">
        <v>138</v>
      </c>
      <c r="L461" s="2">
        <v>0</v>
      </c>
      <c r="M461" s="2"/>
      <c r="N461" s="8">
        <v>43363.830775462964</v>
      </c>
      <c r="O461" s="4"/>
      <c r="P461" s="3" t="s">
        <v>2170</v>
      </c>
      <c r="Q461" s="4"/>
      <c r="R461" s="4"/>
      <c r="S461" s="9" t="str">
        <f>HYPERLINK("https://pbs.twimg.com/profile_images/1042830945588535296/KpVnsHQr.jpg","View")</f>
        <v>View</v>
      </c>
    </row>
    <row r="462" spans="1:19" ht="40">
      <c r="A462" s="8">
        <v>43369.570069444446</v>
      </c>
      <c r="B462" s="11" t="str">
        <f>HYPERLINK("https://twitter.com/aghaei42","@aghaei42")</f>
        <v>@aghaei42</v>
      </c>
      <c r="C462" s="6" t="s">
        <v>151</v>
      </c>
      <c r="D462" s="5" t="s">
        <v>1556</v>
      </c>
      <c r="E462" s="9" t="str">
        <f>HYPERLINK("https://twitter.com/aghaei42/status/1044892056349548544","1044892056349548544")</f>
        <v>1044892056349548544</v>
      </c>
      <c r="F462" s="4"/>
      <c r="G462" s="4"/>
      <c r="H462" s="4"/>
      <c r="I462" s="10" t="str">
        <f>HYPERLINK("http://twitter.com/download/android","Twitter for Android")</f>
        <v>Twitter for Android</v>
      </c>
      <c r="J462" s="2">
        <v>98</v>
      </c>
      <c r="K462" s="2">
        <v>376</v>
      </c>
      <c r="L462" s="2">
        <v>0</v>
      </c>
      <c r="M462" s="2"/>
      <c r="N462" s="8">
        <v>41963.864363425921</v>
      </c>
      <c r="O462" s="4"/>
      <c r="P462" s="3"/>
      <c r="Q462" s="4"/>
      <c r="R462" s="4"/>
      <c r="S462" s="9" t="str">
        <f>HYPERLINK("https://pbs.twimg.com/profile_images/779396255017492481/aLCEzVxT.jpg","View")</f>
        <v>View</v>
      </c>
    </row>
    <row r="463" spans="1:19" ht="40">
      <c r="A463" s="8">
        <v>43369.569027777776</v>
      </c>
      <c r="B463" s="11" t="str">
        <f>HYPERLINK("https://twitter.com/Ahmad6356","@Ahmad6356")</f>
        <v>@Ahmad6356</v>
      </c>
      <c r="C463" s="6" t="s">
        <v>1058</v>
      </c>
      <c r="D463" s="5" t="s">
        <v>72</v>
      </c>
      <c r="E463" s="9" t="str">
        <f>HYPERLINK("https://twitter.com/Ahmad6356/status/1044891680992874496","1044891680992874496")</f>
        <v>1044891680992874496</v>
      </c>
      <c r="F463" s="4"/>
      <c r="G463" s="4"/>
      <c r="H463" s="4"/>
      <c r="I463" s="10" t="str">
        <f>HYPERLINK("http://twitter.com/download/android","Twitter for Android")</f>
        <v>Twitter for Android</v>
      </c>
      <c r="J463" s="2">
        <v>153</v>
      </c>
      <c r="K463" s="2">
        <v>94</v>
      </c>
      <c r="L463" s="2">
        <v>0</v>
      </c>
      <c r="M463" s="2"/>
      <c r="N463" s="8">
        <v>43021.696111111116</v>
      </c>
      <c r="O463" s="4" t="s">
        <v>16</v>
      </c>
      <c r="P463" s="3" t="s">
        <v>2443</v>
      </c>
      <c r="Q463" s="4"/>
      <c r="R463" s="4"/>
      <c r="S463" s="9" t="str">
        <f>HYPERLINK("https://pbs.twimg.com/profile_images/949975811376885760/6IrvhWWU.jpg","View")</f>
        <v>View</v>
      </c>
    </row>
    <row r="464" spans="1:19" ht="40">
      <c r="A464" s="8">
        <v>43369.568761574075</v>
      </c>
      <c r="B464" s="11" t="str">
        <f>HYPERLINK("https://twitter.com/mmd__rza","@mmd__rza")</f>
        <v>@mmd__rza</v>
      </c>
      <c r="C464" s="6" t="s">
        <v>487</v>
      </c>
      <c r="D464" s="5" t="s">
        <v>531</v>
      </c>
      <c r="E464" s="9" t="str">
        <f>HYPERLINK("https://twitter.com/mmd__rza/status/1044891584611962880","1044891584611962880")</f>
        <v>1044891584611962880</v>
      </c>
      <c r="F464" s="4"/>
      <c r="G464" s="4"/>
      <c r="H464" s="4"/>
      <c r="I464" s="10" t="str">
        <f>HYPERLINK("http://twitter.com/download/android","Twitter for Android")</f>
        <v>Twitter for Android</v>
      </c>
      <c r="J464" s="2">
        <v>1660</v>
      </c>
      <c r="K464" s="2">
        <v>815</v>
      </c>
      <c r="L464" s="2">
        <v>2</v>
      </c>
      <c r="M464" s="2"/>
      <c r="N464" s="8">
        <v>42946.705300925925</v>
      </c>
      <c r="O464" s="4" t="s">
        <v>2442</v>
      </c>
      <c r="P464" s="3" t="s">
        <v>2441</v>
      </c>
      <c r="Q464" s="4"/>
      <c r="R464" s="4"/>
      <c r="S464" s="9" t="str">
        <f>HYPERLINK("https://pbs.twimg.com/profile_images/1042843408560214016/k7C1MmtJ.jpg","View")</f>
        <v>View</v>
      </c>
    </row>
    <row r="465" spans="1:19" ht="40">
      <c r="A465" s="8">
        <v>43369.568738425922</v>
      </c>
      <c r="B465" s="11" t="str">
        <f>HYPERLINK("https://twitter.com/soozii20","@soozii20")</f>
        <v>@soozii20</v>
      </c>
      <c r="C465" s="6" t="s">
        <v>2440</v>
      </c>
      <c r="D465" s="5" t="s">
        <v>2327</v>
      </c>
      <c r="E465" s="9" t="str">
        <f>HYPERLINK("https://twitter.com/soozii20/status/1044891574679818240","1044891574679818240")</f>
        <v>1044891574679818240</v>
      </c>
      <c r="F465" s="4"/>
      <c r="G465" s="4"/>
      <c r="H465" s="4"/>
      <c r="I465" s="10" t="str">
        <f>HYPERLINK("http://twitter.com/download/iphone","Twitter for iPhone")</f>
        <v>Twitter for iPhone</v>
      </c>
      <c r="J465" s="2">
        <v>225</v>
      </c>
      <c r="K465" s="2">
        <v>449</v>
      </c>
      <c r="L465" s="2">
        <v>0</v>
      </c>
      <c r="M465" s="2"/>
      <c r="N465" s="8">
        <v>42519.883067129631</v>
      </c>
      <c r="O465" s="4" t="s">
        <v>52</v>
      </c>
      <c r="P465" s="3" t="s">
        <v>2439</v>
      </c>
      <c r="Q465" s="4"/>
      <c r="R465" s="4"/>
      <c r="S465" s="9" t="str">
        <f>HYPERLINK("https://pbs.twimg.com/profile_images/829984346912210945/dTsmcton.jpg","View")</f>
        <v>View</v>
      </c>
    </row>
    <row r="466" spans="1:19" ht="30">
      <c r="A466" s="8">
        <v>43369.568668981483</v>
      </c>
      <c r="B466" s="11" t="str">
        <f>HYPERLINK("https://twitter.com/Thisissaharaa","@Thisissaharaa")</f>
        <v>@Thisissaharaa</v>
      </c>
      <c r="C466" s="6" t="s">
        <v>2438</v>
      </c>
      <c r="D466" s="5" t="s">
        <v>49</v>
      </c>
      <c r="E466" s="9" t="str">
        <f>HYPERLINK("https://twitter.com/Thisissaharaa/status/1044891549664972800","1044891549664972800")</f>
        <v>1044891549664972800</v>
      </c>
      <c r="F466" s="4"/>
      <c r="G466" s="4"/>
      <c r="H466" s="4"/>
      <c r="I466" s="10" t="str">
        <f>HYPERLINK("http://twitter.com/download/android","Twitter for Android")</f>
        <v>Twitter for Android</v>
      </c>
      <c r="J466" s="2">
        <v>509</v>
      </c>
      <c r="K466" s="2">
        <v>464</v>
      </c>
      <c r="L466" s="2">
        <v>2</v>
      </c>
      <c r="M466" s="2"/>
      <c r="N466" s="8">
        <v>42747.646770833337</v>
      </c>
      <c r="O466" s="4" t="s">
        <v>2437</v>
      </c>
      <c r="P466" s="3" t="s">
        <v>2436</v>
      </c>
      <c r="Q466" s="4"/>
      <c r="R466" s="4"/>
      <c r="S466" s="9" t="str">
        <f>HYPERLINK("https://pbs.twimg.com/profile_images/1044853897385431040/GnXp3WzC.jpg","View")</f>
        <v>View</v>
      </c>
    </row>
    <row r="467" spans="1:19" ht="20">
      <c r="A467" s="8">
        <v>43369.568159722221</v>
      </c>
      <c r="B467" s="11" t="str">
        <f>HYPERLINK("https://twitter.com/mojtabaazad71_2","@mojtabaazad71_2")</f>
        <v>@mojtabaazad71_2</v>
      </c>
      <c r="C467" s="6" t="s">
        <v>2435</v>
      </c>
      <c r="D467" s="5" t="s">
        <v>102</v>
      </c>
      <c r="E467" s="9" t="str">
        <f>HYPERLINK("https://twitter.com/mojtabaazad71_2/status/1044891366965354499","1044891366965354499")</f>
        <v>1044891366965354499</v>
      </c>
      <c r="F467" s="4"/>
      <c r="G467" s="4"/>
      <c r="H467" s="4"/>
      <c r="I467" s="10" t="str">
        <f>HYPERLINK("http://twitter.com/download/android","Twitter for Android")</f>
        <v>Twitter for Android</v>
      </c>
      <c r="J467" s="2">
        <v>1762</v>
      </c>
      <c r="K467" s="2">
        <v>245</v>
      </c>
      <c r="L467" s="2">
        <v>3</v>
      </c>
      <c r="M467" s="2"/>
      <c r="N467" s="8">
        <v>43038.785763888889</v>
      </c>
      <c r="O467" s="4" t="s">
        <v>2434</v>
      </c>
      <c r="P467" s="3" t="s">
        <v>2433</v>
      </c>
      <c r="Q467" s="4"/>
      <c r="R467" s="4"/>
      <c r="S467" s="9" t="str">
        <f>HYPERLINK("https://pbs.twimg.com/profile_images/953975157332369408/JUz4ZqwL.jpg","View")</f>
        <v>View</v>
      </c>
    </row>
    <row r="468" spans="1:19" ht="40">
      <c r="A468" s="8">
        <v>43369.567928240736</v>
      </c>
      <c r="B468" s="11" t="str">
        <f>HYPERLINK("https://twitter.com/mhj66","@mhj66")</f>
        <v>@mhj66</v>
      </c>
      <c r="C468" s="6" t="s">
        <v>944</v>
      </c>
      <c r="D468" s="5" t="s">
        <v>2432</v>
      </c>
      <c r="E468" s="9" t="str">
        <f>HYPERLINK("https://twitter.com/mhj66/status/1044891282299080704","1044891282299080704")</f>
        <v>1044891282299080704</v>
      </c>
      <c r="F468" s="10" t="s">
        <v>2428</v>
      </c>
      <c r="G468" s="4"/>
      <c r="H468" s="4"/>
      <c r="I468" s="10" t="str">
        <f>HYPERLINK("http://twitter.com/download/android","Twitter for Android")</f>
        <v>Twitter for Android</v>
      </c>
      <c r="J468" s="2">
        <v>117</v>
      </c>
      <c r="K468" s="2">
        <v>1151</v>
      </c>
      <c r="L468" s="2">
        <v>1</v>
      </c>
      <c r="M468" s="2"/>
      <c r="N468" s="8">
        <v>41225.2421875</v>
      </c>
      <c r="O468" s="4" t="s">
        <v>1</v>
      </c>
      <c r="P468" s="3" t="s">
        <v>943</v>
      </c>
      <c r="Q468" s="4"/>
      <c r="R468" s="4"/>
      <c r="S468" s="9" t="str">
        <f>HYPERLINK("https://pbs.twimg.com/profile_images/796984868768976898/giKPbfHB.jpg","View")</f>
        <v>View</v>
      </c>
    </row>
    <row r="469" spans="1:19" ht="40">
      <c r="A469" s="8">
        <v>43369.56759259259</v>
      </c>
      <c r="B469" s="11" t="str">
        <f>HYPERLINK("https://twitter.com/saeedbarzegarr","@saeedbarzegarr")</f>
        <v>@saeedbarzegarr</v>
      </c>
      <c r="C469" s="6" t="s">
        <v>2431</v>
      </c>
      <c r="D469" s="5" t="s">
        <v>1556</v>
      </c>
      <c r="E469" s="9" t="str">
        <f>HYPERLINK("https://twitter.com/saeedbarzegarr/status/1044891161989500928","1044891161989500928")</f>
        <v>1044891161989500928</v>
      </c>
      <c r="F469" s="4"/>
      <c r="G469" s="4"/>
      <c r="H469" s="4"/>
      <c r="I469" s="10" t="str">
        <f>HYPERLINK("http://twitter.com/download/android","Twitter for Android")</f>
        <v>Twitter for Android</v>
      </c>
      <c r="J469" s="2">
        <v>205</v>
      </c>
      <c r="K469" s="2">
        <v>171</v>
      </c>
      <c r="L469" s="2">
        <v>0</v>
      </c>
      <c r="M469" s="2"/>
      <c r="N469" s="8">
        <v>42656.316203703704</v>
      </c>
      <c r="O469" s="4" t="s">
        <v>1779</v>
      </c>
      <c r="P469" s="3" t="s">
        <v>2430</v>
      </c>
      <c r="Q469" s="4"/>
      <c r="R469" s="4"/>
      <c r="S469" s="9" t="str">
        <f>HYPERLINK("https://pbs.twimg.com/profile_images/1037668362829131776/j3aKwRaZ.jpg","View")</f>
        <v>View</v>
      </c>
    </row>
    <row r="470" spans="1:19" ht="30">
      <c r="A470" s="8">
        <v>43369.567395833335</v>
      </c>
      <c r="B470" s="11" t="str">
        <f>HYPERLINK("https://twitter.com/jamejamCPI","@jamejamCPI")</f>
        <v>@jamejamCPI</v>
      </c>
      <c r="C470" s="6" t="s">
        <v>6</v>
      </c>
      <c r="D470" s="5" t="s">
        <v>2429</v>
      </c>
      <c r="E470" s="9" t="str">
        <f>HYPERLINK("https://twitter.com/jamejamCPI/status/1044891090573291520","1044891090573291520")</f>
        <v>1044891090573291520</v>
      </c>
      <c r="F470" s="10" t="s">
        <v>2428</v>
      </c>
      <c r="G470" s="4"/>
      <c r="H470" s="4"/>
      <c r="I470" s="10" t="str">
        <f>HYPERLINK("http://twitter.com","Twitter Web Client")</f>
        <v>Twitter Web Client</v>
      </c>
      <c r="J470" s="2">
        <v>27088</v>
      </c>
      <c r="K470" s="2">
        <v>1410</v>
      </c>
      <c r="L470" s="2">
        <v>146</v>
      </c>
      <c r="M470" s="2"/>
      <c r="N470" s="8">
        <v>41548.76021990741</v>
      </c>
      <c r="O470" s="4" t="s">
        <v>5</v>
      </c>
      <c r="P470" s="3" t="s">
        <v>4</v>
      </c>
      <c r="Q470" s="10" t="s">
        <v>3</v>
      </c>
      <c r="R470" s="4"/>
      <c r="S470" s="9" t="str">
        <f>HYPERLINK("https://pbs.twimg.com/profile_images/1016553348819046405/PBNorYe4.jpg","View")</f>
        <v>View</v>
      </c>
    </row>
    <row r="471" spans="1:19" ht="40">
      <c r="A471" s="8">
        <v>43369.567175925928</v>
      </c>
      <c r="B471" s="11" t="str">
        <f>HYPERLINK("https://twitter.com/navab133","@navab133")</f>
        <v>@navab133</v>
      </c>
      <c r="C471" s="6" t="s">
        <v>2427</v>
      </c>
      <c r="D471" s="5" t="s">
        <v>72</v>
      </c>
      <c r="E471" s="9" t="str">
        <f>HYPERLINK("https://twitter.com/navab133/status/1044891008591429632","1044891008591429632")</f>
        <v>1044891008591429632</v>
      </c>
      <c r="F471" s="4"/>
      <c r="G471" s="4"/>
      <c r="H471" s="4"/>
      <c r="I471" s="10" t="str">
        <f>HYPERLINK("http://twitter.com/download/android","Twitter for Android")</f>
        <v>Twitter for Android</v>
      </c>
      <c r="J471" s="2">
        <v>2028</v>
      </c>
      <c r="K471" s="2">
        <v>2072</v>
      </c>
      <c r="L471" s="2">
        <v>4</v>
      </c>
      <c r="M471" s="2"/>
      <c r="N471" s="8">
        <v>43243.133310185185</v>
      </c>
      <c r="O471" s="4" t="s">
        <v>7</v>
      </c>
      <c r="P471" s="3" t="s">
        <v>2426</v>
      </c>
      <c r="Q471" s="4"/>
      <c r="R471" s="4"/>
      <c r="S471" s="9" t="str">
        <f>HYPERLINK("https://pbs.twimg.com/profile_images/1028233057529212928/smCBQEiC.jpg","View")</f>
        <v>View</v>
      </c>
    </row>
    <row r="472" spans="1:19" ht="40">
      <c r="A472" s="8">
        <v>43369.566782407404</v>
      </c>
      <c r="B472" s="11" t="str">
        <f>HYPERLINK("https://twitter.com/movvasagh","@movvasagh")</f>
        <v>@movvasagh</v>
      </c>
      <c r="C472" s="6" t="s">
        <v>2172</v>
      </c>
      <c r="D472" s="5" t="s">
        <v>2425</v>
      </c>
      <c r="E472" s="9" t="str">
        <f>HYPERLINK("https://twitter.com/movvasagh/status/1044890865465004032","1044890865465004032")</f>
        <v>1044890865465004032</v>
      </c>
      <c r="F472" s="4"/>
      <c r="G472" s="4"/>
      <c r="H472" s="4"/>
      <c r="I472" s="10" t="str">
        <f>HYPERLINK("http://twitter.com/download/android","Twitter for Android")</f>
        <v>Twitter for Android</v>
      </c>
      <c r="J472" s="2">
        <v>13</v>
      </c>
      <c r="K472" s="2">
        <v>138</v>
      </c>
      <c r="L472" s="2">
        <v>0</v>
      </c>
      <c r="M472" s="2"/>
      <c r="N472" s="8">
        <v>43363.830775462964</v>
      </c>
      <c r="O472" s="4"/>
      <c r="P472" s="3" t="s">
        <v>2170</v>
      </c>
      <c r="Q472" s="4"/>
      <c r="R472" s="4"/>
      <c r="S472" s="9" t="str">
        <f>HYPERLINK("https://pbs.twimg.com/profile_images/1042830945588535296/KpVnsHQr.jpg","View")</f>
        <v>View</v>
      </c>
    </row>
    <row r="473" spans="1:19" ht="30">
      <c r="A473" s="8">
        <v>43369.566689814819</v>
      </c>
      <c r="B473" s="11" t="str">
        <f>HYPERLINK("https://twitter.com/maniranam01","@maniranam01")</f>
        <v>@maniranam01</v>
      </c>
      <c r="C473" s="6" t="s">
        <v>2424</v>
      </c>
      <c r="D473" s="5" t="s">
        <v>2423</v>
      </c>
      <c r="E473" s="9" t="str">
        <f>HYPERLINK("https://twitter.com/maniranam01/status/1044890831763767296","1044890831763767296")</f>
        <v>1044890831763767296</v>
      </c>
      <c r="F473" s="4"/>
      <c r="G473" s="10" t="s">
        <v>2422</v>
      </c>
      <c r="H473" s="4"/>
      <c r="I473" s="10" t="str">
        <f>HYPERLINK("http://twitter.com","Twitter Web Client")</f>
        <v>Twitter Web Client</v>
      </c>
      <c r="J473" s="2">
        <v>2720</v>
      </c>
      <c r="K473" s="2">
        <v>404</v>
      </c>
      <c r="L473" s="2">
        <v>15</v>
      </c>
      <c r="M473" s="2"/>
      <c r="N473" s="8">
        <v>42229.089722222227</v>
      </c>
      <c r="O473" s="4"/>
      <c r="P473" s="3" t="s">
        <v>2421</v>
      </c>
      <c r="Q473" s="10" t="s">
        <v>2420</v>
      </c>
      <c r="R473" s="4"/>
      <c r="S473" s="9" t="str">
        <f>HYPERLINK("https://pbs.twimg.com/profile_images/865868293227380738/TtwjEzDd.jpg","View")</f>
        <v>View</v>
      </c>
    </row>
    <row r="474" spans="1:19" ht="40">
      <c r="A474" s="8">
        <v>43369.566307870366</v>
      </c>
      <c r="B474" s="11" t="str">
        <f>HYPERLINK("https://twitter.com/PcLTQmr4ZrHaRvS","@PcLTQmr4ZrHaRvS")</f>
        <v>@PcLTQmr4ZrHaRvS</v>
      </c>
      <c r="C474" s="6" t="s">
        <v>2419</v>
      </c>
      <c r="D474" s="5" t="s">
        <v>1392</v>
      </c>
      <c r="E474" s="9" t="str">
        <f>HYPERLINK("https://twitter.com/PcLTQmr4ZrHaRvS/status/1044890695797010432","1044890695797010432")</f>
        <v>1044890695797010432</v>
      </c>
      <c r="F474" s="4"/>
      <c r="G474" s="4"/>
      <c r="H474" s="4"/>
      <c r="I474" s="10" t="str">
        <f>HYPERLINK("http://twitter.com/download/android","Twitter for Android")</f>
        <v>Twitter for Android</v>
      </c>
      <c r="J474" s="2">
        <v>2</v>
      </c>
      <c r="K474" s="2">
        <v>20</v>
      </c>
      <c r="L474" s="2">
        <v>0</v>
      </c>
      <c r="M474" s="2"/>
      <c r="N474" s="8">
        <v>43365.004502314812</v>
      </c>
      <c r="O474" s="4"/>
      <c r="P474" s="3"/>
      <c r="Q474" s="4"/>
      <c r="R474" s="4"/>
      <c r="S474" s="9" t="str">
        <f>HYPERLINK("https://pbs.twimg.com/profile_images/1043240419176443904/aO6h8VSf.jpg","View")</f>
        <v>View</v>
      </c>
    </row>
    <row r="475" spans="1:19" ht="20">
      <c r="A475" s="8">
        <v>43369.565891203703</v>
      </c>
      <c r="B475" s="11" t="str">
        <f>HYPERLINK("https://twitter.com/AtreYaas","@AtreYaas")</f>
        <v>@AtreYaas</v>
      </c>
      <c r="C475" s="6" t="s">
        <v>2140</v>
      </c>
      <c r="D475" s="5" t="s">
        <v>1147</v>
      </c>
      <c r="E475" s="9" t="str">
        <f>HYPERLINK("https://twitter.com/AtreYaas/status/1044890544839831552","1044890544839831552")</f>
        <v>1044890544839831552</v>
      </c>
      <c r="F475" s="4"/>
      <c r="G475" s="10" t="s">
        <v>1146</v>
      </c>
      <c r="H475" s="4"/>
      <c r="I475" s="10" t="str">
        <f>HYPERLINK("http://twitter.com/download/android","Twitter for Android")</f>
        <v>Twitter for Android</v>
      </c>
      <c r="J475" s="2">
        <v>2106</v>
      </c>
      <c r="K475" s="2">
        <v>2034</v>
      </c>
      <c r="L475" s="2">
        <v>7</v>
      </c>
      <c r="M475" s="2"/>
      <c r="N475" s="8">
        <v>42734.215405092589</v>
      </c>
      <c r="O475" s="4"/>
      <c r="P475" s="3"/>
      <c r="Q475" s="4"/>
      <c r="R475" s="4"/>
      <c r="S475" s="9" t="str">
        <f>HYPERLINK("https://pbs.twimg.com/profile_images/1040340621247086602/ep5M1UpD.jpg","View")</f>
        <v>View</v>
      </c>
    </row>
    <row r="476" spans="1:19" ht="40">
      <c r="A476" s="8">
        <v>43369.565509259264</v>
      </c>
      <c r="B476" s="11" t="str">
        <f>HYPERLINK("https://twitter.com/Meeladbamaei70","@Meeladbamaei70")</f>
        <v>@Meeladbamaei70</v>
      </c>
      <c r="C476" s="6" t="s">
        <v>2418</v>
      </c>
      <c r="D476" s="5" t="s">
        <v>2417</v>
      </c>
      <c r="E476" s="9" t="str">
        <f>HYPERLINK("https://twitter.com/Meeladbamaei70/status/1044890407698657280","1044890407698657280")</f>
        <v>1044890407698657280</v>
      </c>
      <c r="F476" s="4"/>
      <c r="G476" s="4"/>
      <c r="H476" s="4"/>
      <c r="I476" s="10" t="str">
        <f>HYPERLINK("https://mobile.twitter.com","Twitter Lite")</f>
        <v>Twitter Lite</v>
      </c>
      <c r="J476" s="2">
        <v>206</v>
      </c>
      <c r="K476" s="2">
        <v>35</v>
      </c>
      <c r="L476" s="2">
        <v>1</v>
      </c>
      <c r="M476" s="2"/>
      <c r="N476" s="8">
        <v>42992.701516203699</v>
      </c>
      <c r="O476" s="4"/>
      <c r="P476" s="3" t="s">
        <v>2416</v>
      </c>
      <c r="Q476" s="4"/>
      <c r="R476" s="4"/>
      <c r="S476" s="9" t="str">
        <f>HYPERLINK("https://pbs.twimg.com/profile_images/951840232436985856/WxB6KmYK.jpg","View")</f>
        <v>View</v>
      </c>
    </row>
    <row r="477" spans="1:19" ht="30">
      <c r="A477" s="8">
        <v>43369.565381944441</v>
      </c>
      <c r="B477" s="11" t="str">
        <f>HYPERLINK("https://twitter.com/saeidnajafiasli","@saeidnajafiasli")</f>
        <v>@saeidnajafiasli</v>
      </c>
      <c r="C477" s="6" t="s">
        <v>2415</v>
      </c>
      <c r="D477" s="5" t="s">
        <v>2414</v>
      </c>
      <c r="E477" s="9" t="str">
        <f>HYPERLINK("https://twitter.com/saeidnajafiasli/status/1044890361221566464","1044890361221566464")</f>
        <v>1044890361221566464</v>
      </c>
      <c r="F477" s="10" t="s">
        <v>2413</v>
      </c>
      <c r="G477" s="10" t="s">
        <v>2412</v>
      </c>
      <c r="H477" s="4"/>
      <c r="I477" s="10" t="str">
        <f>HYPERLINK("https://mobile.twitter.com","Twitter Lite")</f>
        <v>Twitter Lite</v>
      </c>
      <c r="J477" s="2">
        <v>89</v>
      </c>
      <c r="K477" s="2">
        <v>6</v>
      </c>
      <c r="L477" s="2">
        <v>0</v>
      </c>
      <c r="M477" s="2"/>
      <c r="N477" s="8">
        <v>43138.899201388893</v>
      </c>
      <c r="O477" s="4" t="s">
        <v>2411</v>
      </c>
      <c r="P477" s="3" t="s">
        <v>2410</v>
      </c>
      <c r="Q477" s="10" t="s">
        <v>2409</v>
      </c>
      <c r="R477" s="4"/>
      <c r="S477" s="9" t="str">
        <f>HYPERLINK("https://pbs.twimg.com/profile_images/1044460912646787077/7VRRuACT.jpg","View")</f>
        <v>View</v>
      </c>
    </row>
    <row r="478" spans="1:19" ht="40">
      <c r="A478" s="8">
        <v>43369.565312499995</v>
      </c>
      <c r="B478" s="11" t="str">
        <f>HYPERLINK("https://twitter.com/malakuti_s","@malakuti_s")</f>
        <v>@malakuti_s</v>
      </c>
      <c r="C478" s="6" t="s">
        <v>2408</v>
      </c>
      <c r="D478" s="5" t="s">
        <v>75</v>
      </c>
      <c r="E478" s="9" t="str">
        <f>HYPERLINK("https://twitter.com/malakuti_s/status/1044890336391319552","1044890336391319552")</f>
        <v>1044890336391319552</v>
      </c>
      <c r="F478" s="4"/>
      <c r="G478" s="4"/>
      <c r="H478" s="4"/>
      <c r="I478" s="10" t="str">
        <f>HYPERLINK("http://twitter.com/download/iphone","Twitter for iPhone")</f>
        <v>Twitter for iPhone</v>
      </c>
      <c r="J478" s="2">
        <v>846</v>
      </c>
      <c r="K478" s="2">
        <v>1252</v>
      </c>
      <c r="L478" s="2">
        <v>4</v>
      </c>
      <c r="M478" s="2"/>
      <c r="N478" s="8">
        <v>42027.324120370366</v>
      </c>
      <c r="O478" s="4"/>
      <c r="P478" s="3"/>
      <c r="Q478" s="4"/>
      <c r="R478" s="4"/>
      <c r="S478" s="9" t="str">
        <f>HYPERLINK("https://pbs.twimg.com/profile_images/1005875855191629824/ctj3Jali.jpg","View")</f>
        <v>View</v>
      </c>
    </row>
    <row r="479" spans="1:19" ht="20">
      <c r="A479" s="8">
        <v>43369.564641203702</v>
      </c>
      <c r="B479" s="11" t="str">
        <f>HYPERLINK("https://twitter.com/Yasekabooood","@Yasekabooood")</f>
        <v>@Yasekabooood</v>
      </c>
      <c r="C479" s="6" t="s">
        <v>2407</v>
      </c>
      <c r="D479" s="5" t="s">
        <v>11</v>
      </c>
      <c r="E479" s="9" t="str">
        <f>HYPERLINK("https://twitter.com/Yasekabooood/status/1044890092215701504","1044890092215701504")</f>
        <v>1044890092215701504</v>
      </c>
      <c r="F479" s="4"/>
      <c r="G479" s="4"/>
      <c r="H479" s="4"/>
      <c r="I479" s="10" t="str">
        <f>HYPERLINK("http://twitter.com/download/android","Twitter for Android")</f>
        <v>Twitter for Android</v>
      </c>
      <c r="J479" s="2">
        <v>693</v>
      </c>
      <c r="K479" s="2">
        <v>1286</v>
      </c>
      <c r="L479" s="2">
        <v>2</v>
      </c>
      <c r="M479" s="2"/>
      <c r="N479" s="8">
        <v>43363.68273148148</v>
      </c>
      <c r="O479" s="4" t="s">
        <v>2406</v>
      </c>
      <c r="P479" s="3" t="s">
        <v>2405</v>
      </c>
      <c r="Q479" s="4"/>
      <c r="R479" s="4"/>
      <c r="S479" s="9" t="str">
        <f>HYPERLINK("https://pbs.twimg.com/profile_images/1042862734830915586/TKyGFdXL.jpg","View")</f>
        <v>View</v>
      </c>
    </row>
    <row r="480" spans="1:19" ht="40">
      <c r="A480" s="8">
        <v>43369.564305555556</v>
      </c>
      <c r="B480" s="11" t="str">
        <f>HYPERLINK("https://twitter.com/botshekanesabz","@botshekanesabz")</f>
        <v>@botshekanesabz</v>
      </c>
      <c r="C480" s="6" t="s">
        <v>2404</v>
      </c>
      <c r="D480" s="5" t="s">
        <v>2403</v>
      </c>
      <c r="E480" s="9" t="str">
        <f>HYPERLINK("https://twitter.com/botshekanesabz/status/1044889967703592960","1044889967703592960")</f>
        <v>1044889967703592960</v>
      </c>
      <c r="F480" s="4"/>
      <c r="G480" s="4"/>
      <c r="H480" s="4"/>
      <c r="I480" s="10" t="str">
        <f>HYPERLINK("http://twitter.com/download/android","Twitter for Android")</f>
        <v>Twitter for Android</v>
      </c>
      <c r="J480" s="2">
        <v>759</v>
      </c>
      <c r="K480" s="2">
        <v>1172</v>
      </c>
      <c r="L480" s="2">
        <v>4</v>
      </c>
      <c r="M480" s="2"/>
      <c r="N480" s="8">
        <v>42176.671979166669</v>
      </c>
      <c r="O480" s="4" t="s">
        <v>101</v>
      </c>
      <c r="P480" s="3" t="s">
        <v>2402</v>
      </c>
      <c r="Q480" s="10" t="s">
        <v>2401</v>
      </c>
      <c r="R480" s="4"/>
      <c r="S480" s="9" t="str">
        <f>HYPERLINK("https://pbs.twimg.com/profile_images/612590352596365312/uwSZ7p0i.jpg","View")</f>
        <v>View</v>
      </c>
    </row>
    <row r="481" spans="1:19" ht="20">
      <c r="A481" s="8">
        <v>43369.564097222217</v>
      </c>
      <c r="B481" s="11" t="str">
        <f>HYPERLINK("https://twitter.com/tehrannews_ir","@tehrannews_ir")</f>
        <v>@tehrannews_ir</v>
      </c>
      <c r="C481" s="6" t="s">
        <v>2400</v>
      </c>
      <c r="D481" s="5" t="s">
        <v>2399</v>
      </c>
      <c r="E481" s="9" t="str">
        <f>HYPERLINK("https://twitter.com/tehrannews_ir/status/1044889895922266112","1044889895922266112")</f>
        <v>1044889895922266112</v>
      </c>
      <c r="F481" s="4"/>
      <c r="G481" s="10" t="s">
        <v>2398</v>
      </c>
      <c r="H481" s="4"/>
      <c r="I481" s="10" t="str">
        <f>HYPERLINK("http://twitter.com/download/android","Twitter for Android")</f>
        <v>Twitter for Android</v>
      </c>
      <c r="J481" s="2">
        <v>1427</v>
      </c>
      <c r="K481" s="2">
        <v>2962</v>
      </c>
      <c r="L481" s="2">
        <v>4</v>
      </c>
      <c r="M481" s="2"/>
      <c r="N481" s="8">
        <v>42700.405069444445</v>
      </c>
      <c r="O481" s="4" t="s">
        <v>1</v>
      </c>
      <c r="P481" s="3" t="s">
        <v>2397</v>
      </c>
      <c r="Q481" s="10" t="s">
        <v>2396</v>
      </c>
      <c r="R481" s="4"/>
      <c r="S481" s="9" t="str">
        <f>HYPERLINK("https://pbs.twimg.com/profile_images/1039423309778231297/zAtDLqph.jpg","View")</f>
        <v>View</v>
      </c>
    </row>
    <row r="482" spans="1:19" ht="40">
      <c r="A482" s="8">
        <v>43369.564050925925</v>
      </c>
      <c r="B482" s="11" t="str">
        <f>HYPERLINK("https://twitter.com/4aXOBak6QheRlOj","@4aXOBak6QheRlOj")</f>
        <v>@4aXOBak6QheRlOj</v>
      </c>
      <c r="C482" s="6" t="s">
        <v>2395</v>
      </c>
      <c r="D482" s="5" t="s">
        <v>1556</v>
      </c>
      <c r="E482" s="9" t="str">
        <f>HYPERLINK("https://twitter.com/4aXOBak6QheRlOj/status/1044889876448137217","1044889876448137217")</f>
        <v>1044889876448137217</v>
      </c>
      <c r="F482" s="4"/>
      <c r="G482" s="4"/>
      <c r="H482" s="4"/>
      <c r="I482" s="10" t="str">
        <f>HYPERLINK("http://twitter.com/download/android","Twitter for Android")</f>
        <v>Twitter for Android</v>
      </c>
      <c r="J482" s="2">
        <v>24</v>
      </c>
      <c r="K482" s="2">
        <v>199</v>
      </c>
      <c r="L482" s="2">
        <v>0</v>
      </c>
      <c r="M482" s="2"/>
      <c r="N482" s="8">
        <v>43350.948518518519</v>
      </c>
      <c r="O482" s="4"/>
      <c r="P482" s="3"/>
      <c r="Q482" s="4"/>
      <c r="R482" s="4"/>
      <c r="S482" s="9" t="str">
        <f>HYPERLINK("https://pbs.twimg.com/profile_images/1038129523135524864/IUkdMdRE.jpg","View")</f>
        <v>View</v>
      </c>
    </row>
    <row r="483" spans="1:19" ht="30">
      <c r="A483" s="8">
        <v>43369.563761574071</v>
      </c>
      <c r="B483" s="11" t="str">
        <f>HYPERLINK("https://twitter.com/Tahabagheri8210","@Tahabagheri8210")</f>
        <v>@Tahabagheri8210</v>
      </c>
      <c r="C483" s="6" t="s">
        <v>2394</v>
      </c>
      <c r="D483" s="5" t="s">
        <v>1960</v>
      </c>
      <c r="E483" s="9" t="str">
        <f>HYPERLINK("https://twitter.com/Tahabagheri8210/status/1044889773012398081","1044889773012398081")</f>
        <v>1044889773012398081</v>
      </c>
      <c r="F483" s="4"/>
      <c r="G483" s="4"/>
      <c r="H483" s="4"/>
      <c r="I483" s="10" t="str">
        <f>HYPERLINK("https://mobile.twitter.com","Twitter Lite")</f>
        <v>Twitter Lite</v>
      </c>
      <c r="J483" s="2">
        <v>1748</v>
      </c>
      <c r="K483" s="2">
        <v>3488</v>
      </c>
      <c r="L483" s="2">
        <v>1</v>
      </c>
      <c r="M483" s="2"/>
      <c r="N483" s="8">
        <v>43242.34174768519</v>
      </c>
      <c r="O483" s="4" t="s">
        <v>2393</v>
      </c>
      <c r="P483" s="3" t="s">
        <v>2392</v>
      </c>
      <c r="Q483" s="4"/>
      <c r="R483" s="4"/>
      <c r="S483" s="9" t="str">
        <f>HYPERLINK("https://pbs.twimg.com/profile_images/998779290291339265/x4BR3qC1.jpg","View")</f>
        <v>View</v>
      </c>
    </row>
    <row r="484" spans="1:19" ht="30">
      <c r="A484" s="8">
        <v>43369.561736111107</v>
      </c>
      <c r="B484" s="11" t="str">
        <f>HYPERLINK("https://twitter.com/ali4iran","@ali4iran")</f>
        <v>@ali4iran</v>
      </c>
      <c r="C484" s="6" t="s">
        <v>2391</v>
      </c>
      <c r="D484" s="5" t="s">
        <v>2390</v>
      </c>
      <c r="E484" s="9" t="str">
        <f>HYPERLINK("https://twitter.com/ali4iran/status/1044889037872467968","1044889037872467968")</f>
        <v>1044889037872467968</v>
      </c>
      <c r="F484" s="4"/>
      <c r="G484" s="4"/>
      <c r="H484" s="4"/>
      <c r="I484" s="10" t="str">
        <f>HYPERLINK("http://twitter.com/download/android","Twitter for Android")</f>
        <v>Twitter for Android</v>
      </c>
      <c r="J484" s="2">
        <v>544</v>
      </c>
      <c r="K484" s="2">
        <v>577</v>
      </c>
      <c r="L484" s="2">
        <v>2</v>
      </c>
      <c r="M484" s="2"/>
      <c r="N484" s="8">
        <v>41274.743020833332</v>
      </c>
      <c r="O484" s="4" t="s">
        <v>8</v>
      </c>
      <c r="P484" s="3" t="s">
        <v>2389</v>
      </c>
      <c r="Q484" s="4"/>
      <c r="R484" s="4"/>
      <c r="S484" s="9" t="str">
        <f>HYPERLINK("https://pbs.twimg.com/profile_images/944694380354572290/qqd5oPgb.jpg","View")</f>
        <v>View</v>
      </c>
    </row>
    <row r="485" spans="1:19" ht="20">
      <c r="A485" s="8">
        <v>43369.561701388884</v>
      </c>
      <c r="B485" s="11" t="str">
        <f>HYPERLINK("https://twitter.com/apersiandemon","@apersiandemon")</f>
        <v>@apersiandemon</v>
      </c>
      <c r="C485" s="6" t="s">
        <v>2388</v>
      </c>
      <c r="D485" s="5" t="s">
        <v>2387</v>
      </c>
      <c r="E485" s="9" t="str">
        <f>HYPERLINK("https://twitter.com/apersiandemon/status/1044889026124296192","1044889026124296192")</f>
        <v>1044889026124296192</v>
      </c>
      <c r="F485" s="4"/>
      <c r="G485" s="4"/>
      <c r="H485" s="4"/>
      <c r="I485" s="10" t="str">
        <f>HYPERLINK("http://twitter.com","Twitter Web Client")</f>
        <v>Twitter Web Client</v>
      </c>
      <c r="J485" s="2">
        <v>37</v>
      </c>
      <c r="K485" s="2">
        <v>87</v>
      </c>
      <c r="L485" s="2">
        <v>0</v>
      </c>
      <c r="M485" s="2"/>
      <c r="N485" s="8">
        <v>43331.601099537038</v>
      </c>
      <c r="O485" s="4"/>
      <c r="P485" s="3" t="s">
        <v>2386</v>
      </c>
      <c r="Q485" s="4"/>
      <c r="R485" s="4"/>
      <c r="S485" s="9" t="str">
        <f>HYPERLINK("https://pbs.twimg.com/profile_images/1031133652216762368/3-ayUbm_.jpg","View")</f>
        <v>View</v>
      </c>
    </row>
    <row r="486" spans="1:19" ht="30">
      <c r="A486" s="8">
        <v>43369.560358796298</v>
      </c>
      <c r="B486" s="11" t="str">
        <f>HYPERLINK("https://twitter.com/N_OisE51","@N_OisE51")</f>
        <v>@N_OisE51</v>
      </c>
      <c r="C486" s="6" t="s">
        <v>2385</v>
      </c>
      <c r="D486" s="5" t="s">
        <v>49</v>
      </c>
      <c r="E486" s="9" t="str">
        <f>HYPERLINK("https://twitter.com/N_OisE51/status/1044888540008656896","1044888540008656896")</f>
        <v>1044888540008656896</v>
      </c>
      <c r="F486" s="4"/>
      <c r="G486" s="4"/>
      <c r="H486" s="4"/>
      <c r="I486" s="10" t="str">
        <f>HYPERLINK("http://twitter.com/download/android","Twitter for Android")</f>
        <v>Twitter for Android</v>
      </c>
      <c r="J486" s="2">
        <v>489</v>
      </c>
      <c r="K486" s="2">
        <v>470</v>
      </c>
      <c r="L486" s="2">
        <v>6</v>
      </c>
      <c r="M486" s="2"/>
      <c r="N486" s="8">
        <v>42578.096134259264</v>
      </c>
      <c r="O486" s="4" t="s">
        <v>25</v>
      </c>
      <c r="P486" s="3" t="s">
        <v>2384</v>
      </c>
      <c r="Q486" s="4"/>
      <c r="R486" s="4"/>
      <c r="S486" s="9" t="str">
        <f>HYPERLINK("https://pbs.twimg.com/profile_images/951685442986037248/9IIRTNiX.jpg","View")</f>
        <v>View</v>
      </c>
    </row>
    <row r="487" spans="1:19" ht="40">
      <c r="A487" s="8">
        <v>43369.560347222221</v>
      </c>
      <c r="B487" s="11" t="str">
        <f>HYPERLINK("https://twitter.com/ahmad_hosseiny","@ahmad_hosseiny")</f>
        <v>@ahmad_hosseiny</v>
      </c>
      <c r="C487" s="6" t="s">
        <v>2383</v>
      </c>
      <c r="D487" s="5" t="s">
        <v>1556</v>
      </c>
      <c r="E487" s="9" t="str">
        <f>HYPERLINK("https://twitter.com/ahmad_hosseiny/status/1044888533901737984","1044888533901737984")</f>
        <v>1044888533901737984</v>
      </c>
      <c r="F487" s="4"/>
      <c r="G487" s="4"/>
      <c r="H487" s="4"/>
      <c r="I487" s="10" t="str">
        <f>HYPERLINK("http://twitter.com","Twitter Web Client")</f>
        <v>Twitter Web Client</v>
      </c>
      <c r="J487" s="2">
        <v>12</v>
      </c>
      <c r="K487" s="2">
        <v>44</v>
      </c>
      <c r="L487" s="2">
        <v>0</v>
      </c>
      <c r="M487" s="2"/>
      <c r="N487" s="8">
        <v>43106.570740740739</v>
      </c>
      <c r="O487" s="4" t="s">
        <v>1</v>
      </c>
      <c r="P487" s="3" t="s">
        <v>2382</v>
      </c>
      <c r="Q487" s="4"/>
      <c r="R487" s="4"/>
      <c r="S487" s="9" t="str">
        <f>HYPERLINK("https://pbs.twimg.com/profile_images/949587372953366528/bLV5LXCM.jpg","View")</f>
        <v>View</v>
      </c>
    </row>
    <row r="488" spans="1:19" ht="30">
      <c r="A488" s="8">
        <v>43369.560300925921</v>
      </c>
      <c r="B488" s="11" t="str">
        <f>HYPERLINK("https://twitter.com/VafadoustMehdi","@VafadoustMehdi")</f>
        <v>@VafadoustMehdi</v>
      </c>
      <c r="C488" s="6" t="s">
        <v>2381</v>
      </c>
      <c r="D488" s="5" t="s">
        <v>520</v>
      </c>
      <c r="E488" s="9" t="str">
        <f>HYPERLINK("https://twitter.com/VafadoustMehdi/status/1044888517111934977","1044888517111934977")</f>
        <v>1044888517111934977</v>
      </c>
      <c r="F488" s="4"/>
      <c r="G488" s="4"/>
      <c r="H488" s="4"/>
      <c r="I488" s="10" t="str">
        <f>HYPERLINK("http://twitter.com/download/iphone","Twitter for iPhone")</f>
        <v>Twitter for iPhone</v>
      </c>
      <c r="J488" s="2">
        <v>104</v>
      </c>
      <c r="K488" s="2">
        <v>176</v>
      </c>
      <c r="L488" s="2">
        <v>0</v>
      </c>
      <c r="M488" s="2"/>
      <c r="N488" s="8">
        <v>43228.94731481481</v>
      </c>
      <c r="O488" s="4" t="s">
        <v>7</v>
      </c>
      <c r="P488" s="3" t="s">
        <v>2380</v>
      </c>
      <c r="Q488" s="4"/>
      <c r="R488" s="4"/>
      <c r="S488" s="9" t="str">
        <f>HYPERLINK("https://pbs.twimg.com/profile_images/993923158611808257/Jr7Ublng.jpg","View")</f>
        <v>View</v>
      </c>
    </row>
    <row r="489" spans="1:19" ht="40">
      <c r="A489" s="8">
        <v>43369.559988425928</v>
      </c>
      <c r="B489" s="11" t="str">
        <f>HYPERLINK("https://twitter.com/VafadoustMehdi","@VafadoustMehdi")</f>
        <v>@VafadoustMehdi</v>
      </c>
      <c r="C489" s="6" t="s">
        <v>2381</v>
      </c>
      <c r="D489" s="5" t="s">
        <v>1556</v>
      </c>
      <c r="E489" s="9" t="str">
        <f>HYPERLINK("https://twitter.com/VafadoustMehdi/status/1044888403651768321","1044888403651768321")</f>
        <v>1044888403651768321</v>
      </c>
      <c r="F489" s="4"/>
      <c r="G489" s="4"/>
      <c r="H489" s="4"/>
      <c r="I489" s="10" t="str">
        <f>HYPERLINK("http://twitter.com/download/iphone","Twitter for iPhone")</f>
        <v>Twitter for iPhone</v>
      </c>
      <c r="J489" s="2">
        <v>104</v>
      </c>
      <c r="K489" s="2">
        <v>176</v>
      </c>
      <c r="L489" s="2">
        <v>0</v>
      </c>
      <c r="M489" s="2"/>
      <c r="N489" s="8">
        <v>43228.94731481481</v>
      </c>
      <c r="O489" s="4" t="s">
        <v>7</v>
      </c>
      <c r="P489" s="3" t="s">
        <v>2380</v>
      </c>
      <c r="Q489" s="4"/>
      <c r="R489" s="4"/>
      <c r="S489" s="9" t="str">
        <f>HYPERLINK("https://pbs.twimg.com/profile_images/993923158611808257/Jr7Ublng.jpg","View")</f>
        <v>View</v>
      </c>
    </row>
    <row r="490" spans="1:19" ht="40">
      <c r="A490" s="8">
        <v>43369.557673611111</v>
      </c>
      <c r="B490" s="11" t="str">
        <f>HYPERLINK("https://twitter.com/mryaghoubi54","@mryaghoubi54")</f>
        <v>@mryaghoubi54</v>
      </c>
      <c r="C490" s="6" t="s">
        <v>2379</v>
      </c>
      <c r="D490" s="5" t="s">
        <v>1556</v>
      </c>
      <c r="E490" s="9" t="str">
        <f>HYPERLINK("https://twitter.com/mryaghoubi54/status/1044887565214646272","1044887565214646272")</f>
        <v>1044887565214646272</v>
      </c>
      <c r="F490" s="4"/>
      <c r="G490" s="4"/>
      <c r="H490" s="4"/>
      <c r="I490" s="10" t="str">
        <f>HYPERLINK("http://twitter.com/download/android","Twitter for Android")</f>
        <v>Twitter for Android</v>
      </c>
      <c r="J490" s="2">
        <v>4</v>
      </c>
      <c r="K490" s="2">
        <v>23</v>
      </c>
      <c r="L490" s="2">
        <v>0</v>
      </c>
      <c r="M490" s="2"/>
      <c r="N490" s="8">
        <v>42199.200266203705</v>
      </c>
      <c r="O490" s="4" t="s">
        <v>101</v>
      </c>
      <c r="P490" s="3"/>
      <c r="Q490" s="4"/>
      <c r="R490" s="4"/>
      <c r="S490" s="9" t="str">
        <f>HYPERLINK("https://pbs.twimg.com/profile_images/987225098057756672/Iya0hnly.jpg","View")</f>
        <v>View</v>
      </c>
    </row>
    <row r="491" spans="1:19" ht="40">
      <c r="A491" s="8">
        <v>43369.557650462964</v>
      </c>
      <c r="B491" s="11" t="str">
        <f>HYPERLINK("https://twitter.com/parsakavyani","@parsakavyani")</f>
        <v>@parsakavyani</v>
      </c>
      <c r="C491" s="6" t="s">
        <v>2378</v>
      </c>
      <c r="D491" s="5" t="s">
        <v>1556</v>
      </c>
      <c r="E491" s="9" t="str">
        <f>HYPERLINK("https://twitter.com/parsakavyani/status/1044887559766183936","1044887559766183936")</f>
        <v>1044887559766183936</v>
      </c>
      <c r="F491" s="4"/>
      <c r="G491" s="4"/>
      <c r="H491" s="4"/>
      <c r="I491" s="10" t="str">
        <f>HYPERLINK("http://twitter.com/download/iphone","Twitter for iPhone")</f>
        <v>Twitter for iPhone</v>
      </c>
      <c r="J491" s="2">
        <v>36</v>
      </c>
      <c r="K491" s="2">
        <v>43</v>
      </c>
      <c r="L491" s="2">
        <v>0</v>
      </c>
      <c r="M491" s="2"/>
      <c r="N491" s="8">
        <v>41044.526458333334</v>
      </c>
      <c r="O491" s="4" t="s">
        <v>22</v>
      </c>
      <c r="P491" s="3"/>
      <c r="Q491" s="4"/>
      <c r="R491" s="4"/>
      <c r="S491" s="9" t="str">
        <f>HYPERLINK("https://pbs.twimg.com/profile_images/1040851583532261376/xPyVuGuR.jpg","View")</f>
        <v>View</v>
      </c>
    </row>
    <row r="492" spans="1:19" ht="30">
      <c r="A492" s="8">
        <v>43369.556620370371</v>
      </c>
      <c r="B492" s="11" t="str">
        <f>HYPERLINK("https://twitter.com/Hamidsaeedi172","@Hamidsaeedi172")</f>
        <v>@Hamidsaeedi172</v>
      </c>
      <c r="C492" s="6" t="s">
        <v>2377</v>
      </c>
      <c r="D492" s="5" t="s">
        <v>2376</v>
      </c>
      <c r="E492" s="9" t="str">
        <f>HYPERLINK("https://twitter.com/Hamidsaeedi172/status/1044887182727614464","1044887182727614464")</f>
        <v>1044887182727614464</v>
      </c>
      <c r="F492" s="4"/>
      <c r="G492" s="4"/>
      <c r="H492" s="4"/>
      <c r="I492" s="10" t="str">
        <f>HYPERLINK("http://twitter.com","Twitter Web Client")</f>
        <v>Twitter Web Client</v>
      </c>
      <c r="J492" s="2">
        <v>287</v>
      </c>
      <c r="K492" s="2">
        <v>193</v>
      </c>
      <c r="L492" s="2">
        <v>0</v>
      </c>
      <c r="M492" s="2"/>
      <c r="N492" s="8">
        <v>43158.428495370375</v>
      </c>
      <c r="O492" s="4" t="s">
        <v>7</v>
      </c>
      <c r="P492" s="3" t="s">
        <v>2375</v>
      </c>
      <c r="Q492" s="4"/>
      <c r="R492" s="4"/>
      <c r="S492" s="9" t="str">
        <f>HYPERLINK("https://pbs.twimg.com/profile_images/968379544305590279/82AbzAs_.jpg","View")</f>
        <v>View</v>
      </c>
    </row>
    <row r="493" spans="1:19" ht="20">
      <c r="A493" s="8">
        <v>43369.556597222225</v>
      </c>
      <c r="B493" s="11" t="str">
        <f>HYPERLINK("https://twitter.com/Yas00735","@Yas00735")</f>
        <v>@Yas00735</v>
      </c>
      <c r="C493" s="6" t="s">
        <v>2374</v>
      </c>
      <c r="D493" s="5" t="s">
        <v>134</v>
      </c>
      <c r="E493" s="9" t="str">
        <f>HYPERLINK("https://twitter.com/Yas00735/status/1044887176381689856","1044887176381689856")</f>
        <v>1044887176381689856</v>
      </c>
      <c r="F493" s="4"/>
      <c r="G493" s="10" t="s">
        <v>133</v>
      </c>
      <c r="H493" s="4"/>
      <c r="I493" s="10" t="str">
        <f>HYPERLINK("http://twitter.com/download/android","Twitter for Android")</f>
        <v>Twitter for Android</v>
      </c>
      <c r="J493" s="2">
        <v>27</v>
      </c>
      <c r="K493" s="2">
        <v>69</v>
      </c>
      <c r="L493" s="2">
        <v>0</v>
      </c>
      <c r="M493" s="2"/>
      <c r="N493" s="8">
        <v>42323.427615740744</v>
      </c>
      <c r="O493" s="4"/>
      <c r="P493" s="3" t="s">
        <v>2373</v>
      </c>
      <c r="Q493" s="4"/>
      <c r="R493" s="4"/>
      <c r="S493" s="9" t="str">
        <f>HYPERLINK("https://pbs.twimg.com/profile_images/986887885201829888/6JAZyWzH.jpg","View")</f>
        <v>View</v>
      </c>
    </row>
    <row r="494" spans="1:19" ht="30">
      <c r="A494" s="8">
        <v>43369.556446759263</v>
      </c>
      <c r="B494" s="11" t="str">
        <f>HYPERLINK("https://twitter.com/reyhan_pay","@reyhan_pay")</f>
        <v>@reyhan_pay</v>
      </c>
      <c r="C494" s="6" t="s">
        <v>1995</v>
      </c>
      <c r="D494" s="5" t="s">
        <v>2004</v>
      </c>
      <c r="E494" s="9" t="str">
        <f>HYPERLINK("https://twitter.com/reyhan_pay/status/1044887122262593536","1044887122262593536")</f>
        <v>1044887122262593536</v>
      </c>
      <c r="F494" s="4"/>
      <c r="G494" s="4"/>
      <c r="H494" s="4"/>
      <c r="I494" s="10" t="str">
        <f>HYPERLINK("http://twitter.com/download/iphone","Twitter for iPhone")</f>
        <v>Twitter for iPhone</v>
      </c>
      <c r="J494" s="2">
        <v>1097</v>
      </c>
      <c r="K494" s="2">
        <v>89</v>
      </c>
      <c r="L494" s="2">
        <v>7</v>
      </c>
      <c r="M494" s="2"/>
      <c r="N494" s="8">
        <v>42778.611134259263</v>
      </c>
      <c r="O494" s="4" t="s">
        <v>7</v>
      </c>
      <c r="P494" s="3" t="s">
        <v>1993</v>
      </c>
      <c r="Q494" s="4"/>
      <c r="R494" s="4"/>
      <c r="S494" s="9" t="str">
        <f>HYPERLINK("https://pbs.twimg.com/profile_images/1044266553968078848/3ktyyWIc.jpg","View")</f>
        <v>View</v>
      </c>
    </row>
    <row r="495" spans="1:19" ht="20">
      <c r="A495" s="8">
        <v>43369.555520833332</v>
      </c>
      <c r="B495" s="11" t="str">
        <f>HYPERLINK("https://twitter.com/Y8u51o27UlFXE7x","@Y8u51o27UlFXE7x")</f>
        <v>@Y8u51o27UlFXE7x</v>
      </c>
      <c r="C495" s="6" t="s">
        <v>2372</v>
      </c>
      <c r="D495" s="5" t="s">
        <v>736</v>
      </c>
      <c r="E495" s="9" t="str">
        <f>HYPERLINK("https://twitter.com/Y8u51o27UlFXE7x/status/1044886784801468418","1044886784801468418")</f>
        <v>1044886784801468418</v>
      </c>
      <c r="F495" s="4"/>
      <c r="G495" s="10" t="s">
        <v>732</v>
      </c>
      <c r="H495" s="4"/>
      <c r="I495" s="10" t="str">
        <f>HYPERLINK("http://twitter.com/download/android","Twitter for Android")</f>
        <v>Twitter for Android</v>
      </c>
      <c r="J495" s="2">
        <v>1863</v>
      </c>
      <c r="K495" s="2">
        <v>1207</v>
      </c>
      <c r="L495" s="2">
        <v>2</v>
      </c>
      <c r="M495" s="2"/>
      <c r="N495" s="8">
        <v>43202.812557870369</v>
      </c>
      <c r="O495" s="4" t="s">
        <v>2371</v>
      </c>
      <c r="P495" s="3" t="s">
        <v>2370</v>
      </c>
      <c r="Q495" s="4"/>
      <c r="R495" s="4"/>
      <c r="S495" s="9" t="str">
        <f>HYPERLINK("https://pbs.twimg.com/profile_images/984493168530948096/M5TQopI9.jpg","View")</f>
        <v>View</v>
      </c>
    </row>
    <row r="496" spans="1:19" ht="40">
      <c r="A496" s="8">
        <v>43369.555451388893</v>
      </c>
      <c r="B496" s="11" t="str">
        <f>HYPERLINK("https://twitter.com/sarahyazdaniped","@sarahyazdaniped")</f>
        <v>@sarahyazdaniped</v>
      </c>
      <c r="C496" s="6" t="s">
        <v>2369</v>
      </c>
      <c r="D496" s="5" t="s">
        <v>1556</v>
      </c>
      <c r="E496" s="9" t="str">
        <f>HYPERLINK("https://twitter.com/sarahyazdaniped/status/1044886760428326912","1044886760428326912")</f>
        <v>1044886760428326912</v>
      </c>
      <c r="F496" s="4"/>
      <c r="G496" s="4"/>
      <c r="H496" s="4"/>
      <c r="I496" s="10" t="str">
        <f>HYPERLINK("http://twitter.com/download/iphone","Twitter for iPhone")</f>
        <v>Twitter for iPhone</v>
      </c>
      <c r="J496" s="2">
        <v>33</v>
      </c>
      <c r="K496" s="2">
        <v>157</v>
      </c>
      <c r="L496" s="2">
        <v>0</v>
      </c>
      <c r="M496" s="2"/>
      <c r="N496" s="8">
        <v>41676.776099537034</v>
      </c>
      <c r="O496" s="4" t="s">
        <v>101</v>
      </c>
      <c r="P496" s="3" t="s">
        <v>2368</v>
      </c>
      <c r="Q496" s="4"/>
      <c r="R496" s="4"/>
      <c r="S496" s="9" t="str">
        <f>HYPERLINK("https://pbs.twimg.com/profile_images/1043722836672753664/jwO3pv0K.jpg","View")</f>
        <v>View</v>
      </c>
    </row>
    <row r="497" spans="1:19" ht="30">
      <c r="A497" s="8">
        <v>43369.555277777778</v>
      </c>
      <c r="B497" s="11" t="str">
        <f>HYPERLINK("https://twitter.com/afshinshahrest2","@afshinshahrest2")</f>
        <v>@afshinshahrest2</v>
      </c>
      <c r="C497" s="6" t="s">
        <v>2367</v>
      </c>
      <c r="D497" s="5" t="s">
        <v>1634</v>
      </c>
      <c r="E497" s="9" t="str">
        <f>HYPERLINK("https://twitter.com/afshinshahrest2/status/1044886699829088257","1044886699829088257")</f>
        <v>1044886699829088257</v>
      </c>
      <c r="F497" s="4"/>
      <c r="G497" s="10" t="s">
        <v>1560</v>
      </c>
      <c r="H497" s="4"/>
      <c r="I497" s="10" t="str">
        <f>HYPERLINK("http://twitter.com/download/iphone","Twitter for iPhone")</f>
        <v>Twitter for iPhone</v>
      </c>
      <c r="J497" s="2">
        <v>965</v>
      </c>
      <c r="K497" s="2">
        <v>1005</v>
      </c>
      <c r="L497" s="2">
        <v>0</v>
      </c>
      <c r="M497" s="2"/>
      <c r="N497" s="8">
        <v>43274.930393518516</v>
      </c>
      <c r="O497" s="4"/>
      <c r="P497" s="3" t="s">
        <v>2366</v>
      </c>
      <c r="Q497" s="4"/>
      <c r="R497" s="4"/>
      <c r="S497" s="9" t="str">
        <f>HYPERLINK("https://pbs.twimg.com/profile_images/1010582388827738112/r6vC9fBh.jpg","View")</f>
        <v>View</v>
      </c>
    </row>
    <row r="498" spans="1:19" ht="40">
      <c r="A498" s="8">
        <v>43369.555</v>
      </c>
      <c r="B498" s="11" t="str">
        <f>HYPERLINK("https://twitter.com/hoseinthree","@hoseinthree")</f>
        <v>@hoseinthree</v>
      </c>
      <c r="C498" s="6" t="s">
        <v>2365</v>
      </c>
      <c r="D498" s="5" t="s">
        <v>1556</v>
      </c>
      <c r="E498" s="9" t="str">
        <f>HYPERLINK("https://twitter.com/hoseinthree/status/1044886597240532992","1044886597240532992")</f>
        <v>1044886597240532992</v>
      </c>
      <c r="F498" s="4"/>
      <c r="G498" s="4"/>
      <c r="H498" s="4"/>
      <c r="I498" s="10" t="str">
        <f>HYPERLINK("http://twitter.com/download/android","Twitter for Android")</f>
        <v>Twitter for Android</v>
      </c>
      <c r="J498" s="2">
        <v>2432</v>
      </c>
      <c r="K498" s="2">
        <v>448</v>
      </c>
      <c r="L498" s="2">
        <v>19</v>
      </c>
      <c r="M498" s="2"/>
      <c r="N498" s="8">
        <v>41509.849027777775</v>
      </c>
      <c r="O498" s="4" t="s">
        <v>2364</v>
      </c>
      <c r="P498" s="3" t="s">
        <v>2363</v>
      </c>
      <c r="Q498" s="4"/>
      <c r="R498" s="4"/>
      <c r="S498" s="9" t="str">
        <f>HYPERLINK("https://pbs.twimg.com/profile_images/1038878234207834113/nH2bw0w2.jpg","View")</f>
        <v>View</v>
      </c>
    </row>
    <row r="499" spans="1:19" ht="40">
      <c r="A499" s="8">
        <v>43369.554363425923</v>
      </c>
      <c r="B499" s="11" t="str">
        <f>HYPERLINK("https://twitter.com/yasaamaan1","@yasaamaan1")</f>
        <v>@yasaamaan1</v>
      </c>
      <c r="C499" s="6" t="s">
        <v>2362</v>
      </c>
      <c r="D499" s="5" t="s">
        <v>28</v>
      </c>
      <c r="E499" s="9" t="str">
        <f>HYPERLINK("https://twitter.com/yasaamaan1/status/1044886368642650113","1044886368642650113")</f>
        <v>1044886368642650113</v>
      </c>
      <c r="F499" s="4"/>
      <c r="G499" s="4"/>
      <c r="H499" s="4"/>
      <c r="I499" s="10" t="str">
        <f>HYPERLINK("http://twitter.com/download/android","Twitter for Android")</f>
        <v>Twitter for Android</v>
      </c>
      <c r="J499" s="2">
        <v>273</v>
      </c>
      <c r="K499" s="2">
        <v>459</v>
      </c>
      <c r="L499" s="2">
        <v>0</v>
      </c>
      <c r="M499" s="2"/>
      <c r="N499" s="8">
        <v>43273.10324074074</v>
      </c>
      <c r="O499" s="4"/>
      <c r="P499" s="3"/>
      <c r="Q499" s="4"/>
      <c r="R499" s="4"/>
      <c r="S499" s="9" t="str">
        <f>HYPERLINK("https://pbs.twimg.com/profile_images/1042289383645347840/3j7YwwIu.jpg","View")</f>
        <v>View</v>
      </c>
    </row>
    <row r="500" spans="1:19" ht="20">
      <c r="A500" s="8">
        <v>43369.554363425923</v>
      </c>
      <c r="B500" s="11" t="str">
        <f>HYPERLINK("https://twitter.com/VahidAllcapone","@VahidAllcapone")</f>
        <v>@VahidAllcapone</v>
      </c>
      <c r="C500" s="6" t="s">
        <v>2361</v>
      </c>
      <c r="D500" s="5" t="s">
        <v>736</v>
      </c>
      <c r="E500" s="9" t="str">
        <f>HYPERLINK("https://twitter.com/VahidAllcapone/status/1044886366142812161","1044886366142812161")</f>
        <v>1044886366142812161</v>
      </c>
      <c r="F500" s="4"/>
      <c r="G500" s="10" t="s">
        <v>732</v>
      </c>
      <c r="H500" s="4"/>
      <c r="I500" s="10" t="str">
        <f>HYPERLINK("https://mobile.twitter.com","Twitter Lite")</f>
        <v>Twitter Lite</v>
      </c>
      <c r="J500" s="2">
        <v>557</v>
      </c>
      <c r="K500" s="2">
        <v>626</v>
      </c>
      <c r="L500" s="2">
        <v>0</v>
      </c>
      <c r="M500" s="2"/>
      <c r="N500" s="8">
        <v>42460.623703703706</v>
      </c>
      <c r="O500" s="4"/>
      <c r="P500" s="3" t="s">
        <v>2360</v>
      </c>
      <c r="Q500" s="4"/>
      <c r="R500" s="4"/>
      <c r="S500" s="9" t="str">
        <f>HYPERLINK("https://pbs.twimg.com/profile_images/958403693073739776/P-DqV8Hi.jpg","View")</f>
        <v>View</v>
      </c>
    </row>
    <row r="501" spans="1:19" ht="30">
      <c r="A501" s="8">
        <v>43369.55431712963</v>
      </c>
      <c r="B501" s="11" t="str">
        <f>HYPERLINK("https://twitter.com/Maesumeh1","@Maesumeh1")</f>
        <v>@Maesumeh1</v>
      </c>
      <c r="C501" s="6" t="s">
        <v>637</v>
      </c>
      <c r="D501" s="5" t="s">
        <v>438</v>
      </c>
      <c r="E501" s="9" t="str">
        <f>HYPERLINK("https://twitter.com/Maesumeh1/status/1044886350007324673","1044886350007324673")</f>
        <v>1044886350007324673</v>
      </c>
      <c r="F501" s="10" t="s">
        <v>437</v>
      </c>
      <c r="G501" s="10" t="s">
        <v>436</v>
      </c>
      <c r="H501" s="4"/>
      <c r="I501" s="10" t="str">
        <f>HYPERLINK("http://twitter.com/download/android","Twitter for Android")</f>
        <v>Twitter for Android</v>
      </c>
      <c r="J501" s="2">
        <v>133</v>
      </c>
      <c r="K501" s="2">
        <v>457</v>
      </c>
      <c r="L501" s="2">
        <v>1</v>
      </c>
      <c r="M501" s="2"/>
      <c r="N501" s="8">
        <v>43109.1090625</v>
      </c>
      <c r="O501" s="4" t="s">
        <v>636</v>
      </c>
      <c r="P501" s="3" t="s">
        <v>635</v>
      </c>
      <c r="Q501" s="4"/>
      <c r="R501" s="4"/>
      <c r="S501" s="9" t="str">
        <f>HYPERLINK("https://pbs.twimg.com/profile_images/1026118250218876930/IRy8Wxss.jpg","View")</f>
        <v>View</v>
      </c>
    </row>
    <row r="502" spans="1:19" ht="20">
      <c r="A502" s="8">
        <v>43369.553796296299</v>
      </c>
      <c r="B502" s="11" t="str">
        <f>HYPERLINK("https://twitter.com/Bar00nNamNam","@Bar00nNamNam")</f>
        <v>@Bar00nNamNam</v>
      </c>
      <c r="C502" s="6" t="s">
        <v>2359</v>
      </c>
      <c r="D502" s="5" t="s">
        <v>2358</v>
      </c>
      <c r="E502" s="9" t="str">
        <f>HYPERLINK("https://twitter.com/Bar00nNamNam/status/1044886160751890432","1044886160751890432")</f>
        <v>1044886160751890432</v>
      </c>
      <c r="F502" s="4"/>
      <c r="G502" s="4"/>
      <c r="H502" s="4"/>
      <c r="I502" s="10" t="str">
        <f>HYPERLINK("http://twitter.com/download/iphone","Twitter for iPhone")</f>
        <v>Twitter for iPhone</v>
      </c>
      <c r="J502" s="2">
        <v>34</v>
      </c>
      <c r="K502" s="2">
        <v>52</v>
      </c>
      <c r="L502" s="2">
        <v>0</v>
      </c>
      <c r="M502" s="2"/>
      <c r="N502" s="8">
        <v>43277.977141203708</v>
      </c>
      <c r="O502" s="4"/>
      <c r="P502" s="3" t="s">
        <v>2357</v>
      </c>
      <c r="Q502" s="4"/>
      <c r="R502" s="4"/>
      <c r="S502" s="9" t="str">
        <f>HYPERLINK("https://pbs.twimg.com/profile_images/1043423645874511872/VcIWpWwO.jpg","View")</f>
        <v>View</v>
      </c>
    </row>
    <row r="503" spans="1:19" ht="40">
      <c r="A503" s="8">
        <v>43369.553310185191</v>
      </c>
      <c r="B503" s="11" t="str">
        <f>HYPERLINK("https://twitter.com/esfandiyarseha2","@esfandiyarseha2")</f>
        <v>@esfandiyarseha2</v>
      </c>
      <c r="C503" s="6" t="s">
        <v>2356</v>
      </c>
      <c r="D503" s="5" t="s">
        <v>1556</v>
      </c>
      <c r="E503" s="9" t="str">
        <f>HYPERLINK("https://twitter.com/esfandiyarseha2/status/1044885986910588929","1044885986910588929")</f>
        <v>1044885986910588929</v>
      </c>
      <c r="F503" s="4"/>
      <c r="G503" s="4"/>
      <c r="H503" s="4"/>
      <c r="I503" s="10" t="str">
        <f>HYPERLINK("http://twitter.com/download/android","Twitter for Android")</f>
        <v>Twitter for Android</v>
      </c>
      <c r="J503" s="2">
        <v>287</v>
      </c>
      <c r="K503" s="2">
        <v>997</v>
      </c>
      <c r="L503" s="2">
        <v>0</v>
      </c>
      <c r="M503" s="2"/>
      <c r="N503" s="8">
        <v>42995.810069444444</v>
      </c>
      <c r="O503" s="4" t="s">
        <v>1</v>
      </c>
      <c r="P503" s="3" t="s">
        <v>2355</v>
      </c>
      <c r="Q503" s="4"/>
      <c r="R503" s="4"/>
      <c r="S503" s="9" t="str">
        <f>HYPERLINK("https://pbs.twimg.com/profile_images/959099218270085120/bOLWlmMI.jpg","View")</f>
        <v>View</v>
      </c>
    </row>
    <row r="504" spans="1:19" ht="40">
      <c r="A504" s="8">
        <v>43369.553252314814</v>
      </c>
      <c r="B504" s="11" t="str">
        <f>HYPERLINK("https://twitter.com/Rozegarma","@Rozegarma")</f>
        <v>@Rozegarma</v>
      </c>
      <c r="C504" s="6" t="s">
        <v>2338</v>
      </c>
      <c r="D504" s="5" t="s">
        <v>2327</v>
      </c>
      <c r="E504" s="9" t="str">
        <f>HYPERLINK("https://twitter.com/Rozegarma/status/1044885962701123584","1044885962701123584")</f>
        <v>1044885962701123584</v>
      </c>
      <c r="F504" s="4"/>
      <c r="G504" s="4"/>
      <c r="H504" s="4"/>
      <c r="I504" s="10" t="str">
        <f>HYPERLINK("http://twitter.com/download/android","Twitter for Android")</f>
        <v>Twitter for Android</v>
      </c>
      <c r="J504" s="2">
        <v>352</v>
      </c>
      <c r="K504" s="2">
        <v>1048</v>
      </c>
      <c r="L504" s="2">
        <v>0</v>
      </c>
      <c r="M504" s="2"/>
      <c r="N504" s="8">
        <v>43253.628009259264</v>
      </c>
      <c r="O504" s="4"/>
      <c r="P504" s="3"/>
      <c r="Q504" s="4"/>
      <c r="R504" s="4"/>
      <c r="S504" s="9" t="str">
        <f>HYPERLINK("https://pbs.twimg.com/profile_images/1011134738105602049/HVM9hd3_.jpg","View")</f>
        <v>View</v>
      </c>
    </row>
    <row r="505" spans="1:19" ht="40">
      <c r="A505" s="8">
        <v>43369.552870370375</v>
      </c>
      <c r="B505" s="11" t="str">
        <f>HYPERLINK("https://twitter.com/bicyclist153","@bicyclist153")</f>
        <v>@bicyclist153</v>
      </c>
      <c r="C505" s="6" t="s">
        <v>2354</v>
      </c>
      <c r="D505" s="5" t="s">
        <v>2353</v>
      </c>
      <c r="E505" s="9" t="str">
        <f>HYPERLINK("https://twitter.com/bicyclist153/status/1044885827195731968","1044885827195731968")</f>
        <v>1044885827195731968</v>
      </c>
      <c r="F505" s="4"/>
      <c r="G505" s="4"/>
      <c r="H505" s="4"/>
      <c r="I505" s="10" t="str">
        <f>HYPERLINK("http://twitter.com/download/iphone","Twitter for iPhone")</f>
        <v>Twitter for iPhone</v>
      </c>
      <c r="J505" s="2">
        <v>1224</v>
      </c>
      <c r="K505" s="2">
        <v>526</v>
      </c>
      <c r="L505" s="2">
        <v>10</v>
      </c>
      <c r="M505" s="2"/>
      <c r="N505" s="8">
        <v>42769.895162037035</v>
      </c>
      <c r="O505" s="4" t="s">
        <v>7</v>
      </c>
      <c r="P505" s="3" t="s">
        <v>2352</v>
      </c>
      <c r="Q505" s="4"/>
      <c r="R505" s="4"/>
      <c r="S505" s="9" t="str">
        <f>HYPERLINK("https://pbs.twimg.com/profile_images/977942426286477313/EH03ebDg.jpg","View")</f>
        <v>View</v>
      </c>
    </row>
    <row r="506" spans="1:19" ht="40">
      <c r="A506" s="8">
        <v>43369.552835648152</v>
      </c>
      <c r="B506" s="11" t="str">
        <f>HYPERLINK("https://twitter.com/Velayat_Soldier","@Velayat_Soldier")</f>
        <v>@Velayat_Soldier</v>
      </c>
      <c r="C506" s="6" t="s">
        <v>1742</v>
      </c>
      <c r="D506" s="5" t="s">
        <v>1548</v>
      </c>
      <c r="E506" s="9" t="str">
        <f>HYPERLINK("https://twitter.com/Velayat_Soldier/status/1044885814147190785","1044885814147190785")</f>
        <v>1044885814147190785</v>
      </c>
      <c r="F506" s="4"/>
      <c r="G506" s="4"/>
      <c r="H506" s="4"/>
      <c r="I506" s="10" t="str">
        <f>HYPERLINK("https://mobile.twitter.com","Twitter Lite")</f>
        <v>Twitter Lite</v>
      </c>
      <c r="J506" s="2">
        <v>294</v>
      </c>
      <c r="K506" s="2">
        <v>405</v>
      </c>
      <c r="L506" s="2">
        <v>0</v>
      </c>
      <c r="M506" s="2"/>
      <c r="N506" s="8">
        <v>43328.991157407407</v>
      </c>
      <c r="O506" s="4"/>
      <c r="P506" s="3" t="s">
        <v>2351</v>
      </c>
      <c r="Q506" s="4"/>
      <c r="R506" s="4"/>
      <c r="S506" s="9" t="str">
        <f>HYPERLINK("https://pbs.twimg.com/profile_images/1037264789930631168/fNnnoIam.jpg","View")</f>
        <v>View</v>
      </c>
    </row>
    <row r="507" spans="1:19" ht="30">
      <c r="A507" s="8">
        <v>43369.552835648152</v>
      </c>
      <c r="B507" s="11" t="str">
        <f>HYPERLINK("https://twitter.com/AlirezaMahsa","@AlirezaMahsa")</f>
        <v>@AlirezaMahsa</v>
      </c>
      <c r="C507" s="6" t="s">
        <v>2350</v>
      </c>
      <c r="D507" s="5" t="s">
        <v>49</v>
      </c>
      <c r="E507" s="9" t="str">
        <f>HYPERLINK("https://twitter.com/AlirezaMahsa/status/1044885812477874176","1044885812477874176")</f>
        <v>1044885812477874176</v>
      </c>
      <c r="F507" s="4"/>
      <c r="G507" s="4"/>
      <c r="H507" s="4"/>
      <c r="I507" s="10" t="str">
        <f>HYPERLINK("http://twitter.com/download/iphone","Twitter for iPhone")</f>
        <v>Twitter for iPhone</v>
      </c>
      <c r="J507" s="2">
        <v>55</v>
      </c>
      <c r="K507" s="2">
        <v>151</v>
      </c>
      <c r="L507" s="2">
        <v>0</v>
      </c>
      <c r="M507" s="2"/>
      <c r="N507" s="8">
        <v>41695.081006944441</v>
      </c>
      <c r="O507" s="4"/>
      <c r="P507" s="3" t="s">
        <v>2349</v>
      </c>
      <c r="Q507" s="4"/>
      <c r="R507" s="4"/>
      <c r="S507" s="9" t="str">
        <f>HYPERLINK("https://pbs.twimg.com/profile_images/438077950186250240/wb4ZUl5Z.jpeg","View")</f>
        <v>View</v>
      </c>
    </row>
    <row r="508" spans="1:19" ht="40">
      <c r="A508" s="8">
        <v>43369.552233796298</v>
      </c>
      <c r="B508" s="11" t="str">
        <f>HYPERLINK("https://twitter.com/RezRezart","@RezRezart")</f>
        <v>@RezRezart</v>
      </c>
      <c r="C508" s="6" t="s">
        <v>2348</v>
      </c>
      <c r="D508" s="5" t="s">
        <v>1556</v>
      </c>
      <c r="E508" s="9" t="str">
        <f>HYPERLINK("https://twitter.com/RezRezart/status/1044885596085391360","1044885596085391360")</f>
        <v>1044885596085391360</v>
      </c>
      <c r="F508" s="4"/>
      <c r="G508" s="4"/>
      <c r="H508" s="4"/>
      <c r="I508" s="10" t="str">
        <f>HYPERLINK("http://twitter.com","Twitter Web Client")</f>
        <v>Twitter Web Client</v>
      </c>
      <c r="J508" s="2">
        <v>1864</v>
      </c>
      <c r="K508" s="2">
        <v>1491</v>
      </c>
      <c r="L508" s="2">
        <v>160</v>
      </c>
      <c r="M508" s="2"/>
      <c r="N508" s="8">
        <v>41020.022789351853</v>
      </c>
      <c r="O508" s="4" t="s">
        <v>2347</v>
      </c>
      <c r="P508" s="3" t="s">
        <v>2346</v>
      </c>
      <c r="Q508" s="4"/>
      <c r="R508" s="4"/>
      <c r="S508" s="9" t="str">
        <f>HYPERLINK("https://pbs.twimg.com/profile_images/720274224200351744/pn0rSinO.jpg","View")</f>
        <v>View</v>
      </c>
    </row>
    <row r="509" spans="1:19" ht="40">
      <c r="A509" s="8">
        <v>43369.551851851851</v>
      </c>
      <c r="B509" s="11" t="str">
        <f>HYPERLINK("https://twitter.com/Aban__dokht","@Aban__dokht")</f>
        <v>@Aban__dokht</v>
      </c>
      <c r="C509" s="6" t="s">
        <v>742</v>
      </c>
      <c r="D509" s="5" t="s">
        <v>72</v>
      </c>
      <c r="E509" s="9" t="str">
        <f>HYPERLINK("https://twitter.com/Aban__dokht/status/1044885456243118080","1044885456243118080")</f>
        <v>1044885456243118080</v>
      </c>
      <c r="F509" s="4"/>
      <c r="G509" s="4"/>
      <c r="H509" s="4"/>
      <c r="I509" s="10" t="str">
        <f>HYPERLINK("http://twitter.com/download/android","Twitter for Android")</f>
        <v>Twitter for Android</v>
      </c>
      <c r="J509" s="2">
        <v>1508</v>
      </c>
      <c r="K509" s="2">
        <v>1496</v>
      </c>
      <c r="L509" s="2">
        <v>0</v>
      </c>
      <c r="M509" s="2"/>
      <c r="N509" s="8">
        <v>41207.959780092591</v>
      </c>
      <c r="O509" s="4"/>
      <c r="P509" s="3" t="s">
        <v>741</v>
      </c>
      <c r="Q509" s="4"/>
      <c r="R509" s="4"/>
      <c r="S509" s="9" t="str">
        <f>HYPERLINK("https://pbs.twimg.com/profile_images/1038710395442225152/qO2j40fo.jpg","View")</f>
        <v>View</v>
      </c>
    </row>
    <row r="510" spans="1:19" ht="40">
      <c r="A510" s="8">
        <v>43369.551724537036</v>
      </c>
      <c r="B510" s="11" t="str">
        <f>HYPERLINK("https://twitter.com/Rozegarma","@Rozegarma")</f>
        <v>@Rozegarma</v>
      </c>
      <c r="C510" s="6" t="s">
        <v>2338</v>
      </c>
      <c r="D510" s="5" t="s">
        <v>2309</v>
      </c>
      <c r="E510" s="9" t="str">
        <f>HYPERLINK("https://twitter.com/Rozegarma/status/1044885409606586369","1044885409606586369")</f>
        <v>1044885409606586369</v>
      </c>
      <c r="F510" s="4"/>
      <c r="G510" s="4"/>
      <c r="H510" s="4"/>
      <c r="I510" s="10" t="str">
        <f>HYPERLINK("http://twitter.com/download/android","Twitter for Android")</f>
        <v>Twitter for Android</v>
      </c>
      <c r="J510" s="2">
        <v>352</v>
      </c>
      <c r="K510" s="2">
        <v>1048</v>
      </c>
      <c r="L510" s="2">
        <v>0</v>
      </c>
      <c r="M510" s="2"/>
      <c r="N510" s="8">
        <v>43253.628009259264</v>
      </c>
      <c r="O510" s="4"/>
      <c r="P510" s="3"/>
      <c r="Q510" s="4"/>
      <c r="R510" s="4"/>
      <c r="S510" s="9" t="str">
        <f>HYPERLINK("https://pbs.twimg.com/profile_images/1011134738105602049/HVM9hd3_.jpg","View")</f>
        <v>View</v>
      </c>
    </row>
    <row r="511" spans="1:19" ht="40">
      <c r="A511" s="8">
        <v>43369.551388888889</v>
      </c>
      <c r="B511" s="11" t="str">
        <f>HYPERLINK("https://twitter.com/Atiisam887","@Atiisam887")</f>
        <v>@Atiisam887</v>
      </c>
      <c r="C511" s="6" t="s">
        <v>2345</v>
      </c>
      <c r="D511" s="5" t="s">
        <v>58</v>
      </c>
      <c r="E511" s="9" t="str">
        <f>HYPERLINK("https://twitter.com/Atiisam887/status/1044885287174897665","1044885287174897665")</f>
        <v>1044885287174897665</v>
      </c>
      <c r="F511" s="4"/>
      <c r="G511" s="10" t="s">
        <v>57</v>
      </c>
      <c r="H511" s="4"/>
      <c r="I511" s="10" t="str">
        <f>HYPERLINK("http://twitter.com/download/android","Twitter for Android")</f>
        <v>Twitter for Android</v>
      </c>
      <c r="J511" s="2">
        <v>273</v>
      </c>
      <c r="K511" s="2">
        <v>339</v>
      </c>
      <c r="L511" s="2">
        <v>0</v>
      </c>
      <c r="M511" s="2"/>
      <c r="N511" s="8">
        <v>42763.896331018521</v>
      </c>
      <c r="O511" s="4"/>
      <c r="P511" s="3" t="s">
        <v>2344</v>
      </c>
      <c r="Q511" s="4"/>
      <c r="R511" s="4"/>
      <c r="S511" s="9" t="str">
        <f>HYPERLINK("https://pbs.twimg.com/profile_images/980862299266256896/Pd9Zqbi1.jpg","View")</f>
        <v>View</v>
      </c>
    </row>
    <row r="512" spans="1:19" ht="40">
      <c r="A512" s="8">
        <v>43369.551365740743</v>
      </c>
      <c r="B512" s="11" t="str">
        <f>HYPERLINK("https://twitter.com/poya_2881","@poya_2881")</f>
        <v>@poya_2881</v>
      </c>
      <c r="C512" s="6" t="s">
        <v>2343</v>
      </c>
      <c r="D512" s="5" t="s">
        <v>1556</v>
      </c>
      <c r="E512" s="9" t="str">
        <f>HYPERLINK("https://twitter.com/poya_2881/status/1044885279838998528","1044885279838998528")</f>
        <v>1044885279838998528</v>
      </c>
      <c r="F512" s="4"/>
      <c r="G512" s="4"/>
      <c r="H512" s="4"/>
      <c r="I512" s="10" t="str">
        <f>HYPERLINK("http://twitter.com","Twitter Web Client")</f>
        <v>Twitter Web Client</v>
      </c>
      <c r="J512" s="2">
        <v>522</v>
      </c>
      <c r="K512" s="2">
        <v>877</v>
      </c>
      <c r="L512" s="2">
        <v>0</v>
      </c>
      <c r="M512" s="2"/>
      <c r="N512" s="8">
        <v>43099.90289351852</v>
      </c>
      <c r="O512" s="4" t="s">
        <v>2342</v>
      </c>
      <c r="P512" s="3" t="s">
        <v>2341</v>
      </c>
      <c r="Q512" s="4"/>
      <c r="R512" s="4"/>
      <c r="S512" s="9" t="str">
        <f>HYPERLINK("https://pbs.twimg.com/profile_images/951471666680524802/lflb8_Zi.jpg","View")</f>
        <v>View</v>
      </c>
    </row>
    <row r="513" spans="1:19" ht="20">
      <c r="A513" s="8">
        <v>43369.549826388888</v>
      </c>
      <c r="B513" s="11" t="str">
        <f>HYPERLINK("https://twitter.com/sia61mak","@sia61mak")</f>
        <v>@sia61mak</v>
      </c>
      <c r="C513" s="6" t="s">
        <v>169</v>
      </c>
      <c r="D513" s="5" t="s">
        <v>2340</v>
      </c>
      <c r="E513" s="9" t="str">
        <f>HYPERLINK("https://twitter.com/sia61mak/status/1044884720671182848","1044884720671182848")</f>
        <v>1044884720671182848</v>
      </c>
      <c r="F513" s="4"/>
      <c r="G513" s="4"/>
      <c r="H513" s="4"/>
      <c r="I513" s="10" t="str">
        <f>HYPERLINK("http://twitter.com/download/android","Twitter for Android")</f>
        <v>Twitter for Android</v>
      </c>
      <c r="J513" s="2">
        <v>195</v>
      </c>
      <c r="K513" s="2">
        <v>301</v>
      </c>
      <c r="L513" s="2">
        <v>0</v>
      </c>
      <c r="M513" s="2"/>
      <c r="N513" s="8">
        <v>43264.992141203707</v>
      </c>
      <c r="O513" s="4"/>
      <c r="P513" s="3" t="s">
        <v>2339</v>
      </c>
      <c r="Q513" s="4"/>
      <c r="R513" s="4"/>
      <c r="S513" s="9" t="str">
        <f>HYPERLINK("https://pbs.twimg.com/profile_images/1025069378482655232/BIBuFrbF.jpg","View")</f>
        <v>View</v>
      </c>
    </row>
    <row r="514" spans="1:19" ht="20">
      <c r="A514" s="8">
        <v>43369.549722222218</v>
      </c>
      <c r="B514" s="11" t="str">
        <f>HYPERLINK("https://twitter.com/Rozegarma","@Rozegarma")</f>
        <v>@Rozegarma</v>
      </c>
      <c r="C514" s="6" t="s">
        <v>2338</v>
      </c>
      <c r="D514" s="5" t="s">
        <v>2337</v>
      </c>
      <c r="E514" s="9" t="str">
        <f>HYPERLINK("https://twitter.com/Rozegarma/status/1044884683157381120","1044884683157381120")</f>
        <v>1044884683157381120</v>
      </c>
      <c r="F514" s="4"/>
      <c r="G514" s="10" t="s">
        <v>2303</v>
      </c>
      <c r="H514" s="4"/>
      <c r="I514" s="10" t="str">
        <f>HYPERLINK("http://twitter.com/download/android","Twitter for Android")</f>
        <v>Twitter for Android</v>
      </c>
      <c r="J514" s="2">
        <v>352</v>
      </c>
      <c r="K514" s="2">
        <v>1048</v>
      </c>
      <c r="L514" s="2">
        <v>0</v>
      </c>
      <c r="M514" s="2"/>
      <c r="N514" s="8">
        <v>43253.628009259264</v>
      </c>
      <c r="O514" s="4"/>
      <c r="P514" s="3"/>
      <c r="Q514" s="4"/>
      <c r="R514" s="4"/>
      <c r="S514" s="9" t="str">
        <f>HYPERLINK("https://pbs.twimg.com/profile_images/1011134738105602049/HVM9hd3_.jpg","View")</f>
        <v>View</v>
      </c>
    </row>
    <row r="515" spans="1:19" ht="40">
      <c r="A515" s="8">
        <v>43369.548645833333</v>
      </c>
      <c r="B515" s="11" t="str">
        <f>HYPERLINK("https://twitter.com/Seyednoureddin","@Seyednoureddin")</f>
        <v>@Seyednoureddin</v>
      </c>
      <c r="C515" s="6" t="s">
        <v>2336</v>
      </c>
      <c r="D515" s="5" t="s">
        <v>1556</v>
      </c>
      <c r="E515" s="9" t="str">
        <f>HYPERLINK("https://twitter.com/Seyednoureddin/status/1044884295419146240","1044884295419146240")</f>
        <v>1044884295419146240</v>
      </c>
      <c r="F515" s="4"/>
      <c r="G515" s="4"/>
      <c r="H515" s="4"/>
      <c r="I515" s="10" t="str">
        <f>HYPERLINK("http://twitter.com/download/android","Twitter for Android")</f>
        <v>Twitter for Android</v>
      </c>
      <c r="J515" s="2">
        <v>63</v>
      </c>
      <c r="K515" s="2">
        <v>109</v>
      </c>
      <c r="L515" s="2">
        <v>0</v>
      </c>
      <c r="M515" s="2"/>
      <c r="N515" s="8">
        <v>42885.883958333332</v>
      </c>
      <c r="O515" s="4" t="s">
        <v>2335</v>
      </c>
      <c r="P515" s="3"/>
      <c r="Q515" s="4"/>
      <c r="R515" s="4"/>
      <c r="S515" s="9" t="str">
        <f>HYPERLINK("https://pbs.twimg.com/profile_images/881877596966969344/I0oXrtMO.jpg","View")</f>
        <v>View</v>
      </c>
    </row>
    <row r="516" spans="1:19" ht="40">
      <c r="A516" s="8">
        <v>43369.548402777778</v>
      </c>
      <c r="B516" s="11" t="str">
        <f>HYPERLINK("https://twitter.com/HamidrezaDehnad","@HamidrezaDehnad")</f>
        <v>@HamidrezaDehnad</v>
      </c>
      <c r="C516" s="6" t="s">
        <v>2334</v>
      </c>
      <c r="D516" s="5" t="s">
        <v>1556</v>
      </c>
      <c r="E516" s="9" t="str">
        <f>HYPERLINK("https://twitter.com/HamidrezaDehnad/status/1044884208022425600","1044884208022425600")</f>
        <v>1044884208022425600</v>
      </c>
      <c r="F516" s="4"/>
      <c r="G516" s="4"/>
      <c r="H516" s="4"/>
      <c r="I516" s="10" t="str">
        <f>HYPERLINK("http://twitter.com/download/iphone","Twitter for iPhone")</f>
        <v>Twitter for iPhone</v>
      </c>
      <c r="J516" s="2">
        <v>31</v>
      </c>
      <c r="K516" s="2">
        <v>76</v>
      </c>
      <c r="L516" s="2">
        <v>0</v>
      </c>
      <c r="M516" s="2"/>
      <c r="N516" s="8">
        <v>41677.389062499999</v>
      </c>
      <c r="O516" s="4" t="s">
        <v>7</v>
      </c>
      <c r="P516" s="3" t="s">
        <v>2333</v>
      </c>
      <c r="Q516" s="4"/>
      <c r="R516" s="4"/>
      <c r="S516" s="9" t="str">
        <f>HYPERLINK("https://pbs.twimg.com/profile_images/431681018148319232/SIQ_UDJD.jpeg","View")</f>
        <v>View</v>
      </c>
    </row>
    <row r="517" spans="1:19" ht="20">
      <c r="A517" s="8">
        <v>43369.547418981485</v>
      </c>
      <c r="B517" s="11" t="str">
        <f>HYPERLINK("https://twitter.com/Marzieh79113013","@Marzieh79113013")</f>
        <v>@Marzieh79113013</v>
      </c>
      <c r="C517" s="6" t="s">
        <v>2332</v>
      </c>
      <c r="D517" s="5" t="s">
        <v>2331</v>
      </c>
      <c r="E517" s="9" t="str">
        <f>HYPERLINK("https://twitter.com/Marzieh79113013/status/1044883850323742720","1044883850323742720")</f>
        <v>1044883850323742720</v>
      </c>
      <c r="F517" s="4"/>
      <c r="G517" s="4"/>
      <c r="H517" s="4"/>
      <c r="I517" s="10" t="str">
        <f>HYPERLINK("http://twitter.com/download/android","Twitter for Android")</f>
        <v>Twitter for Android</v>
      </c>
      <c r="J517" s="2">
        <v>147</v>
      </c>
      <c r="K517" s="2">
        <v>371</v>
      </c>
      <c r="L517" s="2">
        <v>0</v>
      </c>
      <c r="M517" s="2"/>
      <c r="N517" s="8">
        <v>43037.682037037041</v>
      </c>
      <c r="O517" s="4"/>
      <c r="P517" s="3" t="s">
        <v>2330</v>
      </c>
      <c r="Q517" s="4"/>
      <c r="R517" s="4"/>
      <c r="S517" s="9" t="str">
        <f>HYPERLINK("https://pbs.twimg.com/profile_images/1035445242735026176/R2mPIKEB.jpg","View")</f>
        <v>View</v>
      </c>
    </row>
    <row r="518" spans="1:19" ht="40">
      <c r="A518" s="8">
        <v>43369.545300925922</v>
      </c>
      <c r="B518" s="11" t="str">
        <f>HYPERLINK("https://twitter.com/Arshamidi","@Arshamidi")</f>
        <v>@Arshamidi</v>
      </c>
      <c r="C518" s="6" t="s">
        <v>2329</v>
      </c>
      <c r="D518" s="5" t="s">
        <v>2328</v>
      </c>
      <c r="E518" s="9" t="str">
        <f>HYPERLINK("https://twitter.com/Arshamidi/status/1044883082413834242","1044883082413834242")</f>
        <v>1044883082413834242</v>
      </c>
      <c r="F518" s="4"/>
      <c r="G518" s="4"/>
      <c r="H518" s="4"/>
      <c r="I518" s="10" t="str">
        <f>HYPERLINK("http://twitter.com/download/android","Twitter for Android")</f>
        <v>Twitter for Android</v>
      </c>
      <c r="J518" s="2">
        <v>80</v>
      </c>
      <c r="K518" s="2">
        <v>329</v>
      </c>
      <c r="L518" s="2">
        <v>0</v>
      </c>
      <c r="M518" s="2"/>
      <c r="N518" s="8">
        <v>40976.797430555554</v>
      </c>
      <c r="O518" s="4"/>
      <c r="P518" s="3"/>
      <c r="Q518" s="4"/>
      <c r="R518" s="4"/>
      <c r="S518" s="9" t="str">
        <f>HYPERLINK("https://pbs.twimg.com/profile_images/992939049907314689/dmpg8Lvj.jpg","View")</f>
        <v>View</v>
      </c>
    </row>
    <row r="519" spans="1:19" ht="40">
      <c r="A519" s="8">
        <v>43369.545138888891</v>
      </c>
      <c r="B519" s="11" t="str">
        <f>HYPERLINK("https://twitter.com/alisharr1","@alisharr1")</f>
        <v>@alisharr1</v>
      </c>
      <c r="C519" s="6" t="s">
        <v>2310</v>
      </c>
      <c r="D519" s="5" t="s">
        <v>2327</v>
      </c>
      <c r="E519" s="9" t="str">
        <f>HYPERLINK("https://twitter.com/alisharr1/status/1044883022309396480","1044883022309396480")</f>
        <v>1044883022309396480</v>
      </c>
      <c r="F519" s="4"/>
      <c r="G519" s="4"/>
      <c r="H519" s="4"/>
      <c r="I519" s="10" t="str">
        <f>HYPERLINK("http://twitter.com/download/android","Twitter for Android")</f>
        <v>Twitter for Android</v>
      </c>
      <c r="J519" s="2">
        <v>157</v>
      </c>
      <c r="K519" s="2">
        <v>631</v>
      </c>
      <c r="L519" s="2">
        <v>0</v>
      </c>
      <c r="M519" s="2"/>
      <c r="N519" s="8">
        <v>43116.80368055556</v>
      </c>
      <c r="O519" s="4"/>
      <c r="P519" s="3" t="s">
        <v>2308</v>
      </c>
      <c r="Q519" s="4"/>
      <c r="R519" s="4"/>
      <c r="S519" s="9" t="str">
        <f>HYPERLINK("https://pbs.twimg.com/profile_images/958756492609454080/3iajqFW8.jpg","View")</f>
        <v>View</v>
      </c>
    </row>
    <row r="520" spans="1:19" ht="40">
      <c r="A520" s="8">
        <v>43369.545057870375</v>
      </c>
      <c r="B520" s="11" t="str">
        <f>HYPERLINK("https://twitter.com/ebamab","@ebamab")</f>
        <v>@ebamab</v>
      </c>
      <c r="C520" s="6" t="s">
        <v>2326</v>
      </c>
      <c r="D520" s="5" t="s">
        <v>1556</v>
      </c>
      <c r="E520" s="9" t="str">
        <f>HYPERLINK("https://twitter.com/ebamab/status/1044882992483770369","1044882992483770369")</f>
        <v>1044882992483770369</v>
      </c>
      <c r="F520" s="4"/>
      <c r="G520" s="4"/>
      <c r="H520" s="4"/>
      <c r="I520" s="10" t="str">
        <f>HYPERLINK("http://twitter.com","Twitter Web Client")</f>
        <v>Twitter Web Client</v>
      </c>
      <c r="J520" s="2">
        <v>705</v>
      </c>
      <c r="K520" s="2">
        <v>2153</v>
      </c>
      <c r="L520" s="2">
        <v>0</v>
      </c>
      <c r="M520" s="2"/>
      <c r="N520" s="8">
        <v>42901.506469907406</v>
      </c>
      <c r="O520" s="4" t="s">
        <v>2325</v>
      </c>
      <c r="P520" s="3" t="s">
        <v>2324</v>
      </c>
      <c r="Q520" s="4"/>
      <c r="R520" s="4"/>
      <c r="S520" s="9" t="str">
        <f>HYPERLINK("https://pbs.twimg.com/profile_images/1020189476059078656/v1PKIJM3.jpg","View")</f>
        <v>View</v>
      </c>
    </row>
    <row r="521" spans="1:19" ht="50">
      <c r="A521" s="8">
        <v>43369.544548611113</v>
      </c>
      <c r="B521" s="11" t="str">
        <f>HYPERLINK("https://twitter.com/MNaz1358","@MNaz1358")</f>
        <v>@MNaz1358</v>
      </c>
      <c r="C521" s="6" t="s">
        <v>2323</v>
      </c>
      <c r="D521" s="5" t="s">
        <v>2322</v>
      </c>
      <c r="E521" s="9" t="str">
        <f>HYPERLINK("https://twitter.com/MNaz1358/status/1044882808550895617","1044882808550895617")</f>
        <v>1044882808550895617</v>
      </c>
      <c r="F521" s="10" t="s">
        <v>2321</v>
      </c>
      <c r="G521" s="4"/>
      <c r="H521" s="4"/>
      <c r="I521" s="10" t="str">
        <f>HYPERLINK("http://twitter.com/download/android","Twitter for Android")</f>
        <v>Twitter for Android</v>
      </c>
      <c r="J521" s="2">
        <v>1882</v>
      </c>
      <c r="K521" s="2">
        <v>504</v>
      </c>
      <c r="L521" s="2">
        <v>13</v>
      </c>
      <c r="M521" s="2"/>
      <c r="N521" s="8">
        <v>42457.20248842593</v>
      </c>
      <c r="O521" s="4" t="s">
        <v>378</v>
      </c>
      <c r="P521" s="3" t="s">
        <v>2320</v>
      </c>
      <c r="Q521" s="4"/>
      <c r="R521" s="4"/>
      <c r="S521" s="9" t="str">
        <f>HYPERLINK("https://pbs.twimg.com/profile_images/1037451775689875457/UWMpdWfK.jpg","View")</f>
        <v>View</v>
      </c>
    </row>
    <row r="522" spans="1:19" ht="40">
      <c r="A522" s="8">
        <v>43369.544189814813</v>
      </c>
      <c r="B522" s="11" t="str">
        <f>HYPERLINK("https://twitter.com/mhj66","@mhj66")</f>
        <v>@mhj66</v>
      </c>
      <c r="C522" s="6" t="s">
        <v>944</v>
      </c>
      <c r="D522" s="5" t="s">
        <v>2319</v>
      </c>
      <c r="E522" s="9" t="str">
        <f>HYPERLINK("https://twitter.com/mhj66/status/1044882680670834691","1044882680670834691")</f>
        <v>1044882680670834691</v>
      </c>
      <c r="F522" s="10" t="s">
        <v>2318</v>
      </c>
      <c r="G522" s="10" t="s">
        <v>2317</v>
      </c>
      <c r="H522" s="4"/>
      <c r="I522" s="10" t="str">
        <f>HYPERLINK("http://twitter.com/download/android","Twitter for Android")</f>
        <v>Twitter for Android</v>
      </c>
      <c r="J522" s="2">
        <v>117</v>
      </c>
      <c r="K522" s="2">
        <v>1151</v>
      </c>
      <c r="L522" s="2">
        <v>1</v>
      </c>
      <c r="M522" s="2"/>
      <c r="N522" s="8">
        <v>41225.2421875</v>
      </c>
      <c r="O522" s="4" t="s">
        <v>1</v>
      </c>
      <c r="P522" s="3" t="s">
        <v>943</v>
      </c>
      <c r="Q522" s="4"/>
      <c r="R522" s="4"/>
      <c r="S522" s="9" t="str">
        <f>HYPERLINK("https://pbs.twimg.com/profile_images/796984868768976898/giKPbfHB.jpg","View")</f>
        <v>View</v>
      </c>
    </row>
    <row r="523" spans="1:19" ht="30">
      <c r="A523" s="8">
        <v>43369.544016203705</v>
      </c>
      <c r="B523" s="11" t="str">
        <f>HYPERLINK("https://twitter.com/Mahoor7551","@Mahoor7551")</f>
        <v>@Mahoor7551</v>
      </c>
      <c r="C523" s="6" t="s">
        <v>2316</v>
      </c>
      <c r="D523" s="5" t="s">
        <v>49</v>
      </c>
      <c r="E523" s="9" t="str">
        <f>HYPERLINK("https://twitter.com/Mahoor7551/status/1044882617647206400","1044882617647206400")</f>
        <v>1044882617647206400</v>
      </c>
      <c r="F523" s="4"/>
      <c r="G523" s="4"/>
      <c r="H523" s="4"/>
      <c r="I523" s="10" t="str">
        <f>HYPERLINK("http://twitter.com/download/android","Twitter for Android")</f>
        <v>Twitter for Android</v>
      </c>
      <c r="J523" s="2">
        <v>60</v>
      </c>
      <c r="K523" s="2">
        <v>50</v>
      </c>
      <c r="L523" s="2">
        <v>0</v>
      </c>
      <c r="M523" s="2"/>
      <c r="N523" s="8">
        <v>43100.961331018523</v>
      </c>
      <c r="O523" s="4"/>
      <c r="P523" s="3"/>
      <c r="Q523" s="4"/>
      <c r="R523" s="4"/>
      <c r="S523" s="9" t="str">
        <f>HYPERLINK("https://pbs.twimg.com/profile_images/991185024660762624/shOMd9N1.jpg","View")</f>
        <v>View</v>
      </c>
    </row>
    <row r="524" spans="1:19" ht="40">
      <c r="A524" s="8">
        <v>43369.544004629628</v>
      </c>
      <c r="B524" s="11" t="str">
        <f>HYPERLINK("https://twitter.com/JeanValjean1766","@JeanValjean1766")</f>
        <v>@JeanValjean1766</v>
      </c>
      <c r="C524" s="6" t="s">
        <v>2315</v>
      </c>
      <c r="D524" s="5" t="s">
        <v>2309</v>
      </c>
      <c r="E524" s="9" t="str">
        <f>HYPERLINK("https://twitter.com/JeanValjean1766/status/1044882614576918529","1044882614576918529")</f>
        <v>1044882614576918529</v>
      </c>
      <c r="F524" s="4"/>
      <c r="G524" s="4"/>
      <c r="H524" s="4"/>
      <c r="I524" s="10" t="str">
        <f>HYPERLINK("http://twitter.com/download/iphone","Twitter for iPhone")</f>
        <v>Twitter for iPhone</v>
      </c>
      <c r="J524" s="2">
        <v>266</v>
      </c>
      <c r="K524" s="2">
        <v>259</v>
      </c>
      <c r="L524" s="2">
        <v>0</v>
      </c>
      <c r="M524" s="2"/>
      <c r="N524" s="8">
        <v>43344.729374999995</v>
      </c>
      <c r="O524" s="4" t="s">
        <v>2314</v>
      </c>
      <c r="P524" s="3" t="s">
        <v>2313</v>
      </c>
      <c r="Q524" s="4"/>
      <c r="R524" s="4"/>
      <c r="S524" s="9" t="str">
        <f>HYPERLINK("https://pbs.twimg.com/profile_images/1035876404972244993/ONIq7tK7.jpg","View")</f>
        <v>View</v>
      </c>
    </row>
    <row r="525" spans="1:19" ht="40">
      <c r="A525" s="8">
        <v>43369.543599537035</v>
      </c>
      <c r="B525" s="11" t="str">
        <f>HYPERLINK("https://twitter.com/Zortema1","@Zortema1")</f>
        <v>@Zortema1</v>
      </c>
      <c r="C525" s="6" t="s">
        <v>2312</v>
      </c>
      <c r="D525" s="5" t="s">
        <v>1556</v>
      </c>
      <c r="E525" s="9" t="str">
        <f>HYPERLINK("https://twitter.com/Zortema1/status/1044882467197530113","1044882467197530113")</f>
        <v>1044882467197530113</v>
      </c>
      <c r="F525" s="4"/>
      <c r="G525" s="4"/>
      <c r="H525" s="4"/>
      <c r="I525" s="10" t="str">
        <f>HYPERLINK("https://mobile.twitter.com","Twitter Lite")</f>
        <v>Twitter Lite</v>
      </c>
      <c r="J525" s="2">
        <v>1264</v>
      </c>
      <c r="K525" s="2">
        <v>2860</v>
      </c>
      <c r="L525" s="2">
        <v>0</v>
      </c>
      <c r="M525" s="2"/>
      <c r="N525" s="8">
        <v>43136.067013888889</v>
      </c>
      <c r="O525" s="4"/>
      <c r="P525" s="3" t="s">
        <v>2311</v>
      </c>
      <c r="Q525" s="4"/>
      <c r="R525" s="4"/>
      <c r="S525" s="9" t="str">
        <f>HYPERLINK("https://pbs.twimg.com/profile_images/979956272031297537/IOXQZDQF.jpg","View")</f>
        <v>View</v>
      </c>
    </row>
    <row r="526" spans="1:19" ht="40">
      <c r="A526" s="8">
        <v>43369.543576388889</v>
      </c>
      <c r="B526" s="11" t="str">
        <f>HYPERLINK("https://twitter.com/alisharr1","@alisharr1")</f>
        <v>@alisharr1</v>
      </c>
      <c r="C526" s="6" t="s">
        <v>2310</v>
      </c>
      <c r="D526" s="5" t="s">
        <v>2309</v>
      </c>
      <c r="E526" s="9" t="str">
        <f>HYPERLINK("https://twitter.com/alisharr1/status/1044882458968297473","1044882458968297473")</f>
        <v>1044882458968297473</v>
      </c>
      <c r="F526" s="4"/>
      <c r="G526" s="4"/>
      <c r="H526" s="4"/>
      <c r="I526" s="10" t="str">
        <f>HYPERLINK("http://twitter.com/download/android","Twitter for Android")</f>
        <v>Twitter for Android</v>
      </c>
      <c r="J526" s="2">
        <v>157</v>
      </c>
      <c r="K526" s="2">
        <v>631</v>
      </c>
      <c r="L526" s="2">
        <v>0</v>
      </c>
      <c r="M526" s="2"/>
      <c r="N526" s="8">
        <v>43116.80368055556</v>
      </c>
      <c r="O526" s="4"/>
      <c r="P526" s="3" t="s">
        <v>2308</v>
      </c>
      <c r="Q526" s="4"/>
      <c r="R526" s="4"/>
      <c r="S526" s="9" t="str">
        <f>HYPERLINK("https://pbs.twimg.com/profile_images/958756492609454080/3iajqFW8.jpg","View")</f>
        <v>View</v>
      </c>
    </row>
    <row r="527" spans="1:19" ht="40">
      <c r="A527" s="8">
        <v>43369.542800925927</v>
      </c>
      <c r="B527" s="11" t="str">
        <f>HYPERLINK("https://twitter.com/CooZJk2EWtLwAYQ","@CooZJk2EWtLwAYQ")</f>
        <v>@CooZJk2EWtLwAYQ</v>
      </c>
      <c r="C527" s="6" t="s">
        <v>2307</v>
      </c>
      <c r="D527" s="5" t="s">
        <v>72</v>
      </c>
      <c r="E527" s="9" t="str">
        <f>HYPERLINK("https://twitter.com/CooZJk2EWtLwAYQ/status/1044882176884576256","1044882176884576256")</f>
        <v>1044882176884576256</v>
      </c>
      <c r="F527" s="4"/>
      <c r="G527" s="4"/>
      <c r="H527" s="4"/>
      <c r="I527" s="10" t="str">
        <f>HYPERLINK("http://twitter.com/download/android","Twitter for Android")</f>
        <v>Twitter for Android</v>
      </c>
      <c r="J527" s="2">
        <v>60</v>
      </c>
      <c r="K527" s="2">
        <v>176</v>
      </c>
      <c r="L527" s="2">
        <v>0</v>
      </c>
      <c r="M527" s="2"/>
      <c r="N527" s="8">
        <v>43347.505381944444</v>
      </c>
      <c r="O527" s="4" t="s">
        <v>7</v>
      </c>
      <c r="P527" s="3"/>
      <c r="Q527" s="4"/>
      <c r="R527" s="4"/>
      <c r="S527" s="9" t="str">
        <f>HYPERLINK("https://pbs.twimg.com/profile_images/1036883496625692672/vIIf_EMy.jpg","View")</f>
        <v>View</v>
      </c>
    </row>
    <row r="528" spans="1:19" ht="20">
      <c r="A528" s="8">
        <v>43369.542627314819</v>
      </c>
      <c r="B528" s="11" t="str">
        <f>HYPERLINK("https://twitter.com/CooZJk2EWtLwAYQ","@CooZJk2EWtLwAYQ")</f>
        <v>@CooZJk2EWtLwAYQ</v>
      </c>
      <c r="C528" s="6" t="s">
        <v>2307</v>
      </c>
      <c r="D528" s="5" t="s">
        <v>102</v>
      </c>
      <c r="E528" s="9" t="str">
        <f>HYPERLINK("https://twitter.com/CooZJk2EWtLwAYQ/status/1044882111617007616","1044882111617007616")</f>
        <v>1044882111617007616</v>
      </c>
      <c r="F528" s="4"/>
      <c r="G528" s="4"/>
      <c r="H528" s="4"/>
      <c r="I528" s="10" t="str">
        <f>HYPERLINK("http://twitter.com/download/android","Twitter for Android")</f>
        <v>Twitter for Android</v>
      </c>
      <c r="J528" s="2">
        <v>60</v>
      </c>
      <c r="K528" s="2">
        <v>176</v>
      </c>
      <c r="L528" s="2">
        <v>0</v>
      </c>
      <c r="M528" s="2"/>
      <c r="N528" s="8">
        <v>43347.505381944444</v>
      </c>
      <c r="O528" s="4" t="s">
        <v>7</v>
      </c>
      <c r="P528" s="3"/>
      <c r="Q528" s="4"/>
      <c r="R528" s="4"/>
      <c r="S528" s="9" t="str">
        <f>HYPERLINK("https://pbs.twimg.com/profile_images/1036883496625692672/vIIf_EMy.jpg","View")</f>
        <v>View</v>
      </c>
    </row>
    <row r="529" spans="1:19" ht="30">
      <c r="A529" s="8">
        <v>43369.542164351849</v>
      </c>
      <c r="B529" s="11" t="str">
        <f>HYPERLINK("https://twitter.com/Farhad31676998","@Farhad31676998")</f>
        <v>@Farhad31676998</v>
      </c>
      <c r="C529" s="6" t="s">
        <v>1700</v>
      </c>
      <c r="D529" s="5" t="s">
        <v>2306</v>
      </c>
      <c r="E529" s="9" t="str">
        <f>HYPERLINK("https://twitter.com/Farhad31676998/status/1044881944801087490","1044881944801087490")</f>
        <v>1044881944801087490</v>
      </c>
      <c r="F529" s="4"/>
      <c r="G529" s="4"/>
      <c r="H529" s="4"/>
      <c r="I529" s="10" t="str">
        <f>HYPERLINK("http://twitter.com/download/android","Twitter for Android")</f>
        <v>Twitter for Android</v>
      </c>
      <c r="J529" s="2">
        <v>0</v>
      </c>
      <c r="K529" s="2">
        <v>0</v>
      </c>
      <c r="L529" s="2">
        <v>0</v>
      </c>
      <c r="M529" s="2"/>
      <c r="N529" s="8">
        <v>43276.914930555555</v>
      </c>
      <c r="O529" s="4"/>
      <c r="P529" s="3"/>
      <c r="Q529" s="4"/>
      <c r="R529" s="4"/>
      <c r="S529" s="2" t="s">
        <v>21</v>
      </c>
    </row>
    <row r="530" spans="1:19" ht="30">
      <c r="A530" s="8">
        <v>43369.541701388887</v>
      </c>
      <c r="B530" s="11" t="str">
        <f>HYPERLINK("https://twitter.com/amsfordd","@amsfordd")</f>
        <v>@amsfordd</v>
      </c>
      <c r="C530" s="6" t="s">
        <v>2305</v>
      </c>
      <c r="D530" s="5" t="s">
        <v>2304</v>
      </c>
      <c r="E530" s="9" t="str">
        <f>HYPERLINK("https://twitter.com/amsfordd/status/1044881776496267269","1044881776496267269")</f>
        <v>1044881776496267269</v>
      </c>
      <c r="F530" s="4"/>
      <c r="G530" s="10" t="s">
        <v>2303</v>
      </c>
      <c r="H530" s="4"/>
      <c r="I530" s="10" t="str">
        <f>HYPERLINK("http://twitter.com/download/android","Twitter for Android")</f>
        <v>Twitter for Android</v>
      </c>
      <c r="J530" s="2">
        <v>1047</v>
      </c>
      <c r="K530" s="2">
        <v>1801</v>
      </c>
      <c r="L530" s="2">
        <v>0</v>
      </c>
      <c r="M530" s="2"/>
      <c r="N530" s="8">
        <v>43187.231076388889</v>
      </c>
      <c r="O530" s="4" t="s">
        <v>2302</v>
      </c>
      <c r="P530" s="3" t="s">
        <v>2301</v>
      </c>
      <c r="Q530" s="4"/>
      <c r="R530" s="4"/>
      <c r="S530" s="9" t="str">
        <f>HYPERLINK("https://pbs.twimg.com/profile_images/1025136715520983040/V7H4_oZX.jpg","View")</f>
        <v>View</v>
      </c>
    </row>
    <row r="531" spans="1:19" ht="40">
      <c r="A531" s="8">
        <v>43369.541458333333</v>
      </c>
      <c r="B531" s="11" t="str">
        <f>HYPERLINK("https://twitter.com/golestanbpakha","@golestanbpakha")</f>
        <v>@golestanbpakha</v>
      </c>
      <c r="C531" s="6" t="s">
        <v>2300</v>
      </c>
      <c r="D531" s="5" t="s">
        <v>58</v>
      </c>
      <c r="E531" s="9" t="str">
        <f>HYPERLINK("https://twitter.com/golestanbpakha/status/1044881689334489088","1044881689334489088")</f>
        <v>1044881689334489088</v>
      </c>
      <c r="F531" s="4"/>
      <c r="G531" s="10" t="s">
        <v>57</v>
      </c>
      <c r="H531" s="4"/>
      <c r="I531" s="10" t="str">
        <f>HYPERLINK("http://twitter.com","Twitter Web Client")</f>
        <v>Twitter Web Client</v>
      </c>
      <c r="J531" s="2">
        <v>275</v>
      </c>
      <c r="K531" s="2">
        <v>384</v>
      </c>
      <c r="L531" s="2">
        <v>4</v>
      </c>
      <c r="M531" s="2"/>
      <c r="N531" s="8">
        <v>42494.085243055553</v>
      </c>
      <c r="O531" s="4"/>
      <c r="P531" s="3"/>
      <c r="Q531" s="4"/>
      <c r="R531" s="4"/>
      <c r="S531" s="9" t="str">
        <f>HYPERLINK("https://pbs.twimg.com/profile_images/1042492912771190784/3_-LvgwR.jpg","View")</f>
        <v>View</v>
      </c>
    </row>
    <row r="532" spans="1:19" ht="40">
      <c r="A532" s="8">
        <v>43369.540474537032</v>
      </c>
      <c r="B532" s="11" t="str">
        <f>HYPERLINK("https://twitter.com/ThisisNazanin","@ThisisNazanin")</f>
        <v>@ThisisNazanin</v>
      </c>
      <c r="C532" s="6" t="s">
        <v>2299</v>
      </c>
      <c r="D532" s="5" t="s">
        <v>1556</v>
      </c>
      <c r="E532" s="9" t="str">
        <f>HYPERLINK("https://twitter.com/ThisisNazanin/status/1044881334328381440","1044881334328381440")</f>
        <v>1044881334328381440</v>
      </c>
      <c r="F532" s="4"/>
      <c r="G532" s="4"/>
      <c r="H532" s="4"/>
      <c r="I532" s="10" t="str">
        <f>HYPERLINK("http://twitter.com/download/iphone","Twitter for iPhone")</f>
        <v>Twitter for iPhone</v>
      </c>
      <c r="J532" s="2">
        <v>4502</v>
      </c>
      <c r="K532" s="2">
        <v>414</v>
      </c>
      <c r="L532" s="2">
        <v>23</v>
      </c>
      <c r="M532" s="2"/>
      <c r="N532" s="8">
        <v>41478.917743055557</v>
      </c>
      <c r="O532" s="4" t="s">
        <v>2298</v>
      </c>
      <c r="P532" s="3" t="s">
        <v>2297</v>
      </c>
      <c r="Q532" s="4"/>
      <c r="R532" s="4"/>
      <c r="S532" s="9" t="str">
        <f>HYPERLINK("https://pbs.twimg.com/profile_images/1036696954603032576/V9QtLHRi.jpg","View")</f>
        <v>View</v>
      </c>
    </row>
    <row r="533" spans="1:19" ht="40">
      <c r="A533" s="8">
        <v>43369.539756944447</v>
      </c>
      <c r="B533" s="11" t="str">
        <f>HYPERLINK("https://twitter.com/MehdiAAA6","@MehdiAAA6")</f>
        <v>@MehdiAAA6</v>
      </c>
      <c r="C533" s="6" t="s">
        <v>2296</v>
      </c>
      <c r="D533" s="5" t="s">
        <v>531</v>
      </c>
      <c r="E533" s="9" t="str">
        <f>HYPERLINK("https://twitter.com/MehdiAAA6/status/1044881072855633920","1044881072855633920")</f>
        <v>1044881072855633920</v>
      </c>
      <c r="F533" s="4"/>
      <c r="G533" s="4"/>
      <c r="H533" s="4"/>
      <c r="I533" s="10" t="str">
        <f>HYPERLINK("http://twitter.com/download/android","Twitter for Android")</f>
        <v>Twitter for Android</v>
      </c>
      <c r="J533" s="2">
        <v>5556</v>
      </c>
      <c r="K533" s="2">
        <v>676</v>
      </c>
      <c r="L533" s="2">
        <v>26</v>
      </c>
      <c r="M533" s="2"/>
      <c r="N533" s="8">
        <v>42920.885659722218</v>
      </c>
      <c r="O533" s="4"/>
      <c r="P533" s="3" t="s">
        <v>2295</v>
      </c>
      <c r="Q533" s="4"/>
      <c r="R533" s="4"/>
      <c r="S533" s="9" t="str">
        <f>HYPERLINK("https://pbs.twimg.com/profile_images/1029436182164393984/Sx7UcARo.jpg","View")</f>
        <v>View</v>
      </c>
    </row>
    <row r="534" spans="1:19" ht="20">
      <c r="A534" s="8">
        <v>43369.539293981477</v>
      </c>
      <c r="B534" s="11" t="str">
        <f>HYPERLINK("https://twitter.com/hoveida_s_","@hoveida_s_")</f>
        <v>@hoveida_s_</v>
      </c>
      <c r="C534" s="6" t="s">
        <v>2294</v>
      </c>
      <c r="D534" s="5" t="s">
        <v>15</v>
      </c>
      <c r="E534" s="9" t="str">
        <f>HYPERLINK("https://twitter.com/hoveida_s_/status/1044880904655654912","1044880904655654912")</f>
        <v>1044880904655654912</v>
      </c>
      <c r="F534" s="4"/>
      <c r="G534" s="4"/>
      <c r="H534" s="4"/>
      <c r="I534" s="10" t="str">
        <f>HYPERLINK("http://twitter.com/download/android","Twitter for Android")</f>
        <v>Twitter for Android</v>
      </c>
      <c r="J534" s="2">
        <v>709</v>
      </c>
      <c r="K534" s="2">
        <v>1734</v>
      </c>
      <c r="L534" s="2">
        <v>1</v>
      </c>
      <c r="M534" s="2"/>
      <c r="N534" s="8">
        <v>43328.08993055555</v>
      </c>
      <c r="O534" s="4"/>
      <c r="P534" s="3" t="s">
        <v>2293</v>
      </c>
      <c r="Q534" s="4"/>
      <c r="R534" s="4"/>
      <c r="S534" s="9" t="str">
        <f>HYPERLINK("https://pbs.twimg.com/profile_images/1031065357572825088/5-TfqxW2.jpg","View")</f>
        <v>View</v>
      </c>
    </row>
    <row r="535" spans="1:19" ht="30">
      <c r="A535" s="8">
        <v>43369.539282407408</v>
      </c>
      <c r="B535" s="11" t="str">
        <f>HYPERLINK("https://twitter.com/ebrahim_khani","@ebrahim_khani")</f>
        <v>@ebrahim_khani</v>
      </c>
      <c r="C535" s="11" t="s">
        <v>2292</v>
      </c>
      <c r="D535" s="5" t="s">
        <v>2291</v>
      </c>
      <c r="E535" s="9" t="str">
        <f>HYPERLINK("https://twitter.com/ebrahim_khani/status/1044880901530890242","1044880901530890242")</f>
        <v>1044880901530890242</v>
      </c>
      <c r="F535" s="4"/>
      <c r="G535" s="4"/>
      <c r="H535" s="4"/>
      <c r="I535" s="10" t="str">
        <f>HYPERLINK("http://twitter.com/download/iphone","Twitter for iPhone")</f>
        <v>Twitter for iPhone</v>
      </c>
      <c r="J535" s="2">
        <v>1031</v>
      </c>
      <c r="K535" s="2">
        <v>1059</v>
      </c>
      <c r="L535" s="2">
        <v>1</v>
      </c>
      <c r="M535" s="2"/>
      <c r="N535" s="8">
        <v>41808.392210648148</v>
      </c>
      <c r="O535" s="4" t="s">
        <v>7</v>
      </c>
      <c r="P535" s="3" t="s">
        <v>2290</v>
      </c>
      <c r="Q535" s="4"/>
      <c r="R535" s="4"/>
      <c r="S535" s="9" t="str">
        <f>HYPERLINK("https://pbs.twimg.com/profile_images/1000441389417721856/3bM3NyGg.jpg","View")</f>
        <v>View</v>
      </c>
    </row>
    <row r="536" spans="1:19" ht="20">
      <c r="A536" s="8">
        <v>43369.5390625</v>
      </c>
      <c r="B536" s="11" t="str">
        <f>HYPERLINK("https://twitter.com/Farhad31676998","@Farhad31676998")</f>
        <v>@Farhad31676998</v>
      </c>
      <c r="C536" s="6" t="s">
        <v>1700</v>
      </c>
      <c r="D536" s="5" t="s">
        <v>2289</v>
      </c>
      <c r="E536" s="9" t="str">
        <f>HYPERLINK("https://twitter.com/Farhad31676998/status/1044880821159702528","1044880821159702528")</f>
        <v>1044880821159702528</v>
      </c>
      <c r="F536" s="4"/>
      <c r="G536" s="4"/>
      <c r="H536" s="4"/>
      <c r="I536" s="10" t="str">
        <f>HYPERLINK("http://twitter.com/download/android","Twitter for Android")</f>
        <v>Twitter for Android</v>
      </c>
      <c r="J536" s="2">
        <v>0</v>
      </c>
      <c r="K536" s="2">
        <v>0</v>
      </c>
      <c r="L536" s="2">
        <v>0</v>
      </c>
      <c r="M536" s="2"/>
      <c r="N536" s="8">
        <v>43276.914930555555</v>
      </c>
      <c r="O536" s="4"/>
      <c r="P536" s="3"/>
      <c r="Q536" s="4"/>
      <c r="R536" s="4"/>
      <c r="S536" s="2" t="s">
        <v>21</v>
      </c>
    </row>
    <row r="537" spans="1:19" ht="40">
      <c r="A537" s="8">
        <v>43369.537835648152</v>
      </c>
      <c r="B537" s="11" t="str">
        <f>HYPERLINK("https://twitter.com/Mjolnir_zdi","@Mjolnir_zdi")</f>
        <v>@Mjolnir_zdi</v>
      </c>
      <c r="C537" s="6" t="s">
        <v>2288</v>
      </c>
      <c r="D537" s="5" t="s">
        <v>2287</v>
      </c>
      <c r="E537" s="9" t="str">
        <f>HYPERLINK("https://twitter.com/Mjolnir_zdi/status/1044880377163251712","1044880377163251712")</f>
        <v>1044880377163251712</v>
      </c>
      <c r="F537" s="4"/>
      <c r="G537" s="4"/>
      <c r="H537" s="4"/>
      <c r="I537" s="10" t="str">
        <f>HYPERLINK("http://twitter.com/download/android","Twitter for Android")</f>
        <v>Twitter for Android</v>
      </c>
      <c r="J537" s="2">
        <v>259</v>
      </c>
      <c r="K537" s="2">
        <v>449</v>
      </c>
      <c r="L537" s="2">
        <v>2</v>
      </c>
      <c r="M537" s="2"/>
      <c r="N537" s="8">
        <v>42486.566400462965</v>
      </c>
      <c r="O537" s="4" t="s">
        <v>2286</v>
      </c>
      <c r="P537" s="3" t="s">
        <v>2285</v>
      </c>
      <c r="Q537" s="4"/>
      <c r="R537" s="4"/>
      <c r="S537" s="9" t="str">
        <f>HYPERLINK("https://pbs.twimg.com/profile_images/1015938832171261952/pHdaM9kx.jpg","View")</f>
        <v>View</v>
      </c>
    </row>
    <row r="538" spans="1:19" ht="30">
      <c r="A538" s="8">
        <v>43369.537754629629</v>
      </c>
      <c r="B538" s="11" t="str">
        <f>HYPERLINK("https://twitter.com/madamazi","@madamazi")</f>
        <v>@madamazi</v>
      </c>
      <c r="C538" s="6" t="s">
        <v>2284</v>
      </c>
      <c r="D538" s="5" t="s">
        <v>49</v>
      </c>
      <c r="E538" s="9" t="str">
        <f>HYPERLINK("https://twitter.com/madamazi/status/1044880347681427456","1044880347681427456")</f>
        <v>1044880347681427456</v>
      </c>
      <c r="F538" s="4"/>
      <c r="G538" s="4"/>
      <c r="H538" s="4"/>
      <c r="I538" s="10" t="str">
        <f>HYPERLINK("http://twitter.com/download/android","Twitter for Android")</f>
        <v>Twitter for Android</v>
      </c>
      <c r="J538" s="2">
        <v>1668</v>
      </c>
      <c r="K538" s="2">
        <v>2043</v>
      </c>
      <c r="L538" s="2">
        <v>98</v>
      </c>
      <c r="M538" s="2"/>
      <c r="N538" s="8">
        <v>43152.440949074073</v>
      </c>
      <c r="O538" s="4"/>
      <c r="P538" s="3" t="s">
        <v>2283</v>
      </c>
      <c r="Q538" s="4"/>
      <c r="R538" s="4"/>
      <c r="S538" s="9" t="str">
        <f>HYPERLINK("https://pbs.twimg.com/profile_images/1044815949235453953/mWFaGsaK.jpg","View")</f>
        <v>View</v>
      </c>
    </row>
    <row r="539" spans="1:19" ht="40">
      <c r="A539" s="8">
        <v>43369.537592592591</v>
      </c>
      <c r="B539" s="11" t="str">
        <f>HYPERLINK("https://twitter.com/mohadesehjafari","@mohadesehjafari")</f>
        <v>@mohadesehjafari</v>
      </c>
      <c r="C539" s="6" t="s">
        <v>1975</v>
      </c>
      <c r="D539" s="5" t="s">
        <v>2282</v>
      </c>
      <c r="E539" s="9" t="str">
        <f>HYPERLINK("https://twitter.com/mohadesehjafari/status/1044880288034287617","1044880288034287617")</f>
        <v>1044880288034287617</v>
      </c>
      <c r="F539" s="4" t="s">
        <v>2281</v>
      </c>
      <c r="G539" s="4"/>
      <c r="H539" s="4"/>
      <c r="I539" s="10" t="str">
        <f>HYPERLINK("http://twitter.com","Twitter Web Client")</f>
        <v>Twitter Web Client</v>
      </c>
      <c r="J539" s="2">
        <v>300</v>
      </c>
      <c r="K539" s="2">
        <v>585</v>
      </c>
      <c r="L539" s="2">
        <v>1</v>
      </c>
      <c r="M539" s="2"/>
      <c r="N539" s="8">
        <v>43243.756192129629</v>
      </c>
      <c r="O539" s="4" t="s">
        <v>101</v>
      </c>
      <c r="P539" s="3" t="s">
        <v>1974</v>
      </c>
      <c r="Q539" s="10" t="s">
        <v>1973</v>
      </c>
      <c r="R539" s="4"/>
      <c r="S539" s="9" t="str">
        <f>HYPERLINK("https://pbs.twimg.com/profile_images/1032314655518216192/8T1AoTRN.jpg","View")</f>
        <v>View</v>
      </c>
    </row>
    <row r="540" spans="1:19" ht="40">
      <c r="A540" s="8">
        <v>43369.53743055556</v>
      </c>
      <c r="B540" s="11" t="str">
        <f>HYPERLINK("https://twitter.com/pacino_0","@pacino_0")</f>
        <v>@pacino_0</v>
      </c>
      <c r="C540" s="6" t="s">
        <v>2280</v>
      </c>
      <c r="D540" s="5" t="s">
        <v>756</v>
      </c>
      <c r="E540" s="9" t="str">
        <f>HYPERLINK("https://twitter.com/pacino_0/status/1044880231662850055","1044880231662850055")</f>
        <v>1044880231662850055</v>
      </c>
      <c r="F540" s="4"/>
      <c r="G540" s="4"/>
      <c r="H540" s="4"/>
      <c r="I540" s="10" t="str">
        <f>HYPERLINK("http://twitter.com/download/android","Twitter for Android")</f>
        <v>Twitter for Android</v>
      </c>
      <c r="J540" s="2">
        <v>204</v>
      </c>
      <c r="K540" s="2">
        <v>595</v>
      </c>
      <c r="L540" s="2">
        <v>2</v>
      </c>
      <c r="M540" s="2"/>
      <c r="N540" s="8">
        <v>43065.586643518516</v>
      </c>
      <c r="O540" s="4" t="s">
        <v>2279</v>
      </c>
      <c r="P540" s="3" t="s">
        <v>2278</v>
      </c>
      <c r="Q540" s="4"/>
      <c r="R540" s="4"/>
      <c r="S540" s="9" t="str">
        <f>HYPERLINK("https://pbs.twimg.com/profile_images/934735068051968000/rAdOphOB.jpg","View")</f>
        <v>View</v>
      </c>
    </row>
    <row r="541" spans="1:19" ht="30">
      <c r="A541" s="8">
        <v>43369.537314814814</v>
      </c>
      <c r="B541" s="11" t="str">
        <f>HYPERLINK("https://twitter.com/remissa77","@remissa77")</f>
        <v>@remissa77</v>
      </c>
      <c r="C541" s="6" t="s">
        <v>676</v>
      </c>
      <c r="D541" s="5" t="s">
        <v>102</v>
      </c>
      <c r="E541" s="9" t="str">
        <f>HYPERLINK("https://twitter.com/remissa77/status/1044880187077406720","1044880187077406720")</f>
        <v>1044880187077406720</v>
      </c>
      <c r="F541" s="4"/>
      <c r="G541" s="4"/>
      <c r="H541" s="4"/>
      <c r="I541" s="10" t="str">
        <f>HYPERLINK("http://twitter.com/download/android","Twitter for Android")</f>
        <v>Twitter for Android</v>
      </c>
      <c r="J541" s="2">
        <v>3429</v>
      </c>
      <c r="K541" s="2">
        <v>3297</v>
      </c>
      <c r="L541" s="2">
        <v>6</v>
      </c>
      <c r="M541" s="2"/>
      <c r="N541" s="8">
        <v>43235.670972222222</v>
      </c>
      <c r="O541" s="4"/>
      <c r="P541" s="3" t="s">
        <v>674</v>
      </c>
      <c r="Q541" s="4"/>
      <c r="R541" s="4"/>
      <c r="S541" s="9" t="str">
        <f>HYPERLINK("https://pbs.twimg.com/profile_images/1039102392342593536/aXW511Nl.jpg","View")</f>
        <v>View</v>
      </c>
    </row>
    <row r="542" spans="1:19" ht="40">
      <c r="A542" s="8">
        <v>43369.536446759259</v>
      </c>
      <c r="B542" s="11" t="str">
        <f>HYPERLINK("https://twitter.com/Hamid02136496","@Hamid02136496")</f>
        <v>@Hamid02136496</v>
      </c>
      <c r="C542" s="6" t="s">
        <v>88</v>
      </c>
      <c r="D542" s="5" t="s">
        <v>1548</v>
      </c>
      <c r="E542" s="9" t="str">
        <f>HYPERLINK("https://twitter.com/Hamid02136496/status/1044879873888735237","1044879873888735237")</f>
        <v>1044879873888735237</v>
      </c>
      <c r="F542" s="4"/>
      <c r="G542" s="4"/>
      <c r="H542" s="4"/>
      <c r="I542" s="10" t="str">
        <f>HYPERLINK("http://twitter.com/download/android","Twitter for Android")</f>
        <v>Twitter for Android</v>
      </c>
      <c r="J542" s="2">
        <v>36</v>
      </c>
      <c r="K542" s="2">
        <v>112</v>
      </c>
      <c r="L542" s="2">
        <v>0</v>
      </c>
      <c r="M542" s="2"/>
      <c r="N542" s="8">
        <v>43316.872581018513</v>
      </c>
      <c r="O542" s="4"/>
      <c r="P542" s="3"/>
      <c r="Q542" s="4"/>
      <c r="R542" s="4"/>
      <c r="S542" s="9" t="str">
        <f>HYPERLINK("https://pbs.twimg.com/profile_images/1025789622377439232/3dT2WEIC.jpg","View")</f>
        <v>View</v>
      </c>
    </row>
    <row r="543" spans="1:19" ht="40">
      <c r="A543" s="8">
        <v>43369.535486111112</v>
      </c>
      <c r="B543" s="11" t="str">
        <f>HYPERLINK("https://twitter.com/AmoNietzsche","@AmoNietzsche")</f>
        <v>@AmoNietzsche</v>
      </c>
      <c r="C543" s="6" t="s">
        <v>2277</v>
      </c>
      <c r="D543" s="5" t="s">
        <v>2276</v>
      </c>
      <c r="E543" s="9" t="str">
        <f>HYPERLINK("https://twitter.com/AmoNietzsche/status/1044879527766380547","1044879527766380547")</f>
        <v>1044879527766380547</v>
      </c>
      <c r="F543" s="4"/>
      <c r="G543" s="4"/>
      <c r="H543" s="4"/>
      <c r="I543" s="10" t="str">
        <f>HYPERLINK("http://twitter.com/download/iphone","Twitter for iPhone")</f>
        <v>Twitter for iPhone</v>
      </c>
      <c r="J543" s="2">
        <v>667</v>
      </c>
      <c r="K543" s="2">
        <v>615</v>
      </c>
      <c r="L543" s="2">
        <v>2</v>
      </c>
      <c r="M543" s="2"/>
      <c r="N543" s="8">
        <v>40715.515833333331</v>
      </c>
      <c r="O543" s="4" t="s">
        <v>2275</v>
      </c>
      <c r="P543" s="3" t="s">
        <v>2274</v>
      </c>
      <c r="Q543" s="4"/>
      <c r="R543" s="4"/>
      <c r="S543" s="9" t="str">
        <f>HYPERLINK("https://pbs.twimg.com/profile_images/989886188994596864/v1i_Civc.jpg","View")</f>
        <v>View</v>
      </c>
    </row>
    <row r="544" spans="1:19" ht="40">
      <c r="A544" s="8">
        <v>43369.534780092596</v>
      </c>
      <c r="B544" s="11" t="str">
        <f>HYPERLINK("https://twitter.com/AmirAmi80593551","@AmirAmi80593551")</f>
        <v>@AmirAmi80593551</v>
      </c>
      <c r="C544" s="6" t="s">
        <v>184</v>
      </c>
      <c r="D544" s="5" t="s">
        <v>1923</v>
      </c>
      <c r="E544" s="9" t="str">
        <f>HYPERLINK("https://twitter.com/AmirAmi80593551/status/1044879271905435650","1044879271905435650")</f>
        <v>1044879271905435650</v>
      </c>
      <c r="F544" s="4"/>
      <c r="G544" s="4"/>
      <c r="H544" s="4"/>
      <c r="I544" s="10" t="str">
        <f>HYPERLINK("http://twitter.com/download/android","Twitter for Android")</f>
        <v>Twitter for Android</v>
      </c>
      <c r="J544" s="2">
        <v>432</v>
      </c>
      <c r="K544" s="2">
        <v>224</v>
      </c>
      <c r="L544" s="2">
        <v>0</v>
      </c>
      <c r="M544" s="2"/>
      <c r="N544" s="8">
        <v>43105.079224537039</v>
      </c>
      <c r="O544" s="4" t="s">
        <v>183</v>
      </c>
      <c r="P544" s="3" t="s">
        <v>182</v>
      </c>
      <c r="Q544" s="4"/>
      <c r="R544" s="4"/>
      <c r="S544" s="9" t="str">
        <f>HYPERLINK("https://pbs.twimg.com/profile_images/993600761073491968/9ks6QLce.jpg","View")</f>
        <v>View</v>
      </c>
    </row>
    <row r="545" spans="1:19" ht="30">
      <c r="A545" s="8">
        <v>43369.534456018519</v>
      </c>
      <c r="B545" s="11" t="str">
        <f>HYPERLINK("https://twitter.com/estadebamosht","@estadebamosht")</f>
        <v>@estadebamosht</v>
      </c>
      <c r="C545" s="6" t="s">
        <v>397</v>
      </c>
      <c r="D545" s="5" t="s">
        <v>1820</v>
      </c>
      <c r="E545" s="9" t="str">
        <f>HYPERLINK("https://twitter.com/estadebamosht/status/1044879152783007745","1044879152783007745")</f>
        <v>1044879152783007745</v>
      </c>
      <c r="F545" s="4"/>
      <c r="G545" s="4"/>
      <c r="H545" s="4"/>
      <c r="I545" s="10" t="str">
        <f>HYPERLINK("http://twitter.com/download/android","Twitter for Android")</f>
        <v>Twitter for Android</v>
      </c>
      <c r="J545" s="2">
        <v>64</v>
      </c>
      <c r="K545" s="2">
        <v>186</v>
      </c>
      <c r="L545" s="2">
        <v>0</v>
      </c>
      <c r="M545" s="2"/>
      <c r="N545" s="8">
        <v>42685.848703703705</v>
      </c>
      <c r="O545" s="4"/>
      <c r="P545" s="3"/>
      <c r="Q545" s="4"/>
      <c r="R545" s="4"/>
      <c r="S545" s="9" t="str">
        <f>HYPERLINK("https://pbs.twimg.com/profile_images/1027889163587280896/HH_YsQdn.jpg","View")</f>
        <v>View</v>
      </c>
    </row>
    <row r="546" spans="1:19" ht="40">
      <c r="A546" s="8">
        <v>43369.533888888887</v>
      </c>
      <c r="B546" s="11" t="str">
        <f>HYPERLINK("https://twitter.com/moein8686","@moein8686")</f>
        <v>@moein8686</v>
      </c>
      <c r="C546" s="6" t="s">
        <v>2273</v>
      </c>
      <c r="D546" s="5" t="s">
        <v>2272</v>
      </c>
      <c r="E546" s="9" t="str">
        <f>HYPERLINK("https://twitter.com/moein8686/status/1044878945848627206","1044878945848627206")</f>
        <v>1044878945848627206</v>
      </c>
      <c r="F546" s="4"/>
      <c r="G546" s="4"/>
      <c r="H546" s="4"/>
      <c r="I546" s="10" t="str">
        <f>HYPERLINK("http://twitter.com/download/iphone","Twitter for iPhone")</f>
        <v>Twitter for iPhone</v>
      </c>
      <c r="J546" s="2">
        <v>40</v>
      </c>
      <c r="K546" s="2">
        <v>129</v>
      </c>
      <c r="L546" s="2">
        <v>0</v>
      </c>
      <c r="M546" s="2"/>
      <c r="N546" s="8">
        <v>42804.839884259258</v>
      </c>
      <c r="O546" s="4"/>
      <c r="P546" s="3"/>
      <c r="Q546" s="4"/>
      <c r="R546" s="4"/>
      <c r="S546" s="9" t="str">
        <f>HYPERLINK("https://pbs.twimg.com/profile_images/1043760150488776704/Nvo7Vv8X.jpg","View")</f>
        <v>View</v>
      </c>
    </row>
    <row r="547" spans="1:19" ht="40">
      <c r="A547" s="8">
        <v>43369.533495370371</v>
      </c>
      <c r="B547" s="11" t="str">
        <f>HYPERLINK("https://twitter.com/mohamadhasanza5","@mohamadhasanza5")</f>
        <v>@mohamadhasanza5</v>
      </c>
      <c r="C547" s="6" t="s">
        <v>2271</v>
      </c>
      <c r="D547" s="5" t="s">
        <v>2270</v>
      </c>
      <c r="E547" s="9" t="str">
        <f>HYPERLINK("https://twitter.com/mohamadhasanza5/status/1044878802931896321","1044878802931896321")</f>
        <v>1044878802931896321</v>
      </c>
      <c r="F547" s="4"/>
      <c r="G547" s="10" t="s">
        <v>2260</v>
      </c>
      <c r="H547" s="4"/>
      <c r="I547" s="10" t="str">
        <f>HYPERLINK("http://twitter.com","Twitter Web Client")</f>
        <v>Twitter Web Client</v>
      </c>
      <c r="J547" s="2">
        <v>852</v>
      </c>
      <c r="K547" s="2">
        <v>365</v>
      </c>
      <c r="L547" s="2">
        <v>11</v>
      </c>
      <c r="M547" s="2"/>
      <c r="N547" s="8">
        <v>42598.564189814817</v>
      </c>
      <c r="O547" s="4"/>
      <c r="P547" s="3" t="s">
        <v>2269</v>
      </c>
      <c r="Q547" s="10" t="s">
        <v>2268</v>
      </c>
      <c r="R547" s="4"/>
      <c r="S547" s="9" t="str">
        <f>HYPERLINK("https://pbs.twimg.com/profile_images/837795490813067264/nX9Nbsq_.jpg","View")</f>
        <v>View</v>
      </c>
    </row>
    <row r="548" spans="1:19" ht="20">
      <c r="A548" s="8">
        <v>43369.533229166671</v>
      </c>
      <c r="B548" s="11" t="str">
        <f>HYPERLINK("https://twitter.com/davoodk93215901","@davoodk93215901")</f>
        <v>@davoodk93215901</v>
      </c>
      <c r="C548" s="6" t="s">
        <v>2267</v>
      </c>
      <c r="D548" s="5" t="s">
        <v>438</v>
      </c>
      <c r="E548" s="9" t="str">
        <f>HYPERLINK("https://twitter.com/davoodk93215901/status/1044878705691103234","1044878705691103234")</f>
        <v>1044878705691103234</v>
      </c>
      <c r="F548" s="10" t="s">
        <v>437</v>
      </c>
      <c r="G548" s="10" t="s">
        <v>436</v>
      </c>
      <c r="H548" s="4"/>
      <c r="I548" s="10" t="str">
        <f>HYPERLINK("http://twitter.com/download/iphone","Twitter for iPhone")</f>
        <v>Twitter for iPhone</v>
      </c>
      <c r="J548" s="2">
        <v>140</v>
      </c>
      <c r="K548" s="2">
        <v>420</v>
      </c>
      <c r="L548" s="2">
        <v>0</v>
      </c>
      <c r="M548" s="2"/>
      <c r="N548" s="8">
        <v>43229.099328703705</v>
      </c>
      <c r="O548" s="4"/>
      <c r="P548" s="3"/>
      <c r="Q548" s="4"/>
      <c r="R548" s="4"/>
      <c r="S548" s="2" t="s">
        <v>21</v>
      </c>
    </row>
    <row r="549" spans="1:19" ht="40">
      <c r="A549" s="8">
        <v>43369.533020833333</v>
      </c>
      <c r="B549" s="11" t="str">
        <f>HYPERLINK("https://twitter.com/V_for_vendeta11","@V_for_vendeta11")</f>
        <v>@V_for_vendeta11</v>
      </c>
      <c r="C549" s="6" t="s">
        <v>2266</v>
      </c>
      <c r="D549" s="5" t="s">
        <v>1556</v>
      </c>
      <c r="E549" s="9" t="str">
        <f>HYPERLINK("https://twitter.com/V_for_vendeta11/status/1044878631544246277","1044878631544246277")</f>
        <v>1044878631544246277</v>
      </c>
      <c r="F549" s="4"/>
      <c r="G549" s="4"/>
      <c r="H549" s="4"/>
      <c r="I549" s="10" t="str">
        <f>HYPERLINK("http://twitter.com/download/android","Twitter for Android")</f>
        <v>Twitter for Android</v>
      </c>
      <c r="J549" s="2">
        <v>313</v>
      </c>
      <c r="K549" s="2">
        <v>548</v>
      </c>
      <c r="L549" s="2">
        <v>3</v>
      </c>
      <c r="M549" s="2"/>
      <c r="N549" s="8">
        <v>42953.334629629629</v>
      </c>
      <c r="O549" s="4" t="s">
        <v>7</v>
      </c>
      <c r="P549" s="3" t="s">
        <v>2265</v>
      </c>
      <c r="Q549" s="4"/>
      <c r="R549" s="4"/>
      <c r="S549" s="9" t="str">
        <f>HYPERLINK("https://pbs.twimg.com/profile_images/894050694621274114/09vXg2YR.jpg","View")</f>
        <v>View</v>
      </c>
    </row>
    <row r="550" spans="1:19" ht="40">
      <c r="A550" s="8">
        <v>43369.532546296294</v>
      </c>
      <c r="B550" s="11" t="str">
        <f>HYPERLINK("https://twitter.com/sonofsunx","@sonofsunx")</f>
        <v>@sonofsunx</v>
      </c>
      <c r="C550" s="6" t="s">
        <v>2264</v>
      </c>
      <c r="D550" s="5" t="s">
        <v>1923</v>
      </c>
      <c r="E550" s="9" t="str">
        <f>HYPERLINK("https://twitter.com/sonofsunx/status/1044878461326839808","1044878461326839808")</f>
        <v>1044878461326839808</v>
      </c>
      <c r="F550" s="4"/>
      <c r="G550" s="4"/>
      <c r="H550" s="4"/>
      <c r="I550" s="10" t="str">
        <f>HYPERLINK("http://twitter.com/download/iphone","Twitter for iPhone")</f>
        <v>Twitter for iPhone</v>
      </c>
      <c r="J550" s="2">
        <v>206</v>
      </c>
      <c r="K550" s="2">
        <v>290</v>
      </c>
      <c r="L550" s="2">
        <v>0</v>
      </c>
      <c r="M550" s="2"/>
      <c r="N550" s="8">
        <v>42835.454942129625</v>
      </c>
      <c r="O550" s="4"/>
      <c r="P550" s="3" t="s">
        <v>2263</v>
      </c>
      <c r="Q550" s="4"/>
      <c r="R550" s="4"/>
      <c r="S550" s="9" t="str">
        <f>HYPERLINK("https://pbs.twimg.com/profile_images/959520756928454656/PNXnxCLL.jpg","View")</f>
        <v>View</v>
      </c>
    </row>
    <row r="551" spans="1:19" ht="30">
      <c r="A551" s="8">
        <v>43369.532268518524</v>
      </c>
      <c r="B551" s="11" t="str">
        <f>HYPERLINK("https://twitter.com/KavocAsta","@KavocAsta")</f>
        <v>@KavocAsta</v>
      </c>
      <c r="C551" s="6" t="s">
        <v>2262</v>
      </c>
      <c r="D551" s="5" t="s">
        <v>2261</v>
      </c>
      <c r="E551" s="9" t="str">
        <f>HYPERLINK("https://twitter.com/KavocAsta/status/1044878360193748992","1044878360193748992")</f>
        <v>1044878360193748992</v>
      </c>
      <c r="F551" s="4"/>
      <c r="G551" s="10" t="s">
        <v>2260</v>
      </c>
      <c r="H551" s="4"/>
      <c r="I551" s="10" t="str">
        <f>HYPERLINK("http://twitter.com","Twitter Web Client")</f>
        <v>Twitter Web Client</v>
      </c>
      <c r="J551" s="2">
        <v>2247</v>
      </c>
      <c r="K551" s="2">
        <v>1900</v>
      </c>
      <c r="L551" s="2">
        <v>5</v>
      </c>
      <c r="M551" s="2"/>
      <c r="N551" s="8">
        <v>42852.058171296296</v>
      </c>
      <c r="O551" s="4" t="s">
        <v>2259</v>
      </c>
      <c r="P551" s="3" t="s">
        <v>2258</v>
      </c>
      <c r="Q551" s="10" t="s">
        <v>2257</v>
      </c>
      <c r="R551" s="4"/>
      <c r="S551" s="9" t="str">
        <f>HYPERLINK("https://pbs.twimg.com/profile_images/996833951804080128/6KrrgRW_.jpg","View")</f>
        <v>View</v>
      </c>
    </row>
    <row r="552" spans="1:19" ht="40">
      <c r="A552" s="8">
        <v>43369.532268518524</v>
      </c>
      <c r="B552" s="11" t="str">
        <f>HYPERLINK("https://twitter.com/shahramkateb","@shahramkateb")</f>
        <v>@shahramkateb</v>
      </c>
      <c r="C552" s="6" t="s">
        <v>2256</v>
      </c>
      <c r="D552" s="5" t="s">
        <v>2255</v>
      </c>
      <c r="E552" s="9" t="str">
        <f>HYPERLINK("https://twitter.com/shahramkateb/status/1044878359895977984","1044878359895977984")</f>
        <v>1044878359895977984</v>
      </c>
      <c r="F552" s="4"/>
      <c r="G552" s="10" t="s">
        <v>2254</v>
      </c>
      <c r="H552" s="4"/>
      <c r="I552" s="10" t="str">
        <f>HYPERLINK("http://twitter.com","Twitter Web Client")</f>
        <v>Twitter Web Client</v>
      </c>
      <c r="J552" s="2">
        <v>3</v>
      </c>
      <c r="K552" s="2">
        <v>23</v>
      </c>
      <c r="L552" s="2">
        <v>0</v>
      </c>
      <c r="M552" s="2"/>
      <c r="N552" s="8">
        <v>41448.265925925924</v>
      </c>
      <c r="O552" s="4"/>
      <c r="P552" s="3"/>
      <c r="Q552" s="4"/>
      <c r="R552" s="4"/>
      <c r="S552" s="9" t="str">
        <f>HYPERLINK("https://pbs.twimg.com/profile_images/992349425346535425/0UZ0UrxL.jpg","View")</f>
        <v>View</v>
      </c>
    </row>
    <row r="553" spans="1:19" ht="40">
      <c r="A553" s="8">
        <v>43369.532025462962</v>
      </c>
      <c r="B553" s="11" t="str">
        <f>HYPERLINK("https://twitter.com/HoseinBayat14","@HoseinBayat14")</f>
        <v>@HoseinBayat14</v>
      </c>
      <c r="C553" s="6" t="s">
        <v>2253</v>
      </c>
      <c r="D553" s="5" t="s">
        <v>1548</v>
      </c>
      <c r="E553" s="9" t="str">
        <f>HYPERLINK("https://twitter.com/HoseinBayat14/status/1044878273019359233","1044878273019359233")</f>
        <v>1044878273019359233</v>
      </c>
      <c r="F553" s="4"/>
      <c r="G553" s="4"/>
      <c r="H553" s="4"/>
      <c r="I553" s="10" t="str">
        <f>HYPERLINK("http://twitter.com/download/android","Twitter for Android")</f>
        <v>Twitter for Android</v>
      </c>
      <c r="J553" s="2">
        <v>174</v>
      </c>
      <c r="K553" s="2">
        <v>232</v>
      </c>
      <c r="L553" s="2">
        <v>0</v>
      </c>
      <c r="M553" s="2"/>
      <c r="N553" s="8">
        <v>43264.638495370367</v>
      </c>
      <c r="O553" s="4"/>
      <c r="P553" s="3" t="s">
        <v>2252</v>
      </c>
      <c r="Q553" s="4"/>
      <c r="R553" s="4"/>
      <c r="S553" s="9" t="str">
        <f>HYPERLINK("https://pbs.twimg.com/profile_images/1006855710368509952/d3JN74YR.jpg","View")</f>
        <v>View</v>
      </c>
    </row>
    <row r="554" spans="1:19" ht="30">
      <c r="A554" s="8">
        <v>43369.531840277778</v>
      </c>
      <c r="B554" s="11" t="str">
        <f>HYPERLINK("https://twitter.com/Mrmrg5","@Mrmrg5")</f>
        <v>@Mrmrg5</v>
      </c>
      <c r="C554" s="6" t="s">
        <v>2251</v>
      </c>
      <c r="D554" s="5" t="s">
        <v>2250</v>
      </c>
      <c r="E554" s="9" t="str">
        <f>HYPERLINK("https://twitter.com/Mrmrg5/status/1044878202970288128","1044878202970288128")</f>
        <v>1044878202970288128</v>
      </c>
      <c r="F554" s="4"/>
      <c r="G554" s="4"/>
      <c r="H554" s="4"/>
      <c r="I554" s="10" t="str">
        <f>HYPERLINK("http://twitter.com/download/android","Twitter for Android")</f>
        <v>Twitter for Android</v>
      </c>
      <c r="J554" s="2">
        <v>476</v>
      </c>
      <c r="K554" s="2">
        <v>187</v>
      </c>
      <c r="L554" s="2">
        <v>1</v>
      </c>
      <c r="M554" s="2"/>
      <c r="N554" s="8">
        <v>42894.022870370369</v>
      </c>
      <c r="O554" s="4" t="s">
        <v>33</v>
      </c>
      <c r="P554" s="3" t="s">
        <v>2249</v>
      </c>
      <c r="Q554" s="4"/>
      <c r="R554" s="4"/>
      <c r="S554" s="9" t="str">
        <f>HYPERLINK("https://pbs.twimg.com/profile_images/1039837677011517442/-JbAsieB.jpg","View")</f>
        <v>View</v>
      </c>
    </row>
    <row r="555" spans="1:19" ht="40">
      <c r="A555" s="8">
        <v>43369.530902777777</v>
      </c>
      <c r="B555" s="11" t="str">
        <f>HYPERLINK("https://twitter.com/kurosh_s","@kurosh_s")</f>
        <v>@kurosh_s</v>
      </c>
      <c r="C555" s="6" t="s">
        <v>2248</v>
      </c>
      <c r="D555" s="5" t="s">
        <v>1556</v>
      </c>
      <c r="E555" s="9" t="str">
        <f>HYPERLINK("https://twitter.com/kurosh_s/status/1044877864775151618","1044877864775151618")</f>
        <v>1044877864775151618</v>
      </c>
      <c r="F555" s="4"/>
      <c r="G555" s="4"/>
      <c r="H555" s="4"/>
      <c r="I555" s="10" t="str">
        <f>HYPERLINK("http://twitter.com/download/android","Twitter for Android")</f>
        <v>Twitter for Android</v>
      </c>
      <c r="J555" s="2">
        <v>76</v>
      </c>
      <c r="K555" s="2">
        <v>259</v>
      </c>
      <c r="L555" s="2">
        <v>0</v>
      </c>
      <c r="M555" s="2"/>
      <c r="N555" s="8">
        <v>41065.912893518514</v>
      </c>
      <c r="O555" s="4"/>
      <c r="P555" s="3"/>
      <c r="Q555" s="4"/>
      <c r="R555" s="4"/>
      <c r="S555" s="2" t="s">
        <v>21</v>
      </c>
    </row>
    <row r="556" spans="1:19" ht="40">
      <c r="A556" s="8">
        <v>43369.530752314815</v>
      </c>
      <c r="B556" s="11" t="str">
        <f>HYPERLINK("https://twitter.com/kafereeshgh","@kafereeshgh")</f>
        <v>@kafereeshgh</v>
      </c>
      <c r="C556" s="6" t="s">
        <v>2247</v>
      </c>
      <c r="D556" s="5" t="s">
        <v>1556</v>
      </c>
      <c r="E556" s="9" t="str">
        <f>HYPERLINK("https://twitter.com/kafereeshgh/status/1044877809745895425","1044877809745895425")</f>
        <v>1044877809745895425</v>
      </c>
      <c r="F556" s="4"/>
      <c r="G556" s="4"/>
      <c r="H556" s="4"/>
      <c r="I556" s="10" t="str">
        <f>HYPERLINK("http://twitter.com/download/android","Twitter for Android")</f>
        <v>Twitter for Android</v>
      </c>
      <c r="J556" s="2">
        <v>907</v>
      </c>
      <c r="K556" s="2">
        <v>913</v>
      </c>
      <c r="L556" s="2">
        <v>1</v>
      </c>
      <c r="M556" s="2"/>
      <c r="N556" s="8">
        <v>43231.467291666668</v>
      </c>
      <c r="O556" s="4" t="s">
        <v>2246</v>
      </c>
      <c r="P556" s="3" t="s">
        <v>2245</v>
      </c>
      <c r="Q556" s="10" t="s">
        <v>2244</v>
      </c>
      <c r="R556" s="4"/>
      <c r="S556" s="9" t="str">
        <f>HYPERLINK("https://pbs.twimg.com/profile_images/1005182257802481664/GU5NtBiA.jpg","View")</f>
        <v>View</v>
      </c>
    </row>
    <row r="557" spans="1:19" ht="30">
      <c r="A557" s="8">
        <v>43369.530682870369</v>
      </c>
      <c r="B557" s="11" t="str">
        <f>HYPERLINK("https://twitter.com/AlirezaAbolgha3","@AlirezaAbolgha3")</f>
        <v>@AlirezaAbolgha3</v>
      </c>
      <c r="C557" s="6" t="s">
        <v>2243</v>
      </c>
      <c r="D557" s="5" t="s">
        <v>2242</v>
      </c>
      <c r="E557" s="9" t="str">
        <f>HYPERLINK("https://twitter.com/AlirezaAbolgha3/status/1044877784525533185","1044877784525533185")</f>
        <v>1044877784525533185</v>
      </c>
      <c r="F557" s="4"/>
      <c r="G557" s="10" t="s">
        <v>87</v>
      </c>
      <c r="H557" s="4"/>
      <c r="I557" s="10" t="str">
        <f>HYPERLINK("http://twitter.com/download/android","Twitter for Android")</f>
        <v>Twitter for Android</v>
      </c>
      <c r="J557" s="2">
        <v>843</v>
      </c>
      <c r="K557" s="2">
        <v>869</v>
      </c>
      <c r="L557" s="2">
        <v>1</v>
      </c>
      <c r="M557" s="2"/>
      <c r="N557" s="8">
        <v>42912.8596875</v>
      </c>
      <c r="O557" s="4" t="s">
        <v>48</v>
      </c>
      <c r="P557" s="3" t="s">
        <v>2241</v>
      </c>
      <c r="Q557" s="4"/>
      <c r="R557" s="4"/>
      <c r="S557" s="9" t="str">
        <f>HYPERLINK("https://pbs.twimg.com/profile_images/973631389986967554/D_7u80UC.jpg","View")</f>
        <v>View</v>
      </c>
    </row>
    <row r="558" spans="1:19" ht="40">
      <c r="A558" s="8">
        <v>43369.53061342593</v>
      </c>
      <c r="B558" s="11" t="str">
        <f>HYPERLINK("https://twitter.com/HesamHS9","@HesamHS9")</f>
        <v>@HesamHS9</v>
      </c>
      <c r="C558" s="6" t="s">
        <v>2240</v>
      </c>
      <c r="D558" s="5" t="s">
        <v>1556</v>
      </c>
      <c r="E558" s="9" t="str">
        <f>HYPERLINK("https://twitter.com/HesamHS9/status/1044877759842004992","1044877759842004992")</f>
        <v>1044877759842004992</v>
      </c>
      <c r="F558" s="4"/>
      <c r="G558" s="4"/>
      <c r="H558" s="4"/>
      <c r="I558" s="10" t="str">
        <f>HYPERLINK("http://twitter.com/download/android","Twitter for Android")</f>
        <v>Twitter for Android</v>
      </c>
      <c r="J558" s="2">
        <v>84</v>
      </c>
      <c r="K558" s="2">
        <v>34</v>
      </c>
      <c r="L558" s="2">
        <v>0</v>
      </c>
      <c r="M558" s="2"/>
      <c r="N558" s="8">
        <v>43109.527951388889</v>
      </c>
      <c r="O558" s="4" t="s">
        <v>2239</v>
      </c>
      <c r="P558" s="3" t="s">
        <v>2238</v>
      </c>
      <c r="Q558" s="4"/>
      <c r="R558" s="4"/>
      <c r="S558" s="9" t="str">
        <f>HYPERLINK("https://pbs.twimg.com/profile_images/1044474587134775296/D_wkCONn.jpg","View")</f>
        <v>View</v>
      </c>
    </row>
    <row r="559" spans="1:19" ht="30">
      <c r="A559" s="8">
        <v>43369.530474537038</v>
      </c>
      <c r="B559" s="11" t="str">
        <f>HYPERLINK("https://twitter.com/khorasanrazavi","@khorasanrazavi")</f>
        <v>@khorasanrazavi</v>
      </c>
      <c r="C559" s="6" t="s">
        <v>2237</v>
      </c>
      <c r="D559" s="5" t="s">
        <v>2236</v>
      </c>
      <c r="E559" s="9" t="str">
        <f>HYPERLINK("https://twitter.com/khorasanrazavi/status/1044877707761389568","1044877707761389568")</f>
        <v>1044877707761389568</v>
      </c>
      <c r="F559" s="4"/>
      <c r="G559" s="4"/>
      <c r="H559" s="4"/>
      <c r="I559" s="10" t="str">
        <f>HYPERLINK("http://t.me/RetweetBot","HsinBot")</f>
        <v>HsinBot</v>
      </c>
      <c r="J559" s="2">
        <v>112</v>
      </c>
      <c r="K559" s="2">
        <v>0</v>
      </c>
      <c r="L559" s="2">
        <v>0</v>
      </c>
      <c r="M559" s="2"/>
      <c r="N559" s="8">
        <v>43332.965891203705</v>
      </c>
      <c r="O559" s="4" t="s">
        <v>2235</v>
      </c>
      <c r="P559" s="3" t="s">
        <v>2234</v>
      </c>
      <c r="Q559" s="4"/>
      <c r="R559" s="4"/>
      <c r="S559" s="9" t="str">
        <f>HYPERLINK("https://pbs.twimg.com/profile_images/1031613754646114304/o5GPitDf.jpg","View")</f>
        <v>View</v>
      </c>
    </row>
    <row r="560" spans="1:19" ht="40">
      <c r="A560" s="8">
        <v>43369.530462962968</v>
      </c>
      <c r="B560" s="11" t="str">
        <f>HYPERLINK("https://twitter.com/Salsabil_IR","@Salsabil_IR")</f>
        <v>@Salsabil_IR</v>
      </c>
      <c r="C560" s="6" t="s">
        <v>2233</v>
      </c>
      <c r="D560" s="5" t="s">
        <v>72</v>
      </c>
      <c r="E560" s="9" t="str">
        <f>HYPERLINK("https://twitter.com/Salsabil_IR/status/1044877705655799810","1044877705655799810")</f>
        <v>1044877705655799810</v>
      </c>
      <c r="F560" s="4"/>
      <c r="G560" s="4"/>
      <c r="H560" s="4"/>
      <c r="I560" s="10" t="str">
        <f>HYPERLINK("http://twitter.com","Twitter Web Client")</f>
        <v>Twitter Web Client</v>
      </c>
      <c r="J560" s="2">
        <v>291</v>
      </c>
      <c r="K560" s="2">
        <v>596</v>
      </c>
      <c r="L560" s="2">
        <v>0</v>
      </c>
      <c r="M560" s="2"/>
      <c r="N560" s="8">
        <v>42372.546064814815</v>
      </c>
      <c r="O560" s="4" t="s">
        <v>7</v>
      </c>
      <c r="P560" s="3" t="s">
        <v>2232</v>
      </c>
      <c r="Q560" s="10" t="s">
        <v>2231</v>
      </c>
      <c r="R560" s="4"/>
      <c r="S560" s="9" t="str">
        <f>HYPERLINK("https://pbs.twimg.com/profile_images/920585040932823041/knFzEIUB.jpg","View")</f>
        <v>View</v>
      </c>
    </row>
    <row r="561" spans="1:19" ht="40">
      <c r="A561" s="8">
        <v>43369.52643518518</v>
      </c>
      <c r="B561" s="11" t="str">
        <f>HYPERLINK("https://twitter.com/jamejamCPI","@jamejamCPI")</f>
        <v>@jamejamCPI</v>
      </c>
      <c r="C561" s="6" t="s">
        <v>6</v>
      </c>
      <c r="D561" s="5" t="s">
        <v>2230</v>
      </c>
      <c r="E561" s="9" t="str">
        <f>HYPERLINK("https://twitter.com/jamejamCPI/status/1044876245090127872","1044876245090127872")</f>
        <v>1044876245090127872</v>
      </c>
      <c r="F561" s="4"/>
      <c r="G561" s="4"/>
      <c r="H561" s="4"/>
      <c r="I561" s="10" t="str">
        <f>HYPERLINK("http://twitter.com","Twitter Web Client")</f>
        <v>Twitter Web Client</v>
      </c>
      <c r="J561" s="2">
        <v>27086</v>
      </c>
      <c r="K561" s="2">
        <v>1410</v>
      </c>
      <c r="L561" s="2">
        <v>145</v>
      </c>
      <c r="M561" s="2"/>
      <c r="N561" s="8">
        <v>41548.76021990741</v>
      </c>
      <c r="O561" s="4" t="s">
        <v>5</v>
      </c>
      <c r="P561" s="3" t="s">
        <v>4</v>
      </c>
      <c r="Q561" s="10" t="s">
        <v>3</v>
      </c>
      <c r="R561" s="4"/>
      <c r="S561" s="9" t="str">
        <f>HYPERLINK("https://pbs.twimg.com/profile_images/1016553348819046405/PBNorYe4.jpg","View")</f>
        <v>View</v>
      </c>
    </row>
    <row r="562" spans="1:19" ht="40">
      <c r="A562" s="8">
        <v>43369.52621527778</v>
      </c>
      <c r="B562" s="11" t="str">
        <f>HYPERLINK("https://twitter.com/apooyanm","@apooyanm")</f>
        <v>@apooyanm</v>
      </c>
      <c r="C562" s="6" t="s">
        <v>1849</v>
      </c>
      <c r="D562" s="5" t="s">
        <v>2229</v>
      </c>
      <c r="E562" s="9" t="str">
        <f>HYPERLINK("https://twitter.com/apooyanm/status/1044876167042519045","1044876167042519045")</f>
        <v>1044876167042519045</v>
      </c>
      <c r="F562" s="4"/>
      <c r="G562" s="4"/>
      <c r="H562" s="4"/>
      <c r="I562" s="10" t="str">
        <f>HYPERLINK("http://twitter.com/download/android","Twitter for Android")</f>
        <v>Twitter for Android</v>
      </c>
      <c r="J562" s="2">
        <v>149</v>
      </c>
      <c r="K562" s="2">
        <v>93</v>
      </c>
      <c r="L562" s="2">
        <v>1</v>
      </c>
      <c r="M562" s="2"/>
      <c r="N562" s="8">
        <v>42368.919305555552</v>
      </c>
      <c r="O562" s="4" t="s">
        <v>1847</v>
      </c>
      <c r="P562" s="3" t="s">
        <v>1846</v>
      </c>
      <c r="Q562" s="10" t="s">
        <v>1845</v>
      </c>
      <c r="R562" s="4"/>
      <c r="S562" s="9" t="str">
        <f>HYPERLINK("https://pbs.twimg.com/profile_images/682269018699513856/K-jsrO8_.jpg","View")</f>
        <v>View</v>
      </c>
    </row>
    <row r="563" spans="1:19" ht="40">
      <c r="A563" s="8">
        <v>43369.526076388887</v>
      </c>
      <c r="B563" s="11" t="str">
        <f>HYPERLINK("https://twitter.com/springbymahdi","@springbymahdi")</f>
        <v>@springbymahdi</v>
      </c>
      <c r="C563" s="6" t="s">
        <v>159</v>
      </c>
      <c r="D563" s="5" t="s">
        <v>756</v>
      </c>
      <c r="E563" s="9" t="str">
        <f>HYPERLINK("https://twitter.com/springbymahdi/status/1044876116958343169","1044876116958343169")</f>
        <v>1044876116958343169</v>
      </c>
      <c r="F563" s="4"/>
      <c r="G563" s="4"/>
      <c r="H563" s="4"/>
      <c r="I563" s="10" t="str">
        <f>HYPERLINK("http://twitter.com/download/android","Twitter for Android")</f>
        <v>Twitter for Android</v>
      </c>
      <c r="J563" s="2">
        <v>824</v>
      </c>
      <c r="K563" s="2">
        <v>873</v>
      </c>
      <c r="L563" s="2">
        <v>1</v>
      </c>
      <c r="M563" s="2"/>
      <c r="N563" s="8">
        <v>43174.966412037036</v>
      </c>
      <c r="O563" s="4" t="s">
        <v>158</v>
      </c>
      <c r="P563" s="3" t="s">
        <v>157</v>
      </c>
      <c r="Q563" s="4"/>
      <c r="R563" s="4"/>
      <c r="S563" s="9" t="str">
        <f>HYPERLINK("https://pbs.twimg.com/profile_images/1006248891950551040/NPxrChSo.jpg","View")</f>
        <v>View</v>
      </c>
    </row>
    <row r="564" spans="1:19" ht="40">
      <c r="A564" s="8">
        <v>43369.524942129632</v>
      </c>
      <c r="B564" s="11" t="str">
        <f>HYPERLINK("https://twitter.com/EngSepanta","@EngSepanta")</f>
        <v>@EngSepanta</v>
      </c>
      <c r="C564" s="6" t="s">
        <v>2228</v>
      </c>
      <c r="D564" s="5" t="s">
        <v>2227</v>
      </c>
      <c r="E564" s="9" t="str">
        <f>HYPERLINK("https://twitter.com/EngSepanta/status/1044875704402411520","1044875704402411520")</f>
        <v>1044875704402411520</v>
      </c>
      <c r="F564" s="4"/>
      <c r="G564" s="4"/>
      <c r="H564" s="4"/>
      <c r="I564" s="10" t="str">
        <f>HYPERLINK("http://twitter.com/download/android","Twitter for Android")</f>
        <v>Twitter for Android</v>
      </c>
      <c r="J564" s="2">
        <v>0</v>
      </c>
      <c r="K564" s="2">
        <v>1</v>
      </c>
      <c r="L564" s="2">
        <v>0</v>
      </c>
      <c r="M564" s="2"/>
      <c r="N564" s="8">
        <v>43369.515092592592</v>
      </c>
      <c r="O564" s="4"/>
      <c r="P564" s="3"/>
      <c r="Q564" s="4"/>
      <c r="R564" s="4"/>
      <c r="S564" s="9" t="str">
        <f>HYPERLINK("https://pbs.twimg.com/profile_images/1044874354734051328/VpM98W_K.jpg","View")</f>
        <v>View</v>
      </c>
    </row>
    <row r="565" spans="1:19" ht="30">
      <c r="A565" s="8">
        <v>43369.524236111116</v>
      </c>
      <c r="B565" s="11" t="str">
        <f>HYPERLINK("https://twitter.com/yaser3177","@yaser3177")</f>
        <v>@yaser3177</v>
      </c>
      <c r="C565" s="6" t="s">
        <v>2224</v>
      </c>
      <c r="D565" s="5" t="s">
        <v>2216</v>
      </c>
      <c r="E565" s="9" t="str">
        <f>HYPERLINK("https://twitter.com/yaser3177/status/1044875447102853120","1044875447102853120")</f>
        <v>1044875447102853120</v>
      </c>
      <c r="F565" s="4"/>
      <c r="G565" s="4"/>
      <c r="H565" s="4"/>
      <c r="I565" s="10" t="str">
        <f>HYPERLINK("http://twitter.com/download/android","Twitter for Android")</f>
        <v>Twitter for Android</v>
      </c>
      <c r="J565" s="2">
        <v>576</v>
      </c>
      <c r="K565" s="2">
        <v>488</v>
      </c>
      <c r="L565" s="2">
        <v>2</v>
      </c>
      <c r="M565" s="2"/>
      <c r="N565" s="8">
        <v>42533.491249999999</v>
      </c>
      <c r="O565" s="4" t="s">
        <v>2221</v>
      </c>
      <c r="P565" s="3" t="s">
        <v>2220</v>
      </c>
      <c r="Q565" s="4"/>
      <c r="R565" s="4"/>
      <c r="S565" s="9" t="str">
        <f>HYPERLINK("https://pbs.twimg.com/profile_images/932476540645969920/ViIIe7VR.jpg","View")</f>
        <v>View</v>
      </c>
    </row>
    <row r="566" spans="1:19" ht="40">
      <c r="A566" s="8">
        <v>43369.524016203708</v>
      </c>
      <c r="B566" s="11" t="str">
        <f>HYPERLINK("https://twitter.com/ARghaedi1999","@ARghaedi1999")</f>
        <v>@ARghaedi1999</v>
      </c>
      <c r="C566" s="6" t="s">
        <v>2226</v>
      </c>
      <c r="D566" s="5" t="s">
        <v>1556</v>
      </c>
      <c r="E566" s="9" t="str">
        <f>HYPERLINK("https://twitter.com/ARghaedi1999/status/1044875368572833793","1044875368572833793")</f>
        <v>1044875368572833793</v>
      </c>
      <c r="F566" s="4"/>
      <c r="G566" s="4"/>
      <c r="H566" s="4"/>
      <c r="I566" s="10" t="str">
        <f>HYPERLINK("http://twitter.com/download/iphone","Twitter for iPhone")</f>
        <v>Twitter for iPhone</v>
      </c>
      <c r="J566" s="2">
        <v>79</v>
      </c>
      <c r="K566" s="2">
        <v>70</v>
      </c>
      <c r="L566" s="2">
        <v>1</v>
      </c>
      <c r="M566" s="2"/>
      <c r="N566" s="8">
        <v>43285.893159722225</v>
      </c>
      <c r="O566" s="4" t="s">
        <v>7</v>
      </c>
      <c r="P566" s="3" t="s">
        <v>2225</v>
      </c>
      <c r="Q566" s="4"/>
      <c r="R566" s="4"/>
      <c r="S566" s="9" t="str">
        <f>HYPERLINK("https://pbs.twimg.com/profile_images/1017005698205519872/SwAM0sct.jpg","View")</f>
        <v>View</v>
      </c>
    </row>
    <row r="567" spans="1:19" ht="30">
      <c r="A567" s="8">
        <v>43369.523333333331</v>
      </c>
      <c r="B567" s="11" t="str">
        <f>HYPERLINK("https://twitter.com/yaser3177","@yaser3177")</f>
        <v>@yaser3177</v>
      </c>
      <c r="C567" s="6" t="s">
        <v>2224</v>
      </c>
      <c r="D567" s="5" t="s">
        <v>2223</v>
      </c>
      <c r="E567" s="9" t="str">
        <f>HYPERLINK("https://twitter.com/yaser3177/status/1044875121280909312","1044875121280909312")</f>
        <v>1044875121280909312</v>
      </c>
      <c r="F567" s="4"/>
      <c r="G567" s="10" t="s">
        <v>2222</v>
      </c>
      <c r="H567" s="4"/>
      <c r="I567" s="10" t="str">
        <f>HYPERLINK("http://twitter.com/download/android","Twitter for Android")</f>
        <v>Twitter for Android</v>
      </c>
      <c r="J567" s="2">
        <v>576</v>
      </c>
      <c r="K567" s="2">
        <v>488</v>
      </c>
      <c r="L567" s="2">
        <v>2</v>
      </c>
      <c r="M567" s="2"/>
      <c r="N567" s="8">
        <v>42533.491249999999</v>
      </c>
      <c r="O567" s="4" t="s">
        <v>2221</v>
      </c>
      <c r="P567" s="3" t="s">
        <v>2220</v>
      </c>
      <c r="Q567" s="4"/>
      <c r="R567" s="4"/>
      <c r="S567" s="9" t="str">
        <f>HYPERLINK("https://pbs.twimg.com/profile_images/932476540645969920/ViIIe7VR.jpg","View")</f>
        <v>View</v>
      </c>
    </row>
    <row r="568" spans="1:19" ht="40">
      <c r="A568" s="8">
        <v>43369.523217592592</v>
      </c>
      <c r="B568" s="11" t="str">
        <f>HYPERLINK("https://twitter.com/reza_k25","@reza_k25")</f>
        <v>@reza_k25</v>
      </c>
      <c r="C568" s="6" t="s">
        <v>2219</v>
      </c>
      <c r="D568" s="5" t="s">
        <v>1556</v>
      </c>
      <c r="E568" s="9" t="str">
        <f>HYPERLINK("https://twitter.com/reza_k25/status/1044875079744712704","1044875079744712704")</f>
        <v>1044875079744712704</v>
      </c>
      <c r="F568" s="4"/>
      <c r="G568" s="4"/>
      <c r="H568" s="4"/>
      <c r="I568" s="10" t="str">
        <f>HYPERLINK("http://twitter.com/download/android","Twitter for Android")</f>
        <v>Twitter for Android</v>
      </c>
      <c r="J568" s="2">
        <v>2723</v>
      </c>
      <c r="K568" s="2">
        <v>2642</v>
      </c>
      <c r="L568" s="2">
        <v>7</v>
      </c>
      <c r="M568" s="2"/>
      <c r="N568" s="8">
        <v>41730.859629629631</v>
      </c>
      <c r="O568" s="4"/>
      <c r="P568" s="3" t="s">
        <v>2218</v>
      </c>
      <c r="Q568" s="4"/>
      <c r="R568" s="4"/>
      <c r="S568" s="9" t="str">
        <f>HYPERLINK("https://pbs.twimg.com/profile_images/1019917317076111368/GFD7XxPR.jpg","View")</f>
        <v>View</v>
      </c>
    </row>
    <row r="569" spans="1:19" ht="30">
      <c r="A569" s="8">
        <v>43369.522997685184</v>
      </c>
      <c r="B569" s="11" t="str">
        <f>HYPERLINK("https://twitter.com/hossein63r","@hossein63r")</f>
        <v>@hossein63r</v>
      </c>
      <c r="C569" s="6" t="s">
        <v>2217</v>
      </c>
      <c r="D569" s="5" t="s">
        <v>2216</v>
      </c>
      <c r="E569" s="9" t="str">
        <f>HYPERLINK("https://twitter.com/hossein63r/status/1044874999679655936","1044874999679655936")</f>
        <v>1044874999679655936</v>
      </c>
      <c r="F569" s="4"/>
      <c r="G569" s="4"/>
      <c r="H569" s="4"/>
      <c r="I569" s="10" t="str">
        <f>HYPERLINK("http://twitter.com/download/android","Twitter for Android")</f>
        <v>Twitter for Android</v>
      </c>
      <c r="J569" s="2">
        <v>595</v>
      </c>
      <c r="K569" s="2">
        <v>1572</v>
      </c>
      <c r="L569" s="2">
        <v>1</v>
      </c>
      <c r="M569" s="2"/>
      <c r="N569" s="8">
        <v>43132.863657407404</v>
      </c>
      <c r="O569" s="4" t="s">
        <v>1</v>
      </c>
      <c r="P569" s="3" t="s">
        <v>2215</v>
      </c>
      <c r="Q569" s="4"/>
      <c r="R569" s="4"/>
      <c r="S569" s="9" t="str">
        <f>HYPERLINK("https://pbs.twimg.com/profile_images/959120712521760768/Og3fP_lT.jpg","View")</f>
        <v>View</v>
      </c>
    </row>
    <row r="570" spans="1:19" ht="40">
      <c r="A570" s="8">
        <v>43369.522986111115</v>
      </c>
      <c r="B570" s="11" t="str">
        <f>HYPERLINK("https://twitter.com/mosafer_iran","@mosafer_iran")</f>
        <v>@mosafer_iran</v>
      </c>
      <c r="C570" s="6" t="s">
        <v>2214</v>
      </c>
      <c r="D570" s="5" t="s">
        <v>58</v>
      </c>
      <c r="E570" s="9" t="str">
        <f>HYPERLINK("https://twitter.com/mosafer_iran/status/1044874996135481344","1044874996135481344")</f>
        <v>1044874996135481344</v>
      </c>
      <c r="F570" s="4"/>
      <c r="G570" s="10" t="s">
        <v>57</v>
      </c>
      <c r="H570" s="4"/>
      <c r="I570" s="10" t="str">
        <f>HYPERLINK("http://twitter.com","Twitter Web Client")</f>
        <v>Twitter Web Client</v>
      </c>
      <c r="J570" s="2">
        <v>2919</v>
      </c>
      <c r="K570" s="2">
        <v>4986</v>
      </c>
      <c r="L570" s="2">
        <v>5</v>
      </c>
      <c r="M570" s="2"/>
      <c r="N570" s="8">
        <v>42812.023935185185</v>
      </c>
      <c r="O570" s="4"/>
      <c r="P570" s="3" t="s">
        <v>2213</v>
      </c>
      <c r="Q570" s="10" t="s">
        <v>2212</v>
      </c>
      <c r="R570" s="4"/>
      <c r="S570" s="9" t="str">
        <f>HYPERLINK("https://pbs.twimg.com/profile_images/989527428186832896/3cqbfTlJ.jpg","View")</f>
        <v>View</v>
      </c>
    </row>
    <row r="571" spans="1:19" ht="30">
      <c r="A571" s="8">
        <v>43369.522835648153</v>
      </c>
      <c r="B571" s="11" t="str">
        <f>HYPERLINK("https://twitter.com/Ehsan_hz32","@Ehsan_hz32")</f>
        <v>@Ehsan_hz32</v>
      </c>
      <c r="C571" s="6" t="s">
        <v>2211</v>
      </c>
      <c r="D571" s="5" t="s">
        <v>108</v>
      </c>
      <c r="E571" s="9" t="str">
        <f>HYPERLINK("https://twitter.com/Ehsan_hz32/status/1044874942314106880","1044874942314106880")</f>
        <v>1044874942314106880</v>
      </c>
      <c r="F571" s="4"/>
      <c r="G571" s="4"/>
      <c r="H571" s="4"/>
      <c r="I571" s="10" t="str">
        <f>HYPERLINK("http://twitter.com/download/android","Twitter for Android")</f>
        <v>Twitter for Android</v>
      </c>
      <c r="J571" s="2">
        <v>3</v>
      </c>
      <c r="K571" s="2">
        <v>1</v>
      </c>
      <c r="L571" s="2">
        <v>0</v>
      </c>
      <c r="M571" s="2"/>
      <c r="N571" s="8">
        <v>43352.731932870374</v>
      </c>
      <c r="O571" s="4" t="s">
        <v>2210</v>
      </c>
      <c r="P571" s="3" t="s">
        <v>2209</v>
      </c>
      <c r="Q571" s="4"/>
      <c r="R571" s="4"/>
      <c r="S571" s="9" t="str">
        <f>HYPERLINK("https://pbs.twimg.com/profile_images/1038777088319414272/0R60JCrV.jpg","View")</f>
        <v>View</v>
      </c>
    </row>
    <row r="572" spans="1:19" ht="50">
      <c r="A572" s="8">
        <v>43369.52243055556</v>
      </c>
      <c r="B572" s="11" t="str">
        <f>HYPERLINK("https://twitter.com/fdejahang","@fdejahang")</f>
        <v>@fdejahang</v>
      </c>
      <c r="C572" s="6" t="s">
        <v>2208</v>
      </c>
      <c r="D572" s="5" t="s">
        <v>1556</v>
      </c>
      <c r="E572" s="9" t="str">
        <f>HYPERLINK("https://twitter.com/fdejahang/status/1044874793546330112","1044874793546330112")</f>
        <v>1044874793546330112</v>
      </c>
      <c r="F572" s="4"/>
      <c r="G572" s="4"/>
      <c r="H572" s="4"/>
      <c r="I572" s="10" t="str">
        <f>HYPERLINK("http://twitter.com","Twitter Web Client")</f>
        <v>Twitter Web Client</v>
      </c>
      <c r="J572" s="2">
        <v>7035</v>
      </c>
      <c r="K572" s="2">
        <v>6589</v>
      </c>
      <c r="L572" s="2">
        <v>143</v>
      </c>
      <c r="M572" s="2"/>
      <c r="N572" s="8">
        <v>41269.043414351851</v>
      </c>
      <c r="O572" s="4" t="s">
        <v>2207</v>
      </c>
      <c r="P572" s="3" t="s">
        <v>2206</v>
      </c>
      <c r="Q572" s="10" t="s">
        <v>2205</v>
      </c>
      <c r="R572" s="4"/>
      <c r="S572" s="9" t="str">
        <f>HYPERLINK("https://pbs.twimg.com/profile_images/1035498833374003200/N7UFEEQ2.jpg","View")</f>
        <v>View</v>
      </c>
    </row>
    <row r="573" spans="1:19" ht="40">
      <c r="A573" s="8">
        <v>43369.520092592589</v>
      </c>
      <c r="B573" s="11" t="str">
        <f>HYPERLINK("https://twitter.com/joodiaboot1","@joodiaboot1")</f>
        <v>@joodiaboot1</v>
      </c>
      <c r="C573" s="6" t="s">
        <v>2204</v>
      </c>
      <c r="D573" s="5" t="s">
        <v>1923</v>
      </c>
      <c r="E573" s="9" t="str">
        <f>HYPERLINK("https://twitter.com/joodiaboot1/status/1044873948943589376","1044873948943589376")</f>
        <v>1044873948943589376</v>
      </c>
      <c r="F573" s="4"/>
      <c r="G573" s="4"/>
      <c r="H573" s="4"/>
      <c r="I573" s="10" t="str">
        <f>HYPERLINK("http://twitter.com/download/android","Twitter for Android")</f>
        <v>Twitter for Android</v>
      </c>
      <c r="J573" s="2">
        <v>308</v>
      </c>
      <c r="K573" s="2">
        <v>340</v>
      </c>
      <c r="L573" s="2">
        <v>0</v>
      </c>
      <c r="M573" s="2"/>
      <c r="N573" s="8">
        <v>43199.827534722222</v>
      </c>
      <c r="O573" s="4"/>
      <c r="P573" s="3"/>
      <c r="Q573" s="4"/>
      <c r="R573" s="4"/>
      <c r="S573" s="9" t="str">
        <f>HYPERLINK("https://pbs.twimg.com/profile_images/990987084772061184/JinINe0O.jpg","View")</f>
        <v>View</v>
      </c>
    </row>
    <row r="574" spans="1:19" ht="40">
      <c r="A574" s="8">
        <v>43369.519108796296</v>
      </c>
      <c r="B574" s="11" t="str">
        <f>HYPERLINK("https://twitter.com/HosseinShafinia","@HosseinShafinia")</f>
        <v>@HosseinShafinia</v>
      </c>
      <c r="C574" s="6" t="s">
        <v>2203</v>
      </c>
      <c r="D574" s="5" t="s">
        <v>2202</v>
      </c>
      <c r="E574" s="9" t="str">
        <f>HYPERLINK("https://twitter.com/HosseinShafinia/status/1044873590179606528","1044873590179606528")</f>
        <v>1044873590179606528</v>
      </c>
      <c r="F574" s="4"/>
      <c r="G574" s="4"/>
      <c r="H574" s="4"/>
      <c r="I574" s="10" t="str">
        <f>HYPERLINK("http://twitter.com/download/iphone","Twitter for iPhone")</f>
        <v>Twitter for iPhone</v>
      </c>
      <c r="J574" s="2">
        <v>5</v>
      </c>
      <c r="K574" s="2">
        <v>75</v>
      </c>
      <c r="L574" s="2">
        <v>0</v>
      </c>
      <c r="M574" s="2"/>
      <c r="N574" s="8">
        <v>41443.795335648145</v>
      </c>
      <c r="O574" s="4"/>
      <c r="P574" s="3" t="s">
        <v>2201</v>
      </c>
      <c r="Q574" s="4"/>
      <c r="R574" s="4"/>
      <c r="S574" s="9" t="str">
        <f>HYPERLINK("https://pbs.twimg.com/profile_images/618475983776018432/EMOWiSlR.jpg","View")</f>
        <v>View</v>
      </c>
    </row>
    <row r="575" spans="1:19" ht="40">
      <c r="A575" s="8">
        <v>43369.518171296295</v>
      </c>
      <c r="B575" s="11" t="str">
        <f>HYPERLINK("https://twitter.com/Partisan_persia","@Partisan_persia")</f>
        <v>@Partisan_persia</v>
      </c>
      <c r="C575" s="6" t="s">
        <v>2200</v>
      </c>
      <c r="D575" s="5" t="s">
        <v>1548</v>
      </c>
      <c r="E575" s="9" t="str">
        <f>HYPERLINK("https://twitter.com/Partisan_persia/status/1044873250680041472","1044873250680041472")</f>
        <v>1044873250680041472</v>
      </c>
      <c r="F575" s="4"/>
      <c r="G575" s="4"/>
      <c r="H575" s="4"/>
      <c r="I575" s="10" t="str">
        <f>HYPERLINK("http://twitter.com/download/android","Twitter for Android")</f>
        <v>Twitter for Android</v>
      </c>
      <c r="J575" s="2">
        <v>6</v>
      </c>
      <c r="K575" s="2">
        <v>23</v>
      </c>
      <c r="L575" s="2">
        <v>0</v>
      </c>
      <c r="M575" s="2"/>
      <c r="N575" s="8">
        <v>43368.014131944445</v>
      </c>
      <c r="O575" s="4"/>
      <c r="P575" s="3" t="s">
        <v>2199</v>
      </c>
      <c r="Q575" s="4"/>
      <c r="R575" s="4"/>
      <c r="S575" s="9" t="str">
        <f>HYPERLINK("https://pbs.twimg.com/profile_images/1044334888713781248/diyMS6MK.jpg","View")</f>
        <v>View</v>
      </c>
    </row>
    <row r="576" spans="1:19" ht="20">
      <c r="A576" s="8">
        <v>43369.518078703702</v>
      </c>
      <c r="B576" s="11" t="str">
        <f>HYPERLINK("https://twitter.com/yonosbehroozian","@yonosbehroozian")</f>
        <v>@yonosbehroozian</v>
      </c>
      <c r="C576" s="6" t="s">
        <v>2198</v>
      </c>
      <c r="D576" s="5" t="s">
        <v>2197</v>
      </c>
      <c r="E576" s="9" t="str">
        <f>HYPERLINK("https://twitter.com/yonosbehroozian/status/1044873218409082880","1044873218409082880")</f>
        <v>1044873218409082880</v>
      </c>
      <c r="F576" s="4"/>
      <c r="G576" s="4"/>
      <c r="H576" s="4"/>
      <c r="I576" s="10" t="str">
        <f>HYPERLINK("http://twitter.com/download/android","Twitter for Android")</f>
        <v>Twitter for Android</v>
      </c>
      <c r="J576" s="2">
        <v>13</v>
      </c>
      <c r="K576" s="2">
        <v>22</v>
      </c>
      <c r="L576" s="2">
        <v>0</v>
      </c>
      <c r="M576" s="2"/>
      <c r="N576" s="8">
        <v>41722.72493055556</v>
      </c>
      <c r="O576" s="4" t="s">
        <v>7</v>
      </c>
      <c r="P576" s="3" t="s">
        <v>2196</v>
      </c>
      <c r="Q576" s="4"/>
      <c r="R576" s="4"/>
      <c r="S576" s="9" t="str">
        <f>HYPERLINK("https://pbs.twimg.com/profile_images/1044873696203157505/cHagyuwu.jpg","View")</f>
        <v>View</v>
      </c>
    </row>
    <row r="577" spans="1:19" ht="40">
      <c r="A577" s="8">
        <v>43369.516597222224</v>
      </c>
      <c r="B577" s="11" t="str">
        <f>HYPERLINK("https://twitter.com/mahbobdj2","@mahbobdj2")</f>
        <v>@mahbobdj2</v>
      </c>
      <c r="C577" s="6" t="s">
        <v>129</v>
      </c>
      <c r="D577" s="5" t="s">
        <v>2195</v>
      </c>
      <c r="E577" s="9" t="str">
        <f>HYPERLINK("https://twitter.com/mahbobdj2/status/1044872679357108226","1044872679357108226")</f>
        <v>1044872679357108226</v>
      </c>
      <c r="F577" s="4"/>
      <c r="G577" s="10" t="s">
        <v>1934</v>
      </c>
      <c r="H577" s="4"/>
      <c r="I577" s="10" t="str">
        <f>HYPERLINK("http://twitter.com/download/android","Twitter for Android")</f>
        <v>Twitter for Android</v>
      </c>
      <c r="J577" s="2">
        <v>144</v>
      </c>
      <c r="K577" s="2">
        <v>364</v>
      </c>
      <c r="L577" s="2">
        <v>0</v>
      </c>
      <c r="M577" s="2"/>
      <c r="N577" s="8">
        <v>43144.900960648149</v>
      </c>
      <c r="O577" s="4" t="s">
        <v>127</v>
      </c>
      <c r="P577" s="3" t="s">
        <v>126</v>
      </c>
      <c r="Q577" s="4"/>
      <c r="R577" s="4"/>
      <c r="S577" s="9" t="str">
        <f>HYPERLINK("https://pbs.twimg.com/profile_images/1042306212853940224/UWqknsAv.jpg","View")</f>
        <v>View</v>
      </c>
    </row>
    <row r="578" spans="1:19" ht="40">
      <c r="A578" s="8">
        <v>43369.516192129631</v>
      </c>
      <c r="B578" s="11" t="str">
        <f>HYPERLINK("https://twitter.com/jamalrashidirad","@jamalrashidirad")</f>
        <v>@jamalrashidirad</v>
      </c>
      <c r="C578" s="6" t="s">
        <v>2194</v>
      </c>
      <c r="D578" s="5" t="s">
        <v>58</v>
      </c>
      <c r="E578" s="9" t="str">
        <f>HYPERLINK("https://twitter.com/jamalrashidirad/status/1044872531906301952","1044872531906301952")</f>
        <v>1044872531906301952</v>
      </c>
      <c r="F578" s="4"/>
      <c r="G578" s="10" t="s">
        <v>57</v>
      </c>
      <c r="H578" s="4"/>
      <c r="I578" s="10" t="str">
        <f>HYPERLINK("http://twitter.com","Twitter Web Client")</f>
        <v>Twitter Web Client</v>
      </c>
      <c r="J578" s="2">
        <v>558</v>
      </c>
      <c r="K578" s="2">
        <v>516</v>
      </c>
      <c r="L578" s="2">
        <v>2</v>
      </c>
      <c r="M578" s="2"/>
      <c r="N578" s="8">
        <v>42813.98537037037</v>
      </c>
      <c r="O578" s="4" t="s">
        <v>1893</v>
      </c>
      <c r="P578" s="3" t="s">
        <v>2193</v>
      </c>
      <c r="Q578" s="4"/>
      <c r="R578" s="4"/>
      <c r="S578" s="9" t="str">
        <f>HYPERLINK("https://pbs.twimg.com/profile_images/1028894152757596160/wl-J-8yP.jpg","View")</f>
        <v>View</v>
      </c>
    </row>
    <row r="579" spans="1:19" ht="40">
      <c r="A579" s="8">
        <v>43369.515729166669</v>
      </c>
      <c r="B579" s="11" t="str">
        <f>HYPERLINK("https://twitter.com/Tehran1234567","@Tehran1234567")</f>
        <v>@Tehran1234567</v>
      </c>
      <c r="C579" s="6" t="s">
        <v>2192</v>
      </c>
      <c r="D579" s="5" t="s">
        <v>1556</v>
      </c>
      <c r="E579" s="9" t="str">
        <f>HYPERLINK("https://twitter.com/Tehran1234567/status/1044872364910104576","1044872364910104576")</f>
        <v>1044872364910104576</v>
      </c>
      <c r="F579" s="4"/>
      <c r="G579" s="4"/>
      <c r="H579" s="4"/>
      <c r="I579" s="10" t="str">
        <f>HYPERLINK("http://twitter.com/download/android","Twitter for Android")</f>
        <v>Twitter for Android</v>
      </c>
      <c r="J579" s="2">
        <v>1175</v>
      </c>
      <c r="K579" s="2">
        <v>2207</v>
      </c>
      <c r="L579" s="2">
        <v>0</v>
      </c>
      <c r="M579" s="2"/>
      <c r="N579" s="8">
        <v>42756.784490740742</v>
      </c>
      <c r="O579" s="4"/>
      <c r="P579" s="3" t="s">
        <v>2191</v>
      </c>
      <c r="Q579" s="4"/>
      <c r="R579" s="4"/>
      <c r="S579" s="9" t="str">
        <f>HYPERLINK("https://pbs.twimg.com/profile_images/1015534748129792000/xpHXpFxn.jpg","View")</f>
        <v>View</v>
      </c>
    </row>
    <row r="580" spans="1:19" ht="30">
      <c r="A580" s="8">
        <v>43369.515451388885</v>
      </c>
      <c r="B580" s="11" t="str">
        <f>HYPERLINK("https://twitter.com/danial90202440","@danial90202440")</f>
        <v>@danial90202440</v>
      </c>
      <c r="C580" s="6" t="s">
        <v>2190</v>
      </c>
      <c r="D580" s="5" t="s">
        <v>2189</v>
      </c>
      <c r="E580" s="9" t="str">
        <f>HYPERLINK("https://twitter.com/danial90202440/status/1044872264829882368","1044872264829882368")</f>
        <v>1044872264829882368</v>
      </c>
      <c r="F580" s="4"/>
      <c r="G580" s="4"/>
      <c r="H580" s="4"/>
      <c r="I580" s="10" t="str">
        <f>HYPERLINK("http://twitter.com/download/iphone","Twitter for iPhone")</f>
        <v>Twitter for iPhone</v>
      </c>
      <c r="J580" s="2">
        <v>1</v>
      </c>
      <c r="K580" s="2">
        <v>0</v>
      </c>
      <c r="L580" s="2">
        <v>0</v>
      </c>
      <c r="M580" s="2"/>
      <c r="N580" s="8">
        <v>43368.728703703702</v>
      </c>
      <c r="O580" s="4"/>
      <c r="P580" s="3" t="s">
        <v>2188</v>
      </c>
      <c r="Q580" s="4"/>
      <c r="R580" s="4"/>
      <c r="S580" s="9" t="str">
        <f>HYPERLINK("https://pbs.twimg.com/profile_images/1044588309492748288/Op-grIzH.jpg","View")</f>
        <v>View</v>
      </c>
    </row>
    <row r="581" spans="1:19" ht="30">
      <c r="A581" s="8">
        <v>43369.514907407407</v>
      </c>
      <c r="B581" s="11" t="str">
        <f>HYPERLINK("https://twitter.com/So0k_So0k","@So0k_So0k")</f>
        <v>@So0k_So0k</v>
      </c>
      <c r="C581" s="6" t="s">
        <v>2187</v>
      </c>
      <c r="D581" s="5" t="s">
        <v>2186</v>
      </c>
      <c r="E581" s="9" t="str">
        <f>HYPERLINK("https://twitter.com/So0k_So0k/status/1044872068947431424","1044872068947431424")</f>
        <v>1044872068947431424</v>
      </c>
      <c r="F581" s="4"/>
      <c r="G581" s="4"/>
      <c r="H581" s="4"/>
      <c r="I581" s="10" t="str">
        <f>HYPERLINK("http://twitter.com/download/iphone","Twitter for iPhone")</f>
        <v>Twitter for iPhone</v>
      </c>
      <c r="J581" s="2">
        <v>266</v>
      </c>
      <c r="K581" s="2">
        <v>182</v>
      </c>
      <c r="L581" s="2">
        <v>2</v>
      </c>
      <c r="M581" s="2"/>
      <c r="N581" s="8">
        <v>39969.528923611113</v>
      </c>
      <c r="O581" s="4" t="s">
        <v>7</v>
      </c>
      <c r="P581" s="3" t="s">
        <v>2185</v>
      </c>
      <c r="Q581" s="4"/>
      <c r="R581" s="4"/>
      <c r="S581" s="9" t="str">
        <f>HYPERLINK("https://pbs.twimg.com/profile_images/1039847655462064129/fPQXMkZH.jpg","View")</f>
        <v>View</v>
      </c>
    </row>
    <row r="582" spans="1:19" ht="20">
      <c r="A582" s="8">
        <v>43369.514849537038</v>
      </c>
      <c r="B582" s="11" t="str">
        <f>HYPERLINK("https://twitter.com/amirhossein_pra","@amirhossein_pra")</f>
        <v>@amirhossein_pra</v>
      </c>
      <c r="C582" s="6" t="s">
        <v>2184</v>
      </c>
      <c r="D582" s="5" t="s">
        <v>2183</v>
      </c>
      <c r="E582" s="9" t="str">
        <f>HYPERLINK("https://twitter.com/amirhossein_pra/status/1044872045165768705","1044872045165768705")</f>
        <v>1044872045165768705</v>
      </c>
      <c r="F582" s="4"/>
      <c r="G582" s="4"/>
      <c r="H582" s="4"/>
      <c r="I582" s="10" t="str">
        <f>HYPERLINK("http://twitter.com/download/android","Twitter for Android")</f>
        <v>Twitter for Android</v>
      </c>
      <c r="J582" s="2">
        <v>1227</v>
      </c>
      <c r="K582" s="2">
        <v>1308</v>
      </c>
      <c r="L582" s="2">
        <v>4</v>
      </c>
      <c r="M582" s="2"/>
      <c r="N582" s="8">
        <v>42914.762071759258</v>
      </c>
      <c r="O582" s="4" t="s">
        <v>2182</v>
      </c>
      <c r="P582" s="3" t="s">
        <v>2181</v>
      </c>
      <c r="Q582" s="10" t="s">
        <v>2180</v>
      </c>
      <c r="R582" s="4"/>
      <c r="S582" s="9" t="str">
        <f>HYPERLINK("https://pbs.twimg.com/profile_images/1043684418571960322/4WdMhVpB.jpg","View")</f>
        <v>View</v>
      </c>
    </row>
    <row r="583" spans="1:19" ht="20">
      <c r="A583" s="8">
        <v>43369.514722222222</v>
      </c>
      <c r="B583" s="11" t="str">
        <f>HYPERLINK("https://twitter.com/khialbaaz","@khialbaaz")</f>
        <v>@khialbaaz</v>
      </c>
      <c r="C583" s="6" t="s">
        <v>2179</v>
      </c>
      <c r="D583" s="5" t="s">
        <v>2178</v>
      </c>
      <c r="E583" s="9" t="str">
        <f>HYPERLINK("https://twitter.com/khialbaaz/status/1044872002564235264","1044872002564235264")</f>
        <v>1044872002564235264</v>
      </c>
      <c r="F583" s="4"/>
      <c r="G583" s="4"/>
      <c r="H583" s="4"/>
      <c r="I583" s="10" t="str">
        <f>HYPERLINK("http://twitter.com","Twitter Web Client")</f>
        <v>Twitter Web Client</v>
      </c>
      <c r="J583" s="2">
        <v>172</v>
      </c>
      <c r="K583" s="2">
        <v>154</v>
      </c>
      <c r="L583" s="2">
        <v>0</v>
      </c>
      <c r="M583" s="2"/>
      <c r="N583" s="8">
        <v>41134.576180555552</v>
      </c>
      <c r="O583" s="4"/>
      <c r="P583" s="3" t="s">
        <v>2177</v>
      </c>
      <c r="Q583" s="4"/>
      <c r="R583" s="4"/>
      <c r="S583" s="9" t="str">
        <f>HYPERLINK("https://pbs.twimg.com/profile_images/1033747597641408513/kM48ujvf.jpg","View")</f>
        <v>View</v>
      </c>
    </row>
    <row r="584" spans="1:19" ht="30">
      <c r="A584" s="8">
        <v>43369.514652777776</v>
      </c>
      <c r="B584" s="11" t="str">
        <f>HYPERLINK("https://twitter.com/ardavan_sijani","@ardavan_sijani")</f>
        <v>@ardavan_sijani</v>
      </c>
      <c r="C584" s="6" t="s">
        <v>388</v>
      </c>
      <c r="D584" s="5" t="s">
        <v>2176</v>
      </c>
      <c r="E584" s="9" t="str">
        <f>HYPERLINK("https://twitter.com/ardavan_sijani/status/1044871975586471942","1044871975586471942")</f>
        <v>1044871975586471942</v>
      </c>
      <c r="F584" s="4"/>
      <c r="G584" s="4"/>
      <c r="H584" s="4"/>
      <c r="I584" s="10" t="str">
        <f>HYPERLINK("http://twitter.com/download/android","Twitter for Android")</f>
        <v>Twitter for Android</v>
      </c>
      <c r="J584" s="2">
        <v>759</v>
      </c>
      <c r="K584" s="2">
        <v>1421</v>
      </c>
      <c r="L584" s="2">
        <v>1</v>
      </c>
      <c r="M584" s="2"/>
      <c r="N584" s="8">
        <v>42496.528865740736</v>
      </c>
      <c r="O584" s="4" t="s">
        <v>387</v>
      </c>
      <c r="P584" s="3" t="s">
        <v>386</v>
      </c>
      <c r="Q584" s="10" t="s">
        <v>385</v>
      </c>
      <c r="R584" s="4"/>
      <c r="S584" s="9" t="str">
        <f>HYPERLINK("https://pbs.twimg.com/profile_images/871020529758720000/deDU-kB0.jpg","View")</f>
        <v>View</v>
      </c>
    </row>
    <row r="585" spans="1:19" ht="30">
      <c r="A585" s="8">
        <v>43369.513981481483</v>
      </c>
      <c r="B585" s="11" t="str">
        <f>HYPERLINK("https://twitter.com/hecomes1992","@hecomes1992")</f>
        <v>@hecomes1992</v>
      </c>
      <c r="C585" s="6" t="s">
        <v>2175</v>
      </c>
      <c r="D585" s="5" t="s">
        <v>102</v>
      </c>
      <c r="E585" s="9" t="str">
        <f>HYPERLINK("https://twitter.com/hecomes1992/status/1044871733335986176","1044871733335986176")</f>
        <v>1044871733335986176</v>
      </c>
      <c r="F585" s="4"/>
      <c r="G585" s="4"/>
      <c r="H585" s="4"/>
      <c r="I585" s="10" t="str">
        <f>HYPERLINK("http://twitter.com/download/android","Twitter for Android")</f>
        <v>Twitter for Android</v>
      </c>
      <c r="J585" s="2">
        <v>444</v>
      </c>
      <c r="K585" s="2">
        <v>470</v>
      </c>
      <c r="L585" s="2">
        <v>0</v>
      </c>
      <c r="M585" s="2"/>
      <c r="N585" s="8">
        <v>42922.714907407411</v>
      </c>
      <c r="O585" s="4" t="s">
        <v>2174</v>
      </c>
      <c r="P585" s="3" t="s">
        <v>2173</v>
      </c>
      <c r="Q585" s="4"/>
      <c r="R585" s="4"/>
      <c r="S585" s="9" t="str">
        <f>HYPERLINK("https://pbs.twimg.com/profile_images/1029019243399073792/vpo_Lo3p.jpg","View")</f>
        <v>View</v>
      </c>
    </row>
    <row r="586" spans="1:19" ht="50">
      <c r="A586" s="8">
        <v>43369.51253472222</v>
      </c>
      <c r="B586" s="11" t="str">
        <f>HYPERLINK("https://twitter.com/AliJazayerii","@AliJazayerii")</f>
        <v>@AliJazayerii</v>
      </c>
      <c r="C586" s="6" t="s">
        <v>1414</v>
      </c>
      <c r="D586" s="5" t="s">
        <v>917</v>
      </c>
      <c r="E586" s="9" t="str">
        <f>HYPERLINK("https://twitter.com/AliJazayerii/status/1044871207806545926","1044871207806545926")</f>
        <v>1044871207806545926</v>
      </c>
      <c r="F586" s="4"/>
      <c r="G586" s="4"/>
      <c r="H586" s="4"/>
      <c r="I586" s="10" t="str">
        <f>HYPERLINK("http://twitter.com/download/iphone","Twitter for iPhone")</f>
        <v>Twitter for iPhone</v>
      </c>
      <c r="J586" s="2">
        <v>924</v>
      </c>
      <c r="K586" s="2">
        <v>821</v>
      </c>
      <c r="L586" s="2">
        <v>2</v>
      </c>
      <c r="M586" s="2"/>
      <c r="N586" s="8">
        <v>42799.952708333338</v>
      </c>
      <c r="O586" s="4" t="s">
        <v>7</v>
      </c>
      <c r="P586" s="3" t="s">
        <v>1413</v>
      </c>
      <c r="Q586" s="10" t="s">
        <v>1412</v>
      </c>
      <c r="R586" s="4"/>
      <c r="S586" s="9" t="str">
        <f>HYPERLINK("https://pbs.twimg.com/profile_images/1040651852117942274/n3p-oaR1.jpg","View")</f>
        <v>View</v>
      </c>
    </row>
    <row r="587" spans="1:19" ht="40">
      <c r="A587" s="8">
        <v>43369.512361111112</v>
      </c>
      <c r="B587" s="11" t="str">
        <f>HYPERLINK("https://twitter.com/movvasagh","@movvasagh")</f>
        <v>@movvasagh</v>
      </c>
      <c r="C587" s="6" t="s">
        <v>2172</v>
      </c>
      <c r="D587" s="5" t="s">
        <v>2171</v>
      </c>
      <c r="E587" s="9" t="str">
        <f>HYPERLINK("https://twitter.com/movvasagh/status/1044871145370062848","1044871145370062848")</f>
        <v>1044871145370062848</v>
      </c>
      <c r="F587" s="4"/>
      <c r="G587" s="4"/>
      <c r="H587" s="4"/>
      <c r="I587" s="10" t="str">
        <f>HYPERLINK("http://twitter.com/download/android","Twitter for Android")</f>
        <v>Twitter for Android</v>
      </c>
      <c r="J587" s="2">
        <v>12</v>
      </c>
      <c r="K587" s="2">
        <v>137</v>
      </c>
      <c r="L587" s="2">
        <v>0</v>
      </c>
      <c r="M587" s="2"/>
      <c r="N587" s="8">
        <v>43363.830775462964</v>
      </c>
      <c r="O587" s="4"/>
      <c r="P587" s="3" t="s">
        <v>2170</v>
      </c>
      <c r="Q587" s="4"/>
      <c r="R587" s="4"/>
      <c r="S587" s="9" t="str">
        <f>HYPERLINK("https://pbs.twimg.com/profile_images/1042830945588535296/KpVnsHQr.jpg","View")</f>
        <v>View</v>
      </c>
    </row>
    <row r="588" spans="1:19" ht="30">
      <c r="A588" s="8">
        <v>43369.512048611112</v>
      </c>
      <c r="B588" s="11" t="str">
        <f>HYPERLINK("https://twitter.com/MAghajanzadeh","@MAghajanzadeh")</f>
        <v>@MAghajanzadeh</v>
      </c>
      <c r="C588" s="6" t="s">
        <v>2169</v>
      </c>
      <c r="D588" s="5" t="s">
        <v>2168</v>
      </c>
      <c r="E588" s="9" t="str">
        <f>HYPERLINK("https://twitter.com/MAghajanzadeh/status/1044871032845348864","1044871032845348864")</f>
        <v>1044871032845348864</v>
      </c>
      <c r="F588" s="4"/>
      <c r="G588" s="4"/>
      <c r="H588" s="4"/>
      <c r="I588" s="10" t="str">
        <f>HYPERLINK("http://twitter.com","Twitter Web Client")</f>
        <v>Twitter Web Client</v>
      </c>
      <c r="J588" s="2">
        <v>330</v>
      </c>
      <c r="K588" s="2">
        <v>222</v>
      </c>
      <c r="L588" s="2">
        <v>3</v>
      </c>
      <c r="M588" s="2"/>
      <c r="N588" s="8">
        <v>43050.558449074073</v>
      </c>
      <c r="O588" s="4" t="s">
        <v>7</v>
      </c>
      <c r="P588" s="3" t="s">
        <v>2167</v>
      </c>
      <c r="Q588" s="10" t="s">
        <v>2166</v>
      </c>
      <c r="R588" s="4"/>
      <c r="S588" s="9" t="str">
        <f>HYPERLINK("https://pbs.twimg.com/profile_images/930121926114193408/Ip7c4Ss4.jpg","View")</f>
        <v>View</v>
      </c>
    </row>
    <row r="589" spans="1:19" ht="40">
      <c r="A589" s="8">
        <v>43369.511354166665</v>
      </c>
      <c r="B589" s="11" t="str">
        <f>HYPERLINK("https://twitter.com/josephsith2018","@josephsith2018")</f>
        <v>@josephsith2018</v>
      </c>
      <c r="C589" s="6" t="s">
        <v>2165</v>
      </c>
      <c r="D589" s="5" t="s">
        <v>1556</v>
      </c>
      <c r="E589" s="9" t="str">
        <f>HYPERLINK("https://twitter.com/josephsith2018/status/1044870778922172416","1044870778922172416")</f>
        <v>1044870778922172416</v>
      </c>
      <c r="F589" s="4"/>
      <c r="G589" s="4"/>
      <c r="H589" s="4"/>
      <c r="I589" s="10" t="str">
        <f>HYPERLINK("http://twitter.com","Twitter Web Client")</f>
        <v>Twitter Web Client</v>
      </c>
      <c r="J589" s="2">
        <v>38</v>
      </c>
      <c r="K589" s="2">
        <v>130</v>
      </c>
      <c r="L589" s="2">
        <v>0</v>
      </c>
      <c r="M589" s="2"/>
      <c r="N589" s="8">
        <v>43103.394155092596</v>
      </c>
      <c r="O589" s="4"/>
      <c r="P589" s="3" t="s">
        <v>2164</v>
      </c>
      <c r="Q589" s="4"/>
      <c r="R589" s="4"/>
      <c r="S589" s="9" t="str">
        <f>HYPERLINK("https://pbs.twimg.com/profile_images/977588796165259264/g0voREtj.jpg","View")</f>
        <v>View</v>
      </c>
    </row>
    <row r="590" spans="1:19" ht="40">
      <c r="A590" s="8">
        <v>43369.511122685188</v>
      </c>
      <c r="B590" s="11" t="str">
        <f>HYPERLINK("https://twitter.com/saeidtajdari","@saeidtajdari")</f>
        <v>@saeidtajdari</v>
      </c>
      <c r="C590" s="6" t="s">
        <v>2163</v>
      </c>
      <c r="D590" s="5" t="s">
        <v>2162</v>
      </c>
      <c r="E590" s="9" t="str">
        <f>HYPERLINK("https://twitter.com/saeidtajdari/status/1044870696390852609","1044870696390852609")</f>
        <v>1044870696390852609</v>
      </c>
      <c r="F590" s="4"/>
      <c r="G590" s="10" t="s">
        <v>2161</v>
      </c>
      <c r="H590" s="4"/>
      <c r="I590" s="10" t="str">
        <f>HYPERLINK("http://twitter.com/download/android","Twitter for Android")</f>
        <v>Twitter for Android</v>
      </c>
      <c r="J590" s="2">
        <v>225</v>
      </c>
      <c r="K590" s="2">
        <v>158</v>
      </c>
      <c r="L590" s="2">
        <v>0</v>
      </c>
      <c r="M590" s="2"/>
      <c r="N590" s="8">
        <v>41432.518449074072</v>
      </c>
      <c r="O590" s="4" t="s">
        <v>2160</v>
      </c>
      <c r="P590" s="3" t="s">
        <v>2159</v>
      </c>
      <c r="Q590" s="10" t="s">
        <v>2158</v>
      </c>
      <c r="R590" s="4"/>
      <c r="S590" s="9" t="str">
        <f>HYPERLINK("https://pbs.twimg.com/profile_images/860939098231623680/qbxcmt_D.jpg","View")</f>
        <v>View</v>
      </c>
    </row>
    <row r="591" spans="1:19" ht="40">
      <c r="A591" s="8">
        <v>43369.511064814811</v>
      </c>
      <c r="B591" s="11" t="str">
        <f>HYPERLINK("https://twitter.com/pretweet0","@pretweet0")</f>
        <v>@pretweet0</v>
      </c>
      <c r="C591" s="6" t="s">
        <v>2157</v>
      </c>
      <c r="D591" s="5" t="s">
        <v>1556</v>
      </c>
      <c r="E591" s="9" t="str">
        <f>HYPERLINK("https://twitter.com/pretweet0/status/1044870677264764928","1044870677264764928")</f>
        <v>1044870677264764928</v>
      </c>
      <c r="F591" s="4"/>
      <c r="G591" s="4"/>
      <c r="H591" s="4"/>
      <c r="I591" s="10" t="str">
        <f>HYPERLINK("http://rickandmorty0.ir","rickandmorty")</f>
        <v>rickandmorty</v>
      </c>
      <c r="J591" s="2">
        <v>1929</v>
      </c>
      <c r="K591" s="2">
        <v>3493</v>
      </c>
      <c r="L591" s="2">
        <v>11</v>
      </c>
      <c r="M591" s="2"/>
      <c r="N591" s="8">
        <v>42565.559618055559</v>
      </c>
      <c r="O591" s="4" t="s">
        <v>7</v>
      </c>
      <c r="P591" s="3" t="s">
        <v>2156</v>
      </c>
      <c r="Q591" s="4"/>
      <c r="R591" s="4"/>
      <c r="S591" s="9" t="str">
        <f>HYPERLINK("https://pbs.twimg.com/profile_images/817781496517947392/WrKYyDYC.jpg","View")</f>
        <v>View</v>
      </c>
    </row>
    <row r="592" spans="1:19" ht="30">
      <c r="A592" s="8">
        <v>43369.510300925926</v>
      </c>
      <c r="B592" s="11" t="str">
        <f>HYPERLINK("https://twitter.com/Sati23316071","@Sati23316071")</f>
        <v>@Sati23316071</v>
      </c>
      <c r="C592" s="6" t="s">
        <v>2155</v>
      </c>
      <c r="D592" s="5" t="s">
        <v>49</v>
      </c>
      <c r="E592" s="9" t="str">
        <f>HYPERLINK("https://twitter.com/Sati23316071/status/1044870398838558720","1044870398838558720")</f>
        <v>1044870398838558720</v>
      </c>
      <c r="F592" s="4"/>
      <c r="G592" s="4"/>
      <c r="H592" s="4"/>
      <c r="I592" s="10" t="str">
        <f>HYPERLINK("http://twitter.com/download/android","Twitter for Android")</f>
        <v>Twitter for Android</v>
      </c>
      <c r="J592" s="2">
        <v>28</v>
      </c>
      <c r="K592" s="2">
        <v>123</v>
      </c>
      <c r="L592" s="2">
        <v>0</v>
      </c>
      <c r="M592" s="2"/>
      <c r="N592" s="8">
        <v>43286.715358796297</v>
      </c>
      <c r="O592" s="4" t="s">
        <v>2154</v>
      </c>
      <c r="P592" s="3" t="s">
        <v>2153</v>
      </c>
      <c r="Q592" s="4"/>
      <c r="R592" s="4"/>
      <c r="S592" s="9" t="str">
        <f>HYPERLINK("https://pbs.twimg.com/profile_images/1023862500578807808/WEKQX6WO.jpg","View")</f>
        <v>View</v>
      </c>
    </row>
    <row r="593" spans="1:19" ht="70">
      <c r="A593" s="8">
        <v>43369.510277777779</v>
      </c>
      <c r="B593" s="11" t="str">
        <f>HYPERLINK("https://twitter.com/Rez1amat","@Rez1amat")</f>
        <v>@Rez1amat</v>
      </c>
      <c r="C593" s="6" t="s">
        <v>2152</v>
      </c>
      <c r="D593" s="5" t="s">
        <v>2151</v>
      </c>
      <c r="E593" s="9" t="str">
        <f>HYPERLINK("https://twitter.com/Rez1amat/status/1044870388470214657","1044870388470214657")</f>
        <v>1044870388470214657</v>
      </c>
      <c r="F593" s="10" t="s">
        <v>2150</v>
      </c>
      <c r="G593" s="10" t="s">
        <v>2149</v>
      </c>
      <c r="H593" s="4"/>
      <c r="I593" s="10" t="str">
        <f>HYPERLINK("http://twitter.com/download/android","Twitter for Android")</f>
        <v>Twitter for Android</v>
      </c>
      <c r="J593" s="2">
        <v>2264</v>
      </c>
      <c r="K593" s="2">
        <v>369</v>
      </c>
      <c r="L593" s="2">
        <v>19</v>
      </c>
      <c r="M593" s="2"/>
      <c r="N593" s="8">
        <v>41591.76494212963</v>
      </c>
      <c r="O593" s="4"/>
      <c r="P593" s="3" t="s">
        <v>2148</v>
      </c>
      <c r="Q593" s="4"/>
      <c r="R593" s="4"/>
      <c r="S593" s="9" t="str">
        <f>HYPERLINK("https://pbs.twimg.com/profile_images/1008063160866127873/xY9k2gWd.jpg","View")</f>
        <v>View</v>
      </c>
    </row>
    <row r="594" spans="1:19" ht="40">
      <c r="A594" s="8">
        <v>43369.509629629625</v>
      </c>
      <c r="B594" s="11" t="str">
        <f>HYPERLINK("https://twitter.com/ArdeshirMahdian","@ArdeshirMahdian")</f>
        <v>@ArdeshirMahdian</v>
      </c>
      <c r="C594" s="6" t="s">
        <v>2147</v>
      </c>
      <c r="D594" s="5" t="s">
        <v>2146</v>
      </c>
      <c r="E594" s="9" t="str">
        <f>HYPERLINK("https://twitter.com/ArdeshirMahdian/status/1044870157561196544","1044870157561196544")</f>
        <v>1044870157561196544</v>
      </c>
      <c r="F594" s="4"/>
      <c r="G594" s="10" t="s">
        <v>2145</v>
      </c>
      <c r="H594" s="4"/>
      <c r="I594" s="10" t="str">
        <f>HYPERLINK("http://twitter.com","Twitter Web Client")</f>
        <v>Twitter Web Client</v>
      </c>
      <c r="J594" s="2">
        <v>1</v>
      </c>
      <c r="K594" s="2">
        <v>1</v>
      </c>
      <c r="L594" s="2">
        <v>0</v>
      </c>
      <c r="M594" s="2"/>
      <c r="N594" s="8">
        <v>41386.810856481483</v>
      </c>
      <c r="O594" s="4"/>
      <c r="P594" s="3" t="s">
        <v>2144</v>
      </c>
      <c r="Q594" s="4"/>
      <c r="R594" s="4"/>
      <c r="S594" s="9" t="str">
        <f>HYPERLINK("https://pbs.twimg.com/profile_images/1044846880344166401/tAumtuNz.jpg","View")</f>
        <v>View</v>
      </c>
    </row>
    <row r="595" spans="1:19" ht="20">
      <c r="A595" s="8">
        <v>43369.509618055556</v>
      </c>
      <c r="B595" s="11" t="str">
        <f>HYPERLINK("https://twitter.com/iranian_cyrus","@iranian_cyrus")</f>
        <v>@iranian_cyrus</v>
      </c>
      <c r="C595" s="6" t="s">
        <v>2143</v>
      </c>
      <c r="D595" s="5" t="s">
        <v>185</v>
      </c>
      <c r="E595" s="9" t="str">
        <f>HYPERLINK("https://twitter.com/iranian_cyrus/status/1044870149763977216","1044870149763977216")</f>
        <v>1044870149763977216</v>
      </c>
      <c r="F595" s="4"/>
      <c r="G595" s="10" t="s">
        <v>177</v>
      </c>
      <c r="H595" s="4"/>
      <c r="I595" s="10" t="str">
        <f>HYPERLINK("http://twitter.com","Twitter Web Client")</f>
        <v>Twitter Web Client</v>
      </c>
      <c r="J595" s="2">
        <v>758</v>
      </c>
      <c r="K595" s="2">
        <v>2446</v>
      </c>
      <c r="L595" s="2">
        <v>2</v>
      </c>
      <c r="M595" s="2"/>
      <c r="N595" s="8">
        <v>42649.829884259263</v>
      </c>
      <c r="O595" s="4" t="s">
        <v>2142</v>
      </c>
      <c r="P595" s="3" t="s">
        <v>2141</v>
      </c>
      <c r="Q595" s="4"/>
      <c r="R595" s="4"/>
      <c r="S595" s="9" t="str">
        <f>HYPERLINK("https://pbs.twimg.com/profile_images/804067850164072448/YpQMll-2.jpg","View")</f>
        <v>View</v>
      </c>
    </row>
    <row r="596" spans="1:19" ht="50">
      <c r="A596" s="8">
        <v>43369.509131944447</v>
      </c>
      <c r="B596" s="11" t="str">
        <f>HYPERLINK("https://twitter.com/AtreYaas","@AtreYaas")</f>
        <v>@AtreYaas</v>
      </c>
      <c r="C596" s="6" t="s">
        <v>2140</v>
      </c>
      <c r="D596" s="5" t="s">
        <v>2139</v>
      </c>
      <c r="E596" s="9" t="str">
        <f>HYPERLINK("https://twitter.com/AtreYaas/status/1044869975901704192","1044869975901704192")</f>
        <v>1044869975901704192</v>
      </c>
      <c r="F596" s="4"/>
      <c r="G596" s="10" t="s">
        <v>1811</v>
      </c>
      <c r="H596" s="4"/>
      <c r="I596" s="10" t="str">
        <f>HYPERLINK("http://twitter.com/download/android","Twitter for Android")</f>
        <v>Twitter for Android</v>
      </c>
      <c r="J596" s="2">
        <v>2103</v>
      </c>
      <c r="K596" s="2">
        <v>2034</v>
      </c>
      <c r="L596" s="2">
        <v>7</v>
      </c>
      <c r="M596" s="2"/>
      <c r="N596" s="8">
        <v>42734.215405092589</v>
      </c>
      <c r="O596" s="4"/>
      <c r="P596" s="3"/>
      <c r="Q596" s="4"/>
      <c r="R596" s="4"/>
      <c r="S596" s="9" t="str">
        <f>HYPERLINK("https://pbs.twimg.com/profile_images/1040340621247086602/ep5M1UpD.jpg","View")</f>
        <v>View</v>
      </c>
    </row>
    <row r="597" spans="1:19" ht="30">
      <c r="A597" s="8">
        <v>43369.508518518516</v>
      </c>
      <c r="B597" s="11" t="str">
        <f>HYPERLINK("https://twitter.com/sapiens373","@sapiens373")</f>
        <v>@sapiens373</v>
      </c>
      <c r="C597" s="6" t="s">
        <v>2138</v>
      </c>
      <c r="D597" s="5" t="s">
        <v>1820</v>
      </c>
      <c r="E597" s="9" t="str">
        <f>HYPERLINK("https://twitter.com/sapiens373/status/1044869754249531394","1044869754249531394")</f>
        <v>1044869754249531394</v>
      </c>
      <c r="F597" s="4"/>
      <c r="G597" s="4"/>
      <c r="H597" s="4"/>
      <c r="I597" s="10" t="str">
        <f>HYPERLINK("http://twitter.com/download/android","Twitter for Android")</f>
        <v>Twitter for Android</v>
      </c>
      <c r="J597" s="2">
        <v>29</v>
      </c>
      <c r="K597" s="2">
        <v>75</v>
      </c>
      <c r="L597" s="2">
        <v>0</v>
      </c>
      <c r="M597" s="2"/>
      <c r="N597" s="8">
        <v>42941.763391203705</v>
      </c>
      <c r="O597" s="4" t="s">
        <v>16</v>
      </c>
      <c r="P597" s="3" t="s">
        <v>2137</v>
      </c>
      <c r="Q597" s="4"/>
      <c r="R597" s="4"/>
      <c r="S597" s="9" t="str">
        <f>HYPERLINK("https://pbs.twimg.com/profile_images/1016598620332703746/K0Ba5KZ_.jpg","View")</f>
        <v>View</v>
      </c>
    </row>
    <row r="598" spans="1:19" ht="20">
      <c r="A598" s="8">
        <v>43369.507581018523</v>
      </c>
      <c r="B598" s="11" t="str">
        <f>HYPERLINK("https://twitter.com/Hossein_94941","@Hossein_94941")</f>
        <v>@Hossein_94941</v>
      </c>
      <c r="C598" s="6" t="s">
        <v>2102</v>
      </c>
      <c r="D598" s="5" t="s">
        <v>102</v>
      </c>
      <c r="E598" s="9" t="str">
        <f>HYPERLINK("https://twitter.com/Hossein_94941/status/1044869411503525888","1044869411503525888")</f>
        <v>1044869411503525888</v>
      </c>
      <c r="F598" s="4"/>
      <c r="G598" s="4"/>
      <c r="H598" s="4"/>
      <c r="I598" s="10" t="str">
        <f>HYPERLINK("http://twitter.com/download/android","Twitter for Android")</f>
        <v>Twitter for Android</v>
      </c>
      <c r="J598" s="2">
        <v>2100</v>
      </c>
      <c r="K598" s="2">
        <v>261</v>
      </c>
      <c r="L598" s="2">
        <v>13</v>
      </c>
      <c r="M598" s="2"/>
      <c r="N598" s="8">
        <v>42892.109675925924</v>
      </c>
      <c r="O598" s="4" t="s">
        <v>2101</v>
      </c>
      <c r="P598" s="3" t="s">
        <v>2100</v>
      </c>
      <c r="Q598" s="4"/>
      <c r="R598" s="4"/>
      <c r="S598" s="9" t="str">
        <f>HYPERLINK("https://pbs.twimg.com/profile_images/983281674745270272/8lYGaUtz.jpg","View")</f>
        <v>View</v>
      </c>
    </row>
    <row r="599" spans="1:19" ht="40">
      <c r="A599" s="8">
        <v>43369.507199074069</v>
      </c>
      <c r="B599" s="11" t="str">
        <f>HYPERLINK("https://twitter.com/abbasi_rasul","@abbasi_rasul")</f>
        <v>@abbasi_rasul</v>
      </c>
      <c r="C599" s="6" t="s">
        <v>2136</v>
      </c>
      <c r="D599" s="5" t="s">
        <v>2135</v>
      </c>
      <c r="E599" s="9" t="str">
        <f>HYPERLINK("https://twitter.com/abbasi_rasul/status/1044869275364851712","1044869275364851712")</f>
        <v>1044869275364851712</v>
      </c>
      <c r="F599" s="4"/>
      <c r="G599" s="4"/>
      <c r="H599" s="4"/>
      <c r="I599" s="10" t="str">
        <f>HYPERLINK("http://twitter.com/download/android","Twitter for Android")</f>
        <v>Twitter for Android</v>
      </c>
      <c r="J599" s="2">
        <v>61</v>
      </c>
      <c r="K599" s="2">
        <v>95</v>
      </c>
      <c r="L599" s="2">
        <v>0</v>
      </c>
      <c r="M599" s="2"/>
      <c r="N599" s="8">
        <v>42948.991932870369</v>
      </c>
      <c r="O599" s="4" t="s">
        <v>2134</v>
      </c>
      <c r="P599" s="3"/>
      <c r="Q599" s="4"/>
      <c r="R599" s="4"/>
      <c r="S599" s="9" t="str">
        <f>HYPERLINK("https://pbs.twimg.com/profile_images/947620890119770113/Y2qxa9nV.jpg","View")</f>
        <v>View</v>
      </c>
    </row>
    <row r="600" spans="1:19" ht="40">
      <c r="A600" s="8">
        <v>43369.506909722222</v>
      </c>
      <c r="B600" s="11" t="str">
        <f>HYPERLINK("https://twitter.com/Hamid__Amirali","@Hamid__Amirali")</f>
        <v>@Hamid__Amirali</v>
      </c>
      <c r="C600" s="6" t="s">
        <v>2133</v>
      </c>
      <c r="D600" s="5" t="s">
        <v>1556</v>
      </c>
      <c r="E600" s="9" t="str">
        <f>HYPERLINK("https://twitter.com/Hamid__Amirali/status/1044869171513892864","1044869171513892864")</f>
        <v>1044869171513892864</v>
      </c>
      <c r="F600" s="4"/>
      <c r="G600" s="4"/>
      <c r="H600" s="4"/>
      <c r="I600" s="10" t="str">
        <f>HYPERLINK("http://twitter.com/download/android","Twitter for Android")</f>
        <v>Twitter for Android</v>
      </c>
      <c r="J600" s="2">
        <v>801</v>
      </c>
      <c r="K600" s="2">
        <v>428</v>
      </c>
      <c r="L600" s="2">
        <v>0</v>
      </c>
      <c r="M600" s="2"/>
      <c r="N600" s="8">
        <v>42964.892534722225</v>
      </c>
      <c r="O600" s="4" t="s">
        <v>2132</v>
      </c>
      <c r="P600" s="3" t="s">
        <v>2131</v>
      </c>
      <c r="Q600" s="4"/>
      <c r="R600" s="4"/>
      <c r="S600" s="9" t="str">
        <f>HYPERLINK("https://pbs.twimg.com/profile_images/1030205866417512449/2ZGuksPi.jpg","View")</f>
        <v>View</v>
      </c>
    </row>
    <row r="601" spans="1:19" ht="40">
      <c r="A601" s="8">
        <v>43369.506782407407</v>
      </c>
      <c r="B601" s="11" t="str">
        <f>HYPERLINK("https://twitter.com/rasoliazar","@rasoliazar")</f>
        <v>@rasoliazar</v>
      </c>
      <c r="C601" s="6" t="s">
        <v>2130</v>
      </c>
      <c r="D601" s="5" t="s">
        <v>1923</v>
      </c>
      <c r="E601" s="9" t="str">
        <f>HYPERLINK("https://twitter.com/rasoliazar/status/1044869123715596288","1044869123715596288")</f>
        <v>1044869123715596288</v>
      </c>
      <c r="F601" s="4"/>
      <c r="G601" s="4"/>
      <c r="H601" s="4"/>
      <c r="I601" s="10" t="str">
        <f>HYPERLINK("http://twitter.com/download/android","Twitter for Android")</f>
        <v>Twitter for Android</v>
      </c>
      <c r="J601" s="2">
        <v>175</v>
      </c>
      <c r="K601" s="2">
        <v>315</v>
      </c>
      <c r="L601" s="2">
        <v>0</v>
      </c>
      <c r="M601" s="2"/>
      <c r="N601" s="8">
        <v>43135.790300925924</v>
      </c>
      <c r="O601" s="4" t="s">
        <v>2129</v>
      </c>
      <c r="P601" s="3" t="s">
        <v>2128</v>
      </c>
      <c r="Q601" s="4"/>
      <c r="R601" s="4"/>
      <c r="S601" s="9" t="str">
        <f>HYPERLINK("https://pbs.twimg.com/profile_images/994776002244104193/bfc0t8uH.jpg","View")</f>
        <v>View</v>
      </c>
    </row>
    <row r="602" spans="1:19" ht="30">
      <c r="A602" s="8">
        <v>43369.506736111114</v>
      </c>
      <c r="B602" s="11" t="str">
        <f>HYPERLINK("https://twitter.com/salarsalar21","@salarsalar21")</f>
        <v>@salarsalar21</v>
      </c>
      <c r="C602" s="6" t="s">
        <v>2127</v>
      </c>
      <c r="D602" s="5" t="s">
        <v>200</v>
      </c>
      <c r="E602" s="9" t="str">
        <f>HYPERLINK("https://twitter.com/salarsalar21/status/1044869106485342208","1044869106485342208")</f>
        <v>1044869106485342208</v>
      </c>
      <c r="F602" s="4"/>
      <c r="G602" s="4"/>
      <c r="H602" s="4"/>
      <c r="I602" s="10" t="str">
        <f>HYPERLINK("http://twitter.com/download/android","Twitter for Android")</f>
        <v>Twitter for Android</v>
      </c>
      <c r="J602" s="2">
        <v>238</v>
      </c>
      <c r="K602" s="2">
        <v>230</v>
      </c>
      <c r="L602" s="2">
        <v>1</v>
      </c>
      <c r="M602" s="2"/>
      <c r="N602" s="8">
        <v>43269.635115740741</v>
      </c>
      <c r="O602" s="4"/>
      <c r="P602" s="3"/>
      <c r="Q602" s="4"/>
      <c r="R602" s="4"/>
      <c r="S602" s="9" t="str">
        <f>HYPERLINK("https://pbs.twimg.com/profile_images/1039052848493809664/LC29kVwd.jpg","View")</f>
        <v>View</v>
      </c>
    </row>
    <row r="603" spans="1:19" ht="40">
      <c r="A603" s="8">
        <v>43369.506516203706</v>
      </c>
      <c r="B603" s="11" t="str">
        <f>HYPERLINK("https://twitter.com/AminBabazadeh2","@AminBabazadeh2")</f>
        <v>@AminBabazadeh2</v>
      </c>
      <c r="C603" s="6" t="s">
        <v>2094</v>
      </c>
      <c r="D603" s="5" t="s">
        <v>2126</v>
      </c>
      <c r="E603" s="9" t="str">
        <f>HYPERLINK("https://twitter.com/AminBabazadeh2/status/1044869027766710273","1044869027766710273")</f>
        <v>1044869027766710273</v>
      </c>
      <c r="F603" s="4"/>
      <c r="G603" s="4"/>
      <c r="H603" s="4"/>
      <c r="I603" s="10" t="str">
        <f>HYPERLINK("http://twitter.com/download/android","Twitter for Android")</f>
        <v>Twitter for Android</v>
      </c>
      <c r="J603" s="2">
        <v>1673</v>
      </c>
      <c r="K603" s="2">
        <v>1966</v>
      </c>
      <c r="L603" s="2">
        <v>5</v>
      </c>
      <c r="M603" s="2"/>
      <c r="N603" s="8">
        <v>42740.667476851857</v>
      </c>
      <c r="O603" s="4"/>
      <c r="P603" s="3" t="s">
        <v>2091</v>
      </c>
      <c r="Q603" s="10" t="s">
        <v>2090</v>
      </c>
      <c r="R603" s="4"/>
      <c r="S603" s="9" t="str">
        <f>HYPERLINK("https://pbs.twimg.com/profile_images/1014177014767644672/01hl5BLJ.jpg","View")</f>
        <v>View</v>
      </c>
    </row>
    <row r="604" spans="1:19" ht="40">
      <c r="A604" s="8">
        <v>43369.505983796298</v>
      </c>
      <c r="B604" s="11" t="str">
        <f>HYPERLINK("https://twitter.com/Hossein_94941","@Hossein_94941")</f>
        <v>@Hossein_94941</v>
      </c>
      <c r="C604" s="6" t="s">
        <v>2102</v>
      </c>
      <c r="D604" s="5" t="s">
        <v>1556</v>
      </c>
      <c r="E604" s="9" t="str">
        <f>HYPERLINK("https://twitter.com/Hossein_94941/status/1044868833796861954","1044868833796861954")</f>
        <v>1044868833796861954</v>
      </c>
      <c r="F604" s="4"/>
      <c r="G604" s="4"/>
      <c r="H604" s="4"/>
      <c r="I604" s="10" t="str">
        <f>HYPERLINK("http://twitter.com/download/android","Twitter for Android")</f>
        <v>Twitter for Android</v>
      </c>
      <c r="J604" s="2">
        <v>2100</v>
      </c>
      <c r="K604" s="2">
        <v>261</v>
      </c>
      <c r="L604" s="2">
        <v>13</v>
      </c>
      <c r="M604" s="2"/>
      <c r="N604" s="8">
        <v>42892.109675925924</v>
      </c>
      <c r="O604" s="4" t="s">
        <v>2101</v>
      </c>
      <c r="P604" s="3" t="s">
        <v>2100</v>
      </c>
      <c r="Q604" s="4"/>
      <c r="R604" s="4"/>
      <c r="S604" s="9" t="str">
        <f>HYPERLINK("https://pbs.twimg.com/profile_images/983281674745270272/8lYGaUtz.jpg","View")</f>
        <v>View</v>
      </c>
    </row>
    <row r="605" spans="1:19" ht="40">
      <c r="A605" s="8">
        <v>43369.505833333329</v>
      </c>
      <c r="B605" s="11" t="str">
        <f>HYPERLINK("https://twitter.com/s_fatemeh74","@s_fatemeh74")</f>
        <v>@s_fatemeh74</v>
      </c>
      <c r="C605" s="6" t="s">
        <v>2125</v>
      </c>
      <c r="D605" s="5" t="s">
        <v>1473</v>
      </c>
      <c r="E605" s="9" t="str">
        <f>HYPERLINK("https://twitter.com/s_fatemeh74/status/1044868780608933889","1044868780608933889")</f>
        <v>1044868780608933889</v>
      </c>
      <c r="F605" s="4"/>
      <c r="G605" s="4"/>
      <c r="H605" s="4"/>
      <c r="I605" s="10" t="str">
        <f>HYPERLINK("http://twitter.com/download/android","Twitter for Android")</f>
        <v>Twitter for Android</v>
      </c>
      <c r="J605" s="2">
        <v>1438</v>
      </c>
      <c r="K605" s="2">
        <v>1476</v>
      </c>
      <c r="L605" s="2">
        <v>2</v>
      </c>
      <c r="M605" s="2"/>
      <c r="N605" s="8">
        <v>43265.009502314817</v>
      </c>
      <c r="O605" s="4"/>
      <c r="P605" s="3" t="s">
        <v>2124</v>
      </c>
      <c r="Q605" s="4"/>
      <c r="R605" s="4"/>
      <c r="S605" s="9" t="str">
        <f>HYPERLINK("https://pbs.twimg.com/profile_images/1039166654297632774/pJ06S2m_.jpg","View")</f>
        <v>View</v>
      </c>
    </row>
    <row r="606" spans="1:19" ht="40">
      <c r="A606" s="8">
        <v>43369.50509259259</v>
      </c>
      <c r="B606" s="11" t="str">
        <f>HYPERLINK("https://twitter.com/ghalam313","@ghalam313")</f>
        <v>@ghalam313</v>
      </c>
      <c r="C606" s="6" t="s">
        <v>649</v>
      </c>
      <c r="D606" s="5" t="s">
        <v>1901</v>
      </c>
      <c r="E606" s="9" t="str">
        <f>HYPERLINK("https://twitter.com/ghalam313/status/1044868513477857280","1044868513477857280")</f>
        <v>1044868513477857280</v>
      </c>
      <c r="F606" s="4"/>
      <c r="G606" s="4"/>
      <c r="H606" s="4"/>
      <c r="I606" s="10" t="str">
        <f>HYPERLINK("http://twitter.com/download/android","Twitter for Android")</f>
        <v>Twitter for Android</v>
      </c>
      <c r="J606" s="2">
        <v>150</v>
      </c>
      <c r="K606" s="2">
        <v>13</v>
      </c>
      <c r="L606" s="2">
        <v>0</v>
      </c>
      <c r="M606" s="2"/>
      <c r="N606" s="8">
        <v>43360.238379629634</v>
      </c>
      <c r="O606" s="4"/>
      <c r="P606" s="3" t="s">
        <v>648</v>
      </c>
      <c r="Q606" s="4"/>
      <c r="R606" s="4"/>
      <c r="S606" s="9" t="str">
        <f>HYPERLINK("https://pbs.twimg.com/profile_images/1041500924324311040/PShkM2SO.jpg","View")</f>
        <v>View</v>
      </c>
    </row>
    <row r="607" spans="1:19" ht="30">
      <c r="A607" s="8">
        <v>43369.504826388889</v>
      </c>
      <c r="B607" s="11" t="str">
        <f>HYPERLINK("https://twitter.com/erkinchi","@erkinchi")</f>
        <v>@erkinchi</v>
      </c>
      <c r="C607" s="6" t="s">
        <v>2123</v>
      </c>
      <c r="D607" s="5" t="s">
        <v>2122</v>
      </c>
      <c r="E607" s="9" t="str">
        <f>HYPERLINK("https://twitter.com/erkinchi/status/1044868416354562048","1044868416354562048")</f>
        <v>1044868416354562048</v>
      </c>
      <c r="F607" s="4"/>
      <c r="G607" s="10" t="s">
        <v>2121</v>
      </c>
      <c r="H607" s="4"/>
      <c r="I607" s="10" t="str">
        <f>HYPERLINK("http://twitter.com","Twitter Web Client")</f>
        <v>Twitter Web Client</v>
      </c>
      <c r="J607" s="2">
        <v>805</v>
      </c>
      <c r="K607" s="2">
        <v>274</v>
      </c>
      <c r="L607" s="2">
        <v>3</v>
      </c>
      <c r="M607" s="2"/>
      <c r="N607" s="8">
        <v>41561.322083333333</v>
      </c>
      <c r="O607" s="4"/>
      <c r="P607" s="3" t="s">
        <v>2120</v>
      </c>
      <c r="Q607" s="4"/>
      <c r="R607" s="4"/>
      <c r="S607" s="9" t="str">
        <f>HYPERLINK("https://pbs.twimg.com/profile_images/1009004222308810753/pi0MyTxl.jpg","View")</f>
        <v>View</v>
      </c>
    </row>
    <row r="608" spans="1:19" ht="30">
      <c r="A608" s="8">
        <v>43369.504791666666</v>
      </c>
      <c r="B608" s="11" t="str">
        <f>HYPERLINK("https://twitter.com/AyatollahThief","@AyatollahThief")</f>
        <v>@AyatollahThief</v>
      </c>
      <c r="C608" s="6" t="s">
        <v>2119</v>
      </c>
      <c r="D608" s="5" t="s">
        <v>1593</v>
      </c>
      <c r="E608" s="9" t="str">
        <f>HYPERLINK("https://twitter.com/AyatollahThief/status/1044868403582914560","1044868403582914560")</f>
        <v>1044868403582914560</v>
      </c>
      <c r="F608" s="4"/>
      <c r="G608" s="10" t="s">
        <v>1543</v>
      </c>
      <c r="H608" s="4"/>
      <c r="I608" s="10" t="str">
        <f>HYPERLINK("http://twitter.com/download/android","Twitter for Android")</f>
        <v>Twitter for Android</v>
      </c>
      <c r="J608" s="2">
        <v>349</v>
      </c>
      <c r="K608" s="2">
        <v>160</v>
      </c>
      <c r="L608" s="2">
        <v>0</v>
      </c>
      <c r="M608" s="2"/>
      <c r="N608" s="8">
        <v>43119.045532407406</v>
      </c>
      <c r="O608" s="4" t="s">
        <v>2118</v>
      </c>
      <c r="P608" s="3" t="s">
        <v>2117</v>
      </c>
      <c r="Q608" s="4"/>
      <c r="R608" s="4"/>
      <c r="S608" s="9" t="str">
        <f>HYPERLINK("https://pbs.twimg.com/profile_images/961179120012087296/tvWsUa1I.jpg","View")</f>
        <v>View</v>
      </c>
    </row>
    <row r="609" spans="1:19" ht="40">
      <c r="A609" s="8">
        <v>43369.504675925928</v>
      </c>
      <c r="B609" s="11" t="str">
        <f>HYPERLINK("https://twitter.com/30rooss","@30rooss")</f>
        <v>@30rooss</v>
      </c>
      <c r="C609" s="6" t="s">
        <v>2116</v>
      </c>
      <c r="D609" s="5" t="s">
        <v>72</v>
      </c>
      <c r="E609" s="9" t="str">
        <f>HYPERLINK("https://twitter.com/30rooss/status/1044868358729019392","1044868358729019392")</f>
        <v>1044868358729019392</v>
      </c>
      <c r="F609" s="4"/>
      <c r="G609" s="4"/>
      <c r="H609" s="4"/>
      <c r="I609" s="10" t="str">
        <f>HYPERLINK("http://twitter.com","Twitter Web Client")</f>
        <v>Twitter Web Client</v>
      </c>
      <c r="J609" s="2">
        <v>11846</v>
      </c>
      <c r="K609" s="2">
        <v>5672</v>
      </c>
      <c r="L609" s="2">
        <v>59</v>
      </c>
      <c r="M609" s="2"/>
      <c r="N609" s="8">
        <v>41851.885682870372</v>
      </c>
      <c r="O609" s="4" t="s">
        <v>25</v>
      </c>
      <c r="P609" s="3" t="s">
        <v>2115</v>
      </c>
      <c r="Q609" s="4"/>
      <c r="R609" s="4"/>
      <c r="S609" s="9" t="str">
        <f>HYPERLINK("https://pbs.twimg.com/profile_images/925387529637060608/FtxrAhae.jpg","View")</f>
        <v>View</v>
      </c>
    </row>
    <row r="610" spans="1:19" ht="40">
      <c r="A610" s="8">
        <v>43369.504120370373</v>
      </c>
      <c r="B610" s="11" t="str">
        <f>HYPERLINK("https://twitter.com/Shahr2ad","@Shahr2ad")</f>
        <v>@Shahr2ad</v>
      </c>
      <c r="C610" s="6" t="s">
        <v>2114</v>
      </c>
      <c r="D610" s="5" t="s">
        <v>1556</v>
      </c>
      <c r="E610" s="9" t="str">
        <f>HYPERLINK("https://twitter.com/Shahr2ad/status/1044868158950133761","1044868158950133761")</f>
        <v>1044868158950133761</v>
      </c>
      <c r="F610" s="4"/>
      <c r="G610" s="4"/>
      <c r="H610" s="4"/>
      <c r="I610" s="10" t="str">
        <f>HYPERLINK("http://twitter.com/download/iphone","Twitter for iPhone")</f>
        <v>Twitter for iPhone</v>
      </c>
      <c r="J610" s="2">
        <v>15919</v>
      </c>
      <c r="K610" s="2">
        <v>862</v>
      </c>
      <c r="L610" s="2">
        <v>217</v>
      </c>
      <c r="M610" s="2"/>
      <c r="N610" s="8">
        <v>41178.399259259255</v>
      </c>
      <c r="O610" s="4" t="s">
        <v>16</v>
      </c>
      <c r="P610" s="3" t="s">
        <v>2113</v>
      </c>
      <c r="Q610" s="10" t="s">
        <v>2112</v>
      </c>
      <c r="R610" s="4"/>
      <c r="S610" s="9" t="str">
        <f>HYPERLINK("https://pbs.twimg.com/profile_images/751667630226939904/Q6Xfflng.jpg","View")</f>
        <v>View</v>
      </c>
    </row>
    <row r="611" spans="1:19" ht="40">
      <c r="A611" s="8">
        <v>43369.503865740742</v>
      </c>
      <c r="B611" s="11" t="str">
        <f>HYPERLINK("https://twitter.com/MHGhasemi","@MHGhasemi")</f>
        <v>@MHGhasemi</v>
      </c>
      <c r="C611" s="6" t="s">
        <v>2111</v>
      </c>
      <c r="D611" s="5" t="s">
        <v>128</v>
      </c>
      <c r="E611" s="9" t="str">
        <f>HYPERLINK("https://twitter.com/MHGhasemi/status/1044868068009287680","1044868068009287680")</f>
        <v>1044868068009287680</v>
      </c>
      <c r="F611" s="4"/>
      <c r="G611" s="4"/>
      <c r="H611" s="4"/>
      <c r="I611" s="10" t="str">
        <f>HYPERLINK("http://twitter.com","Twitter Web Client")</f>
        <v>Twitter Web Client</v>
      </c>
      <c r="J611" s="2">
        <v>1218</v>
      </c>
      <c r="K611" s="2">
        <v>686</v>
      </c>
      <c r="L611" s="2">
        <v>33</v>
      </c>
      <c r="M611" s="2"/>
      <c r="N611" s="8">
        <v>41852.628796296296</v>
      </c>
      <c r="O611" s="4" t="s">
        <v>25</v>
      </c>
      <c r="P611" s="3" t="s">
        <v>2110</v>
      </c>
      <c r="Q611" s="4"/>
      <c r="R611" s="4"/>
      <c r="S611" s="9" t="str">
        <f>HYPERLINK("https://pbs.twimg.com/profile_images/495166077660585985/nBPODGxF.jpeg","View")</f>
        <v>View</v>
      </c>
    </row>
    <row r="612" spans="1:19" ht="40">
      <c r="A612" s="8">
        <v>43369.503518518519</v>
      </c>
      <c r="B612" s="11" t="str">
        <f>HYPERLINK("https://twitter.com/ghalam313","@ghalam313")</f>
        <v>@ghalam313</v>
      </c>
      <c r="C612" s="6" t="s">
        <v>649</v>
      </c>
      <c r="D612" s="5" t="s">
        <v>2109</v>
      </c>
      <c r="E612" s="9" t="str">
        <f>HYPERLINK("https://twitter.com/ghalam313/status/1044867939357413377","1044867939357413377")</f>
        <v>1044867939357413377</v>
      </c>
      <c r="F612" s="4"/>
      <c r="G612" s="4"/>
      <c r="H612" s="4"/>
      <c r="I612" s="10" t="str">
        <f>HYPERLINK("http://twitter.com/download/android","Twitter for Android")</f>
        <v>Twitter for Android</v>
      </c>
      <c r="J612" s="2">
        <v>150</v>
      </c>
      <c r="K612" s="2">
        <v>13</v>
      </c>
      <c r="L612" s="2">
        <v>0</v>
      </c>
      <c r="M612" s="2"/>
      <c r="N612" s="8">
        <v>43360.238379629634</v>
      </c>
      <c r="O612" s="4"/>
      <c r="P612" s="3" t="s">
        <v>648</v>
      </c>
      <c r="Q612" s="4"/>
      <c r="R612" s="4"/>
      <c r="S612" s="9" t="str">
        <f>HYPERLINK("https://pbs.twimg.com/profile_images/1041500924324311040/PShkM2SO.jpg","View")</f>
        <v>View</v>
      </c>
    </row>
    <row r="613" spans="1:19" ht="50">
      <c r="A613" s="8">
        <v>43369.503078703703</v>
      </c>
      <c r="B613" s="11" t="str">
        <f>HYPERLINK("https://twitter.com/5ooroosh","@5ooroosh")</f>
        <v>@5ooroosh</v>
      </c>
      <c r="C613" s="6" t="s">
        <v>2108</v>
      </c>
      <c r="D613" s="5" t="s">
        <v>917</v>
      </c>
      <c r="E613" s="9" t="str">
        <f>HYPERLINK("https://twitter.com/5ooroosh/status/1044867779717996545","1044867779717996545")</f>
        <v>1044867779717996545</v>
      </c>
      <c r="F613" s="4"/>
      <c r="G613" s="4"/>
      <c r="H613" s="4"/>
      <c r="I613" s="10" t="str">
        <f>HYPERLINK("http://twitter.com","Twitter Web Client")</f>
        <v>Twitter Web Client</v>
      </c>
      <c r="J613" s="2">
        <v>1320</v>
      </c>
      <c r="K613" s="2">
        <v>236</v>
      </c>
      <c r="L613" s="2">
        <v>22</v>
      </c>
      <c r="M613" s="2"/>
      <c r="N613" s="8">
        <v>41753.898645833331</v>
      </c>
      <c r="O613" s="4" t="s">
        <v>545</v>
      </c>
      <c r="P613" s="3" t="s">
        <v>2107</v>
      </c>
      <c r="Q613" s="10" t="s">
        <v>2106</v>
      </c>
      <c r="R613" s="4"/>
      <c r="S613" s="9" t="str">
        <f>HYPERLINK("https://pbs.twimg.com/profile_images/1015375109497020418/CbyNeLif.jpg","View")</f>
        <v>View</v>
      </c>
    </row>
    <row r="614" spans="1:19" ht="40">
      <c r="A614" s="8">
        <v>43369.502152777779</v>
      </c>
      <c r="B614" s="11" t="str">
        <f>HYPERLINK("https://twitter.com/novinpad","@novinpad")</f>
        <v>@novinpad</v>
      </c>
      <c r="C614" s="6" t="s">
        <v>2105</v>
      </c>
      <c r="D614" s="5" t="s">
        <v>58</v>
      </c>
      <c r="E614" s="9" t="str">
        <f>HYPERLINK("https://twitter.com/novinpad/status/1044867446669275136","1044867446669275136")</f>
        <v>1044867446669275136</v>
      </c>
      <c r="F614" s="4"/>
      <c r="G614" s="10" t="s">
        <v>57</v>
      </c>
      <c r="H614" s="4"/>
      <c r="I614" s="10" t="str">
        <f>HYPERLINK("http://twitter.com/download/android","Twitter for Android")</f>
        <v>Twitter for Android</v>
      </c>
      <c r="J614" s="2">
        <v>97</v>
      </c>
      <c r="K614" s="2">
        <v>100</v>
      </c>
      <c r="L614" s="2">
        <v>0</v>
      </c>
      <c r="M614" s="2"/>
      <c r="N614" s="8">
        <v>43220.95239583333</v>
      </c>
      <c r="O614" s="4"/>
      <c r="P614" s="3"/>
      <c r="Q614" s="4"/>
      <c r="R614" s="4"/>
      <c r="S614" s="9" t="str">
        <f>HYPERLINK("https://pbs.twimg.com/profile_images/1037433435143323648/N-ITrajJ.jpg","View")</f>
        <v>View</v>
      </c>
    </row>
    <row r="615" spans="1:19" ht="30">
      <c r="A615" s="8">
        <v>43369.501932870371</v>
      </c>
      <c r="B615" s="11" t="str">
        <f>HYPERLINK("https://twitter.com/Iranbaranna1372","@Iranbaranna1372")</f>
        <v>@Iranbaranna1372</v>
      </c>
      <c r="C615" s="6" t="s">
        <v>2104</v>
      </c>
      <c r="D615" s="5" t="s">
        <v>49</v>
      </c>
      <c r="E615" s="9" t="str">
        <f>HYPERLINK("https://twitter.com/Iranbaranna1372/status/1044867366012809216","1044867366012809216")</f>
        <v>1044867366012809216</v>
      </c>
      <c r="F615" s="4"/>
      <c r="G615" s="4"/>
      <c r="H615" s="4"/>
      <c r="I615" s="10" t="str">
        <f>HYPERLINK("http://twitter.com/download/iphone","Twitter for iPhone")</f>
        <v>Twitter for iPhone</v>
      </c>
      <c r="J615" s="2">
        <v>1442</v>
      </c>
      <c r="K615" s="2">
        <v>681</v>
      </c>
      <c r="L615" s="2">
        <v>4</v>
      </c>
      <c r="M615" s="2"/>
      <c r="N615" s="8">
        <v>41868.666759259257</v>
      </c>
      <c r="O615" s="4"/>
      <c r="P615" s="3" t="s">
        <v>2103</v>
      </c>
      <c r="Q615" s="4"/>
      <c r="R615" s="4"/>
      <c r="S615" s="9" t="str">
        <f>HYPERLINK("https://pbs.twimg.com/profile_images/1036561913314861056/WwvF4iKf.jpg","View")</f>
        <v>View</v>
      </c>
    </row>
    <row r="616" spans="1:19" ht="40">
      <c r="A616" s="8">
        <v>43369.501446759255</v>
      </c>
      <c r="B616" s="11" t="str">
        <f>HYPERLINK("https://twitter.com/Hossein_94941","@Hossein_94941")</f>
        <v>@Hossein_94941</v>
      </c>
      <c r="C616" s="6" t="s">
        <v>2102</v>
      </c>
      <c r="D616" s="5" t="s">
        <v>72</v>
      </c>
      <c r="E616" s="9" t="str">
        <f>HYPERLINK("https://twitter.com/Hossein_94941/status/1044867191068393472","1044867191068393472")</f>
        <v>1044867191068393472</v>
      </c>
      <c r="F616" s="4"/>
      <c r="G616" s="4"/>
      <c r="H616" s="4"/>
      <c r="I616" s="10" t="str">
        <f>HYPERLINK("http://twitter.com/download/android","Twitter for Android")</f>
        <v>Twitter for Android</v>
      </c>
      <c r="J616" s="2">
        <v>2100</v>
      </c>
      <c r="K616" s="2">
        <v>261</v>
      </c>
      <c r="L616" s="2">
        <v>13</v>
      </c>
      <c r="M616" s="2"/>
      <c r="N616" s="8">
        <v>42892.109675925924</v>
      </c>
      <c r="O616" s="4" t="s">
        <v>2101</v>
      </c>
      <c r="P616" s="3" t="s">
        <v>2100</v>
      </c>
      <c r="Q616" s="4"/>
      <c r="R616" s="4"/>
      <c r="S616" s="9" t="str">
        <f>HYPERLINK("https://pbs.twimg.com/profile_images/983281674745270272/8lYGaUtz.jpg","View")</f>
        <v>View</v>
      </c>
    </row>
    <row r="617" spans="1:19" ht="20">
      <c r="A617" s="8">
        <v>43369.50135416667</v>
      </c>
      <c r="B617" s="11" t="str">
        <f>HYPERLINK("https://twitter.com/marcokhoresht","@marcokhoresht")</f>
        <v>@marcokhoresht</v>
      </c>
      <c r="C617" s="6" t="s">
        <v>2099</v>
      </c>
      <c r="D617" s="5" t="s">
        <v>102</v>
      </c>
      <c r="E617" s="9" t="str">
        <f>HYPERLINK("https://twitter.com/marcokhoresht/status/1044867156066947072","1044867156066947072")</f>
        <v>1044867156066947072</v>
      </c>
      <c r="F617" s="4"/>
      <c r="G617" s="4"/>
      <c r="H617" s="4"/>
      <c r="I617" s="10" t="str">
        <f>HYPERLINK("http://twitter.com/download/android","Twitter for Android")</f>
        <v>Twitter for Android</v>
      </c>
      <c r="J617" s="2">
        <v>1108</v>
      </c>
      <c r="K617" s="2">
        <v>937</v>
      </c>
      <c r="L617" s="2">
        <v>2</v>
      </c>
      <c r="M617" s="2"/>
      <c r="N617" s="8">
        <v>43109.88826388889</v>
      </c>
      <c r="O617" s="4" t="s">
        <v>2098</v>
      </c>
      <c r="P617" s="3" t="s">
        <v>2097</v>
      </c>
      <c r="Q617" s="4"/>
      <c r="R617" s="4"/>
      <c r="S617" s="9" t="str">
        <f>HYPERLINK("https://pbs.twimg.com/profile_images/991734769493905408/2o47Qm9a.jpg","View")</f>
        <v>View</v>
      </c>
    </row>
    <row r="618" spans="1:19" ht="40">
      <c r="A618" s="8">
        <v>43369.501064814816</v>
      </c>
      <c r="B618" s="11" t="str">
        <f>HYPERLINK("https://twitter.com/mbarati32","@mbarati32")</f>
        <v>@mbarati32</v>
      </c>
      <c r="C618" s="6" t="s">
        <v>2080</v>
      </c>
      <c r="D618" s="5" t="s">
        <v>1556</v>
      </c>
      <c r="E618" s="9" t="str">
        <f>HYPERLINK("https://twitter.com/mbarati32/status/1044867050546573318","1044867050546573318")</f>
        <v>1044867050546573318</v>
      </c>
      <c r="F618" s="4"/>
      <c r="G618" s="4"/>
      <c r="H618" s="4"/>
      <c r="I618" s="10" t="str">
        <f>HYPERLINK("http://twitter.com","Twitter Web Client")</f>
        <v>Twitter Web Client</v>
      </c>
      <c r="J618" s="2">
        <v>29</v>
      </c>
      <c r="K618" s="2">
        <v>95</v>
      </c>
      <c r="L618" s="2">
        <v>2</v>
      </c>
      <c r="M618" s="2"/>
      <c r="N618" s="8">
        <v>41889.555902777778</v>
      </c>
      <c r="O618" s="4"/>
      <c r="P618" s="3" t="s">
        <v>2079</v>
      </c>
      <c r="Q618" s="4"/>
      <c r="R618" s="4"/>
      <c r="S618" s="9" t="str">
        <f>HYPERLINK("https://pbs.twimg.com/profile_images/994484600184467456/CSKzyPLO.jpg","View")</f>
        <v>View</v>
      </c>
    </row>
    <row r="619" spans="1:19" ht="30">
      <c r="A619" s="8">
        <v>43369.5003125</v>
      </c>
      <c r="B619" s="11" t="str">
        <f>HYPERLINK("https://twitter.com/mohaam110","@mohaam110")</f>
        <v>@mohaam110</v>
      </c>
      <c r="C619" s="6" t="s">
        <v>2096</v>
      </c>
      <c r="D619" s="5" t="s">
        <v>1960</v>
      </c>
      <c r="E619" s="9" t="str">
        <f>HYPERLINK("https://twitter.com/mohaam110/status/1044866777195384832","1044866777195384832")</f>
        <v>1044866777195384832</v>
      </c>
      <c r="F619" s="4"/>
      <c r="G619" s="4"/>
      <c r="H619" s="4"/>
      <c r="I619" s="10" t="str">
        <f>HYPERLINK("http://twitter.com/download/android","Twitter for Android")</f>
        <v>Twitter for Android</v>
      </c>
      <c r="J619" s="2">
        <v>885</v>
      </c>
      <c r="K619" s="2">
        <v>894</v>
      </c>
      <c r="L619" s="2">
        <v>0</v>
      </c>
      <c r="M619" s="2"/>
      <c r="N619" s="8">
        <v>43091.127928240741</v>
      </c>
      <c r="O619" s="4" t="s">
        <v>1</v>
      </c>
      <c r="P619" s="3" t="s">
        <v>2095</v>
      </c>
      <c r="Q619" s="4"/>
      <c r="R619" s="4"/>
      <c r="S619" s="9" t="str">
        <f>HYPERLINK("https://pbs.twimg.com/profile_images/1038737459079733253/8PRCUOyt.jpg","View")</f>
        <v>View</v>
      </c>
    </row>
    <row r="620" spans="1:19" ht="20">
      <c r="A620" s="8">
        <v>43369.500127314815</v>
      </c>
      <c r="B620" s="11" t="str">
        <f>HYPERLINK("https://twitter.com/AminBabazadeh2","@AminBabazadeh2")</f>
        <v>@AminBabazadeh2</v>
      </c>
      <c r="C620" s="6" t="s">
        <v>2094</v>
      </c>
      <c r="D620" s="5" t="s">
        <v>2093</v>
      </c>
      <c r="E620" s="9" t="str">
        <f>HYPERLINK("https://twitter.com/AminBabazadeh2/status/1044866711319662593","1044866711319662593")</f>
        <v>1044866711319662593</v>
      </c>
      <c r="F620" s="4"/>
      <c r="G620" s="10" t="s">
        <v>2092</v>
      </c>
      <c r="H620" s="4"/>
      <c r="I620" s="10" t="str">
        <f>HYPERLINK("http://twitter.com/download/android","Twitter for Android")</f>
        <v>Twitter for Android</v>
      </c>
      <c r="J620" s="2">
        <v>1673</v>
      </c>
      <c r="K620" s="2">
        <v>1966</v>
      </c>
      <c r="L620" s="2">
        <v>5</v>
      </c>
      <c r="M620" s="2"/>
      <c r="N620" s="8">
        <v>42740.667476851857</v>
      </c>
      <c r="O620" s="4"/>
      <c r="P620" s="3" t="s">
        <v>2091</v>
      </c>
      <c r="Q620" s="10" t="s">
        <v>2090</v>
      </c>
      <c r="R620" s="4"/>
      <c r="S620" s="9" t="str">
        <f>HYPERLINK("https://pbs.twimg.com/profile_images/1014177014767644672/01hl5BLJ.jpg","View")</f>
        <v>View</v>
      </c>
    </row>
    <row r="621" spans="1:19" ht="40">
      <c r="A621" s="8">
        <v>43369.500023148154</v>
      </c>
      <c r="B621" s="11" t="str">
        <f>HYPERLINK("https://twitter.com/foadalfars","@foadalfars")</f>
        <v>@foadalfars</v>
      </c>
      <c r="C621" s="6" t="s">
        <v>2089</v>
      </c>
      <c r="D621" s="5" t="s">
        <v>1556</v>
      </c>
      <c r="E621" s="9" t="str">
        <f>HYPERLINK("https://twitter.com/foadalfars/status/1044866672572723202","1044866672572723202")</f>
        <v>1044866672572723202</v>
      </c>
      <c r="F621" s="4"/>
      <c r="G621" s="4"/>
      <c r="H621" s="4"/>
      <c r="I621" s="10" t="str">
        <f>HYPERLINK("http://twitter.com/download/android","Twitter for Android")</f>
        <v>Twitter for Android</v>
      </c>
      <c r="J621" s="2">
        <v>128</v>
      </c>
      <c r="K621" s="2">
        <v>72</v>
      </c>
      <c r="L621" s="2">
        <v>0</v>
      </c>
      <c r="M621" s="2"/>
      <c r="N621" s="8">
        <v>40401.519895833335</v>
      </c>
      <c r="O621" s="4" t="s">
        <v>2088</v>
      </c>
      <c r="P621" s="3" t="s">
        <v>2087</v>
      </c>
      <c r="Q621" s="4"/>
      <c r="R621" s="4"/>
      <c r="S621" s="9" t="str">
        <f>HYPERLINK("https://pbs.twimg.com/profile_images/1042425744947929088/WczZJOfG.jpg","View")</f>
        <v>View</v>
      </c>
    </row>
    <row r="622" spans="1:19" ht="30">
      <c r="A622" s="8">
        <v>43369.499965277777</v>
      </c>
      <c r="B622" s="11" t="str">
        <f>HYPERLINK("https://twitter.com/RezaShafiee27","@RezaShafiee27")</f>
        <v>@RezaShafiee27</v>
      </c>
      <c r="C622" s="6" t="s">
        <v>2086</v>
      </c>
      <c r="D622" s="5" t="s">
        <v>1960</v>
      </c>
      <c r="E622" s="9" t="str">
        <f>HYPERLINK("https://twitter.com/RezaShafiee27/status/1044866654860169216","1044866654860169216")</f>
        <v>1044866654860169216</v>
      </c>
      <c r="F622" s="4"/>
      <c r="G622" s="4"/>
      <c r="H622" s="4"/>
      <c r="I622" s="10" t="str">
        <f>HYPERLINK("http://t.me/RetweetBot","HsinBot")</f>
        <v>HsinBot</v>
      </c>
      <c r="J622" s="2">
        <v>672</v>
      </c>
      <c r="K622" s="2">
        <v>960</v>
      </c>
      <c r="L622" s="2">
        <v>2</v>
      </c>
      <c r="M622" s="2"/>
      <c r="N622" s="8">
        <v>42881.999421296292</v>
      </c>
      <c r="O622" s="4"/>
      <c r="P622" s="3" t="s">
        <v>2085</v>
      </c>
      <c r="Q622" s="4"/>
      <c r="R622" s="4"/>
      <c r="S622" s="9" t="str">
        <f>HYPERLINK("https://pbs.twimg.com/profile_images/926757273208098816/o-Jf2MUe.jpg","View")</f>
        <v>View</v>
      </c>
    </row>
    <row r="623" spans="1:19" ht="40">
      <c r="A623" s="8">
        <v>43369.499756944446</v>
      </c>
      <c r="B623" s="11" t="str">
        <f>HYPERLINK("https://twitter.com/farhani_fard","@farhani_fard")</f>
        <v>@farhani_fard</v>
      </c>
      <c r="C623" s="6" t="s">
        <v>532</v>
      </c>
      <c r="D623" s="5" t="s">
        <v>1556</v>
      </c>
      <c r="E623" s="9" t="str">
        <f>HYPERLINK("https://twitter.com/farhani_fard/status/1044866579698266113","1044866579698266113")</f>
        <v>1044866579698266113</v>
      </c>
      <c r="F623" s="4"/>
      <c r="G623" s="4"/>
      <c r="H623" s="4"/>
      <c r="I623" s="10" t="str">
        <f>HYPERLINK("http://twitter.com/download/iphone","Twitter for iPhone")</f>
        <v>Twitter for iPhone</v>
      </c>
      <c r="J623" s="2">
        <v>1289</v>
      </c>
      <c r="K623" s="2">
        <v>1140</v>
      </c>
      <c r="L623" s="2">
        <v>2</v>
      </c>
      <c r="M623" s="2"/>
      <c r="N623" s="8">
        <v>42306.46875</v>
      </c>
      <c r="O623" s="4" t="s">
        <v>2084</v>
      </c>
      <c r="P623" s="3" t="s">
        <v>2083</v>
      </c>
      <c r="Q623" s="4"/>
      <c r="R623" s="4"/>
      <c r="S623" s="9" t="str">
        <f>HYPERLINK("https://pbs.twimg.com/profile_images/1040814942780358657/ZPydXleL.jpg","View")</f>
        <v>View</v>
      </c>
    </row>
    <row r="624" spans="1:19" ht="40">
      <c r="A624" s="8">
        <v>43369.499756944446</v>
      </c>
      <c r="B624" s="11" t="str">
        <f>HYPERLINK("https://twitter.com/hamidamir44","@hamidamir44")</f>
        <v>@hamidamir44</v>
      </c>
      <c r="C624" s="6" t="s">
        <v>2082</v>
      </c>
      <c r="D624" s="5" t="s">
        <v>58</v>
      </c>
      <c r="E624" s="9" t="str">
        <f>HYPERLINK("https://twitter.com/hamidamir44/status/1044866577232007168","1044866577232007168")</f>
        <v>1044866577232007168</v>
      </c>
      <c r="F624" s="4"/>
      <c r="G624" s="10" t="s">
        <v>57</v>
      </c>
      <c r="H624" s="4"/>
      <c r="I624" s="10" t="str">
        <f>HYPERLINK("http://twitter.com","Twitter Web Client")</f>
        <v>Twitter Web Client</v>
      </c>
      <c r="J624" s="2">
        <v>2152</v>
      </c>
      <c r="K624" s="2">
        <v>2078</v>
      </c>
      <c r="L624" s="2">
        <v>10</v>
      </c>
      <c r="M624" s="2"/>
      <c r="N624" s="8">
        <v>42811.484513888892</v>
      </c>
      <c r="O624" s="4"/>
      <c r="P624" s="3" t="s">
        <v>2081</v>
      </c>
      <c r="Q624" s="4"/>
      <c r="R624" s="4"/>
      <c r="S624" s="9" t="str">
        <f>HYPERLINK("https://pbs.twimg.com/profile_images/997738262130126850/ML5oOpgc.jpg","View")</f>
        <v>View</v>
      </c>
    </row>
    <row r="625" spans="1:19" ht="20">
      <c r="A625" s="8">
        <v>43369.499305555553</v>
      </c>
      <c r="B625" s="11" t="str">
        <f>HYPERLINK("https://twitter.com/mbarati32","@mbarati32")</f>
        <v>@mbarati32</v>
      </c>
      <c r="C625" s="6" t="s">
        <v>2080</v>
      </c>
      <c r="D625" s="5" t="s">
        <v>185</v>
      </c>
      <c r="E625" s="9" t="str">
        <f>HYPERLINK("https://twitter.com/mbarati32/status/1044866414803406850","1044866414803406850")</f>
        <v>1044866414803406850</v>
      </c>
      <c r="F625" s="4"/>
      <c r="G625" s="10" t="s">
        <v>177</v>
      </c>
      <c r="H625" s="4"/>
      <c r="I625" s="10" t="str">
        <f>HYPERLINK("http://twitter.com","Twitter Web Client")</f>
        <v>Twitter Web Client</v>
      </c>
      <c r="J625" s="2">
        <v>29</v>
      </c>
      <c r="K625" s="2">
        <v>95</v>
      </c>
      <c r="L625" s="2">
        <v>2</v>
      </c>
      <c r="M625" s="2"/>
      <c r="N625" s="8">
        <v>41889.555902777778</v>
      </c>
      <c r="O625" s="4"/>
      <c r="P625" s="3" t="s">
        <v>2079</v>
      </c>
      <c r="Q625" s="4"/>
      <c r="R625" s="4"/>
      <c r="S625" s="9" t="str">
        <f>HYPERLINK("https://pbs.twimg.com/profile_images/994484600184467456/CSKzyPLO.jpg","View")</f>
        <v>View</v>
      </c>
    </row>
    <row r="626" spans="1:19" ht="30">
      <c r="A626" s="8">
        <v>43369.499039351853</v>
      </c>
      <c r="B626" s="11" t="str">
        <f>HYPERLINK("https://twitter.com/iran_boy2018","@iran_boy2018")</f>
        <v>@iran_boy2018</v>
      </c>
      <c r="C626" s="6" t="s">
        <v>2078</v>
      </c>
      <c r="D626" s="5" t="s">
        <v>106</v>
      </c>
      <c r="E626" s="9" t="str">
        <f>HYPERLINK("https://twitter.com/iran_boy2018/status/1044866317390696448","1044866317390696448")</f>
        <v>1044866317390696448</v>
      </c>
      <c r="F626" s="4"/>
      <c r="G626" s="10" t="s">
        <v>105</v>
      </c>
      <c r="H626" s="4"/>
      <c r="I626" s="10" t="str">
        <f>HYPERLINK("http://twitter.com/download/android","Twitter for Android")</f>
        <v>Twitter for Android</v>
      </c>
      <c r="J626" s="2">
        <v>316</v>
      </c>
      <c r="K626" s="2">
        <v>382</v>
      </c>
      <c r="L626" s="2">
        <v>1</v>
      </c>
      <c r="M626" s="2"/>
      <c r="N626" s="8">
        <v>43272.049722222218</v>
      </c>
      <c r="O626" s="4"/>
      <c r="P626" s="3"/>
      <c r="Q626" s="4"/>
      <c r="R626" s="4"/>
      <c r="S626" s="9" t="str">
        <f>HYPERLINK("https://pbs.twimg.com/profile_images/1020631376989569024/wpKsjFnw.jpg","View")</f>
        <v>View</v>
      </c>
    </row>
    <row r="627" spans="1:19" ht="40">
      <c r="A627" s="8">
        <v>43369.496898148151</v>
      </c>
      <c r="B627" s="11" t="str">
        <f>HYPERLINK("https://twitter.com/DaeeHassan","@DaeeHassan")</f>
        <v>@DaeeHassan</v>
      </c>
      <c r="C627" s="6" t="s">
        <v>2077</v>
      </c>
      <c r="D627" s="5" t="s">
        <v>2076</v>
      </c>
      <c r="E627" s="9" t="str">
        <f>HYPERLINK("https://twitter.com/DaeeHassan/status/1044865541628989440","1044865541628989440")</f>
        <v>1044865541628989440</v>
      </c>
      <c r="F627" s="4"/>
      <c r="G627" s="4"/>
      <c r="H627" s="4"/>
      <c r="I627" s="10" t="str">
        <f>HYPERLINK("http://twitter.com/download/android","Twitter for Android")</f>
        <v>Twitter for Android</v>
      </c>
      <c r="J627" s="2">
        <v>1404</v>
      </c>
      <c r="K627" s="2">
        <v>1030</v>
      </c>
      <c r="L627" s="2">
        <v>1</v>
      </c>
      <c r="M627" s="2"/>
      <c r="N627" s="8">
        <v>42773.082974537036</v>
      </c>
      <c r="O627" s="4" t="s">
        <v>2075</v>
      </c>
      <c r="P627" s="3" t="s">
        <v>2074</v>
      </c>
      <c r="Q627" s="4"/>
      <c r="R627" s="4"/>
      <c r="S627" s="9" t="str">
        <f>HYPERLINK("https://pbs.twimg.com/profile_images/943173983079424000/nkx3mVMx.jpg","View")</f>
        <v>View</v>
      </c>
    </row>
    <row r="628" spans="1:19" ht="40">
      <c r="A628" s="8">
        <v>43369.496678240743</v>
      </c>
      <c r="B628" s="11" t="str">
        <f>HYPERLINK("https://twitter.com/TayebeSalmani","@TayebeSalmani")</f>
        <v>@TayebeSalmani</v>
      </c>
      <c r="C628" s="6" t="s">
        <v>2073</v>
      </c>
      <c r="D628" s="5" t="s">
        <v>1556</v>
      </c>
      <c r="E628" s="9" t="str">
        <f>HYPERLINK("https://twitter.com/TayebeSalmani/status/1044865462809624577","1044865462809624577")</f>
        <v>1044865462809624577</v>
      </c>
      <c r="F628" s="4"/>
      <c r="G628" s="4"/>
      <c r="H628" s="4"/>
      <c r="I628" s="10" t="str">
        <f>HYPERLINK("http://twitter.com/download/android","Twitter for Android")</f>
        <v>Twitter for Android</v>
      </c>
      <c r="J628" s="2">
        <v>343</v>
      </c>
      <c r="K628" s="2">
        <v>90</v>
      </c>
      <c r="L628" s="2">
        <v>0</v>
      </c>
      <c r="M628" s="2"/>
      <c r="N628" s="8">
        <v>42864.083194444444</v>
      </c>
      <c r="O628" s="4" t="s">
        <v>25</v>
      </c>
      <c r="P628" s="3" t="s">
        <v>2072</v>
      </c>
      <c r="Q628" s="4"/>
      <c r="R628" s="4"/>
      <c r="S628" s="9" t="str">
        <f>HYPERLINK("https://pbs.twimg.com/profile_images/1002068408907845632/kX5H6INR.jpg","View")</f>
        <v>View</v>
      </c>
    </row>
    <row r="629" spans="1:19" ht="40">
      <c r="A629" s="8">
        <v>43369.496342592596</v>
      </c>
      <c r="B629" s="11" t="str">
        <f>HYPERLINK("https://twitter.com/Lenfantesauvage","@Lenfantesauvage")</f>
        <v>@Lenfantesauvage</v>
      </c>
      <c r="C629" s="6" t="s">
        <v>89</v>
      </c>
      <c r="D629" s="5" t="s">
        <v>2071</v>
      </c>
      <c r="E629" s="9" t="str">
        <f>HYPERLINK("https://twitter.com/Lenfantesauvage/status/1044865342219177984","1044865342219177984")</f>
        <v>1044865342219177984</v>
      </c>
      <c r="F629" s="4"/>
      <c r="G629" s="10" t="s">
        <v>2070</v>
      </c>
      <c r="H629" s="4"/>
      <c r="I629" s="10" t="str">
        <f>HYPERLINK("http://twitter.com","Twitter Web Client")</f>
        <v>Twitter Web Client</v>
      </c>
      <c r="J629" s="2">
        <v>85</v>
      </c>
      <c r="K629" s="2">
        <v>163</v>
      </c>
      <c r="L629" s="2">
        <v>0</v>
      </c>
      <c r="M629" s="2"/>
      <c r="N629" s="8">
        <v>43209.63998842593</v>
      </c>
      <c r="O629" s="4"/>
      <c r="P629" s="3"/>
      <c r="Q629" s="4"/>
      <c r="R629" s="4"/>
      <c r="S629" s="9" t="str">
        <f>HYPERLINK("https://pbs.twimg.com/profile_images/1042405775250018305/YljhLdp2.jpg","View")</f>
        <v>View</v>
      </c>
    </row>
    <row r="630" spans="1:19" ht="30">
      <c r="A630" s="8">
        <v>43369.495937500003</v>
      </c>
      <c r="B630" s="11" t="str">
        <f>HYPERLINK("https://twitter.com/Al_ghadban90","@Al_ghadban90")</f>
        <v>@Al_ghadban90</v>
      </c>
      <c r="C630" s="6" t="s">
        <v>2069</v>
      </c>
      <c r="D630" s="5" t="s">
        <v>1593</v>
      </c>
      <c r="E630" s="9" t="str">
        <f>HYPERLINK("https://twitter.com/Al_ghadban90/status/1044865195452043264","1044865195452043264")</f>
        <v>1044865195452043264</v>
      </c>
      <c r="F630" s="4"/>
      <c r="G630" s="10" t="s">
        <v>1543</v>
      </c>
      <c r="H630" s="4"/>
      <c r="I630" s="10" t="str">
        <f>HYPERLINK("http://twitter.com/download/android","Twitter for Android")</f>
        <v>Twitter for Android</v>
      </c>
      <c r="J630" s="2">
        <v>50</v>
      </c>
      <c r="K630" s="2">
        <v>210</v>
      </c>
      <c r="L630" s="2">
        <v>0</v>
      </c>
      <c r="M630" s="2"/>
      <c r="N630" s="8">
        <v>41460.582858796297</v>
      </c>
      <c r="O630" s="4"/>
      <c r="P630" s="3"/>
      <c r="Q630" s="4"/>
      <c r="R630" s="4"/>
      <c r="S630" s="9" t="str">
        <f>HYPERLINK("https://pbs.twimg.com/profile_images/1018138624272031744/DotPjbu3.jpg","View")</f>
        <v>View</v>
      </c>
    </row>
    <row r="631" spans="1:19" ht="30">
      <c r="A631" s="8">
        <v>43369.495925925927</v>
      </c>
      <c r="B631" s="11" t="str">
        <f>HYPERLINK("https://twitter.com/maryam0902123","@maryam0902123")</f>
        <v>@maryam0902123</v>
      </c>
      <c r="C631" s="6" t="s">
        <v>2068</v>
      </c>
      <c r="D631" s="5" t="s">
        <v>2067</v>
      </c>
      <c r="E631" s="9" t="str">
        <f>HYPERLINK("https://twitter.com/maryam0902123/status/1044865190746091520","1044865190746091520")</f>
        <v>1044865190746091520</v>
      </c>
      <c r="F631" s="4"/>
      <c r="G631" s="4"/>
      <c r="H631" s="4"/>
      <c r="I631" s="10" t="str">
        <f>HYPERLINK("http://twitter.com/download/android","Twitter for Android")</f>
        <v>Twitter for Android</v>
      </c>
      <c r="J631" s="2">
        <v>444</v>
      </c>
      <c r="K631" s="2">
        <v>1449</v>
      </c>
      <c r="L631" s="2">
        <v>0</v>
      </c>
      <c r="M631" s="2"/>
      <c r="N631" s="8">
        <v>43353.943622685183</v>
      </c>
      <c r="O631" s="4" t="s">
        <v>2066</v>
      </c>
      <c r="P631" s="3" t="s">
        <v>2065</v>
      </c>
      <c r="Q631" s="4"/>
      <c r="R631" s="4"/>
      <c r="S631" s="9" t="str">
        <f>HYPERLINK("https://pbs.twimg.com/profile_images/1039559302292402176/2gZhJu_B.jpg","View")</f>
        <v>View</v>
      </c>
    </row>
    <row r="632" spans="1:19" ht="20">
      <c r="A632" s="8">
        <v>43369.495740740742</v>
      </c>
      <c r="B632" s="11" t="str">
        <f>HYPERLINK("https://twitter.com/aghapourkh","@aghapourkh")</f>
        <v>@aghapourkh</v>
      </c>
      <c r="C632" s="6" t="s">
        <v>2064</v>
      </c>
      <c r="D632" s="5" t="s">
        <v>2063</v>
      </c>
      <c r="E632" s="9" t="str">
        <f>HYPERLINK("https://twitter.com/aghapourkh/status/1044865120810258434","1044865120810258434")</f>
        <v>1044865120810258434</v>
      </c>
      <c r="F632" s="4"/>
      <c r="G632" s="10" t="s">
        <v>2062</v>
      </c>
      <c r="H632" s="4"/>
      <c r="I632" s="10" t="str">
        <f>HYPERLINK("http://twitter.com/download/android","Twitter for Android")</f>
        <v>Twitter for Android</v>
      </c>
      <c r="J632" s="2">
        <v>208</v>
      </c>
      <c r="K632" s="2">
        <v>650</v>
      </c>
      <c r="L632" s="2">
        <v>0</v>
      </c>
      <c r="M632" s="2"/>
      <c r="N632" s="8">
        <v>43253.843807870369</v>
      </c>
      <c r="O632" s="4" t="s">
        <v>7</v>
      </c>
      <c r="P632" s="3" t="s">
        <v>2061</v>
      </c>
      <c r="Q632" s="4"/>
      <c r="R632" s="4"/>
      <c r="S632" s="9" t="str">
        <f>HYPERLINK("https://pbs.twimg.com/profile_images/1002944291940065280/RK_bkkAH.jpg","View")</f>
        <v>View</v>
      </c>
    </row>
    <row r="633" spans="1:19" ht="40">
      <c r="A633" s="8">
        <v>43369.495138888888</v>
      </c>
      <c r="B633" s="11" t="str">
        <f>HYPERLINK("https://twitter.com/khabgard","@khabgard")</f>
        <v>@khabgard</v>
      </c>
      <c r="C633" s="6" t="s">
        <v>2060</v>
      </c>
      <c r="D633" s="5" t="s">
        <v>1556</v>
      </c>
      <c r="E633" s="9" t="str">
        <f>HYPERLINK("https://twitter.com/khabgard/status/1044864904254148608","1044864904254148608")</f>
        <v>1044864904254148608</v>
      </c>
      <c r="F633" s="4"/>
      <c r="G633" s="4"/>
      <c r="H633" s="4"/>
      <c r="I633" s="10" t="str">
        <f>HYPERLINK("http://twitter.com/download/iphone","Twitter for iPhone")</f>
        <v>Twitter for iPhone</v>
      </c>
      <c r="J633" s="2">
        <v>11782</v>
      </c>
      <c r="K633" s="2">
        <v>298</v>
      </c>
      <c r="L633" s="2">
        <v>79</v>
      </c>
      <c r="M633" s="2"/>
      <c r="N633" s="8">
        <v>41087.005671296298</v>
      </c>
      <c r="O633" s="4" t="s">
        <v>25</v>
      </c>
      <c r="P633" s="3" t="s">
        <v>2059</v>
      </c>
      <c r="Q633" s="10" t="s">
        <v>2058</v>
      </c>
      <c r="R633" s="4"/>
      <c r="S633" s="9" t="str">
        <f>HYPERLINK("https://pbs.twimg.com/profile_images/868335567058219008/SjYLkJam.jpg","View")</f>
        <v>View</v>
      </c>
    </row>
    <row r="634" spans="1:19" ht="40">
      <c r="A634" s="8">
        <v>43369.495115740741</v>
      </c>
      <c r="B634" s="11" t="str">
        <f>HYPERLINK("https://twitter.com/MohFiruzeh","@MohFiruzeh")</f>
        <v>@MohFiruzeh</v>
      </c>
      <c r="C634" s="6" t="s">
        <v>2057</v>
      </c>
      <c r="D634" s="5" t="s">
        <v>1556</v>
      </c>
      <c r="E634" s="9" t="str">
        <f>HYPERLINK("https://twitter.com/MohFiruzeh/status/1044864894313598978","1044864894313598978")</f>
        <v>1044864894313598978</v>
      </c>
      <c r="F634" s="4"/>
      <c r="G634" s="4"/>
      <c r="H634" s="4"/>
      <c r="I634" s="10" t="str">
        <f>HYPERLINK("http://twitter.com/download/iphone","Twitter for iPhone")</f>
        <v>Twitter for iPhone</v>
      </c>
      <c r="J634" s="2">
        <v>119</v>
      </c>
      <c r="K634" s="2">
        <v>93</v>
      </c>
      <c r="L634" s="2">
        <v>0</v>
      </c>
      <c r="M634" s="2"/>
      <c r="N634" s="8">
        <v>43357.613483796296</v>
      </c>
      <c r="O634" s="4" t="s">
        <v>7</v>
      </c>
      <c r="P634" s="3" t="s">
        <v>2056</v>
      </c>
      <c r="Q634" s="4"/>
      <c r="R634" s="4"/>
      <c r="S634" s="9" t="str">
        <f>HYPERLINK("https://pbs.twimg.com/profile_images/1043096427126292480/MBf7mXl3.jpg","View")</f>
        <v>View</v>
      </c>
    </row>
    <row r="635" spans="1:19" ht="40">
      <c r="A635" s="8">
        <v>43369.494363425925</v>
      </c>
      <c r="B635" s="11" t="str">
        <f>HYPERLINK("https://twitter.com/khatevasat","@khatevasat")</f>
        <v>@khatevasat</v>
      </c>
      <c r="C635" s="6" t="s">
        <v>2055</v>
      </c>
      <c r="D635" s="5" t="s">
        <v>2054</v>
      </c>
      <c r="E635" s="9" t="str">
        <f>HYPERLINK("https://twitter.com/khatevasat/status/1044864624888352768","1044864624888352768")</f>
        <v>1044864624888352768</v>
      </c>
      <c r="F635" s="4"/>
      <c r="G635" s="4"/>
      <c r="H635" s="4"/>
      <c r="I635" s="10" t="str">
        <f>HYPERLINK("http://twitter.com","Twitter Web Client")</f>
        <v>Twitter Web Client</v>
      </c>
      <c r="J635" s="2">
        <v>51</v>
      </c>
      <c r="K635" s="2">
        <v>267</v>
      </c>
      <c r="L635" s="2">
        <v>0</v>
      </c>
      <c r="M635" s="2"/>
      <c r="N635" s="8">
        <v>43355.40289351852</v>
      </c>
      <c r="O635" s="4" t="s">
        <v>47</v>
      </c>
      <c r="P635" s="3" t="s">
        <v>2053</v>
      </c>
      <c r="Q635" s="10" t="s">
        <v>2052</v>
      </c>
      <c r="R635" s="4"/>
      <c r="S635" s="9" t="str">
        <f>HYPERLINK("https://pbs.twimg.com/profile_images/1039796069037563905/j7OWhUP5.jpg","View")</f>
        <v>View</v>
      </c>
    </row>
    <row r="636" spans="1:19" ht="40">
      <c r="A636" s="8">
        <v>43369.493090277778</v>
      </c>
      <c r="B636" s="11" t="str">
        <f>HYPERLINK("https://twitter.com/taha_tohi","@taha_tohi")</f>
        <v>@taha_tohi</v>
      </c>
      <c r="C636" s="6" t="s">
        <v>46</v>
      </c>
      <c r="D636" s="5" t="s">
        <v>1556</v>
      </c>
      <c r="E636" s="9" t="str">
        <f>HYPERLINK("https://twitter.com/taha_tohi/status/1044864162252378112","1044864162252378112")</f>
        <v>1044864162252378112</v>
      </c>
      <c r="F636" s="4"/>
      <c r="G636" s="4"/>
      <c r="H636" s="4"/>
      <c r="I636" s="10" t="str">
        <f>HYPERLINK("http://twitter.com/download/android","Twitter for Android")</f>
        <v>Twitter for Android</v>
      </c>
      <c r="J636" s="2">
        <v>174</v>
      </c>
      <c r="K636" s="2">
        <v>400</v>
      </c>
      <c r="L636" s="2">
        <v>0</v>
      </c>
      <c r="M636" s="2"/>
      <c r="N636" s="8">
        <v>43118.911817129629</v>
      </c>
      <c r="O636" s="4" t="s">
        <v>45</v>
      </c>
      <c r="P636" s="3" t="s">
        <v>44</v>
      </c>
      <c r="Q636" s="4"/>
      <c r="R636" s="4"/>
      <c r="S636" s="9" t="str">
        <f>HYPERLINK("https://pbs.twimg.com/profile_images/1037419614651797504/pIQNRRBQ.jpg","View")</f>
        <v>View</v>
      </c>
    </row>
    <row r="637" spans="1:19" ht="30">
      <c r="A637" s="8">
        <v>43369.49282407407</v>
      </c>
      <c r="B637" s="11" t="str">
        <f>HYPERLINK("https://twitter.com/Masoud13867541","@Masoud13867541")</f>
        <v>@Masoud13867541</v>
      </c>
      <c r="C637" s="6" t="s">
        <v>2051</v>
      </c>
      <c r="D637" s="5" t="s">
        <v>1593</v>
      </c>
      <c r="E637" s="9" t="str">
        <f>HYPERLINK("https://twitter.com/Masoud13867541/status/1044864064122441728","1044864064122441728")</f>
        <v>1044864064122441728</v>
      </c>
      <c r="F637" s="4"/>
      <c r="G637" s="10" t="s">
        <v>1543</v>
      </c>
      <c r="H637" s="4"/>
      <c r="I637" s="10" t="str">
        <f>HYPERLINK("http://twitter.com/download/android","Twitter for Android")</f>
        <v>Twitter for Android</v>
      </c>
      <c r="J637" s="2">
        <v>51</v>
      </c>
      <c r="K637" s="2">
        <v>101</v>
      </c>
      <c r="L637" s="2">
        <v>0</v>
      </c>
      <c r="M637" s="2"/>
      <c r="N637" s="8">
        <v>43130.026122685187</v>
      </c>
      <c r="O637" s="4" t="s">
        <v>33</v>
      </c>
      <c r="P637" s="3" t="s">
        <v>2050</v>
      </c>
      <c r="Q637" s="4"/>
      <c r="R637" s="4"/>
      <c r="S637" s="9" t="str">
        <f>HYPERLINK("https://pbs.twimg.com/profile_images/1039495836839890945/wRC8W5KE.jpg","View")</f>
        <v>View</v>
      </c>
    </row>
    <row r="638" spans="1:19" ht="50">
      <c r="A638" s="8">
        <v>43369.492418981477</v>
      </c>
      <c r="B638" s="11" t="str">
        <f>HYPERLINK("https://twitter.com/kordamirza","@kordamirza")</f>
        <v>@kordamirza</v>
      </c>
      <c r="C638" s="6" t="s">
        <v>2049</v>
      </c>
      <c r="D638" s="5" t="s">
        <v>2048</v>
      </c>
      <c r="E638" s="9" t="str">
        <f>HYPERLINK("https://twitter.com/kordamirza/status/1044863917359591427","1044863917359591427")</f>
        <v>1044863917359591427</v>
      </c>
      <c r="F638" s="4"/>
      <c r="G638" s="4"/>
      <c r="H638" s="4"/>
      <c r="I638" s="10" t="str">
        <f>HYPERLINK("http://twitter.com/download/android","Twitter for Android")</f>
        <v>Twitter for Android</v>
      </c>
      <c r="J638" s="2">
        <v>129</v>
      </c>
      <c r="K638" s="2">
        <v>145</v>
      </c>
      <c r="L638" s="2">
        <v>1</v>
      </c>
      <c r="M638" s="2"/>
      <c r="N638" s="8">
        <v>43075.749756944446</v>
      </c>
      <c r="O638" s="4"/>
      <c r="P638" s="3" t="s">
        <v>2047</v>
      </c>
      <c r="Q638" s="4"/>
      <c r="R638" s="4"/>
      <c r="S638" s="9" t="str">
        <f>HYPERLINK("https://pbs.twimg.com/profile_images/1041931677210214400/O_vrMnJZ.jpg","View")</f>
        <v>View</v>
      </c>
    </row>
    <row r="639" spans="1:19" ht="30">
      <c r="A639" s="8">
        <v>43369.491967592592</v>
      </c>
      <c r="B639" s="11" t="str">
        <f>HYPERLINK("https://twitter.com/amin_rt07","@amin_rt07")</f>
        <v>@amin_rt07</v>
      </c>
      <c r="C639" s="6" t="s">
        <v>2046</v>
      </c>
      <c r="D639" s="5" t="s">
        <v>2004</v>
      </c>
      <c r="E639" s="9" t="str">
        <f>HYPERLINK("https://twitter.com/amin_rt07/status/1044863756151541761","1044863756151541761")</f>
        <v>1044863756151541761</v>
      </c>
      <c r="F639" s="4"/>
      <c r="G639" s="4"/>
      <c r="H639" s="4"/>
      <c r="I639" s="10" t="str">
        <f>HYPERLINK("http://example.com","RT_01")</f>
        <v>RT_01</v>
      </c>
      <c r="J639" s="2">
        <v>3056</v>
      </c>
      <c r="K639" s="2">
        <v>2325</v>
      </c>
      <c r="L639" s="2">
        <v>10</v>
      </c>
      <c r="M639" s="2"/>
      <c r="N639" s="8">
        <v>42935.376192129625</v>
      </c>
      <c r="O639" s="4" t="s">
        <v>2045</v>
      </c>
      <c r="P639" s="3" t="s">
        <v>2044</v>
      </c>
      <c r="Q639" s="4"/>
      <c r="R639" s="4"/>
      <c r="S639" s="9" t="str">
        <f>HYPERLINK("https://pbs.twimg.com/profile_images/890462059804188672/m3LVcUUm.jpg","View")</f>
        <v>View</v>
      </c>
    </row>
    <row r="640" spans="1:19" ht="50">
      <c r="A640" s="8">
        <v>43369.491296296299</v>
      </c>
      <c r="B640" s="11" t="str">
        <f>HYPERLINK("https://twitter.com/Mehrnoosh_Shogh","@Mehrnoosh_Shogh")</f>
        <v>@Mehrnoosh_Shogh</v>
      </c>
      <c r="C640" s="6" t="s">
        <v>2043</v>
      </c>
      <c r="D640" s="5" t="s">
        <v>217</v>
      </c>
      <c r="E640" s="9" t="str">
        <f>HYPERLINK("https://twitter.com/Mehrnoosh_Shogh/status/1044863513418768384","1044863513418768384")</f>
        <v>1044863513418768384</v>
      </c>
      <c r="F640" s="4"/>
      <c r="G640" s="4"/>
      <c r="H640" s="4"/>
      <c r="I640" s="10" t="str">
        <f>HYPERLINK("https://mobile.twitter.com","Twitter Lite")</f>
        <v>Twitter Lite</v>
      </c>
      <c r="J640" s="2">
        <v>149</v>
      </c>
      <c r="K640" s="2">
        <v>663</v>
      </c>
      <c r="L640" s="2">
        <v>0</v>
      </c>
      <c r="M640" s="2"/>
      <c r="N640" s="8">
        <v>43019.465081018519</v>
      </c>
      <c r="O640" s="4" t="s">
        <v>16</v>
      </c>
      <c r="P640" s="3" t="s">
        <v>2042</v>
      </c>
      <c r="Q640" s="10" t="s">
        <v>2041</v>
      </c>
      <c r="R640" s="4"/>
      <c r="S640" s="9" t="str">
        <f>HYPERLINK("https://pbs.twimg.com/profile_images/1034738378183507968/TvH0TP4O.jpg","View")</f>
        <v>View</v>
      </c>
    </row>
    <row r="641" spans="1:19" ht="40">
      <c r="A641" s="8">
        <v>43369.491238425922</v>
      </c>
      <c r="B641" s="11" t="str">
        <f>HYPERLINK("https://twitter.com/Mj_ebrahimi65","@Mj_ebrahimi65")</f>
        <v>@Mj_ebrahimi65</v>
      </c>
      <c r="C641" s="6" t="s">
        <v>2040</v>
      </c>
      <c r="D641" s="5" t="s">
        <v>1556</v>
      </c>
      <c r="E641" s="9" t="str">
        <f>HYPERLINK("https://twitter.com/Mj_ebrahimi65/status/1044863491557994498","1044863491557994498")</f>
        <v>1044863491557994498</v>
      </c>
      <c r="F641" s="4"/>
      <c r="G641" s="4"/>
      <c r="H641" s="4"/>
      <c r="I641" s="10" t="str">
        <f>HYPERLINK("http://twitter.com/download/android","Twitter for Android")</f>
        <v>Twitter for Android</v>
      </c>
      <c r="J641" s="2">
        <v>97</v>
      </c>
      <c r="K641" s="2">
        <v>220</v>
      </c>
      <c r="L641" s="2">
        <v>0</v>
      </c>
      <c r="M641" s="2"/>
      <c r="N641" s="8">
        <v>42893.80195601852</v>
      </c>
      <c r="O641" s="4" t="s">
        <v>7</v>
      </c>
      <c r="P641" s="3" t="s">
        <v>2039</v>
      </c>
      <c r="Q641" s="4"/>
      <c r="R641" s="4"/>
      <c r="S641" s="9" t="str">
        <f>HYPERLINK("https://pbs.twimg.com/profile_images/1035262820739436545/A4EFzvOw.jpg","View")</f>
        <v>View</v>
      </c>
    </row>
    <row r="642" spans="1:19" ht="40">
      <c r="A642" s="8">
        <v>43369.491064814814</v>
      </c>
      <c r="B642" s="11" t="str">
        <f>HYPERLINK("https://twitter.com/alimirzaii131","@alimirzaii131")</f>
        <v>@alimirzaii131</v>
      </c>
      <c r="C642" s="6" t="s">
        <v>2038</v>
      </c>
      <c r="D642" s="5" t="s">
        <v>58</v>
      </c>
      <c r="E642" s="9" t="str">
        <f>HYPERLINK("https://twitter.com/alimirzaii131/status/1044863428148572160","1044863428148572160")</f>
        <v>1044863428148572160</v>
      </c>
      <c r="F642" s="4"/>
      <c r="G642" s="10" t="s">
        <v>57</v>
      </c>
      <c r="H642" s="4"/>
      <c r="I642" s="10" t="str">
        <f>HYPERLINK("http://twitter.com","Twitter Web Client")</f>
        <v>Twitter Web Client</v>
      </c>
      <c r="J642" s="2">
        <v>253</v>
      </c>
      <c r="K642" s="2">
        <v>273</v>
      </c>
      <c r="L642" s="2">
        <v>0</v>
      </c>
      <c r="M642" s="2"/>
      <c r="N642" s="8">
        <v>42876.770358796297</v>
      </c>
      <c r="O642" s="4"/>
      <c r="P642" s="3" t="s">
        <v>2037</v>
      </c>
      <c r="Q642" s="4"/>
      <c r="R642" s="4"/>
      <c r="S642" s="9" t="str">
        <f>HYPERLINK("https://pbs.twimg.com/profile_images/1044322039077761030/NrOHgs8x.jpg","View")</f>
        <v>View</v>
      </c>
    </row>
    <row r="643" spans="1:19" ht="20">
      <c r="A643" s="8">
        <v>43369.490925925929</v>
      </c>
      <c r="B643" s="11" t="str">
        <f>HYPERLINK("https://twitter.com/raeiskarimi","@raeiskarimi")</f>
        <v>@raeiskarimi</v>
      </c>
      <c r="C643" s="6" t="s">
        <v>2036</v>
      </c>
      <c r="D643" s="5" t="s">
        <v>736</v>
      </c>
      <c r="E643" s="9" t="str">
        <f>HYPERLINK("https://twitter.com/raeiskarimi/status/1044863378861289472","1044863378861289472")</f>
        <v>1044863378861289472</v>
      </c>
      <c r="F643" s="4"/>
      <c r="G643" s="10" t="s">
        <v>732</v>
      </c>
      <c r="H643" s="4"/>
      <c r="I643" s="10" t="str">
        <f>HYPERLINK("http://twitter.com/download/android","Twitter for Android")</f>
        <v>Twitter for Android</v>
      </c>
      <c r="J643" s="2">
        <v>509</v>
      </c>
      <c r="K643" s="2">
        <v>484</v>
      </c>
      <c r="L643" s="2">
        <v>1</v>
      </c>
      <c r="M643" s="2"/>
      <c r="N643" s="8">
        <v>42771.555312500001</v>
      </c>
      <c r="O643" s="4" t="s">
        <v>636</v>
      </c>
      <c r="P643" s="3"/>
      <c r="Q643" s="4"/>
      <c r="R643" s="4"/>
      <c r="S643" s="9" t="str">
        <f>HYPERLINK("https://pbs.twimg.com/profile_images/1032952913260437504/lG6jMIUQ.jpg","View")</f>
        <v>View</v>
      </c>
    </row>
    <row r="644" spans="1:19" ht="30">
      <c r="A644" s="8">
        <v>43369.490775462968</v>
      </c>
      <c r="B644" s="11" t="str">
        <f>HYPERLINK("https://twitter.com/freedommesenger","@freedommesenger")</f>
        <v>@freedommesenger</v>
      </c>
      <c r="C644" s="6" t="s">
        <v>1660</v>
      </c>
      <c r="D644" s="5" t="s">
        <v>2035</v>
      </c>
      <c r="E644" s="9" t="str">
        <f>HYPERLINK("https://twitter.com/freedommesenger/status/1044863321306992641","1044863321306992641")</f>
        <v>1044863321306992641</v>
      </c>
      <c r="F644" s="10" t="s">
        <v>2034</v>
      </c>
      <c r="G644" s="4"/>
      <c r="H644" s="4"/>
      <c r="I644" s="10" t="str">
        <f>HYPERLINK("http://twitter.com","Twitter Web Client")</f>
        <v>Twitter Web Client</v>
      </c>
      <c r="J644" s="2">
        <v>7873</v>
      </c>
      <c r="K644" s="2">
        <v>32</v>
      </c>
      <c r="L644" s="2">
        <v>263</v>
      </c>
      <c r="M644" s="2"/>
      <c r="N644" s="8">
        <v>40052.203796296293</v>
      </c>
      <c r="O644" s="4" t="s">
        <v>1657</v>
      </c>
      <c r="P644" s="3" t="s">
        <v>1656</v>
      </c>
      <c r="Q644" s="10" t="s">
        <v>1655</v>
      </c>
      <c r="R644" s="4"/>
      <c r="S644" s="9" t="str">
        <f>HYPERLINK("https://pbs.twimg.com/profile_images/756008327/youtube_icon_01.jpg","View")</f>
        <v>View</v>
      </c>
    </row>
    <row r="645" spans="1:19" ht="20">
      <c r="A645" s="8">
        <v>43369.490416666667</v>
      </c>
      <c r="B645" s="11" t="str">
        <f>HYPERLINK("https://twitter.com/MaddJavadi","@MaddJavadi")</f>
        <v>@MaddJavadi</v>
      </c>
      <c r="C645" s="6" t="s">
        <v>2033</v>
      </c>
      <c r="D645" s="5" t="s">
        <v>2032</v>
      </c>
      <c r="E645" s="9" t="str">
        <f>HYPERLINK("https://twitter.com/MaddJavadi/status/1044863194571911168","1044863194571911168")</f>
        <v>1044863194571911168</v>
      </c>
      <c r="F645" s="4"/>
      <c r="G645" s="10" t="s">
        <v>2031</v>
      </c>
      <c r="H645" s="4"/>
      <c r="I645" s="10" t="str">
        <f>HYPERLINK("http://twitter.com","Twitter Web Client")</f>
        <v>Twitter Web Client</v>
      </c>
      <c r="J645" s="2">
        <v>443</v>
      </c>
      <c r="K645" s="2">
        <v>581</v>
      </c>
      <c r="L645" s="2">
        <v>4</v>
      </c>
      <c r="M645" s="2"/>
      <c r="N645" s="8">
        <v>42871.438969907409</v>
      </c>
      <c r="O645" s="4"/>
      <c r="P645" s="3"/>
      <c r="Q645" s="4"/>
      <c r="R645" s="4"/>
      <c r="S645" s="9" t="str">
        <f>HYPERLINK("https://pbs.twimg.com/profile_images/1041715373186400259/Idh5NlZv.jpg","View")</f>
        <v>View</v>
      </c>
    </row>
    <row r="646" spans="1:19" ht="30">
      <c r="A646" s="8">
        <v>43369.49018518519</v>
      </c>
      <c r="B646" s="11" t="str">
        <f>HYPERLINK("https://twitter.com/Tufan12358883","@Tufan12358883")</f>
        <v>@Tufan12358883</v>
      </c>
      <c r="C646" s="6" t="s">
        <v>2030</v>
      </c>
      <c r="D646" s="5" t="s">
        <v>1593</v>
      </c>
      <c r="E646" s="9" t="str">
        <f>HYPERLINK("https://twitter.com/Tufan12358883/status/1044863109746368516","1044863109746368516")</f>
        <v>1044863109746368516</v>
      </c>
      <c r="F646" s="4"/>
      <c r="G646" s="10" t="s">
        <v>1543</v>
      </c>
      <c r="H646" s="4"/>
      <c r="I646" s="10" t="str">
        <f>HYPERLINK("http://twitter.com/download/iphone","Twitter for iPhone")</f>
        <v>Twitter for iPhone</v>
      </c>
      <c r="J646" s="2">
        <v>483</v>
      </c>
      <c r="K646" s="2">
        <v>584</v>
      </c>
      <c r="L646" s="2">
        <v>0</v>
      </c>
      <c r="M646" s="2"/>
      <c r="N646" s="8">
        <v>43215.011192129634</v>
      </c>
      <c r="O646" s="4" t="s">
        <v>2029</v>
      </c>
      <c r="P646" s="3" t="s">
        <v>2028</v>
      </c>
      <c r="Q646" s="4"/>
      <c r="R646" s="4"/>
      <c r="S646" s="9" t="str">
        <f>HYPERLINK("https://pbs.twimg.com/profile_images/1040326053816922113/Cron7XwD.jpg","View")</f>
        <v>View</v>
      </c>
    </row>
    <row r="647" spans="1:19" ht="40">
      <c r="A647" s="8">
        <v>43369.489895833336</v>
      </c>
      <c r="B647" s="11" t="str">
        <f>HYPERLINK("https://twitter.com/A_M5204","@A_M5204")</f>
        <v>@A_M5204</v>
      </c>
      <c r="C647" s="6" t="s">
        <v>2027</v>
      </c>
      <c r="D647" s="5" t="s">
        <v>1556</v>
      </c>
      <c r="E647" s="9" t="str">
        <f>HYPERLINK("https://twitter.com/A_M5204/status/1044863003852713989","1044863003852713989")</f>
        <v>1044863003852713989</v>
      </c>
      <c r="F647" s="4"/>
      <c r="G647" s="4"/>
      <c r="H647" s="4"/>
      <c r="I647" s="10" t="str">
        <f>HYPERLINK("http://twitter.com/download/iphone","Twitter for iPhone")</f>
        <v>Twitter for iPhone</v>
      </c>
      <c r="J647" s="2">
        <v>63</v>
      </c>
      <c r="K647" s="2">
        <v>200</v>
      </c>
      <c r="L647" s="2">
        <v>0</v>
      </c>
      <c r="M647" s="2"/>
      <c r="N647" s="8">
        <v>42693.943298611106</v>
      </c>
      <c r="O647" s="4" t="s">
        <v>16</v>
      </c>
      <c r="P647" s="3" t="s">
        <v>2026</v>
      </c>
      <c r="Q647" s="4"/>
      <c r="R647" s="4"/>
      <c r="S647" s="9" t="str">
        <f>HYPERLINK("https://pbs.twimg.com/profile_images/1042709967663443969/POMj_2Zx.jpg","View")</f>
        <v>View</v>
      </c>
    </row>
    <row r="648" spans="1:19" ht="20">
      <c r="A648" s="8">
        <v>43369.489849537036</v>
      </c>
      <c r="B648" s="11" t="str">
        <f>HYPERLINK("https://twitter.com/Miradis681","@Miradis681")</f>
        <v>@Miradis681</v>
      </c>
      <c r="C648" s="6" t="s">
        <v>2025</v>
      </c>
      <c r="D648" s="5" t="s">
        <v>102</v>
      </c>
      <c r="E648" s="9" t="str">
        <f>HYPERLINK("https://twitter.com/Miradis681/status/1044862985666265088","1044862985666265088")</f>
        <v>1044862985666265088</v>
      </c>
      <c r="F648" s="4"/>
      <c r="G648" s="4"/>
      <c r="H648" s="4"/>
      <c r="I648" s="10" t="str">
        <f>HYPERLINK("http://twitter.com/download/android","Twitter for Android")</f>
        <v>Twitter for Android</v>
      </c>
      <c r="J648" s="2">
        <v>86</v>
      </c>
      <c r="K648" s="2">
        <v>19</v>
      </c>
      <c r="L648" s="2">
        <v>0</v>
      </c>
      <c r="M648" s="2"/>
      <c r="N648" s="8">
        <v>43331.986064814817</v>
      </c>
      <c r="O648" s="4" t="s">
        <v>7</v>
      </c>
      <c r="P648" s="3" t="s">
        <v>2024</v>
      </c>
      <c r="Q648" s="4"/>
      <c r="R648" s="4"/>
      <c r="S648" s="9" t="str">
        <f>HYPERLINK("https://pbs.twimg.com/profile_images/1035894047787962373/DEuYS0BO.jpg","View")</f>
        <v>View</v>
      </c>
    </row>
    <row r="649" spans="1:19" ht="40">
      <c r="A649" s="8">
        <v>43369.489178240736</v>
      </c>
      <c r="B649" s="11" t="str">
        <f>HYPERLINK("https://twitter.com/MjHaghshenas","@MjHaghshenas")</f>
        <v>@MjHaghshenas</v>
      </c>
      <c r="C649" s="6" t="s">
        <v>2023</v>
      </c>
      <c r="D649" s="5" t="s">
        <v>1556</v>
      </c>
      <c r="E649" s="9" t="str">
        <f>HYPERLINK("https://twitter.com/MjHaghshenas/status/1044862745605263360","1044862745605263360")</f>
        <v>1044862745605263360</v>
      </c>
      <c r="F649" s="4"/>
      <c r="G649" s="4"/>
      <c r="H649" s="4"/>
      <c r="I649" s="10" t="str">
        <f>HYPERLINK("http://twitter.com/download/iphone","Twitter for iPhone")</f>
        <v>Twitter for iPhone</v>
      </c>
      <c r="J649" s="2">
        <v>12330</v>
      </c>
      <c r="K649" s="2">
        <v>288</v>
      </c>
      <c r="L649" s="2">
        <v>84</v>
      </c>
      <c r="M649" s="2"/>
      <c r="N649" s="8">
        <v>42554.652662037042</v>
      </c>
      <c r="O649" s="4" t="s">
        <v>2022</v>
      </c>
      <c r="P649" s="3" t="s">
        <v>2021</v>
      </c>
      <c r="Q649" s="10" t="s">
        <v>2020</v>
      </c>
      <c r="R649" s="4"/>
      <c r="S649" s="9" t="str">
        <f>HYPERLINK("https://pbs.twimg.com/profile_images/1004127027513962496/oz_Il0F_.jpg","View")</f>
        <v>View</v>
      </c>
    </row>
    <row r="650" spans="1:19" ht="40">
      <c r="A650" s="8">
        <v>43369.489120370374</v>
      </c>
      <c r="B650" s="11" t="str">
        <f>HYPERLINK("https://twitter.com/ahmadinejad95","@ahmadinejad95")</f>
        <v>@ahmadinejad95</v>
      </c>
      <c r="C650" s="6" t="s">
        <v>1920</v>
      </c>
      <c r="D650" s="5" t="s">
        <v>2019</v>
      </c>
      <c r="E650" s="9" t="str">
        <f>HYPERLINK("https://twitter.com/ahmadinejad95/status/1044862724654682113","1044862724654682113")</f>
        <v>1044862724654682113</v>
      </c>
      <c r="F650" s="4"/>
      <c r="G650" s="4"/>
      <c r="H650" s="4"/>
      <c r="I650" s="10" t="str">
        <f>HYPERLINK("http://twitter.com/download/android","Twitter for Android")</f>
        <v>Twitter for Android</v>
      </c>
      <c r="J650" s="2">
        <v>1674</v>
      </c>
      <c r="K650" s="2">
        <v>105</v>
      </c>
      <c r="L650" s="2">
        <v>6</v>
      </c>
      <c r="M650" s="2"/>
      <c r="N650" s="8">
        <v>42747.521122685182</v>
      </c>
      <c r="O650" s="4" t="s">
        <v>101</v>
      </c>
      <c r="P650" s="3" t="s">
        <v>1918</v>
      </c>
      <c r="Q650" s="4"/>
      <c r="R650" s="4"/>
      <c r="S650" s="9" t="str">
        <f>HYPERLINK("https://pbs.twimg.com/profile_images/998267945401774080/V98Ixx4j.jpg","View")</f>
        <v>View</v>
      </c>
    </row>
    <row r="651" spans="1:19" ht="30">
      <c r="A651" s="8">
        <v>43369.488900462966</v>
      </c>
      <c r="B651" s="11" t="str">
        <f>HYPERLINK("https://twitter.com/fatemehora","@fatemehora")</f>
        <v>@fatemehora</v>
      </c>
      <c r="C651" s="6" t="s">
        <v>1500</v>
      </c>
      <c r="D651" s="5" t="s">
        <v>2004</v>
      </c>
      <c r="E651" s="9" t="str">
        <f>HYPERLINK("https://twitter.com/fatemehora/status/1044862645017464834","1044862645017464834")</f>
        <v>1044862645017464834</v>
      </c>
      <c r="F651" s="4"/>
      <c r="G651" s="4"/>
      <c r="H651" s="4"/>
      <c r="I651" s="10" t="str">
        <f>HYPERLINK("http://twitter.com/download/iphone","Twitter for iPhone")</f>
        <v>Twitter for iPhone</v>
      </c>
      <c r="J651" s="2">
        <v>260</v>
      </c>
      <c r="K651" s="2">
        <v>252</v>
      </c>
      <c r="L651" s="2">
        <v>0</v>
      </c>
      <c r="M651" s="2"/>
      <c r="N651" s="8">
        <v>43110.384953703702</v>
      </c>
      <c r="O651" s="4" t="s">
        <v>7</v>
      </c>
      <c r="P651" s="3" t="s">
        <v>1499</v>
      </c>
      <c r="Q651" s="4"/>
      <c r="R651" s="4"/>
      <c r="S651" s="9" t="str">
        <f>HYPERLINK("https://pbs.twimg.com/profile_images/986153113814958086/_bQzF1de.jpg","View")</f>
        <v>View</v>
      </c>
    </row>
    <row r="652" spans="1:19" ht="20">
      <c r="A652" s="8">
        <v>43369.488842592589</v>
      </c>
      <c r="B652" s="11" t="str">
        <f>HYPERLINK("https://twitter.com/etehadonline","@etehadonline")</f>
        <v>@etehadonline</v>
      </c>
      <c r="C652" s="6" t="s">
        <v>2018</v>
      </c>
      <c r="D652" s="5" t="s">
        <v>2017</v>
      </c>
      <c r="E652" s="9" t="str">
        <f>HYPERLINK("https://twitter.com/etehadonline/status/1044862623056097286","1044862623056097286")</f>
        <v>1044862623056097286</v>
      </c>
      <c r="F652" s="10" t="s">
        <v>2016</v>
      </c>
      <c r="G652" s="4"/>
      <c r="H652" s="4"/>
      <c r="I652" s="10" t="str">
        <f>HYPERLINK("http://etehadonline.com","etehadonline")</f>
        <v>etehadonline</v>
      </c>
      <c r="J652" s="2">
        <v>1509</v>
      </c>
      <c r="K652" s="2">
        <v>4640</v>
      </c>
      <c r="L652" s="2">
        <v>3</v>
      </c>
      <c r="M652" s="2"/>
      <c r="N652" s="8">
        <v>43249.676145833335</v>
      </c>
      <c r="O652" s="4" t="s">
        <v>25</v>
      </c>
      <c r="P652" s="3" t="s">
        <v>2015</v>
      </c>
      <c r="Q652" s="10" t="s">
        <v>2014</v>
      </c>
      <c r="R652" s="4"/>
      <c r="S652" s="9" t="str">
        <f>HYPERLINK("https://pbs.twimg.com/profile_images/1001431729532481537/9qjw3c3F.jpg","View")</f>
        <v>View</v>
      </c>
    </row>
    <row r="653" spans="1:19" ht="40">
      <c r="A653" s="8">
        <v>43369.488553240742</v>
      </c>
      <c r="B653" s="11" t="str">
        <f>HYPERLINK("https://twitter.com/Mr30bilo","@Mr30bilo")</f>
        <v>@Mr30bilo</v>
      </c>
      <c r="C653" s="6" t="s">
        <v>2013</v>
      </c>
      <c r="D653" s="5" t="s">
        <v>1190</v>
      </c>
      <c r="E653" s="9" t="str">
        <f>HYPERLINK("https://twitter.com/Mr30bilo/status/1044862518638923776","1044862518638923776")</f>
        <v>1044862518638923776</v>
      </c>
      <c r="F653" s="4"/>
      <c r="G653" s="4"/>
      <c r="H653" s="4"/>
      <c r="I653" s="10" t="str">
        <f>HYPERLINK("http://twitter.com/download/android","Twitter for Android")</f>
        <v>Twitter for Android</v>
      </c>
      <c r="J653" s="2">
        <v>1643</v>
      </c>
      <c r="K653" s="2">
        <v>1620</v>
      </c>
      <c r="L653" s="2">
        <v>3</v>
      </c>
      <c r="M653" s="2"/>
      <c r="N653" s="8">
        <v>43324.043113425927</v>
      </c>
      <c r="O653" s="4" t="s">
        <v>1</v>
      </c>
      <c r="P653" s="3" t="s">
        <v>2012</v>
      </c>
      <c r="Q653" s="10" t="s">
        <v>2011</v>
      </c>
      <c r="R653" s="4"/>
      <c r="S653" s="9" t="str">
        <f>HYPERLINK("https://pbs.twimg.com/profile_images/1039795587997163521/Yv-4G512.jpg","View")</f>
        <v>View</v>
      </c>
    </row>
    <row r="654" spans="1:19" ht="40">
      <c r="A654" s="8">
        <v>43369.488495370373</v>
      </c>
      <c r="B654" s="11" t="str">
        <f>HYPERLINK("https://twitter.com/Y_Dorj","@Y_Dorj")</f>
        <v>@Y_Dorj</v>
      </c>
      <c r="C654" s="6" t="s">
        <v>2010</v>
      </c>
      <c r="D654" s="5" t="s">
        <v>1556</v>
      </c>
      <c r="E654" s="9" t="str">
        <f>HYPERLINK("https://twitter.com/Y_Dorj/status/1044862497986088961","1044862497986088961")</f>
        <v>1044862497986088961</v>
      </c>
      <c r="F654" s="4"/>
      <c r="G654" s="4"/>
      <c r="H654" s="4"/>
      <c r="I654" s="10" t="str">
        <f>HYPERLINK("http://twitter.com/download/iphone","Twitter for iPhone")</f>
        <v>Twitter for iPhone</v>
      </c>
      <c r="J654" s="2">
        <v>22</v>
      </c>
      <c r="K654" s="2">
        <v>118</v>
      </c>
      <c r="L654" s="2">
        <v>0</v>
      </c>
      <c r="M654" s="2"/>
      <c r="N654" s="8">
        <v>43223.894490740742</v>
      </c>
      <c r="O654" s="4" t="s">
        <v>7</v>
      </c>
      <c r="P654" s="3" t="s">
        <v>2009</v>
      </c>
      <c r="Q654" s="4"/>
      <c r="R654" s="4"/>
      <c r="S654" s="9" t="str">
        <f>HYPERLINK("https://pbs.twimg.com/profile_images/993887244711878656/yMgX-096.jpg","View")</f>
        <v>View</v>
      </c>
    </row>
    <row r="655" spans="1:19" ht="30">
      <c r="A655" s="8">
        <v>43369.487986111111</v>
      </c>
      <c r="B655" s="11" t="str">
        <f>HYPERLINK("https://twitter.com/DaGreatMarshall","@DaGreatMarshall")</f>
        <v>@DaGreatMarshall</v>
      </c>
      <c r="C655" s="6" t="s">
        <v>2008</v>
      </c>
      <c r="D655" s="5" t="s">
        <v>49</v>
      </c>
      <c r="E655" s="9" t="str">
        <f>HYPERLINK("https://twitter.com/DaGreatMarshall/status/1044862312258183170","1044862312258183170")</f>
        <v>1044862312258183170</v>
      </c>
      <c r="F655" s="4"/>
      <c r="G655" s="4"/>
      <c r="H655" s="4"/>
      <c r="I655" s="10" t="str">
        <f>HYPERLINK("http://twitter.com/download/iphone","Twitter for iPhone")</f>
        <v>Twitter for iPhone</v>
      </c>
      <c r="J655" s="2">
        <v>461</v>
      </c>
      <c r="K655" s="2">
        <v>313</v>
      </c>
      <c r="L655" s="2">
        <v>24</v>
      </c>
      <c r="M655" s="2"/>
      <c r="N655" s="8">
        <v>42195.72761574074</v>
      </c>
      <c r="O655" s="4" t="s">
        <v>2007</v>
      </c>
      <c r="P655" s="3" t="s">
        <v>2006</v>
      </c>
      <c r="Q655" s="4"/>
      <c r="R655" s="4"/>
      <c r="S655" s="9" t="str">
        <f>HYPERLINK("https://pbs.twimg.com/profile_images/948952471862378496/egXMwxUY.jpg","View")</f>
        <v>View</v>
      </c>
    </row>
    <row r="656" spans="1:19" ht="30">
      <c r="A656" s="8">
        <v>43369.48773148148</v>
      </c>
      <c r="B656" s="11" t="str">
        <f>HYPERLINK("https://twitter.com/allahseeyou_","@allahseeyou_")</f>
        <v>@allahseeyou_</v>
      </c>
      <c r="C656" s="6" t="s">
        <v>2005</v>
      </c>
      <c r="D656" s="5" t="s">
        <v>2004</v>
      </c>
      <c r="E656" s="9" t="str">
        <f>HYPERLINK("https://twitter.com/allahseeyou_/status/1044862221216600067","1044862221216600067")</f>
        <v>1044862221216600067</v>
      </c>
      <c r="F656" s="4"/>
      <c r="G656" s="4"/>
      <c r="H656" s="4"/>
      <c r="I656" s="10" t="str">
        <f>HYPERLINK("http://twitter.com/download/android","Twitter for Android")</f>
        <v>Twitter for Android</v>
      </c>
      <c r="J656" s="2">
        <v>5369</v>
      </c>
      <c r="K656" s="2">
        <v>2960</v>
      </c>
      <c r="L656" s="2">
        <v>16</v>
      </c>
      <c r="M656" s="2"/>
      <c r="N656" s="8">
        <v>42718.891412037032</v>
      </c>
      <c r="O656" s="4" t="s">
        <v>16</v>
      </c>
      <c r="P656" s="3" t="s">
        <v>2003</v>
      </c>
      <c r="Q656" s="4"/>
      <c r="R656" s="4"/>
      <c r="S656" s="9" t="str">
        <f>HYPERLINK("https://pbs.twimg.com/profile_images/1043040114413195264/dmB4HIUn.jpg","View")</f>
        <v>View</v>
      </c>
    </row>
    <row r="657" spans="1:19" ht="40">
      <c r="A657" s="8">
        <v>43369.487581018519</v>
      </c>
      <c r="B657" s="11" t="str">
        <f>HYPERLINK("https://twitter.com/aaaahmadrezaaaa","@aaaahmadrezaaaa")</f>
        <v>@aaaahmadrezaaaa</v>
      </c>
      <c r="C657" s="6" t="s">
        <v>2002</v>
      </c>
      <c r="D657" s="5" t="s">
        <v>128</v>
      </c>
      <c r="E657" s="9" t="str">
        <f>HYPERLINK("https://twitter.com/aaaahmadrezaaaa/status/1044862165868572672","1044862165868572672")</f>
        <v>1044862165868572672</v>
      </c>
      <c r="F657" s="4"/>
      <c r="G657" s="4"/>
      <c r="H657" s="4"/>
      <c r="I657" s="10" t="str">
        <f>HYPERLINK("http://twitter.com/download/android","Twitter for Android")</f>
        <v>Twitter for Android</v>
      </c>
      <c r="J657" s="2">
        <v>36</v>
      </c>
      <c r="K657" s="2">
        <v>287</v>
      </c>
      <c r="L657" s="2">
        <v>0</v>
      </c>
      <c r="M657" s="2"/>
      <c r="N657" s="8">
        <v>42386.445833333331</v>
      </c>
      <c r="O657" s="4"/>
      <c r="P657" s="3"/>
      <c r="Q657" s="4"/>
      <c r="R657" s="4"/>
      <c r="S657" s="9" t="str">
        <f>HYPERLINK("https://pbs.twimg.com/profile_images/994280372132352000/WC56I_yO.jpg","View")</f>
        <v>View</v>
      </c>
    </row>
    <row r="658" spans="1:19" ht="30">
      <c r="A658" s="8">
        <v>43369.486840277779</v>
      </c>
      <c r="B658" s="11" t="str">
        <f>HYPERLINK("https://twitter.com/BijanZol","@BijanZol")</f>
        <v>@BijanZol</v>
      </c>
      <c r="C658" s="6" t="s">
        <v>2001</v>
      </c>
      <c r="D658" s="5" t="s">
        <v>383</v>
      </c>
      <c r="E658" s="9" t="str">
        <f>HYPERLINK("https://twitter.com/BijanZol/status/1044861896501981186","1044861896501981186")</f>
        <v>1044861896501981186</v>
      </c>
      <c r="F658" s="4"/>
      <c r="G658" s="10" t="s">
        <v>382</v>
      </c>
      <c r="H658" s="4"/>
      <c r="I658" s="10" t="str">
        <f>HYPERLINK("http://twitter.com/download/android","Twitter for Android")</f>
        <v>Twitter for Android</v>
      </c>
      <c r="J658" s="2">
        <v>95</v>
      </c>
      <c r="K658" s="2">
        <v>80</v>
      </c>
      <c r="L658" s="2">
        <v>0</v>
      </c>
      <c r="M658" s="2"/>
      <c r="N658" s="8">
        <v>43305.058749999997</v>
      </c>
      <c r="O658" s="4"/>
      <c r="P658" s="3"/>
      <c r="Q658" s="4"/>
      <c r="R658" s="4"/>
      <c r="S658" s="9" t="str">
        <f>HYPERLINK("https://pbs.twimg.com/profile_images/1043948358140858369/HmS6sVW6.jpg","View")</f>
        <v>View</v>
      </c>
    </row>
    <row r="659" spans="1:19" ht="30">
      <c r="A659" s="8">
        <v>43369.486759259264</v>
      </c>
      <c r="B659" s="11" t="str">
        <f>HYPERLINK("https://twitter.com/khoshbakht_a","@khoshbakht_a")</f>
        <v>@khoshbakht_a</v>
      </c>
      <c r="C659" s="6" t="s">
        <v>2000</v>
      </c>
      <c r="D659" s="5" t="s">
        <v>1999</v>
      </c>
      <c r="E659" s="9" t="str">
        <f>HYPERLINK("https://twitter.com/khoshbakht_a/status/1044861867351560193","1044861867351560193")</f>
        <v>1044861867351560193</v>
      </c>
      <c r="F659" s="4"/>
      <c r="G659" s="4"/>
      <c r="H659" s="4"/>
      <c r="I659" s="10" t="str">
        <f>HYPERLINK("http://twitter.com","Twitter Web Client")</f>
        <v>Twitter Web Client</v>
      </c>
      <c r="J659" s="2">
        <v>3199</v>
      </c>
      <c r="K659" s="2">
        <v>796</v>
      </c>
      <c r="L659" s="2">
        <v>16</v>
      </c>
      <c r="M659" s="2"/>
      <c r="N659" s="8">
        <v>42574.597881944443</v>
      </c>
      <c r="O659" s="4"/>
      <c r="P659" s="3" t="s">
        <v>1998</v>
      </c>
      <c r="Q659" s="4"/>
      <c r="R659" s="4"/>
      <c r="S659" s="9" t="str">
        <f>HYPERLINK("https://pbs.twimg.com/profile_images/881074691275804672/iRs0cZVP.jpg","View")</f>
        <v>View</v>
      </c>
    </row>
    <row r="660" spans="1:19" ht="30">
      <c r="A660" s="8">
        <v>43369.486168981486</v>
      </c>
      <c r="B660" s="11" t="str">
        <f>HYPERLINK("https://twitter.com/parvazerahaee","@parvazerahaee")</f>
        <v>@parvazerahaee</v>
      </c>
      <c r="C660" s="6" t="s">
        <v>1997</v>
      </c>
      <c r="D660" s="5" t="s">
        <v>181</v>
      </c>
      <c r="E660" s="9" t="str">
        <f>HYPERLINK("https://twitter.com/parvazerahaee/status/1044861654301855744","1044861654301855744")</f>
        <v>1044861654301855744</v>
      </c>
      <c r="F660" s="4"/>
      <c r="G660" s="10" t="s">
        <v>180</v>
      </c>
      <c r="H660" s="4"/>
      <c r="I660" s="10" t="str">
        <f>HYPERLINK("http://twitter.com","Twitter Web Client")</f>
        <v>Twitter Web Client</v>
      </c>
      <c r="J660" s="2">
        <v>280</v>
      </c>
      <c r="K660" s="2">
        <v>1061</v>
      </c>
      <c r="L660" s="2">
        <v>11</v>
      </c>
      <c r="M660" s="2"/>
      <c r="N660" s="8">
        <v>42484.962731481486</v>
      </c>
      <c r="O660" s="4"/>
      <c r="P660" s="3" t="s">
        <v>1996</v>
      </c>
      <c r="Q660" s="4"/>
      <c r="R660" s="4"/>
      <c r="S660" s="9" t="str">
        <f>HYPERLINK("https://pbs.twimg.com/profile_images/731789703163326464/CX6CtQbJ.jpg","View")</f>
        <v>View</v>
      </c>
    </row>
    <row r="661" spans="1:19" ht="30">
      <c r="A661" s="8">
        <v>43369.486157407402</v>
      </c>
      <c r="B661" s="11" t="str">
        <f>HYPERLINK("https://twitter.com/reyhan_pay","@reyhan_pay")</f>
        <v>@reyhan_pay</v>
      </c>
      <c r="C661" s="6" t="s">
        <v>1995</v>
      </c>
      <c r="D661" s="5" t="s">
        <v>1994</v>
      </c>
      <c r="E661" s="9" t="str">
        <f>HYPERLINK("https://twitter.com/reyhan_pay/status/1044861649897836545","1044861649897836545")</f>
        <v>1044861649897836545</v>
      </c>
      <c r="F661" s="4"/>
      <c r="G661" s="4"/>
      <c r="H661" s="4"/>
      <c r="I661" s="10" t="str">
        <f>HYPERLINK("http://twitter.com/download/iphone","Twitter for iPhone")</f>
        <v>Twitter for iPhone</v>
      </c>
      <c r="J661" s="2">
        <v>1099</v>
      </c>
      <c r="K661" s="2">
        <v>89</v>
      </c>
      <c r="L661" s="2">
        <v>7</v>
      </c>
      <c r="M661" s="2"/>
      <c r="N661" s="8">
        <v>42778.611134259263</v>
      </c>
      <c r="O661" s="4" t="s">
        <v>7</v>
      </c>
      <c r="P661" s="3" t="s">
        <v>1993</v>
      </c>
      <c r="Q661" s="4"/>
      <c r="R661" s="4"/>
      <c r="S661" s="9" t="str">
        <f>HYPERLINK("https://pbs.twimg.com/profile_images/1044266553968078848/3ktyyWIc.jpg","View")</f>
        <v>View</v>
      </c>
    </row>
    <row r="662" spans="1:19" ht="20">
      <c r="A662" s="8">
        <v>43369.485682870371</v>
      </c>
      <c r="B662" s="11" t="str">
        <f>HYPERLINK("https://twitter.com/khosro20171355","@khosro20171355")</f>
        <v>@khosro20171355</v>
      </c>
      <c r="C662" s="6" t="s">
        <v>1992</v>
      </c>
      <c r="D662" s="5" t="s">
        <v>1991</v>
      </c>
      <c r="E662" s="9" t="str">
        <f>HYPERLINK("https://twitter.com/khosro20171355/status/1044861477142827015","1044861477142827015")</f>
        <v>1044861477142827015</v>
      </c>
      <c r="F662" s="4"/>
      <c r="G662" s="4"/>
      <c r="H662" s="4"/>
      <c r="I662" s="10" t="str">
        <f>HYPERLINK("http://twitter.com/download/android","Twitter for Android")</f>
        <v>Twitter for Android</v>
      </c>
      <c r="J662" s="2">
        <v>58</v>
      </c>
      <c r="K662" s="2">
        <v>292</v>
      </c>
      <c r="L662" s="2">
        <v>0</v>
      </c>
      <c r="M662" s="2"/>
      <c r="N662" s="8">
        <v>43104.556064814809</v>
      </c>
      <c r="O662" s="4" t="s">
        <v>48</v>
      </c>
      <c r="P662" s="3" t="s">
        <v>1990</v>
      </c>
      <c r="Q662" s="4"/>
      <c r="R662" s="4"/>
      <c r="S662" s="9" t="str">
        <f>HYPERLINK("https://pbs.twimg.com/profile_images/970527905364234241/fUeukgiX.jpg","View")</f>
        <v>View</v>
      </c>
    </row>
    <row r="663" spans="1:19" ht="20">
      <c r="A663" s="8">
        <v>43369.484710648147</v>
      </c>
      <c r="B663" s="11" t="str">
        <f>HYPERLINK("https://twitter.com/rasulazad1990","@rasulazad1990")</f>
        <v>@rasulazad1990</v>
      </c>
      <c r="C663" s="6" t="s">
        <v>1989</v>
      </c>
      <c r="D663" s="5" t="s">
        <v>1988</v>
      </c>
      <c r="E663" s="9" t="str">
        <f>HYPERLINK("https://twitter.com/rasulazad1990/status/1044861125437870081","1044861125437870081")</f>
        <v>1044861125437870081</v>
      </c>
      <c r="F663" s="4"/>
      <c r="G663" s="4"/>
      <c r="H663" s="4"/>
      <c r="I663" s="10" t="str">
        <f>HYPERLINK("http://twitter.com/download/android","Twitter for Android")</f>
        <v>Twitter for Android</v>
      </c>
      <c r="J663" s="2">
        <v>69</v>
      </c>
      <c r="K663" s="2">
        <v>300</v>
      </c>
      <c r="L663" s="2">
        <v>1</v>
      </c>
      <c r="M663" s="2"/>
      <c r="N663" s="8">
        <v>43060.58657407407</v>
      </c>
      <c r="O663" s="4"/>
      <c r="P663" s="3"/>
      <c r="Q663" s="4"/>
      <c r="R663" s="4"/>
      <c r="S663" s="9" t="str">
        <f>HYPERLINK("https://pbs.twimg.com/profile_images/932921825771716608/pePOB8Dv.jpg","View")</f>
        <v>View</v>
      </c>
    </row>
    <row r="664" spans="1:19" ht="40">
      <c r="A664" s="8">
        <v>43369.484259259261</v>
      </c>
      <c r="B664" s="11" t="str">
        <f>HYPERLINK("https://twitter.com/r_daneshnejad","@r_daneshnejad")</f>
        <v>@r_daneshnejad</v>
      </c>
      <c r="C664" s="6" t="s">
        <v>1987</v>
      </c>
      <c r="D664" s="5" t="s">
        <v>1556</v>
      </c>
      <c r="E664" s="9" t="str">
        <f>HYPERLINK("https://twitter.com/r_daneshnejad/status/1044860963072159744","1044860963072159744")</f>
        <v>1044860963072159744</v>
      </c>
      <c r="F664" s="4"/>
      <c r="G664" s="4"/>
      <c r="H664" s="4"/>
      <c r="I664" s="10" t="str">
        <f>HYPERLINK("http://twitter.com/download/iphone","Twitter for iPhone")</f>
        <v>Twitter for iPhone</v>
      </c>
      <c r="J664" s="2">
        <v>369</v>
      </c>
      <c r="K664" s="2">
        <v>1005</v>
      </c>
      <c r="L664" s="2">
        <v>0</v>
      </c>
      <c r="M664" s="2"/>
      <c r="N664" s="8">
        <v>42702.677210648151</v>
      </c>
      <c r="O664" s="4" t="s">
        <v>7</v>
      </c>
      <c r="P664" s="3" t="s">
        <v>1986</v>
      </c>
      <c r="Q664" s="4"/>
      <c r="R664" s="4"/>
      <c r="S664" s="9" t="str">
        <f>HYPERLINK("https://pbs.twimg.com/profile_images/867302789709541376/3AOxKZFZ.jpg","View")</f>
        <v>View</v>
      </c>
    </row>
    <row r="665" spans="1:19" ht="40">
      <c r="A665" s="8">
        <v>43369.483587962968</v>
      </c>
      <c r="B665" s="11" t="str">
        <f>HYPERLINK("https://twitter.com/AssociationIran","@AssociationIran")</f>
        <v>@AssociationIran</v>
      </c>
      <c r="C665" s="6" t="s">
        <v>1938</v>
      </c>
      <c r="D665" s="5" t="s">
        <v>383</v>
      </c>
      <c r="E665" s="9" t="str">
        <f>HYPERLINK("https://twitter.com/AssociationIran/status/1044860718183526401","1044860718183526401")</f>
        <v>1044860718183526401</v>
      </c>
      <c r="F665" s="4"/>
      <c r="G665" s="10" t="s">
        <v>382</v>
      </c>
      <c r="H665" s="4"/>
      <c r="I665" s="10" t="str">
        <f>HYPERLINK("http://twitter.com/download/android","Twitter for Android")</f>
        <v>Twitter for Android</v>
      </c>
      <c r="J665" s="2">
        <v>71</v>
      </c>
      <c r="K665" s="2">
        <v>63</v>
      </c>
      <c r="L665" s="2">
        <v>1</v>
      </c>
      <c r="M665" s="2"/>
      <c r="N665" s="8">
        <v>43333.702013888891</v>
      </c>
      <c r="O665" s="4"/>
      <c r="P665" s="3" t="s">
        <v>1937</v>
      </c>
      <c r="Q665" s="4"/>
      <c r="R665" s="4"/>
      <c r="S665" s="9" t="str">
        <f>HYPERLINK("https://pbs.twimg.com/profile_images/1031879536437280768/HqkKqjoP.jpg","View")</f>
        <v>View</v>
      </c>
    </row>
    <row r="666" spans="1:19" ht="40">
      <c r="A666" s="8">
        <v>43369.483518518522</v>
      </c>
      <c r="B666" s="11" t="str">
        <f>HYPERLINK("https://twitter.com/shayan37721438","@shayan37721438")</f>
        <v>@shayan37721438</v>
      </c>
      <c r="C666" s="6" t="s">
        <v>1985</v>
      </c>
      <c r="D666" s="5" t="s">
        <v>1556</v>
      </c>
      <c r="E666" s="9" t="str">
        <f>HYPERLINK("https://twitter.com/shayan37721438/status/1044860691507826696","1044860691507826696")</f>
        <v>1044860691507826696</v>
      </c>
      <c r="F666" s="4"/>
      <c r="G666" s="4"/>
      <c r="H666" s="4"/>
      <c r="I666" s="10" t="str">
        <f>HYPERLINK("http://twitter.com","Twitter Web Client")</f>
        <v>Twitter Web Client</v>
      </c>
      <c r="J666" s="2">
        <v>75</v>
      </c>
      <c r="K666" s="2">
        <v>229</v>
      </c>
      <c r="L666" s="2">
        <v>0</v>
      </c>
      <c r="M666" s="2"/>
      <c r="N666" s="8">
        <v>43300.418553240743</v>
      </c>
      <c r="O666" s="4"/>
      <c r="P666" s="3"/>
      <c r="Q666" s="4"/>
      <c r="R666" s="4"/>
      <c r="S666" s="9" t="str">
        <f>HYPERLINK("https://pbs.twimg.com/profile_images/1024212800778973184/i2Q5Pk-U.jpg","View")</f>
        <v>View</v>
      </c>
    </row>
    <row r="667" spans="1:19" ht="30">
      <c r="A667" s="8">
        <v>43369.483252314814</v>
      </c>
      <c r="B667" s="11" t="str">
        <f>HYPERLINK("https://twitter.com/shadidantaji","@shadidantaji")</f>
        <v>@shadidantaji</v>
      </c>
      <c r="C667" s="6" t="s">
        <v>1984</v>
      </c>
      <c r="D667" s="5" t="s">
        <v>49</v>
      </c>
      <c r="E667" s="9" t="str">
        <f>HYPERLINK("https://twitter.com/shadidantaji/status/1044860598473953282","1044860598473953282")</f>
        <v>1044860598473953282</v>
      </c>
      <c r="F667" s="4"/>
      <c r="G667" s="4"/>
      <c r="H667" s="4"/>
      <c r="I667" s="10" t="str">
        <f>HYPERLINK("http://twitter.com/download/android","Twitter for Android")</f>
        <v>Twitter for Android</v>
      </c>
      <c r="J667" s="2">
        <v>472</v>
      </c>
      <c r="K667" s="2">
        <v>376</v>
      </c>
      <c r="L667" s="2">
        <v>0</v>
      </c>
      <c r="M667" s="2"/>
      <c r="N667" s="8">
        <v>42937.086655092593</v>
      </c>
      <c r="O667" s="4"/>
      <c r="P667" s="3" t="s">
        <v>1983</v>
      </c>
      <c r="Q667" s="4"/>
      <c r="R667" s="4"/>
      <c r="S667" s="9" t="str">
        <f>HYPERLINK("https://pbs.twimg.com/profile_images/987980810744627201/kStnp7Qv.jpg","View")</f>
        <v>View</v>
      </c>
    </row>
    <row r="668" spans="1:19" ht="40">
      <c r="A668" s="8">
        <v>43369.48302083333</v>
      </c>
      <c r="B668" s="11" t="str">
        <f>HYPERLINK("https://twitter.com/sam1983t","@sam1983t")</f>
        <v>@sam1983t</v>
      </c>
      <c r="C668" s="6" t="s">
        <v>1692</v>
      </c>
      <c r="D668" s="5" t="s">
        <v>1982</v>
      </c>
      <c r="E668" s="9" t="str">
        <f>HYPERLINK("https://twitter.com/sam1983t/status/1044860512557834240","1044860512557834240")</f>
        <v>1044860512557834240</v>
      </c>
      <c r="F668" s="4"/>
      <c r="G668" s="4"/>
      <c r="H668" s="4"/>
      <c r="I668" s="10" t="str">
        <f>HYPERLINK("http://twitter.com/download/iphone","Twitter for iPhone")</f>
        <v>Twitter for iPhone</v>
      </c>
      <c r="J668" s="2">
        <v>2442</v>
      </c>
      <c r="K668" s="2">
        <v>1264</v>
      </c>
      <c r="L668" s="2">
        <v>15</v>
      </c>
      <c r="M668" s="2"/>
      <c r="N668" s="8">
        <v>41915.015474537038</v>
      </c>
      <c r="O668" s="4" t="s">
        <v>1690</v>
      </c>
      <c r="P668" s="3" t="s">
        <v>1689</v>
      </c>
      <c r="Q668" s="4"/>
      <c r="R668" s="4"/>
      <c r="S668" s="9" t="str">
        <f>HYPERLINK("https://pbs.twimg.com/profile_images/916425672406503424/WyuueP4p.jpg","View")</f>
        <v>View</v>
      </c>
    </row>
    <row r="669" spans="1:19" ht="40">
      <c r="A669" s="8">
        <v>43369.482962962968</v>
      </c>
      <c r="B669" s="11" t="str">
        <f>HYPERLINK("https://twitter.com/salmanfarsi1103","@salmanfarsi1103")</f>
        <v>@salmanfarsi1103</v>
      </c>
      <c r="C669" s="6" t="s">
        <v>1981</v>
      </c>
      <c r="D669" s="5" t="s">
        <v>72</v>
      </c>
      <c r="E669" s="9" t="str">
        <f>HYPERLINK("https://twitter.com/salmanfarsi1103/status/1044860491393380353","1044860491393380353")</f>
        <v>1044860491393380353</v>
      </c>
      <c r="F669" s="4"/>
      <c r="G669" s="4"/>
      <c r="H669" s="4"/>
      <c r="I669" s="10" t="str">
        <f>HYPERLINK("http://twitter.com/download/android","Twitter for Android")</f>
        <v>Twitter for Android</v>
      </c>
      <c r="J669" s="2">
        <v>266</v>
      </c>
      <c r="K669" s="2">
        <v>438</v>
      </c>
      <c r="L669" s="2">
        <v>0</v>
      </c>
      <c r="M669" s="2"/>
      <c r="N669" s="8">
        <v>42851.297465277778</v>
      </c>
      <c r="O669" s="4" t="s">
        <v>1980</v>
      </c>
      <c r="P669" s="3" t="s">
        <v>1979</v>
      </c>
      <c r="Q669" s="4"/>
      <c r="R669" s="4"/>
      <c r="S669" s="9" t="str">
        <f>HYPERLINK("https://pbs.twimg.com/profile_images/951600177827254272/kbg376lR.jpg","View")</f>
        <v>View</v>
      </c>
    </row>
    <row r="670" spans="1:19" ht="40">
      <c r="A670" s="8">
        <v>43369.482256944444</v>
      </c>
      <c r="B670" s="11" t="str">
        <f>HYPERLINK("https://twitter.com/AssociationIran","@AssociationIran")</f>
        <v>@AssociationIran</v>
      </c>
      <c r="C670" s="6" t="s">
        <v>1938</v>
      </c>
      <c r="D670" s="5" t="s">
        <v>58</v>
      </c>
      <c r="E670" s="9" t="str">
        <f>HYPERLINK("https://twitter.com/AssociationIran/status/1044860237419892737","1044860237419892737")</f>
        <v>1044860237419892737</v>
      </c>
      <c r="F670" s="4"/>
      <c r="G670" s="10" t="s">
        <v>57</v>
      </c>
      <c r="H670" s="4"/>
      <c r="I670" s="10" t="str">
        <f>HYPERLINK("http://twitter.com/download/android","Twitter for Android")</f>
        <v>Twitter for Android</v>
      </c>
      <c r="J670" s="2">
        <v>71</v>
      </c>
      <c r="K670" s="2">
        <v>63</v>
      </c>
      <c r="L670" s="2">
        <v>1</v>
      </c>
      <c r="M670" s="2"/>
      <c r="N670" s="8">
        <v>43333.702013888891</v>
      </c>
      <c r="O670" s="4"/>
      <c r="P670" s="3" t="s">
        <v>1937</v>
      </c>
      <c r="Q670" s="4"/>
      <c r="R670" s="4"/>
      <c r="S670" s="9" t="str">
        <f>HYPERLINK("https://pbs.twimg.com/profile_images/1031879536437280768/HqkKqjoP.jpg","View")</f>
        <v>View</v>
      </c>
    </row>
    <row r="671" spans="1:19" ht="20">
      <c r="A671" s="8">
        <v>43369.481817129628</v>
      </c>
      <c r="B671" s="11" t="str">
        <f>HYPERLINK("https://twitter.com/khiarvalaee","@khiarvalaee")</f>
        <v>@khiarvalaee</v>
      </c>
      <c r="C671" s="6" t="s">
        <v>1978</v>
      </c>
      <c r="D671" s="5" t="s">
        <v>1977</v>
      </c>
      <c r="E671" s="9" t="str">
        <f>HYPERLINK("https://twitter.com/khiarvalaee/status/1044860077579145218","1044860077579145218")</f>
        <v>1044860077579145218</v>
      </c>
      <c r="F671" s="4"/>
      <c r="G671" s="10" t="s">
        <v>1952</v>
      </c>
      <c r="H671" s="4"/>
      <c r="I671" s="10" t="str">
        <f>HYPERLINK("https://mobile.twitter.com","Twitter Lite")</f>
        <v>Twitter Lite</v>
      </c>
      <c r="J671" s="2">
        <v>1364</v>
      </c>
      <c r="K671" s="2">
        <v>952</v>
      </c>
      <c r="L671" s="2">
        <v>1</v>
      </c>
      <c r="M671" s="2"/>
      <c r="N671" s="8">
        <v>43077.09746527778</v>
      </c>
      <c r="O671" s="4" t="s">
        <v>84</v>
      </c>
      <c r="P671" s="3" t="s">
        <v>1976</v>
      </c>
      <c r="Q671" s="4"/>
      <c r="R671" s="4"/>
      <c r="S671" s="9" t="str">
        <f>HYPERLINK("https://pbs.twimg.com/profile_images/1041459116420595712/fTTMv7LS.jpg","View")</f>
        <v>View</v>
      </c>
    </row>
    <row r="672" spans="1:19" ht="20">
      <c r="A672" s="8">
        <v>43369.480868055558</v>
      </c>
      <c r="B672" s="11" t="str">
        <f>HYPERLINK("https://twitter.com/mohadesehjafari","@mohadesehjafari")</f>
        <v>@mohadesehjafari</v>
      </c>
      <c r="C672" s="6" t="s">
        <v>1975</v>
      </c>
      <c r="D672" s="5" t="s">
        <v>185</v>
      </c>
      <c r="E672" s="9" t="str">
        <f>HYPERLINK("https://twitter.com/mohadesehjafari/status/1044859733872717825","1044859733872717825")</f>
        <v>1044859733872717825</v>
      </c>
      <c r="F672" s="4"/>
      <c r="G672" s="10" t="s">
        <v>177</v>
      </c>
      <c r="H672" s="4"/>
      <c r="I672" s="10" t="str">
        <f>HYPERLINK("http://twitter.com","Twitter Web Client")</f>
        <v>Twitter Web Client</v>
      </c>
      <c r="J672" s="2">
        <v>300</v>
      </c>
      <c r="K672" s="2">
        <v>585</v>
      </c>
      <c r="L672" s="2">
        <v>1</v>
      </c>
      <c r="M672" s="2"/>
      <c r="N672" s="8">
        <v>43243.756192129629</v>
      </c>
      <c r="O672" s="4" t="s">
        <v>101</v>
      </c>
      <c r="P672" s="3" t="s">
        <v>1974</v>
      </c>
      <c r="Q672" s="10" t="s">
        <v>1973</v>
      </c>
      <c r="R672" s="4"/>
      <c r="S672" s="9" t="str">
        <f>HYPERLINK("https://pbs.twimg.com/profile_images/1032314655518216192/8T1AoTRN.jpg","View")</f>
        <v>View</v>
      </c>
    </row>
    <row r="673" spans="1:19" ht="30">
      <c r="A673" s="8">
        <v>43369.480115740742</v>
      </c>
      <c r="B673" s="11" t="str">
        <f>HYPERLINK("https://twitter.com/alirezakey1","@alirezakey1")</f>
        <v>@alirezakey1</v>
      </c>
      <c r="C673" s="6" t="s">
        <v>1369</v>
      </c>
      <c r="D673" s="5" t="s">
        <v>1972</v>
      </c>
      <c r="E673" s="9" t="str">
        <f>HYPERLINK("https://twitter.com/alirezakey1/status/1044859458562772992","1044859458562772992")</f>
        <v>1044859458562772992</v>
      </c>
      <c r="F673" s="4"/>
      <c r="G673" s="10" t="s">
        <v>1759</v>
      </c>
      <c r="H673" s="4"/>
      <c r="I673" s="10" t="str">
        <f>HYPERLINK("http://twitter.com/download/android","Twitter for Android")</f>
        <v>Twitter for Android</v>
      </c>
      <c r="J673" s="2">
        <v>1396</v>
      </c>
      <c r="K673" s="2">
        <v>1958</v>
      </c>
      <c r="L673" s="2">
        <v>0</v>
      </c>
      <c r="M673" s="2"/>
      <c r="N673" s="8">
        <v>42408.702175925922</v>
      </c>
      <c r="O673" s="4"/>
      <c r="P673" s="3" t="s">
        <v>1368</v>
      </c>
      <c r="Q673" s="4"/>
      <c r="R673" s="4"/>
      <c r="S673" s="9" t="str">
        <f>HYPERLINK("https://pbs.twimg.com/profile_images/862323835210739713/Nu5ofDZ-.jpg","View")</f>
        <v>View</v>
      </c>
    </row>
    <row r="674" spans="1:19" ht="30">
      <c r="A674" s="8">
        <v>43369.479641203703</v>
      </c>
      <c r="B674" s="11" t="str">
        <f>HYPERLINK("https://twitter.com/Hamid26310849","@Hamid26310849")</f>
        <v>@Hamid26310849</v>
      </c>
      <c r="C674" s="6" t="s">
        <v>1971</v>
      </c>
      <c r="D674" s="5" t="s">
        <v>49</v>
      </c>
      <c r="E674" s="9" t="str">
        <f>HYPERLINK("https://twitter.com/Hamid26310849/status/1044859286566965249","1044859286566965249")</f>
        <v>1044859286566965249</v>
      </c>
      <c r="F674" s="4"/>
      <c r="G674" s="4"/>
      <c r="H674" s="4"/>
      <c r="I674" s="10" t="str">
        <f>HYPERLINK("http://twitter.com/download/android","Twitter for Android")</f>
        <v>Twitter for Android</v>
      </c>
      <c r="J674" s="2">
        <v>2496</v>
      </c>
      <c r="K674" s="2">
        <v>4642</v>
      </c>
      <c r="L674" s="2">
        <v>3</v>
      </c>
      <c r="M674" s="2"/>
      <c r="N674" s="8">
        <v>43062.775960648149</v>
      </c>
      <c r="O674" s="4" t="s">
        <v>1970</v>
      </c>
      <c r="P674" s="3" t="s">
        <v>1969</v>
      </c>
      <c r="Q674" s="4"/>
      <c r="R674" s="4"/>
      <c r="S674" s="9" t="str">
        <f>HYPERLINK("https://pbs.twimg.com/profile_images/1038403849822892033/7alGOqvM.jpg","View")</f>
        <v>View</v>
      </c>
    </row>
    <row r="675" spans="1:19" ht="20">
      <c r="A675" s="8">
        <v>43369.479537037041</v>
      </c>
      <c r="B675" s="11" t="str">
        <f>HYPERLINK("https://twitter.com/Amikiy025","@Amikiy025")</f>
        <v>@Amikiy025</v>
      </c>
      <c r="C675" s="6" t="s">
        <v>1968</v>
      </c>
      <c r="D675" s="5" t="s">
        <v>102</v>
      </c>
      <c r="E675" s="9" t="str">
        <f>HYPERLINK("https://twitter.com/Amikiy025/status/1044859249564811266","1044859249564811266")</f>
        <v>1044859249564811266</v>
      </c>
      <c r="F675" s="4"/>
      <c r="G675" s="4"/>
      <c r="H675" s="4"/>
      <c r="I675" s="10" t="str">
        <f>HYPERLINK("http://twitter.com/download/android","Twitter for Android")</f>
        <v>Twitter for Android</v>
      </c>
      <c r="J675" s="2">
        <v>25</v>
      </c>
      <c r="K675" s="2">
        <v>56</v>
      </c>
      <c r="L675" s="2">
        <v>0</v>
      </c>
      <c r="M675" s="2"/>
      <c r="N675" s="8">
        <v>43338.83079861111</v>
      </c>
      <c r="O675" s="4"/>
      <c r="P675" s="3" t="s">
        <v>1967</v>
      </c>
      <c r="Q675" s="4"/>
      <c r="R675" s="4"/>
      <c r="S675" s="9" t="str">
        <f>HYPERLINK("https://pbs.twimg.com/profile_images/1034073659428745216/k8jgsGwG.jpg","View")</f>
        <v>View</v>
      </c>
    </row>
    <row r="676" spans="1:19" ht="30">
      <c r="A676" s="8">
        <v>43369.479212962964</v>
      </c>
      <c r="B676" s="11" t="str">
        <f>HYPERLINK("https://twitter.com/sajjadeslamian","@sajjadeslamian")</f>
        <v>@sajjadeslamian</v>
      </c>
      <c r="C676" s="6" t="s">
        <v>1966</v>
      </c>
      <c r="D676" s="5" t="s">
        <v>1965</v>
      </c>
      <c r="E676" s="9" t="str">
        <f>HYPERLINK("https://twitter.com/sajjadeslamian/status/1044859131625197568","1044859131625197568")</f>
        <v>1044859131625197568</v>
      </c>
      <c r="F676" s="4"/>
      <c r="G676" s="10" t="s">
        <v>1964</v>
      </c>
      <c r="H676" s="4"/>
      <c r="I676" s="10" t="str">
        <f>HYPERLINK("http://twitter.com","Twitter Web Client")</f>
        <v>Twitter Web Client</v>
      </c>
      <c r="J676" s="2">
        <v>697</v>
      </c>
      <c r="K676" s="2">
        <v>458</v>
      </c>
      <c r="L676" s="2">
        <v>31</v>
      </c>
      <c r="M676" s="2"/>
      <c r="N676" s="8">
        <v>41236.406550925924</v>
      </c>
      <c r="O676" s="4" t="s">
        <v>378</v>
      </c>
      <c r="P676" s="3" t="s">
        <v>1963</v>
      </c>
      <c r="Q676" s="10" t="s">
        <v>1962</v>
      </c>
      <c r="R676" s="4"/>
      <c r="S676" s="9" t="str">
        <f>HYPERLINK("https://pbs.twimg.com/profile_images/495964962213224448/qqRLsDS1.jpeg","View")</f>
        <v>View</v>
      </c>
    </row>
    <row r="677" spans="1:19" ht="30">
      <c r="A677" s="8">
        <v>43369.479120370372</v>
      </c>
      <c r="B677" s="11" t="str">
        <f>HYPERLINK("https://twitter.com/voldemort1300","@voldemort1300")</f>
        <v>@voldemort1300</v>
      </c>
      <c r="C677" s="6" t="s">
        <v>1961</v>
      </c>
      <c r="D677" s="5" t="s">
        <v>1960</v>
      </c>
      <c r="E677" s="9" t="str">
        <f>HYPERLINK("https://twitter.com/voldemort1300/status/1044859098540515328","1044859098540515328")</f>
        <v>1044859098540515328</v>
      </c>
      <c r="F677" s="4"/>
      <c r="G677" s="4"/>
      <c r="H677" s="4"/>
      <c r="I677" s="10" t="str">
        <f>HYPERLINK("http://twitter.com/download/android","Twitter for Android")</f>
        <v>Twitter for Android</v>
      </c>
      <c r="J677" s="2">
        <v>2552</v>
      </c>
      <c r="K677" s="2">
        <v>4994</v>
      </c>
      <c r="L677" s="2">
        <v>1</v>
      </c>
      <c r="M677" s="2"/>
      <c r="N677" s="8">
        <v>43228.695717592593</v>
      </c>
      <c r="O677" s="4" t="s">
        <v>1959</v>
      </c>
      <c r="P677" s="3" t="s">
        <v>1958</v>
      </c>
      <c r="Q677" s="4"/>
      <c r="R677" s="4"/>
      <c r="S677" s="9" t="str">
        <f>HYPERLINK("https://pbs.twimg.com/profile_images/993906474622574592/6HvXNXS4.jpg","View")</f>
        <v>View</v>
      </c>
    </row>
    <row r="678" spans="1:19" ht="30">
      <c r="A678" s="8">
        <v>43369.479050925926</v>
      </c>
      <c r="B678" s="11" t="str">
        <f>HYPERLINK("https://twitter.com/barsamkhan","@barsamkhan")</f>
        <v>@barsamkhan</v>
      </c>
      <c r="C678" s="6" t="s">
        <v>1957</v>
      </c>
      <c r="D678" s="5" t="s">
        <v>1956</v>
      </c>
      <c r="E678" s="9" t="str">
        <f>HYPERLINK("https://twitter.com/barsamkhan/status/1044859073789906944","1044859073789906944")</f>
        <v>1044859073789906944</v>
      </c>
      <c r="F678" s="4"/>
      <c r="G678" s="4"/>
      <c r="H678" s="4"/>
      <c r="I678" s="10" t="str">
        <f>HYPERLINK("http://twitter.com/download/iphone","Twitter for iPhone")</f>
        <v>Twitter for iPhone</v>
      </c>
      <c r="J678" s="2">
        <v>93</v>
      </c>
      <c r="K678" s="2">
        <v>86</v>
      </c>
      <c r="L678" s="2">
        <v>0</v>
      </c>
      <c r="M678" s="2"/>
      <c r="N678" s="8">
        <v>42280.654004629629</v>
      </c>
      <c r="O678" s="4" t="s">
        <v>101</v>
      </c>
      <c r="P678" s="3" t="s">
        <v>1955</v>
      </c>
      <c r="Q678" s="4"/>
      <c r="R678" s="4"/>
      <c r="S678" s="9" t="str">
        <f>HYPERLINK("https://pbs.twimg.com/profile_images/1026807317327753216/hqEC8ThF.jpg","View")</f>
        <v>View</v>
      </c>
    </row>
    <row r="679" spans="1:19" ht="20">
      <c r="A679" s="8">
        <v>43369.478148148148</v>
      </c>
      <c r="B679" s="11" t="str">
        <f>HYPERLINK("https://twitter.com/behrooz_21","@behrooz_21")</f>
        <v>@behrooz_21</v>
      </c>
      <c r="C679" s="6" t="s">
        <v>1954</v>
      </c>
      <c r="D679" s="5" t="s">
        <v>1953</v>
      </c>
      <c r="E679" s="9" t="str">
        <f>HYPERLINK("https://twitter.com/behrooz_21/status/1044858746554527748","1044858746554527748")</f>
        <v>1044858746554527748</v>
      </c>
      <c r="F679" s="4"/>
      <c r="G679" s="10" t="s">
        <v>1952</v>
      </c>
      <c r="H679" s="4"/>
      <c r="I679" s="10" t="str">
        <f>HYPERLINK("http://twitter.com","Twitter Web Client")</f>
        <v>Twitter Web Client</v>
      </c>
      <c r="J679" s="2">
        <v>4058</v>
      </c>
      <c r="K679" s="2">
        <v>3138</v>
      </c>
      <c r="L679" s="2">
        <v>10</v>
      </c>
      <c r="M679" s="2"/>
      <c r="N679" s="8">
        <v>42844.831643518519</v>
      </c>
      <c r="O679" s="4"/>
      <c r="P679" s="3" t="s">
        <v>1951</v>
      </c>
      <c r="Q679" s="4"/>
      <c r="R679" s="4"/>
      <c r="S679" s="9" t="str">
        <f>HYPERLINK("https://pbs.twimg.com/profile_images/1042351774034735106/G1zX1p2_.jpg","View")</f>
        <v>View</v>
      </c>
    </row>
    <row r="680" spans="1:19" ht="30">
      <c r="A680" s="8">
        <v>43369.477847222224</v>
      </c>
      <c r="B680" s="11" t="str">
        <f>HYPERLINK("https://twitter.com/ghara_oghlan","@ghara_oghlan")</f>
        <v>@ghara_oghlan</v>
      </c>
      <c r="C680" s="6" t="s">
        <v>1950</v>
      </c>
      <c r="D680" s="5" t="s">
        <v>1748</v>
      </c>
      <c r="E680" s="9" t="str">
        <f>HYPERLINK("https://twitter.com/ghara_oghlan/status/1044858637901058055","1044858637901058055")</f>
        <v>1044858637901058055</v>
      </c>
      <c r="F680" s="4"/>
      <c r="G680" s="4"/>
      <c r="H680" s="4"/>
      <c r="I680" s="10" t="str">
        <f>HYPERLINK("http://twitter.com","Twitter Web Client")</f>
        <v>Twitter Web Client</v>
      </c>
      <c r="J680" s="2">
        <v>467</v>
      </c>
      <c r="K680" s="2">
        <v>485</v>
      </c>
      <c r="L680" s="2">
        <v>2</v>
      </c>
      <c r="M680" s="2"/>
      <c r="N680" s="8">
        <v>43293.481226851851</v>
      </c>
      <c r="O680" s="4"/>
      <c r="P680" s="3" t="s">
        <v>1949</v>
      </c>
      <c r="Q680" s="4"/>
      <c r="R680" s="4"/>
      <c r="S680" s="9" t="str">
        <f>HYPERLINK("https://pbs.twimg.com/profile_images/1017308960041390080/vnTEcZWJ.jpg","View")</f>
        <v>View</v>
      </c>
    </row>
    <row r="681" spans="1:19" ht="40">
      <c r="A681" s="8">
        <v>43369.477719907409</v>
      </c>
      <c r="B681" s="11" t="str">
        <f>HYPERLINK("https://twitter.com/shasvsa1979","@shasvsa1979")</f>
        <v>@shasvsa1979</v>
      </c>
      <c r="C681" s="6" t="s">
        <v>56</v>
      </c>
      <c r="D681" s="5" t="s">
        <v>1923</v>
      </c>
      <c r="E681" s="9" t="str">
        <f>HYPERLINK("https://twitter.com/shasvsa1979/status/1044858590882926592","1044858590882926592")</f>
        <v>1044858590882926592</v>
      </c>
      <c r="F681" s="4"/>
      <c r="G681" s="4"/>
      <c r="H681" s="4"/>
      <c r="I681" s="10" t="str">
        <f>HYPERLINK("http://twitter.com/download/android","Twitter for Android")</f>
        <v>Twitter for Android</v>
      </c>
      <c r="J681" s="2">
        <v>31</v>
      </c>
      <c r="K681" s="2">
        <v>77</v>
      </c>
      <c r="L681" s="2">
        <v>0</v>
      </c>
      <c r="M681" s="2"/>
      <c r="N681" s="8">
        <v>43298.940937499996</v>
      </c>
      <c r="O681" s="4" t="s">
        <v>55</v>
      </c>
      <c r="P681" s="3" t="s">
        <v>54</v>
      </c>
      <c r="Q681" s="4"/>
      <c r="R681" s="4"/>
      <c r="S681" s="9" t="str">
        <f>HYPERLINK("https://pbs.twimg.com/profile_images/1019304698246025221/bSqkh05d.jpg","View")</f>
        <v>View</v>
      </c>
    </row>
    <row r="682" spans="1:19" ht="20">
      <c r="A682" s="8">
        <v>43369.477349537032</v>
      </c>
      <c r="B682" s="11" t="str">
        <f>HYPERLINK("https://twitter.com/nasserzol13442l","@nasserzol13442l")</f>
        <v>@nasserzol13442l</v>
      </c>
      <c r="C682" s="6" t="s">
        <v>1948</v>
      </c>
      <c r="D682" s="5" t="s">
        <v>438</v>
      </c>
      <c r="E682" s="9" t="str">
        <f>HYPERLINK("https://twitter.com/nasserzol13442l/status/1044858458368094210","1044858458368094210")</f>
        <v>1044858458368094210</v>
      </c>
      <c r="F682" s="10" t="s">
        <v>437</v>
      </c>
      <c r="G682" s="10" t="s">
        <v>436</v>
      </c>
      <c r="H682" s="4"/>
      <c r="I682" s="10" t="str">
        <f>HYPERLINK("http://twitter.com","Twitter Web Client")</f>
        <v>Twitter Web Client</v>
      </c>
      <c r="J682" s="2">
        <v>1315</v>
      </c>
      <c r="K682" s="2">
        <v>1211</v>
      </c>
      <c r="L682" s="2">
        <v>3</v>
      </c>
      <c r="M682" s="2"/>
      <c r="N682" s="8">
        <v>43101.769814814819</v>
      </c>
      <c r="O682" s="4" t="s">
        <v>1947</v>
      </c>
      <c r="P682" s="3" t="s">
        <v>1946</v>
      </c>
      <c r="Q682" s="4"/>
      <c r="R682" s="4"/>
      <c r="S682" s="9" t="str">
        <f>HYPERLINK("https://pbs.twimg.com/profile_images/947846639884165120/2XYeHeyF.jpg","View")</f>
        <v>View</v>
      </c>
    </row>
    <row r="683" spans="1:19" ht="40">
      <c r="A683" s="8">
        <v>43369.47719907407</v>
      </c>
      <c r="B683" s="11" t="str">
        <f>HYPERLINK("https://twitter.com/ElahieGhonchei","@ElahieGhonchei")</f>
        <v>@ElahieGhonchei</v>
      </c>
      <c r="C683" s="6" t="s">
        <v>1758</v>
      </c>
      <c r="D683" s="5" t="s">
        <v>1945</v>
      </c>
      <c r="E683" s="9" t="str">
        <f>HYPERLINK("https://twitter.com/ElahieGhonchei/status/1044858403930230784","1044858403930230784")</f>
        <v>1044858403930230784</v>
      </c>
      <c r="F683" s="4"/>
      <c r="G683" s="4"/>
      <c r="H683" s="4"/>
      <c r="I683" s="10" t="str">
        <f>HYPERLINK("http://twitter.com/download/android","Twitter for Android")</f>
        <v>Twitter for Android</v>
      </c>
      <c r="J683" s="2">
        <v>824</v>
      </c>
      <c r="K683" s="2">
        <v>158</v>
      </c>
      <c r="L683" s="2">
        <v>4</v>
      </c>
      <c r="M683" s="2"/>
      <c r="N683" s="8">
        <v>42754.956666666665</v>
      </c>
      <c r="O683" s="4"/>
      <c r="P683" s="3" t="s">
        <v>1756</v>
      </c>
      <c r="Q683" s="4"/>
      <c r="R683" s="4"/>
      <c r="S683" s="9" t="str">
        <f>HYPERLINK("https://pbs.twimg.com/profile_images/1003306234433490944/9rdY-HmY.jpg","View")</f>
        <v>View</v>
      </c>
    </row>
    <row r="684" spans="1:19" ht="40">
      <c r="A684" s="8">
        <v>43369.476863425924</v>
      </c>
      <c r="B684" s="11" t="str">
        <f>HYPERLINK("https://twitter.com/MehdiRoudaki","@MehdiRoudaki")</f>
        <v>@MehdiRoudaki</v>
      </c>
      <c r="C684" s="6" t="s">
        <v>1944</v>
      </c>
      <c r="D684" s="5" t="s">
        <v>1556</v>
      </c>
      <c r="E684" s="9" t="str">
        <f>HYPERLINK("https://twitter.com/MehdiRoudaki/status/1044858282320547840","1044858282320547840")</f>
        <v>1044858282320547840</v>
      </c>
      <c r="F684" s="4"/>
      <c r="G684" s="4"/>
      <c r="H684" s="4"/>
      <c r="I684" s="10" t="str">
        <f>HYPERLINK("http://twitter.com/download/android","Twitter for Android")</f>
        <v>Twitter for Android</v>
      </c>
      <c r="J684" s="2">
        <v>1004</v>
      </c>
      <c r="K684" s="2">
        <v>362</v>
      </c>
      <c r="L684" s="2">
        <v>21</v>
      </c>
      <c r="M684" s="2"/>
      <c r="N684" s="8">
        <v>41294.761319444442</v>
      </c>
      <c r="O684" s="4" t="s">
        <v>1943</v>
      </c>
      <c r="P684" s="3" t="s">
        <v>1942</v>
      </c>
      <c r="Q684" s="10" t="s">
        <v>1941</v>
      </c>
      <c r="R684" s="4"/>
      <c r="S684" s="9" t="str">
        <f>HYPERLINK("https://pbs.twimg.com/profile_images/1040146523655479297/ZY3MnSGM.jpg","View")</f>
        <v>View</v>
      </c>
    </row>
    <row r="685" spans="1:19" ht="40">
      <c r="A685" s="8">
        <v>43369.476863425924</v>
      </c>
      <c r="B685" s="11" t="str">
        <f>HYPERLINK("https://twitter.com/alirezakey1","@alirezakey1")</f>
        <v>@alirezakey1</v>
      </c>
      <c r="C685" s="6" t="s">
        <v>1369</v>
      </c>
      <c r="D685" s="5" t="s">
        <v>128</v>
      </c>
      <c r="E685" s="9" t="str">
        <f>HYPERLINK("https://twitter.com/alirezakey1/status/1044858280957407232","1044858280957407232")</f>
        <v>1044858280957407232</v>
      </c>
      <c r="F685" s="4"/>
      <c r="G685" s="4"/>
      <c r="H685" s="4"/>
      <c r="I685" s="10" t="str">
        <f>HYPERLINK("http://twitter.com/download/android","Twitter for Android")</f>
        <v>Twitter for Android</v>
      </c>
      <c r="J685" s="2">
        <v>1396</v>
      </c>
      <c r="K685" s="2">
        <v>1958</v>
      </c>
      <c r="L685" s="2">
        <v>0</v>
      </c>
      <c r="M685" s="2"/>
      <c r="N685" s="8">
        <v>42408.702175925922</v>
      </c>
      <c r="O685" s="4"/>
      <c r="P685" s="3" t="s">
        <v>1368</v>
      </c>
      <c r="Q685" s="4"/>
      <c r="R685" s="4"/>
      <c r="S685" s="9" t="str">
        <f>HYPERLINK("https://pbs.twimg.com/profile_images/862323835210739713/Nu5ofDZ-.jpg","View")</f>
        <v>View</v>
      </c>
    </row>
    <row r="686" spans="1:19" ht="40">
      <c r="A686" s="8">
        <v>43369.471238425926</v>
      </c>
      <c r="B686" s="11" t="str">
        <f>HYPERLINK("https://twitter.com/sajjadi87","@sajjadi87")</f>
        <v>@sajjadi87</v>
      </c>
      <c r="C686" s="6" t="s">
        <v>1940</v>
      </c>
      <c r="D686" s="5" t="s">
        <v>1556</v>
      </c>
      <c r="E686" s="9" t="str">
        <f>HYPERLINK("https://twitter.com/sajjadi87/status/1044856241099624448","1044856241099624448")</f>
        <v>1044856241099624448</v>
      </c>
      <c r="F686" s="4"/>
      <c r="G686" s="4"/>
      <c r="H686" s="4"/>
      <c r="I686" s="10" t="str">
        <f>HYPERLINK("http://twitter.com/download/iphone","Twitter for iPhone")</f>
        <v>Twitter for iPhone</v>
      </c>
      <c r="J686" s="2">
        <v>10</v>
      </c>
      <c r="K686" s="2">
        <v>84</v>
      </c>
      <c r="L686" s="2">
        <v>0</v>
      </c>
      <c r="M686" s="2"/>
      <c r="N686" s="8">
        <v>42668.551215277781</v>
      </c>
      <c r="O686" s="4"/>
      <c r="P686" s="3" t="s">
        <v>1939</v>
      </c>
      <c r="Q686" s="4"/>
      <c r="R686" s="4"/>
      <c r="S686" s="9" t="str">
        <f>HYPERLINK("https://pbs.twimg.com/profile_images/993758264214065152/FPfqhsXL.jpg","View")</f>
        <v>View</v>
      </c>
    </row>
    <row r="687" spans="1:19" ht="40">
      <c r="A687" s="8">
        <v>43369.471053240741</v>
      </c>
      <c r="B687" s="11" t="str">
        <f>HYPERLINK("https://twitter.com/AssociationIran","@AssociationIran")</f>
        <v>@AssociationIran</v>
      </c>
      <c r="C687" s="6" t="s">
        <v>1938</v>
      </c>
      <c r="D687" s="5" t="s">
        <v>1683</v>
      </c>
      <c r="E687" s="9" t="str">
        <f>HYPERLINK("https://twitter.com/AssociationIran/status/1044856177694322688","1044856177694322688")</f>
        <v>1044856177694322688</v>
      </c>
      <c r="F687" s="4"/>
      <c r="G687" s="10" t="s">
        <v>1658</v>
      </c>
      <c r="H687" s="4"/>
      <c r="I687" s="10" t="str">
        <f>HYPERLINK("http://twitter.com/download/android","Twitter for Android")</f>
        <v>Twitter for Android</v>
      </c>
      <c r="J687" s="2">
        <v>71</v>
      </c>
      <c r="K687" s="2">
        <v>63</v>
      </c>
      <c r="L687" s="2">
        <v>1</v>
      </c>
      <c r="M687" s="2"/>
      <c r="N687" s="8">
        <v>43333.702013888891</v>
      </c>
      <c r="O687" s="4"/>
      <c r="P687" s="3" t="s">
        <v>1937</v>
      </c>
      <c r="Q687" s="4"/>
      <c r="R687" s="4"/>
      <c r="S687" s="9" t="str">
        <f>HYPERLINK("https://pbs.twimg.com/profile_images/1031879536437280768/HqkKqjoP.jpg","View")</f>
        <v>View</v>
      </c>
    </row>
    <row r="688" spans="1:19" ht="30">
      <c r="A688" s="8">
        <v>43369.470937499995</v>
      </c>
      <c r="B688" s="11" t="str">
        <f>HYPERLINK("https://twitter.com/Entekhab_News","@Entekhab_News")</f>
        <v>@Entekhab_News</v>
      </c>
      <c r="C688" s="6" t="s">
        <v>1936</v>
      </c>
      <c r="D688" s="5" t="s">
        <v>1935</v>
      </c>
      <c r="E688" s="9" t="str">
        <f>HYPERLINK("https://twitter.com/Entekhab_News/status/1044856132001509376","1044856132001509376")</f>
        <v>1044856132001509376</v>
      </c>
      <c r="F688" s="4"/>
      <c r="G688" s="10" t="s">
        <v>1934</v>
      </c>
      <c r="H688" s="4"/>
      <c r="I688" s="10" t="str">
        <f>HYPERLINK("http://twitter.com/download/android","Twitter for Android")</f>
        <v>Twitter for Android</v>
      </c>
      <c r="J688" s="2">
        <v>16335</v>
      </c>
      <c r="K688" s="2">
        <v>0</v>
      </c>
      <c r="L688" s="2">
        <v>157</v>
      </c>
      <c r="M688" s="2"/>
      <c r="N688" s="8">
        <v>41846.90483796296</v>
      </c>
      <c r="O688" s="4" t="s">
        <v>166</v>
      </c>
      <c r="P688" s="3" t="s">
        <v>1933</v>
      </c>
      <c r="Q688" s="10" t="s">
        <v>1932</v>
      </c>
      <c r="R688" s="4"/>
      <c r="S688" s="9" t="str">
        <f>HYPERLINK("https://pbs.twimg.com/profile_images/840302676332146689/objFI1sw.jpg","View")</f>
        <v>View</v>
      </c>
    </row>
    <row r="689" spans="1:19" ht="40">
      <c r="A689" s="8">
        <v>43369.470636574071</v>
      </c>
      <c r="B689" s="11" t="str">
        <f>HYPERLINK("https://twitter.com/alidadaaaaaa","@alidadaaaaaa")</f>
        <v>@alidadaaaaaa</v>
      </c>
      <c r="C689" s="6" t="s">
        <v>1931</v>
      </c>
      <c r="D689" s="5" t="s">
        <v>1556</v>
      </c>
      <c r="E689" s="9" t="str">
        <f>HYPERLINK("https://twitter.com/alidadaaaaaa/status/1044856024765800449","1044856024765800449")</f>
        <v>1044856024765800449</v>
      </c>
      <c r="F689" s="4"/>
      <c r="G689" s="4"/>
      <c r="H689" s="4"/>
      <c r="I689" s="10" t="str">
        <f>HYPERLINK("http://twitter.com/download/iphone","Twitter for iPhone")</f>
        <v>Twitter for iPhone</v>
      </c>
      <c r="J689" s="2">
        <v>2</v>
      </c>
      <c r="K689" s="2">
        <v>72</v>
      </c>
      <c r="L689" s="2">
        <v>0</v>
      </c>
      <c r="M689" s="2"/>
      <c r="N689" s="8">
        <v>43367.972395833334</v>
      </c>
      <c r="O689" s="4"/>
      <c r="P689" s="3"/>
      <c r="Q689" s="4"/>
      <c r="R689" s="4"/>
      <c r="S689" s="9" t="str">
        <f>HYPERLINK("https://pbs.twimg.com/profile_images/1044316091311419392/sFG9SMB3.jpg","View")</f>
        <v>View</v>
      </c>
    </row>
    <row r="690" spans="1:19" ht="30">
      <c r="A690" s="8">
        <v>43369.470613425925</v>
      </c>
      <c r="B690" s="11" t="str">
        <f>HYPERLINK("https://twitter.com/hFpCffWJsjtlzj8","@hFpCffWJsjtlzj8")</f>
        <v>@hFpCffWJsjtlzj8</v>
      </c>
      <c r="C690" s="6" t="s">
        <v>31</v>
      </c>
      <c r="D690" s="5" t="s">
        <v>1930</v>
      </c>
      <c r="E690" s="9" t="str">
        <f>HYPERLINK("https://twitter.com/hFpCffWJsjtlzj8/status/1044856017216040963","1044856017216040963")</f>
        <v>1044856017216040963</v>
      </c>
      <c r="F690" s="4"/>
      <c r="G690" s="4"/>
      <c r="H690" s="4"/>
      <c r="I690" s="10" t="str">
        <f>HYPERLINK("http://twitter.com/download/android","Twitter for Android")</f>
        <v>Twitter for Android</v>
      </c>
      <c r="J690" s="2">
        <v>2</v>
      </c>
      <c r="K690" s="2">
        <v>20</v>
      </c>
      <c r="L690" s="2">
        <v>0</v>
      </c>
      <c r="M690" s="2"/>
      <c r="N690" s="8">
        <v>43365.538483796292</v>
      </c>
      <c r="O690" s="4"/>
      <c r="P690" s="3" t="s">
        <v>211</v>
      </c>
      <c r="Q690" s="4"/>
      <c r="R690" s="4"/>
      <c r="S690" s="9" t="str">
        <f>HYPERLINK("https://pbs.twimg.com/profile_images/1043431700238426115/2-kB3Z0O.jpg","View")</f>
        <v>View</v>
      </c>
    </row>
    <row r="691" spans="1:19" ht="30">
      <c r="A691" s="8">
        <v>43369.470497685186</v>
      </c>
      <c r="B691" s="11" t="str">
        <f>HYPERLINK("https://twitter.com/golrozabi5953","@golrozabi5953")</f>
        <v>@golrozabi5953</v>
      </c>
      <c r="C691" s="6" t="s">
        <v>1929</v>
      </c>
      <c r="D691" s="5" t="s">
        <v>49</v>
      </c>
      <c r="E691" s="9" t="str">
        <f>HYPERLINK("https://twitter.com/golrozabi5953/status/1044855976162205701","1044855976162205701")</f>
        <v>1044855976162205701</v>
      </c>
      <c r="F691" s="4"/>
      <c r="G691" s="4"/>
      <c r="H691" s="4"/>
      <c r="I691" s="10" t="str">
        <f>HYPERLINK("https://mobile.twitter.com","Twitter Lite")</f>
        <v>Twitter Lite</v>
      </c>
      <c r="J691" s="2">
        <v>336</v>
      </c>
      <c r="K691" s="2">
        <v>156</v>
      </c>
      <c r="L691" s="2">
        <v>1</v>
      </c>
      <c r="M691" s="2"/>
      <c r="N691" s="8">
        <v>43124.721863425926</v>
      </c>
      <c r="O691" s="4"/>
      <c r="P691" s="3" t="s">
        <v>1928</v>
      </c>
      <c r="Q691" s="4"/>
      <c r="R691" s="4"/>
      <c r="S691" s="9" t="str">
        <f>HYPERLINK("https://pbs.twimg.com/profile_images/956498226156359681/W73a75jX.jpg","View")</f>
        <v>View</v>
      </c>
    </row>
    <row r="692" spans="1:19" ht="40">
      <c r="A692" s="8">
        <v>43369.470185185186</v>
      </c>
      <c r="B692" s="11" t="str">
        <f>HYPERLINK("https://twitter.com/ramezani493","@ramezani493")</f>
        <v>@ramezani493</v>
      </c>
      <c r="C692" s="6" t="s">
        <v>1927</v>
      </c>
      <c r="D692" s="5" t="s">
        <v>75</v>
      </c>
      <c r="E692" s="9" t="str">
        <f>HYPERLINK("https://twitter.com/ramezani493/status/1044855860630106114","1044855860630106114")</f>
        <v>1044855860630106114</v>
      </c>
      <c r="F692" s="4"/>
      <c r="G692" s="4"/>
      <c r="H692" s="4"/>
      <c r="I692" s="10" t="str">
        <f>HYPERLINK("http://twitter.com/download/android","Twitter for Android")</f>
        <v>Twitter for Android</v>
      </c>
      <c r="J692" s="2">
        <v>1891</v>
      </c>
      <c r="K692" s="2">
        <v>4670</v>
      </c>
      <c r="L692" s="2">
        <v>3</v>
      </c>
      <c r="M692" s="2"/>
      <c r="N692" s="8">
        <v>42621.430347222224</v>
      </c>
      <c r="O692" s="4" t="s">
        <v>1</v>
      </c>
      <c r="P692" s="3"/>
      <c r="Q692" s="4"/>
      <c r="R692" s="4"/>
      <c r="S692" s="9" t="str">
        <f>HYPERLINK("https://pbs.twimg.com/profile_images/1005061512304693248/aFWjhOjg.jpg","View")</f>
        <v>View</v>
      </c>
    </row>
    <row r="693" spans="1:19" ht="40">
      <c r="A693" s="8">
        <v>43369.470150462963</v>
      </c>
      <c r="B693" s="11" t="str">
        <f>HYPERLINK("https://twitter.com/Esze100","@Esze100")</f>
        <v>@Esze100</v>
      </c>
      <c r="C693" s="6" t="s">
        <v>1769</v>
      </c>
      <c r="D693" s="5" t="s">
        <v>1556</v>
      </c>
      <c r="E693" s="9" t="str">
        <f>HYPERLINK("https://twitter.com/Esze100/status/1044855850219769858","1044855850219769858")</f>
        <v>1044855850219769858</v>
      </c>
      <c r="F693" s="4"/>
      <c r="G693" s="4"/>
      <c r="H693" s="4"/>
      <c r="I693" s="10" t="str">
        <f>HYPERLINK("http://twitter.com/download/android","Twitter for Android")</f>
        <v>Twitter for Android</v>
      </c>
      <c r="J693" s="2">
        <v>161</v>
      </c>
      <c r="K693" s="2">
        <v>368</v>
      </c>
      <c r="L693" s="2">
        <v>0</v>
      </c>
      <c r="M693" s="2"/>
      <c r="N693" s="8">
        <v>41242.924953703703</v>
      </c>
      <c r="O693" s="4"/>
      <c r="P693" s="3" t="s">
        <v>1768</v>
      </c>
      <c r="Q693" s="4"/>
      <c r="R693" s="4"/>
      <c r="S693" s="9" t="str">
        <f>HYPERLINK("https://pbs.twimg.com/profile_images/949544435754459138/7pNMb6Gj.jpg","View")</f>
        <v>View</v>
      </c>
    </row>
    <row r="694" spans="1:19" ht="40">
      <c r="A694" s="8">
        <v>43369.470138888893</v>
      </c>
      <c r="B694" s="11" t="str">
        <f>HYPERLINK("https://twitter.com/hhaaddaaddii","@hhaaddaaddii")</f>
        <v>@hhaaddaaddii</v>
      </c>
      <c r="C694" s="6" t="s">
        <v>1926</v>
      </c>
      <c r="D694" s="5" t="s">
        <v>756</v>
      </c>
      <c r="E694" s="9" t="str">
        <f>HYPERLINK("https://twitter.com/hhaaddaaddii/status/1044855843429199874","1044855843429199874")</f>
        <v>1044855843429199874</v>
      </c>
      <c r="F694" s="4"/>
      <c r="G694" s="4"/>
      <c r="H694" s="4"/>
      <c r="I694" s="10" t="str">
        <f>HYPERLINK("http://twitter.com/download/android","Twitter for Android")</f>
        <v>Twitter for Android</v>
      </c>
      <c r="J694" s="2">
        <v>818</v>
      </c>
      <c r="K694" s="2">
        <v>1284</v>
      </c>
      <c r="L694" s="2">
        <v>0</v>
      </c>
      <c r="M694" s="2"/>
      <c r="N694" s="8">
        <v>41369.218495370369</v>
      </c>
      <c r="O694" s="4"/>
      <c r="P694" s="3" t="s">
        <v>1925</v>
      </c>
      <c r="Q694" s="4"/>
      <c r="R694" s="4"/>
      <c r="S694" s="9" t="str">
        <f>HYPERLINK("https://pbs.twimg.com/profile_images/1015630145808453632/e8lU6LhM.jpg","View")</f>
        <v>View</v>
      </c>
    </row>
    <row r="695" spans="1:19" ht="40">
      <c r="A695" s="8">
        <v>43369.469826388886</v>
      </c>
      <c r="B695" s="11" t="str">
        <f>HYPERLINK("https://twitter.com/Zeppelin1111111","@Zeppelin1111111")</f>
        <v>@Zeppelin1111111</v>
      </c>
      <c r="C695" s="6" t="s">
        <v>1924</v>
      </c>
      <c r="D695" s="5" t="s">
        <v>1923</v>
      </c>
      <c r="E695" s="9" t="str">
        <f>HYPERLINK("https://twitter.com/Zeppelin1111111/status/1044855731466514432","1044855731466514432")</f>
        <v>1044855731466514432</v>
      </c>
      <c r="F695" s="4"/>
      <c r="G695" s="4"/>
      <c r="H695" s="4"/>
      <c r="I695" s="10" t="str">
        <f>HYPERLINK("https://mobile.twitter.com","Twitter Lite")</f>
        <v>Twitter Lite</v>
      </c>
      <c r="J695" s="2">
        <v>675</v>
      </c>
      <c r="K695" s="2">
        <v>754</v>
      </c>
      <c r="L695" s="2">
        <v>0</v>
      </c>
      <c r="M695" s="2"/>
      <c r="N695" s="8">
        <v>41158.946689814817</v>
      </c>
      <c r="O695" s="4" t="s">
        <v>1922</v>
      </c>
      <c r="P695" s="3" t="s">
        <v>1921</v>
      </c>
      <c r="Q695" s="4"/>
      <c r="R695" s="4"/>
      <c r="S695" s="9" t="str">
        <f>HYPERLINK("https://pbs.twimg.com/profile_images/1043559001533960197/aV61NJS4.jpg","View")</f>
        <v>View</v>
      </c>
    </row>
    <row r="696" spans="1:19" ht="30">
      <c r="A696" s="8">
        <v>43369.468935185185</v>
      </c>
      <c r="B696" s="11" t="str">
        <f>HYPERLINK("https://twitter.com/HadiAghel","@HadiAghel")</f>
        <v>@HadiAghel</v>
      </c>
      <c r="C696" s="6" t="s">
        <v>1853</v>
      </c>
      <c r="D696" s="5" t="s">
        <v>181</v>
      </c>
      <c r="E696" s="9" t="str">
        <f>HYPERLINK("https://twitter.com/HadiAghel/status/1044855408014356480","1044855408014356480")</f>
        <v>1044855408014356480</v>
      </c>
      <c r="F696" s="4"/>
      <c r="G696" s="10" t="s">
        <v>180</v>
      </c>
      <c r="H696" s="4"/>
      <c r="I696" s="10" t="str">
        <f>HYPERLINK("http://twitter.com","Twitter Web Client")</f>
        <v>Twitter Web Client</v>
      </c>
      <c r="J696" s="2">
        <v>290</v>
      </c>
      <c r="K696" s="2">
        <v>451</v>
      </c>
      <c r="L696" s="2">
        <v>55</v>
      </c>
      <c r="M696" s="2"/>
      <c r="N696" s="8">
        <v>41824.725706018522</v>
      </c>
      <c r="O696" s="4" t="s">
        <v>1852</v>
      </c>
      <c r="P696" s="3"/>
      <c r="Q696" s="4"/>
      <c r="R696" s="4"/>
      <c r="S696" s="9" t="str">
        <f>HYPERLINK("https://pbs.twimg.com/profile_images/781918134735347712/58VrSxnL.jpg","View")</f>
        <v>View</v>
      </c>
    </row>
    <row r="697" spans="1:19" ht="40">
      <c r="A697" s="8">
        <v>43369.468912037039</v>
      </c>
      <c r="B697" s="11" t="str">
        <f>HYPERLINK("https://twitter.com/ahmadinejad95","@ahmadinejad95")</f>
        <v>@ahmadinejad95</v>
      </c>
      <c r="C697" s="6" t="s">
        <v>1920</v>
      </c>
      <c r="D697" s="5" t="s">
        <v>1919</v>
      </c>
      <c r="E697" s="9" t="str">
        <f>HYPERLINK("https://twitter.com/ahmadinejad95/status/1044855398925299712","1044855398925299712")</f>
        <v>1044855398925299712</v>
      </c>
      <c r="F697" s="4"/>
      <c r="G697" s="4"/>
      <c r="H697" s="4"/>
      <c r="I697" s="10" t="str">
        <f>HYPERLINK("http://twitter.com/download/android","Twitter for Android")</f>
        <v>Twitter for Android</v>
      </c>
      <c r="J697" s="2">
        <v>1673</v>
      </c>
      <c r="K697" s="2">
        <v>105</v>
      </c>
      <c r="L697" s="2">
        <v>6</v>
      </c>
      <c r="M697" s="2"/>
      <c r="N697" s="8">
        <v>42747.521122685182</v>
      </c>
      <c r="O697" s="4" t="s">
        <v>101</v>
      </c>
      <c r="P697" s="3" t="s">
        <v>1918</v>
      </c>
      <c r="Q697" s="4"/>
      <c r="R697" s="4"/>
      <c r="S697" s="9" t="str">
        <f>HYPERLINK("https://pbs.twimg.com/profile_images/998267945401774080/V98Ixx4j.jpg","View")</f>
        <v>View</v>
      </c>
    </row>
    <row r="698" spans="1:19" ht="30">
      <c r="A698" s="8">
        <v>43369.468171296292</v>
      </c>
      <c r="B698" s="11" t="str">
        <f>HYPERLINK("https://twitter.com/baran_mehr36","@baran_mehr36")</f>
        <v>@baran_mehr36</v>
      </c>
      <c r="C698" s="6" t="s">
        <v>1917</v>
      </c>
      <c r="D698" s="5" t="s">
        <v>1593</v>
      </c>
      <c r="E698" s="9" t="str">
        <f>HYPERLINK("https://twitter.com/baran_mehr36/status/1044855129571303429","1044855129571303429")</f>
        <v>1044855129571303429</v>
      </c>
      <c r="F698" s="4"/>
      <c r="G698" s="10" t="s">
        <v>1543</v>
      </c>
      <c r="H698" s="4"/>
      <c r="I698" s="10" t="str">
        <f>HYPERLINK("http://twitter.com/download/android","Twitter for Android")</f>
        <v>Twitter for Android</v>
      </c>
      <c r="J698" s="2">
        <v>465</v>
      </c>
      <c r="K698" s="2">
        <v>405</v>
      </c>
      <c r="L698" s="2">
        <v>0</v>
      </c>
      <c r="M698" s="2"/>
      <c r="N698" s="8">
        <v>43248.687361111108</v>
      </c>
      <c r="O698" s="4"/>
      <c r="P698" s="3" t="s">
        <v>1916</v>
      </c>
      <c r="Q698" s="4"/>
      <c r="R698" s="4"/>
      <c r="S698" s="9" t="str">
        <f>HYPERLINK("https://pbs.twimg.com/profile_images/1009450719836073991/EaH-id0t.jpg","View")</f>
        <v>View</v>
      </c>
    </row>
    <row r="699" spans="1:19" ht="30">
      <c r="A699" s="8">
        <v>43369.468159722222</v>
      </c>
      <c r="B699" s="11" t="str">
        <f>HYPERLINK("https://twitter.com/mary82451038","@mary82451038")</f>
        <v>@mary82451038</v>
      </c>
      <c r="C699" s="6" t="s">
        <v>1915</v>
      </c>
      <c r="D699" s="5" t="s">
        <v>1914</v>
      </c>
      <c r="E699" s="9" t="str">
        <f>HYPERLINK("https://twitter.com/mary82451038/status/1044855128891813889","1044855128891813889")</f>
        <v>1044855128891813889</v>
      </c>
      <c r="F699" s="4"/>
      <c r="G699" s="4"/>
      <c r="H699" s="4"/>
      <c r="I699" s="10" t="str">
        <f>HYPERLINK("http://twitter.com","Twitter Web Client")</f>
        <v>Twitter Web Client</v>
      </c>
      <c r="J699" s="2">
        <v>884</v>
      </c>
      <c r="K699" s="2">
        <v>906</v>
      </c>
      <c r="L699" s="2">
        <v>1</v>
      </c>
      <c r="M699" s="2"/>
      <c r="N699" s="8">
        <v>43152.419409722221</v>
      </c>
      <c r="O699" s="4"/>
      <c r="P699" s="3" t="s">
        <v>1913</v>
      </c>
      <c r="Q699" s="4"/>
      <c r="R699" s="4"/>
      <c r="S699" s="9" t="str">
        <f>HYPERLINK("https://pbs.twimg.com/profile_images/989865213225848832/27V7DSMR.jpg","View")</f>
        <v>View</v>
      </c>
    </row>
    <row r="700" spans="1:19" ht="40">
      <c r="A700" s="8">
        <v>43369.467337962968</v>
      </c>
      <c r="B700" s="11" t="str">
        <f>HYPERLINK("https://twitter.com/ali_ba61","@ali_ba61")</f>
        <v>@ali_ba61</v>
      </c>
      <c r="C700" s="6" t="s">
        <v>1912</v>
      </c>
      <c r="D700" s="5" t="s">
        <v>1556</v>
      </c>
      <c r="E700" s="9" t="str">
        <f>HYPERLINK("https://twitter.com/ali_ba61/status/1044854829191966720","1044854829191966720")</f>
        <v>1044854829191966720</v>
      </c>
      <c r="F700" s="4"/>
      <c r="G700" s="4"/>
      <c r="H700" s="4"/>
      <c r="I700" s="10" t="str">
        <f>HYPERLINK("http://twitter.com/download/iphone","Twitter for iPhone")</f>
        <v>Twitter for iPhone</v>
      </c>
      <c r="J700" s="2">
        <v>412</v>
      </c>
      <c r="K700" s="2">
        <v>576</v>
      </c>
      <c r="L700" s="2">
        <v>2</v>
      </c>
      <c r="M700" s="2"/>
      <c r="N700" s="8">
        <v>41103.008483796293</v>
      </c>
      <c r="O700" s="4" t="s">
        <v>25</v>
      </c>
      <c r="P700" s="3" t="s">
        <v>1911</v>
      </c>
      <c r="Q700" s="4"/>
      <c r="R700" s="4"/>
      <c r="S700" s="9" t="str">
        <f>HYPERLINK("https://pbs.twimg.com/profile_images/889052965675438080/HBb-hP4h.jpg","View")</f>
        <v>View</v>
      </c>
    </row>
    <row r="701" spans="1:19" ht="30">
      <c r="A701" s="8">
        <v>43369.466631944444</v>
      </c>
      <c r="B701" s="11" t="str">
        <f>HYPERLINK("https://twitter.com/gharargahedel","@gharargahedel")</f>
        <v>@gharargahedel</v>
      </c>
      <c r="C701" s="6" t="s">
        <v>1910</v>
      </c>
      <c r="D701" s="5" t="s">
        <v>1720</v>
      </c>
      <c r="E701" s="9" t="str">
        <f>HYPERLINK("https://twitter.com/gharargahedel/status/1044854575717666817","1044854575717666817")</f>
        <v>1044854575717666817</v>
      </c>
      <c r="F701" s="4"/>
      <c r="G701" s="10" t="s">
        <v>1695</v>
      </c>
      <c r="H701" s="4"/>
      <c r="I701" s="10" t="str">
        <f>HYPERLINK("http://twitter.com/download/android","Twitter for Android")</f>
        <v>Twitter for Android</v>
      </c>
      <c r="J701" s="2">
        <v>453</v>
      </c>
      <c r="K701" s="2">
        <v>393</v>
      </c>
      <c r="L701" s="2">
        <v>2</v>
      </c>
      <c r="M701" s="2"/>
      <c r="N701" s="8">
        <v>42744.547627314816</v>
      </c>
      <c r="O701" s="4" t="s">
        <v>1</v>
      </c>
      <c r="P701" s="3" t="s">
        <v>1909</v>
      </c>
      <c r="Q701" s="4"/>
      <c r="R701" s="4"/>
      <c r="S701" s="9" t="str">
        <f>HYPERLINK("https://pbs.twimg.com/profile_images/882142647556681728/xJI3ooNA.jpg","View")</f>
        <v>View</v>
      </c>
    </row>
    <row r="702" spans="1:19" ht="30">
      <c r="A702" s="8">
        <v>43369.465636574074</v>
      </c>
      <c r="B702" s="11" t="str">
        <f>HYPERLINK("https://twitter.com/HT_Felani","@HT_Felani")</f>
        <v>@HT_Felani</v>
      </c>
      <c r="C702" s="6" t="s">
        <v>1908</v>
      </c>
      <c r="D702" s="5" t="s">
        <v>1907</v>
      </c>
      <c r="E702" s="9" t="str">
        <f>HYPERLINK("https://twitter.com/HT_Felani/status/1044854212155396097","1044854212155396097")</f>
        <v>1044854212155396097</v>
      </c>
      <c r="F702" s="4"/>
      <c r="G702" s="4"/>
      <c r="H702" s="4"/>
      <c r="I702" s="10" t="str">
        <f>HYPERLINK("http://twitter.com","Twitter Web Client")</f>
        <v>Twitter Web Client</v>
      </c>
      <c r="J702" s="2">
        <v>4</v>
      </c>
      <c r="K702" s="2">
        <v>1</v>
      </c>
      <c r="L702" s="2">
        <v>0</v>
      </c>
      <c r="M702" s="2"/>
      <c r="N702" s="8">
        <v>43201.369537037041</v>
      </c>
      <c r="O702" s="4"/>
      <c r="P702" s="3" t="s">
        <v>1906</v>
      </c>
      <c r="Q702" s="10" t="s">
        <v>1905</v>
      </c>
      <c r="R702" s="4"/>
      <c r="S702" s="9" t="str">
        <f>HYPERLINK("https://pbs.twimg.com/profile_images/988250221938388992/eZW63C48.jpg","View")</f>
        <v>View</v>
      </c>
    </row>
    <row r="703" spans="1:19" ht="30">
      <c r="A703" s="8">
        <v>43369.465428240743</v>
      </c>
      <c r="B703" s="11" t="str">
        <f>HYPERLINK("https://twitter.com/freedommesenger","@freedommesenger")</f>
        <v>@freedommesenger</v>
      </c>
      <c r="C703" s="6" t="s">
        <v>1660</v>
      </c>
      <c r="D703" s="5" t="s">
        <v>1904</v>
      </c>
      <c r="E703" s="9" t="str">
        <f>HYPERLINK("https://twitter.com/freedommesenger/status/1044854136926351360","1044854136926351360")</f>
        <v>1044854136926351360</v>
      </c>
      <c r="F703" s="4"/>
      <c r="G703" s="10" t="s">
        <v>1903</v>
      </c>
      <c r="H703" s="4"/>
      <c r="I703" s="10" t="str">
        <f>HYPERLINK("http://twitter.com","Twitter Web Client")</f>
        <v>Twitter Web Client</v>
      </c>
      <c r="J703" s="2">
        <v>7874</v>
      </c>
      <c r="K703" s="2">
        <v>32</v>
      </c>
      <c r="L703" s="2">
        <v>263</v>
      </c>
      <c r="M703" s="2"/>
      <c r="N703" s="8">
        <v>40052.203796296293</v>
      </c>
      <c r="O703" s="4" t="s">
        <v>1657</v>
      </c>
      <c r="P703" s="3" t="s">
        <v>1656</v>
      </c>
      <c r="Q703" s="10" t="s">
        <v>1655</v>
      </c>
      <c r="R703" s="4"/>
      <c r="S703" s="9" t="str">
        <f>HYPERLINK("https://pbs.twimg.com/profile_images/756008327/youtube_icon_01.jpg","View")</f>
        <v>View</v>
      </c>
    </row>
    <row r="704" spans="1:19" ht="40">
      <c r="A704" s="8">
        <v>43369.464699074073</v>
      </c>
      <c r="B704" s="11" t="str">
        <f>HYPERLINK("https://twitter.com/UpStork","@UpStork")</f>
        <v>@UpStork</v>
      </c>
      <c r="C704" s="6" t="s">
        <v>1902</v>
      </c>
      <c r="D704" s="5" t="s">
        <v>1901</v>
      </c>
      <c r="E704" s="9" t="str">
        <f>HYPERLINK("https://twitter.com/UpStork/status/1044853875050782720","1044853875050782720")</f>
        <v>1044853875050782720</v>
      </c>
      <c r="F704" s="4"/>
      <c r="G704" s="4"/>
      <c r="H704" s="4"/>
      <c r="I704" s="10" t="str">
        <f>HYPERLINK("http://twitter.com/download/android","Twitter for Android")</f>
        <v>Twitter for Android</v>
      </c>
      <c r="J704" s="2">
        <v>107</v>
      </c>
      <c r="K704" s="2">
        <v>111</v>
      </c>
      <c r="L704" s="2">
        <v>0</v>
      </c>
      <c r="M704" s="2"/>
      <c r="N704" s="8">
        <v>43362.617094907408</v>
      </c>
      <c r="O704" s="4"/>
      <c r="P704" s="3"/>
      <c r="Q704" s="4"/>
      <c r="R704" s="4"/>
      <c r="S704" s="9" t="str">
        <f>HYPERLINK("https://pbs.twimg.com/profile_images/1042357978408673280/R06uWwQu.jpg","View")</f>
        <v>View</v>
      </c>
    </row>
    <row r="705" spans="1:19" ht="30">
      <c r="A705" s="8">
        <v>43369.464247685188</v>
      </c>
      <c r="B705" s="11" t="str">
        <f>HYPERLINK("https://twitter.com/mirzaaQakhan","@mirzaaQakhan")</f>
        <v>@mirzaaQakhan</v>
      </c>
      <c r="C705" s="6" t="s">
        <v>186</v>
      </c>
      <c r="D705" s="5" t="s">
        <v>1820</v>
      </c>
      <c r="E705" s="9" t="str">
        <f>HYPERLINK("https://twitter.com/mirzaaQakhan/status/1044853709811970048","1044853709811970048")</f>
        <v>1044853709811970048</v>
      </c>
      <c r="F705" s="4"/>
      <c r="G705" s="4"/>
      <c r="H705" s="4"/>
      <c r="I705" s="10" t="str">
        <f>HYPERLINK("http://twitter.com/download/android","Twitter for Android")</f>
        <v>Twitter for Android</v>
      </c>
      <c r="J705" s="2">
        <v>426</v>
      </c>
      <c r="K705" s="2">
        <v>552</v>
      </c>
      <c r="L705" s="2">
        <v>0</v>
      </c>
      <c r="M705" s="2"/>
      <c r="N705" s="8">
        <v>43127.09412037037</v>
      </c>
      <c r="O705" s="4"/>
      <c r="P705" s="3"/>
      <c r="Q705" s="4"/>
      <c r="R705" s="4"/>
      <c r="S705" s="9" t="str">
        <f>HYPERLINK("https://pbs.twimg.com/profile_images/1023900586549358593/BiZtBTCl.jpg","View")</f>
        <v>View</v>
      </c>
    </row>
    <row r="706" spans="1:19" ht="20">
      <c r="A706" s="8">
        <v>43369.463796296295</v>
      </c>
      <c r="B706" s="11" t="str">
        <f>HYPERLINK("https://twitter.com/sadra_1357","@sadra_1357")</f>
        <v>@sadra_1357</v>
      </c>
      <c r="C706" s="6" t="s">
        <v>1900</v>
      </c>
      <c r="D706" s="5" t="s">
        <v>1147</v>
      </c>
      <c r="E706" s="9" t="str">
        <f>HYPERLINK("https://twitter.com/sadra_1357/status/1044853544166264833","1044853544166264833")</f>
        <v>1044853544166264833</v>
      </c>
      <c r="F706" s="4"/>
      <c r="G706" s="10" t="s">
        <v>1146</v>
      </c>
      <c r="H706" s="4"/>
      <c r="I706" s="10" t="str">
        <f>HYPERLINK("http://twitter.com","Twitter Web Client")</f>
        <v>Twitter Web Client</v>
      </c>
      <c r="J706" s="2">
        <v>3275</v>
      </c>
      <c r="K706" s="2">
        <v>2619</v>
      </c>
      <c r="L706" s="2">
        <v>8</v>
      </c>
      <c r="M706" s="2"/>
      <c r="N706" s="8">
        <v>43220.509097222224</v>
      </c>
      <c r="O706" s="4"/>
      <c r="P706" s="3" t="s">
        <v>1899</v>
      </c>
      <c r="Q706" s="4"/>
      <c r="R706" s="4"/>
      <c r="S706" s="9" t="str">
        <f>HYPERLINK("https://pbs.twimg.com/profile_images/1039322166444089347/NHe_RwGK.jpg","View")</f>
        <v>View</v>
      </c>
    </row>
    <row r="707" spans="1:19" ht="30">
      <c r="A707" s="8">
        <v>43369.463425925926</v>
      </c>
      <c r="B707" s="11" t="str">
        <f>HYPERLINK("https://twitter.com/tahtetaasir","@tahtetaasir")</f>
        <v>@tahtetaasir</v>
      </c>
      <c r="C707" s="6" t="s">
        <v>1898</v>
      </c>
      <c r="D707" s="5" t="s">
        <v>1897</v>
      </c>
      <c r="E707" s="9" t="str">
        <f>HYPERLINK("https://twitter.com/tahtetaasir/status/1044853412481953793","1044853412481953793")</f>
        <v>1044853412481953793</v>
      </c>
      <c r="F707" s="4"/>
      <c r="G707" s="10" t="s">
        <v>1896</v>
      </c>
      <c r="H707" s="4"/>
      <c r="I707" s="10" t="str">
        <f>HYPERLINK("http://twitter.com","Twitter Web Client")</f>
        <v>Twitter Web Client</v>
      </c>
      <c r="J707" s="2">
        <v>1609</v>
      </c>
      <c r="K707" s="2">
        <v>1683</v>
      </c>
      <c r="L707" s="2">
        <v>4</v>
      </c>
      <c r="M707" s="2"/>
      <c r="N707" s="8">
        <v>42114.778182870374</v>
      </c>
      <c r="O707" s="4"/>
      <c r="P707" s="3" t="s">
        <v>1895</v>
      </c>
      <c r="Q707" s="4"/>
      <c r="R707" s="4"/>
      <c r="S707" s="9" t="str">
        <f>HYPERLINK("https://pbs.twimg.com/profile_images/940588239999475714/5uUcmbjC.jpg","View")</f>
        <v>View</v>
      </c>
    </row>
    <row r="708" spans="1:19" ht="30">
      <c r="A708" s="8">
        <v>43369.463090277779</v>
      </c>
      <c r="B708" s="11" t="str">
        <f>HYPERLINK("https://twitter.com/Arsvian","@Arsvian")</f>
        <v>@Arsvian</v>
      </c>
      <c r="C708" s="6" t="s">
        <v>1894</v>
      </c>
      <c r="D708" s="5" t="s">
        <v>106</v>
      </c>
      <c r="E708" s="9" t="str">
        <f>HYPERLINK("https://twitter.com/Arsvian/status/1044853292134748160","1044853292134748160")</f>
        <v>1044853292134748160</v>
      </c>
      <c r="F708" s="4"/>
      <c r="G708" s="10" t="s">
        <v>105</v>
      </c>
      <c r="H708" s="4"/>
      <c r="I708" s="10" t="str">
        <f>HYPERLINK("http://twitter.com/download/iphone","Twitter for iPhone")</f>
        <v>Twitter for iPhone</v>
      </c>
      <c r="J708" s="2">
        <v>38</v>
      </c>
      <c r="K708" s="2">
        <v>132</v>
      </c>
      <c r="L708" s="2">
        <v>0</v>
      </c>
      <c r="M708" s="2"/>
      <c r="N708" s="8">
        <v>42503.522835648153</v>
      </c>
      <c r="O708" s="4" t="s">
        <v>1893</v>
      </c>
      <c r="P708" s="3" t="s">
        <v>1892</v>
      </c>
      <c r="Q708" s="4"/>
      <c r="R708" s="4"/>
      <c r="S708" s="9" t="str">
        <f>HYPERLINK("https://pbs.twimg.com/profile_images/821008699238088704/rrtJkFT-.jpg","View")</f>
        <v>View</v>
      </c>
    </row>
    <row r="709" spans="1:19" ht="40">
      <c r="A709" s="8">
        <v>43369.462743055556</v>
      </c>
      <c r="B709" s="11" t="str">
        <f>HYPERLINK("https://twitter.com/minabian","@minabian")</f>
        <v>@minabian</v>
      </c>
      <c r="C709" s="6" t="s">
        <v>149</v>
      </c>
      <c r="D709" s="5" t="s">
        <v>1556</v>
      </c>
      <c r="E709" s="9" t="str">
        <f>HYPERLINK("https://twitter.com/minabian/status/1044853164401455104","1044853164401455104")</f>
        <v>1044853164401455104</v>
      </c>
      <c r="F709" s="4"/>
      <c r="G709" s="4"/>
      <c r="H709" s="4"/>
      <c r="I709" s="10" t="str">
        <f>HYPERLINK("http://twitter.com/download/android","Twitter for Android")</f>
        <v>Twitter for Android</v>
      </c>
      <c r="J709" s="2">
        <v>611</v>
      </c>
      <c r="K709" s="2">
        <v>2013</v>
      </c>
      <c r="L709" s="2">
        <v>2</v>
      </c>
      <c r="M709" s="2"/>
      <c r="N709" s="8">
        <v>39910.573425925926</v>
      </c>
      <c r="O709" s="4" t="s">
        <v>148</v>
      </c>
      <c r="P709" s="3" t="s">
        <v>147</v>
      </c>
      <c r="Q709" s="10" t="s">
        <v>146</v>
      </c>
      <c r="R709" s="4"/>
      <c r="S709" s="9" t="str">
        <f>HYPERLINK("https://pbs.twimg.com/profile_images/807947739074011137/07Tz0Fy8.jpg","View")</f>
        <v>View</v>
      </c>
    </row>
    <row r="710" spans="1:19" ht="20">
      <c r="A710" s="8">
        <v>43369.462256944447</v>
      </c>
      <c r="B710" s="11" t="str">
        <f>HYPERLINK("https://twitter.com/trotskima","@trotskima")</f>
        <v>@trotskima</v>
      </c>
      <c r="C710" s="6" t="s">
        <v>1891</v>
      </c>
      <c r="D710" s="5" t="s">
        <v>1091</v>
      </c>
      <c r="E710" s="9" t="str">
        <f>HYPERLINK("https://twitter.com/trotskima/status/1044852989045997568","1044852989045997568")</f>
        <v>1044852989045997568</v>
      </c>
      <c r="F710" s="4"/>
      <c r="G710" s="4"/>
      <c r="H710" s="4"/>
      <c r="I710" s="10" t="str">
        <f>HYPERLINK("http://twitter.com/download/android","Twitter for Android")</f>
        <v>Twitter for Android</v>
      </c>
      <c r="J710" s="2">
        <v>45</v>
      </c>
      <c r="K710" s="2">
        <v>80</v>
      </c>
      <c r="L710" s="2">
        <v>0</v>
      </c>
      <c r="M710" s="2"/>
      <c r="N710" s="8">
        <v>43327.025995370372</v>
      </c>
      <c r="O710" s="4" t="s">
        <v>1890</v>
      </c>
      <c r="P710" s="3" t="s">
        <v>1889</v>
      </c>
      <c r="Q710" s="4"/>
      <c r="R710" s="4"/>
      <c r="S710" s="9" t="str">
        <f>HYPERLINK("https://pbs.twimg.com/profile_images/1029657092322406402/J9p-2c7Q.jpg","View")</f>
        <v>View</v>
      </c>
    </row>
    <row r="711" spans="1:19" ht="30">
      <c r="A711" s="8">
        <v>43369.462106481486</v>
      </c>
      <c r="B711" s="11" t="str">
        <f>HYPERLINK("https://twitter.com/mahbobdj2","@mahbobdj2")</f>
        <v>@mahbobdj2</v>
      </c>
      <c r="C711" s="6" t="s">
        <v>129</v>
      </c>
      <c r="D711" s="5" t="s">
        <v>200</v>
      </c>
      <c r="E711" s="9" t="str">
        <f>HYPERLINK("https://twitter.com/mahbobdj2/status/1044852931907014656","1044852931907014656")</f>
        <v>1044852931907014656</v>
      </c>
      <c r="F711" s="4"/>
      <c r="G711" s="4"/>
      <c r="H711" s="4"/>
      <c r="I711" s="10" t="str">
        <f>HYPERLINK("http://twitter.com/download/android","Twitter for Android")</f>
        <v>Twitter for Android</v>
      </c>
      <c r="J711" s="2">
        <v>139</v>
      </c>
      <c r="K711" s="2">
        <v>364</v>
      </c>
      <c r="L711" s="2">
        <v>0</v>
      </c>
      <c r="M711" s="2"/>
      <c r="N711" s="8">
        <v>43144.900960648149</v>
      </c>
      <c r="O711" s="4" t="s">
        <v>127</v>
      </c>
      <c r="P711" s="3" t="s">
        <v>126</v>
      </c>
      <c r="Q711" s="4"/>
      <c r="R711" s="4"/>
      <c r="S711" s="9" t="str">
        <f>HYPERLINK("https://pbs.twimg.com/profile_images/1042306212853940224/UWqknsAv.jpg","View")</f>
        <v>View</v>
      </c>
    </row>
    <row r="712" spans="1:19" ht="40">
      <c r="A712" s="8">
        <v>43369.462083333332</v>
      </c>
      <c r="B712" s="11" t="str">
        <f>HYPERLINK("https://twitter.com/Saeed_Bahariam","@Saeed_Bahariam")</f>
        <v>@Saeed_Bahariam</v>
      </c>
      <c r="C712" s="6" t="s">
        <v>1156</v>
      </c>
      <c r="D712" s="5" t="s">
        <v>1190</v>
      </c>
      <c r="E712" s="9" t="str">
        <f>HYPERLINK("https://twitter.com/Saeed_Bahariam/status/1044852926131437568","1044852926131437568")</f>
        <v>1044852926131437568</v>
      </c>
      <c r="F712" s="4"/>
      <c r="G712" s="4"/>
      <c r="H712" s="4"/>
      <c r="I712" s="10" t="str">
        <f>HYPERLINK("http://twitter.com/download/android","Twitter for Android")</f>
        <v>Twitter for Android</v>
      </c>
      <c r="J712" s="2">
        <v>966</v>
      </c>
      <c r="K712" s="2">
        <v>1250</v>
      </c>
      <c r="L712" s="2">
        <v>0</v>
      </c>
      <c r="M712" s="2"/>
      <c r="N712" s="8">
        <v>43100.649108796293</v>
      </c>
      <c r="O712" s="4" t="s">
        <v>1154</v>
      </c>
      <c r="P712" s="3" t="s">
        <v>1153</v>
      </c>
      <c r="Q712" s="4"/>
      <c r="R712" s="4"/>
      <c r="S712" s="9" t="str">
        <f>HYPERLINK("https://pbs.twimg.com/profile_images/994988869769625601/FrkUKAFM.jpg","View")</f>
        <v>View</v>
      </c>
    </row>
    <row r="713" spans="1:19" ht="40">
      <c r="A713" s="8">
        <v>43369.461423611108</v>
      </c>
      <c r="B713" s="11" t="str">
        <f>HYPERLINK("https://twitter.com/azademah","@azademah")</f>
        <v>@azademah</v>
      </c>
      <c r="C713" s="6" t="s">
        <v>1888</v>
      </c>
      <c r="D713" s="5" t="s">
        <v>1556</v>
      </c>
      <c r="E713" s="9" t="str">
        <f>HYPERLINK("https://twitter.com/azademah/status/1044852687731400710","1044852687731400710")</f>
        <v>1044852687731400710</v>
      </c>
      <c r="F713" s="4"/>
      <c r="G713" s="4"/>
      <c r="H713" s="4"/>
      <c r="I713" s="10" t="str">
        <f>HYPERLINK("http://twitter.com/download/iphone","Twitter for iPhone")</f>
        <v>Twitter for iPhone</v>
      </c>
      <c r="J713" s="2">
        <v>133</v>
      </c>
      <c r="K713" s="2">
        <v>154</v>
      </c>
      <c r="L713" s="2">
        <v>0</v>
      </c>
      <c r="M713" s="2"/>
      <c r="N713" s="8">
        <v>43043.645775462966</v>
      </c>
      <c r="O713" s="4"/>
      <c r="P713" s="3"/>
      <c r="Q713" s="4"/>
      <c r="R713" s="4"/>
      <c r="S713" s="9" t="str">
        <f>HYPERLINK("https://pbs.twimg.com/profile_images/953342804931043329/vOjC9Xk3.jpg","View")</f>
        <v>View</v>
      </c>
    </row>
    <row r="714" spans="1:19" ht="30">
      <c r="A714" s="8">
        <v>43369.460879629631</v>
      </c>
      <c r="B714" s="11" t="str">
        <f>HYPERLINK("https://twitter.com/MohsenFerdowsi1","@MohsenFerdowsi1")</f>
        <v>@MohsenFerdowsi1</v>
      </c>
      <c r="C714" s="6" t="s">
        <v>541</v>
      </c>
      <c r="D714" s="5" t="s">
        <v>1683</v>
      </c>
      <c r="E714" s="9" t="str">
        <f>HYPERLINK("https://twitter.com/MohsenFerdowsi1/status/1044852488124452864","1044852488124452864")</f>
        <v>1044852488124452864</v>
      </c>
      <c r="F714" s="4"/>
      <c r="G714" s="10" t="s">
        <v>1658</v>
      </c>
      <c r="H714" s="4"/>
      <c r="I714" s="10" t="str">
        <f>HYPERLINK("http://twitter.com/download/iphone","Twitter for iPhone")</f>
        <v>Twitter for iPhone</v>
      </c>
      <c r="J714" s="2">
        <v>1102</v>
      </c>
      <c r="K714" s="2">
        <v>2321</v>
      </c>
      <c r="L714" s="2">
        <v>2</v>
      </c>
      <c r="M714" s="2"/>
      <c r="N714" s="8">
        <v>43102.400856481487</v>
      </c>
      <c r="O714" s="4" t="s">
        <v>152</v>
      </c>
      <c r="P714" s="3"/>
      <c r="Q714" s="4"/>
      <c r="R714" s="4"/>
      <c r="S714" s="9" t="str">
        <f>HYPERLINK("https://pbs.twimg.com/profile_images/998670242413883392/qu1ruRMj.jpg","View")</f>
        <v>View</v>
      </c>
    </row>
    <row r="715" spans="1:19" ht="30">
      <c r="A715" s="8">
        <v>43369.460868055554</v>
      </c>
      <c r="B715" s="11" t="str">
        <f>HYPERLINK("https://twitter.com/MohsenFerdowsi1","@MohsenFerdowsi1")</f>
        <v>@MohsenFerdowsi1</v>
      </c>
      <c r="C715" s="6" t="s">
        <v>541</v>
      </c>
      <c r="D715" s="5" t="s">
        <v>383</v>
      </c>
      <c r="E715" s="9" t="str">
        <f>HYPERLINK("https://twitter.com/MohsenFerdowsi1/status/1044852486509666306","1044852486509666306")</f>
        <v>1044852486509666306</v>
      </c>
      <c r="F715" s="4"/>
      <c r="G715" s="10" t="s">
        <v>382</v>
      </c>
      <c r="H715" s="4"/>
      <c r="I715" s="10" t="str">
        <f>HYPERLINK("http://twitter.com/download/iphone","Twitter for iPhone")</f>
        <v>Twitter for iPhone</v>
      </c>
      <c r="J715" s="2">
        <v>1102</v>
      </c>
      <c r="K715" s="2">
        <v>2321</v>
      </c>
      <c r="L715" s="2">
        <v>2</v>
      </c>
      <c r="M715" s="2"/>
      <c r="N715" s="8">
        <v>43102.400856481487</v>
      </c>
      <c r="O715" s="4" t="s">
        <v>152</v>
      </c>
      <c r="P715" s="3"/>
      <c r="Q715" s="4"/>
      <c r="R715" s="4"/>
      <c r="S715" s="9" t="str">
        <f>HYPERLINK("https://pbs.twimg.com/profile_images/998670242413883392/qu1ruRMj.jpg","View")</f>
        <v>View</v>
      </c>
    </row>
    <row r="716" spans="1:19" ht="30">
      <c r="A716" s="8">
        <v>43369.460798611108</v>
      </c>
      <c r="B716" s="11" t="str">
        <f>HYPERLINK("https://twitter.com/t_a1362","@t_a1362")</f>
        <v>@t_a1362</v>
      </c>
      <c r="C716" s="6" t="s">
        <v>1887</v>
      </c>
      <c r="D716" s="5" t="s">
        <v>1886</v>
      </c>
      <c r="E716" s="9" t="str">
        <f>HYPERLINK("https://twitter.com/t_a1362/status/1044852460462977025","1044852460462977025")</f>
        <v>1044852460462977025</v>
      </c>
      <c r="F716" s="4"/>
      <c r="G716" s="4"/>
      <c r="H716" s="4"/>
      <c r="I716" s="10" t="str">
        <f>HYPERLINK("https://mobile.twitter.com","Twitter Lite")</f>
        <v>Twitter Lite</v>
      </c>
      <c r="J716" s="2">
        <v>1219</v>
      </c>
      <c r="K716" s="2">
        <v>414</v>
      </c>
      <c r="L716" s="2">
        <v>6</v>
      </c>
      <c r="M716" s="2"/>
      <c r="N716" s="8">
        <v>42671.691875000004</v>
      </c>
      <c r="O716" s="4" t="s">
        <v>1885</v>
      </c>
      <c r="P716" s="3" t="s">
        <v>1884</v>
      </c>
      <c r="Q716" s="4"/>
      <c r="R716" s="4"/>
      <c r="S716" s="9" t="str">
        <f>HYPERLINK("https://pbs.twimg.com/profile_images/920631864284598273/hPePMKZm.jpg","View")</f>
        <v>View</v>
      </c>
    </row>
    <row r="717" spans="1:19" ht="40">
      <c r="A717" s="8">
        <v>43369.460243055553</v>
      </c>
      <c r="B717" s="11" t="str">
        <f>HYPERLINK("https://twitter.com/hhitavi3151","@hhitavi3151")</f>
        <v>@hhitavi3151</v>
      </c>
      <c r="C717" s="6" t="s">
        <v>1883</v>
      </c>
      <c r="D717" s="5" t="s">
        <v>448</v>
      </c>
      <c r="E717" s="9" t="str">
        <f>HYPERLINK("https://twitter.com/hhitavi3151/status/1044852256758267910","1044852256758267910")</f>
        <v>1044852256758267910</v>
      </c>
      <c r="F717" s="4"/>
      <c r="G717" s="10" t="s">
        <v>368</v>
      </c>
      <c r="H717" s="4"/>
      <c r="I717" s="10" t="str">
        <f>HYPERLINK("https://about.twitter.com/products/tweetdeck","TweetDeck")</f>
        <v>TweetDeck</v>
      </c>
      <c r="J717" s="2">
        <v>980</v>
      </c>
      <c r="K717" s="2">
        <v>1079</v>
      </c>
      <c r="L717" s="2">
        <v>2</v>
      </c>
      <c r="M717" s="2"/>
      <c r="N717" s="8">
        <v>42813.931423611109</v>
      </c>
      <c r="O717" s="4"/>
      <c r="P717" s="3" t="s">
        <v>1882</v>
      </c>
      <c r="Q717" s="4"/>
      <c r="R717" s="4"/>
      <c r="S717" s="9" t="str">
        <f>HYPERLINK("https://pbs.twimg.com/profile_images/996048129555292160/3NtU-SOh.png","View")</f>
        <v>View</v>
      </c>
    </row>
    <row r="718" spans="1:19" ht="40">
      <c r="A718" s="8">
        <v>43369.45988425926</v>
      </c>
      <c r="B718" s="11" t="str">
        <f>HYPERLINK("https://twitter.com/RashidiShahram","@RashidiShahram")</f>
        <v>@RashidiShahram</v>
      </c>
      <c r="C718" s="6" t="s">
        <v>1881</v>
      </c>
      <c r="D718" s="5" t="s">
        <v>352</v>
      </c>
      <c r="E718" s="9" t="str">
        <f>HYPERLINK("https://twitter.com/RashidiShahram/status/1044852127871512580","1044852127871512580")</f>
        <v>1044852127871512580</v>
      </c>
      <c r="F718" s="4"/>
      <c r="G718" s="4"/>
      <c r="H718" s="4"/>
      <c r="I718" s="10" t="str">
        <f>HYPERLINK("http://twitter.com/download/android","Twitter for Android")</f>
        <v>Twitter for Android</v>
      </c>
      <c r="J718" s="2">
        <v>310</v>
      </c>
      <c r="K718" s="2">
        <v>2816</v>
      </c>
      <c r="L718" s="2">
        <v>1</v>
      </c>
      <c r="M718" s="2"/>
      <c r="N718" s="8">
        <v>42382.636273148149</v>
      </c>
      <c r="O718" s="4" t="s">
        <v>16</v>
      </c>
      <c r="P718" s="3"/>
      <c r="Q718" s="4"/>
      <c r="R718" s="4"/>
      <c r="S718" s="9" t="str">
        <f>HYPERLINK("https://pbs.twimg.com/profile_images/978425240656244736/KmI8VEoI.jpg","View")</f>
        <v>View</v>
      </c>
    </row>
    <row r="719" spans="1:19" ht="40">
      <c r="A719" s="8">
        <v>43369.459872685184</v>
      </c>
      <c r="B719" s="11" t="str">
        <f>HYPERLINK("https://twitter.com/Abraham_khasteh","@Abraham_khasteh")</f>
        <v>@Abraham_khasteh</v>
      </c>
      <c r="C719" s="6" t="s">
        <v>1880</v>
      </c>
      <c r="D719" s="5" t="s">
        <v>1473</v>
      </c>
      <c r="E719" s="9" t="str">
        <f>HYPERLINK("https://twitter.com/Abraham_khasteh/status/1044852122251132935","1044852122251132935")</f>
        <v>1044852122251132935</v>
      </c>
      <c r="F719" s="4"/>
      <c r="G719" s="4"/>
      <c r="H719" s="4"/>
      <c r="I719" s="10" t="str">
        <f>HYPERLINK("http://twitter.com/download/android","Twitter for Android")</f>
        <v>Twitter for Android</v>
      </c>
      <c r="J719" s="2">
        <v>881</v>
      </c>
      <c r="K719" s="2">
        <v>1146</v>
      </c>
      <c r="L719" s="2">
        <v>0</v>
      </c>
      <c r="M719" s="2"/>
      <c r="N719" s="8">
        <v>43274.942685185189</v>
      </c>
      <c r="O719" s="4" t="s">
        <v>1879</v>
      </c>
      <c r="P719" s="3" t="s">
        <v>1878</v>
      </c>
      <c r="Q719" s="4"/>
      <c r="R719" s="4"/>
      <c r="S719" s="9" t="str">
        <f>HYPERLINK("https://pbs.twimg.com/profile_images/1042671919806537728/4kRTUYno.jpg","View")</f>
        <v>View</v>
      </c>
    </row>
    <row r="720" spans="1:19" ht="12.5">
      <c r="A720" s="8">
        <v>43369.459351851852</v>
      </c>
      <c r="B720" s="11" t="str">
        <f>HYPERLINK("https://twitter.com/AliDaayi","@AliDaayi")</f>
        <v>@AliDaayi</v>
      </c>
      <c r="C720" s="6" t="s">
        <v>1877</v>
      </c>
      <c r="D720" s="5" t="s">
        <v>1876</v>
      </c>
      <c r="E720" s="9" t="str">
        <f>HYPERLINK("https://twitter.com/AliDaayi/status/1044851933557792768","1044851933557792768")</f>
        <v>1044851933557792768</v>
      </c>
      <c r="F720" s="4"/>
      <c r="G720" s="10" t="s">
        <v>1875</v>
      </c>
      <c r="H720" s="4"/>
      <c r="I720" s="10" t="str">
        <f>HYPERLINK("http://twitter.com/download/android","Twitter for Android")</f>
        <v>Twitter for Android</v>
      </c>
      <c r="J720" s="2">
        <v>11</v>
      </c>
      <c r="K720" s="2">
        <v>52</v>
      </c>
      <c r="L720" s="2">
        <v>0</v>
      </c>
      <c r="M720" s="2"/>
      <c r="N720" s="8">
        <v>43368.643946759257</v>
      </c>
      <c r="O720" s="4" t="s">
        <v>1874</v>
      </c>
      <c r="P720" s="3" t="s">
        <v>1873</v>
      </c>
      <c r="Q720" s="4"/>
      <c r="R720" s="4"/>
      <c r="S720" s="9" t="str">
        <f>HYPERLINK("https://pbs.twimg.com/profile_images/1044565162685075459/uIcaDxJ-.jpg","View")</f>
        <v>View</v>
      </c>
    </row>
    <row r="721" spans="1:19" ht="30">
      <c r="A721" s="8">
        <v>43369.459120370375</v>
      </c>
      <c r="B721" s="11" t="str">
        <f>HYPERLINK("https://twitter.com/cheshsefid2","@cheshsefid2")</f>
        <v>@cheshsefid2</v>
      </c>
      <c r="C721" s="6" t="s">
        <v>1872</v>
      </c>
      <c r="D721" s="5" t="s">
        <v>1820</v>
      </c>
      <c r="E721" s="9" t="str">
        <f>HYPERLINK("https://twitter.com/cheshsefid2/status/1044851853664686082","1044851853664686082")</f>
        <v>1044851853664686082</v>
      </c>
      <c r="F721" s="4"/>
      <c r="G721" s="4"/>
      <c r="H721" s="4"/>
      <c r="I721" s="10" t="str">
        <f>HYPERLINK("http://twitter.com/download/iphone","Twitter for iPhone")</f>
        <v>Twitter for iPhone</v>
      </c>
      <c r="J721" s="2">
        <v>318</v>
      </c>
      <c r="K721" s="2">
        <v>541</v>
      </c>
      <c r="L721" s="2">
        <v>0</v>
      </c>
      <c r="M721" s="2"/>
      <c r="N721" s="8">
        <v>42216.93913194444</v>
      </c>
      <c r="O721" s="4" t="s">
        <v>1871</v>
      </c>
      <c r="P721" s="3" t="s">
        <v>1870</v>
      </c>
      <c r="Q721" s="4"/>
      <c r="R721" s="4"/>
      <c r="S721" s="9" t="str">
        <f>HYPERLINK("https://pbs.twimg.com/profile_images/1034507762863099904/xMtBc8gV.jpg","View")</f>
        <v>View</v>
      </c>
    </row>
    <row r="722" spans="1:19" ht="30">
      <c r="A722" s="8">
        <v>43369.45893518519</v>
      </c>
      <c r="B722" s="11" t="str">
        <f>HYPERLINK("https://twitter.com/standing731","@standing731")</f>
        <v>@standing731</v>
      </c>
      <c r="C722" s="6" t="s">
        <v>1808</v>
      </c>
      <c r="D722" s="5" t="s">
        <v>1820</v>
      </c>
      <c r="E722" s="9" t="str">
        <f>HYPERLINK("https://twitter.com/standing731/status/1044851784664174592","1044851784664174592")</f>
        <v>1044851784664174592</v>
      </c>
      <c r="F722" s="4"/>
      <c r="G722" s="4"/>
      <c r="H722" s="4"/>
      <c r="I722" s="10" t="str">
        <f>HYPERLINK("https://mobile.twitter.com","Twitter Lite")</f>
        <v>Twitter Lite</v>
      </c>
      <c r="J722" s="2">
        <v>210</v>
      </c>
      <c r="K722" s="2">
        <v>299</v>
      </c>
      <c r="L722" s="2">
        <v>0</v>
      </c>
      <c r="M722" s="2"/>
      <c r="N722" s="8">
        <v>43261.255208333328</v>
      </c>
      <c r="O722" s="4" t="s">
        <v>295</v>
      </c>
      <c r="P722" s="3" t="s">
        <v>1807</v>
      </c>
      <c r="Q722" s="4"/>
      <c r="R722" s="4"/>
      <c r="S722" s="9" t="str">
        <f>HYPERLINK("https://pbs.twimg.com/profile_images/1005646877684109312/C88YQzv5.jpg","View")</f>
        <v>View</v>
      </c>
    </row>
    <row r="723" spans="1:19" ht="30">
      <c r="A723" s="8">
        <v>43369.458900462967</v>
      </c>
      <c r="B723" s="11" t="str">
        <f>HYPERLINK("https://twitter.com/Uncle_Johnnyy","@Uncle_Johnnyy")</f>
        <v>@Uncle_Johnnyy</v>
      </c>
      <c r="C723" s="6" t="s">
        <v>1869</v>
      </c>
      <c r="D723" s="5" t="s">
        <v>1820</v>
      </c>
      <c r="E723" s="9" t="str">
        <f>HYPERLINK("https://twitter.com/Uncle_Johnnyy/status/1044851772618166272","1044851772618166272")</f>
        <v>1044851772618166272</v>
      </c>
      <c r="F723" s="4"/>
      <c r="G723" s="4"/>
      <c r="H723" s="4"/>
      <c r="I723" s="10" t="str">
        <f>HYPERLINK("http://twitter.com/download/android","Twitter for Android")</f>
        <v>Twitter for Android</v>
      </c>
      <c r="J723" s="2">
        <v>555</v>
      </c>
      <c r="K723" s="2">
        <v>332</v>
      </c>
      <c r="L723" s="2">
        <v>1</v>
      </c>
      <c r="M723" s="2"/>
      <c r="N723" s="8">
        <v>43129.758796296301</v>
      </c>
      <c r="O723" s="4" t="s">
        <v>1868</v>
      </c>
      <c r="P723" s="3" t="s">
        <v>1867</v>
      </c>
      <c r="Q723" s="10" t="s">
        <v>1866</v>
      </c>
      <c r="R723" s="4"/>
      <c r="S723" s="9" t="str">
        <f>HYPERLINK("https://pbs.twimg.com/profile_images/1044848841957281792/Iaavoe8o.jpg","View")</f>
        <v>View</v>
      </c>
    </row>
    <row r="724" spans="1:19" ht="40">
      <c r="A724" s="8">
        <v>43369.458344907413</v>
      </c>
      <c r="B724" s="11" t="str">
        <f>HYPERLINK("https://twitter.com/mohamadkamal97","@mohamadkamal97")</f>
        <v>@mohamadkamal97</v>
      </c>
      <c r="C724" s="6" t="s">
        <v>1747</v>
      </c>
      <c r="D724" s="5" t="s">
        <v>58</v>
      </c>
      <c r="E724" s="9" t="str">
        <f>HYPERLINK("https://twitter.com/mohamadkamal97/status/1044851570259693568","1044851570259693568")</f>
        <v>1044851570259693568</v>
      </c>
      <c r="F724" s="4"/>
      <c r="G724" s="10" t="s">
        <v>57</v>
      </c>
      <c r="H724" s="4"/>
      <c r="I724" s="10" t="str">
        <f>HYPERLINK("http://twitter.com","Twitter Web Client")</f>
        <v>Twitter Web Client</v>
      </c>
      <c r="J724" s="2">
        <v>154</v>
      </c>
      <c r="K724" s="2">
        <v>208</v>
      </c>
      <c r="L724" s="2">
        <v>0</v>
      </c>
      <c r="M724" s="2"/>
      <c r="N724" s="8">
        <v>43273.63145833333</v>
      </c>
      <c r="O724" s="4"/>
      <c r="P724" s="3"/>
      <c r="Q724" s="4"/>
      <c r="R724" s="4"/>
      <c r="S724" s="9" t="str">
        <f>HYPERLINK("https://pbs.twimg.com/profile_images/1014889029651886080/L6BfPsyo.jpg","View")</f>
        <v>View</v>
      </c>
    </row>
    <row r="725" spans="1:19" ht="30">
      <c r="A725" s="8">
        <v>43369.458078703705</v>
      </c>
      <c r="B725" s="11" t="str">
        <f>HYPERLINK("https://twitter.com/Nariman45123643","@Nariman45123643")</f>
        <v>@Nariman45123643</v>
      </c>
      <c r="C725" s="6" t="s">
        <v>1865</v>
      </c>
      <c r="D725" s="5" t="s">
        <v>1820</v>
      </c>
      <c r="E725" s="9" t="str">
        <f>HYPERLINK("https://twitter.com/Nariman45123643/status/1044851475711709184","1044851475711709184")</f>
        <v>1044851475711709184</v>
      </c>
      <c r="F725" s="4"/>
      <c r="G725" s="4"/>
      <c r="H725" s="4"/>
      <c r="I725" s="10" t="str">
        <f>HYPERLINK("http://twitter.com/download/iphone","Twitter for iPhone")</f>
        <v>Twitter for iPhone</v>
      </c>
      <c r="J725" s="2">
        <v>485</v>
      </c>
      <c r="K725" s="2">
        <v>781</v>
      </c>
      <c r="L725" s="2">
        <v>0</v>
      </c>
      <c r="M725" s="2"/>
      <c r="N725" s="8">
        <v>43302.114421296297</v>
      </c>
      <c r="O725" s="4" t="s">
        <v>1864</v>
      </c>
      <c r="P725" s="3" t="s">
        <v>39</v>
      </c>
      <c r="Q725" s="4"/>
      <c r="R725" s="4"/>
      <c r="S725" s="9" t="str">
        <f>HYPERLINK("https://pbs.twimg.com/profile_images/1028567840113258496/0zXdPh_V.jpg","View")</f>
        <v>View</v>
      </c>
    </row>
    <row r="726" spans="1:19" ht="30">
      <c r="A726" s="8">
        <v>43369.457812499997</v>
      </c>
      <c r="B726" s="11" t="str">
        <f>HYPERLINK("https://twitter.com/Tabiaat2","@Tabiaat2")</f>
        <v>@Tabiaat2</v>
      </c>
      <c r="C726" s="6" t="s">
        <v>1863</v>
      </c>
      <c r="D726" s="5" t="s">
        <v>49</v>
      </c>
      <c r="E726" s="9" t="str">
        <f>HYPERLINK("https://twitter.com/Tabiaat2/status/1044851378009591811","1044851378009591811")</f>
        <v>1044851378009591811</v>
      </c>
      <c r="F726" s="4"/>
      <c r="G726" s="4"/>
      <c r="H726" s="4"/>
      <c r="I726" s="10" t="str">
        <f>HYPERLINK("http://twitter.com/download/android","Twitter for Android")</f>
        <v>Twitter for Android</v>
      </c>
      <c r="J726" s="2">
        <v>272</v>
      </c>
      <c r="K726" s="2">
        <v>272</v>
      </c>
      <c r="L726" s="2">
        <v>1</v>
      </c>
      <c r="M726" s="2"/>
      <c r="N726" s="8">
        <v>43089.834629629629</v>
      </c>
      <c r="O726" s="4"/>
      <c r="P726" s="3" t="s">
        <v>1862</v>
      </c>
      <c r="Q726" s="4"/>
      <c r="R726" s="4"/>
      <c r="S726" s="9" t="str">
        <f>HYPERLINK("https://pbs.twimg.com/profile_images/1035820254855942144/vRo_JG5V.jpg","View")</f>
        <v>View</v>
      </c>
    </row>
    <row r="727" spans="1:19" ht="50">
      <c r="A727" s="8">
        <v>43369.457696759258</v>
      </c>
      <c r="B727" s="11" t="str">
        <f>HYPERLINK("https://twitter.com/DawoodMoradi4","@DawoodMoradi4")</f>
        <v>@DawoodMoradi4</v>
      </c>
      <c r="C727" s="6" t="s">
        <v>1861</v>
      </c>
      <c r="D727" s="5" t="s">
        <v>109</v>
      </c>
      <c r="E727" s="9" t="str">
        <f>HYPERLINK("https://twitter.com/DawoodMoradi4/status/1044851336163074049","1044851336163074049")</f>
        <v>1044851336163074049</v>
      </c>
      <c r="F727" s="4"/>
      <c r="G727" s="4"/>
      <c r="H727" s="4"/>
      <c r="I727" s="10" t="str">
        <f>HYPERLINK("http://twitter.com/download/iphone","Twitter for iPhone")</f>
        <v>Twitter for iPhone</v>
      </c>
      <c r="J727" s="2">
        <v>189</v>
      </c>
      <c r="K727" s="2">
        <v>233</v>
      </c>
      <c r="L727" s="2">
        <v>0</v>
      </c>
      <c r="M727" s="2"/>
      <c r="N727" s="8">
        <v>43253.589270833334</v>
      </c>
      <c r="O727" s="4" t="s">
        <v>1860</v>
      </c>
      <c r="P727" s="3"/>
      <c r="Q727" s="4"/>
      <c r="R727" s="4"/>
      <c r="S727" s="9" t="str">
        <f>HYPERLINK("https://pbs.twimg.com/profile_images/1012811611378241537/tnCGKlcI.jpg","View")</f>
        <v>View</v>
      </c>
    </row>
    <row r="728" spans="1:19" ht="40">
      <c r="A728" s="8">
        <v>43369.457534722227</v>
      </c>
      <c r="B728" s="11" t="str">
        <f>HYPERLINK("https://twitter.com/H0ZEIN","@H0ZEIN")</f>
        <v>@H0ZEIN</v>
      </c>
      <c r="C728" s="6" t="s">
        <v>1859</v>
      </c>
      <c r="D728" s="5" t="s">
        <v>1556</v>
      </c>
      <c r="E728" s="9" t="str">
        <f>HYPERLINK("https://twitter.com/H0ZEIN/status/1044851276322942976","1044851276322942976")</f>
        <v>1044851276322942976</v>
      </c>
      <c r="F728" s="4"/>
      <c r="G728" s="4"/>
      <c r="H728" s="4"/>
      <c r="I728" s="10" t="str">
        <f>HYPERLINK("http://twitter.com","Twitter Web Client")</f>
        <v>Twitter Web Client</v>
      </c>
      <c r="J728" s="2">
        <v>3509</v>
      </c>
      <c r="K728" s="2">
        <v>517</v>
      </c>
      <c r="L728" s="2">
        <v>33</v>
      </c>
      <c r="M728" s="2"/>
      <c r="N728" s="8">
        <v>41238.780624999999</v>
      </c>
      <c r="O728" s="4" t="s">
        <v>1858</v>
      </c>
      <c r="P728" s="3" t="s">
        <v>1857</v>
      </c>
      <c r="Q728" s="4"/>
      <c r="R728" s="4"/>
      <c r="S728" s="9" t="str">
        <f>HYPERLINK("https://pbs.twimg.com/profile_images/1042510080049143808/Hf597Zvo.jpg","View")</f>
        <v>View</v>
      </c>
    </row>
    <row r="729" spans="1:19" ht="40">
      <c r="A729" s="8">
        <v>43369.457488425927</v>
      </c>
      <c r="B729" s="11" t="str">
        <f>HYPERLINK("https://twitter.com/everydayamir","@everydayamir")</f>
        <v>@everydayamir</v>
      </c>
      <c r="C729" s="6" t="s">
        <v>1856</v>
      </c>
      <c r="D729" s="5" t="s">
        <v>1556</v>
      </c>
      <c r="E729" s="9" t="str">
        <f>HYPERLINK("https://twitter.com/everydayamir/status/1044851260464205824","1044851260464205824")</f>
        <v>1044851260464205824</v>
      </c>
      <c r="F729" s="4"/>
      <c r="G729" s="4"/>
      <c r="H729" s="4"/>
      <c r="I729" s="10" t="str">
        <f>HYPERLINK("http://twitter.com/download/android","Twitter for Android")</f>
        <v>Twitter for Android</v>
      </c>
      <c r="J729" s="2">
        <v>353</v>
      </c>
      <c r="K729" s="2">
        <v>312</v>
      </c>
      <c r="L729" s="2">
        <v>2</v>
      </c>
      <c r="M729" s="2"/>
      <c r="N729" s="8">
        <v>42506.374502314815</v>
      </c>
      <c r="O729" s="4" t="s">
        <v>1855</v>
      </c>
      <c r="P729" s="3" t="s">
        <v>1854</v>
      </c>
      <c r="Q729" s="4"/>
      <c r="R729" s="4"/>
      <c r="S729" s="9" t="str">
        <f>HYPERLINK("https://pbs.twimg.com/profile_images/1043414379843211264/83H2Z1gO.jpg","View")</f>
        <v>View</v>
      </c>
    </row>
    <row r="730" spans="1:19" ht="40">
      <c r="A730" s="8">
        <v>43369.457442129627</v>
      </c>
      <c r="B730" s="11" t="str">
        <f>HYPERLINK("https://twitter.com/HadiAghel","@HadiAghel")</f>
        <v>@HadiAghel</v>
      </c>
      <c r="C730" s="6" t="s">
        <v>1853</v>
      </c>
      <c r="D730" s="5" t="s">
        <v>58</v>
      </c>
      <c r="E730" s="9" t="str">
        <f>HYPERLINK("https://twitter.com/HadiAghel/status/1044851245075374081","1044851245075374081")</f>
        <v>1044851245075374081</v>
      </c>
      <c r="F730" s="4"/>
      <c r="G730" s="10" t="s">
        <v>57</v>
      </c>
      <c r="H730" s="4"/>
      <c r="I730" s="10" t="str">
        <f>HYPERLINK("http://twitter.com","Twitter Web Client")</f>
        <v>Twitter Web Client</v>
      </c>
      <c r="J730" s="2">
        <v>290</v>
      </c>
      <c r="K730" s="2">
        <v>451</v>
      </c>
      <c r="L730" s="2">
        <v>55</v>
      </c>
      <c r="M730" s="2"/>
      <c r="N730" s="8">
        <v>41824.725706018522</v>
      </c>
      <c r="O730" s="4" t="s">
        <v>1852</v>
      </c>
      <c r="P730" s="3"/>
      <c r="Q730" s="4"/>
      <c r="R730" s="4"/>
      <c r="S730" s="9" t="str">
        <f>HYPERLINK("https://pbs.twimg.com/profile_images/781918134735347712/58VrSxnL.jpg","View")</f>
        <v>View</v>
      </c>
    </row>
    <row r="731" spans="1:19" ht="30">
      <c r="A731" s="8">
        <v>43369.457337962958</v>
      </c>
      <c r="B731" s="11" t="str">
        <f>HYPERLINK("https://twitter.com/pap48661206","@pap48661206")</f>
        <v>@pap48661206</v>
      </c>
      <c r="C731" s="6" t="s">
        <v>1851</v>
      </c>
      <c r="D731" s="5" t="s">
        <v>1820</v>
      </c>
      <c r="E731" s="9" t="str">
        <f>HYPERLINK("https://twitter.com/pap48661206/status/1044851205451730944","1044851205451730944")</f>
        <v>1044851205451730944</v>
      </c>
      <c r="F731" s="4"/>
      <c r="G731" s="4"/>
      <c r="H731" s="4"/>
      <c r="I731" s="10" t="str">
        <f>HYPERLINK("http://twitter.com/download/android","Twitter for Android")</f>
        <v>Twitter for Android</v>
      </c>
      <c r="J731" s="2">
        <v>387</v>
      </c>
      <c r="K731" s="2">
        <v>431</v>
      </c>
      <c r="L731" s="2">
        <v>1</v>
      </c>
      <c r="M731" s="2"/>
      <c r="N731" s="8">
        <v>43283.986250000002</v>
      </c>
      <c r="O731" s="4"/>
      <c r="P731" s="3" t="s">
        <v>1850</v>
      </c>
      <c r="Q731" s="4"/>
      <c r="R731" s="4"/>
      <c r="S731" s="9" t="str">
        <f>HYPERLINK("https://pbs.twimg.com/profile_images/1013864812831494144/gKEan4jC.jpg","View")</f>
        <v>View</v>
      </c>
    </row>
    <row r="732" spans="1:19" ht="40">
      <c r="A732" s="8">
        <v>43369.457233796296</v>
      </c>
      <c r="B732" s="11" t="str">
        <f>HYPERLINK("https://twitter.com/apooyanm","@apooyanm")</f>
        <v>@apooyanm</v>
      </c>
      <c r="C732" s="6" t="s">
        <v>1849</v>
      </c>
      <c r="D732" s="5" t="s">
        <v>1848</v>
      </c>
      <c r="E732" s="9" t="str">
        <f>HYPERLINK("https://twitter.com/apooyanm/status/1044851167900110850","1044851167900110850")</f>
        <v>1044851167900110850</v>
      </c>
      <c r="F732" s="4"/>
      <c r="G732" s="4"/>
      <c r="H732" s="4"/>
      <c r="I732" s="10" t="str">
        <f>HYPERLINK("http://twitter.com/download/android","Twitter for Android")</f>
        <v>Twitter for Android</v>
      </c>
      <c r="J732" s="2">
        <v>149</v>
      </c>
      <c r="K732" s="2">
        <v>93</v>
      </c>
      <c r="L732" s="2">
        <v>1</v>
      </c>
      <c r="M732" s="2"/>
      <c r="N732" s="8">
        <v>42368.919305555552</v>
      </c>
      <c r="O732" s="4" t="s">
        <v>1847</v>
      </c>
      <c r="P732" s="3" t="s">
        <v>1846</v>
      </c>
      <c r="Q732" s="10" t="s">
        <v>1845</v>
      </c>
      <c r="R732" s="4"/>
      <c r="S732" s="9" t="str">
        <f>HYPERLINK("https://pbs.twimg.com/profile_images/682269018699513856/K-jsrO8_.jpg","View")</f>
        <v>View</v>
      </c>
    </row>
    <row r="733" spans="1:19" ht="40">
      <c r="A733" s="8">
        <v>43369.457199074073</v>
      </c>
      <c r="B733" s="11" t="str">
        <f>HYPERLINK("https://twitter.com/Bita_hastam","@Bita_hastam")</f>
        <v>@Bita_hastam</v>
      </c>
      <c r="C733" s="6" t="s">
        <v>1844</v>
      </c>
      <c r="D733" s="5" t="s">
        <v>1556</v>
      </c>
      <c r="E733" s="9" t="str">
        <f>HYPERLINK("https://twitter.com/Bita_hastam/status/1044851156965576705","1044851156965576705")</f>
        <v>1044851156965576705</v>
      </c>
      <c r="F733" s="4"/>
      <c r="G733" s="4"/>
      <c r="H733" s="4"/>
      <c r="I733" s="10" t="str">
        <f>HYPERLINK("http://twitter.com/download/android","Twitter for Android")</f>
        <v>Twitter for Android</v>
      </c>
      <c r="J733" s="2">
        <v>145</v>
      </c>
      <c r="K733" s="2">
        <v>150</v>
      </c>
      <c r="L733" s="2">
        <v>0</v>
      </c>
      <c r="M733" s="2"/>
      <c r="N733" s="8">
        <v>43198.988298611112</v>
      </c>
      <c r="O733" s="4"/>
      <c r="P733" s="3"/>
      <c r="Q733" s="4"/>
      <c r="R733" s="4"/>
      <c r="S733" s="9" t="str">
        <f>HYPERLINK("https://pbs.twimg.com/profile_images/1030858982066466816/vebayGVm.jpg","View")</f>
        <v>View</v>
      </c>
    </row>
    <row r="734" spans="1:19" ht="40">
      <c r="A734" s="8">
        <v>43369.456064814818</v>
      </c>
      <c r="B734" s="11" t="str">
        <f>HYPERLINK("https://twitter.com/2daysEducation","@2daysEducation")</f>
        <v>@2daysEducation</v>
      </c>
      <c r="C734" s="6" t="s">
        <v>1843</v>
      </c>
      <c r="D734" s="5" t="s">
        <v>209</v>
      </c>
      <c r="E734" s="9" t="str">
        <f>HYPERLINK("https://twitter.com/2daysEducation/status/1044850743658844160","1044850743658844160")</f>
        <v>1044850743658844160</v>
      </c>
      <c r="F734" s="4"/>
      <c r="G734" s="10" t="s">
        <v>208</v>
      </c>
      <c r="H734" s="4"/>
      <c r="I734" s="10" t="str">
        <f>HYPERLINK("http://twitter.com/download/android","Twitter for Android")</f>
        <v>Twitter for Android</v>
      </c>
      <c r="J734" s="2">
        <v>81</v>
      </c>
      <c r="K734" s="2">
        <v>366</v>
      </c>
      <c r="L734" s="2">
        <v>13</v>
      </c>
      <c r="M734" s="2"/>
      <c r="N734" s="8">
        <v>40069.440601851849</v>
      </c>
      <c r="O734" s="4" t="s">
        <v>1842</v>
      </c>
      <c r="P734" s="3" t="s">
        <v>1841</v>
      </c>
      <c r="Q734" s="4"/>
      <c r="R734" s="4"/>
      <c r="S734" s="9" t="str">
        <f>HYPERLINK("https://pbs.twimg.com/profile_images/969027559429062656/tzldKmUy.jpg","View")</f>
        <v>View</v>
      </c>
    </row>
    <row r="735" spans="1:19" ht="30">
      <c r="A735" s="8">
        <v>43369.455717592587</v>
      </c>
      <c r="B735" s="11" t="str">
        <f>HYPERLINK("https://twitter.com/amingoodarzi4","@amingoodarzi4")</f>
        <v>@amingoodarzi4</v>
      </c>
      <c r="C735" s="6" t="s">
        <v>1840</v>
      </c>
      <c r="D735" s="5" t="s">
        <v>1071</v>
      </c>
      <c r="E735" s="9" t="str">
        <f>HYPERLINK("https://twitter.com/amingoodarzi4/status/1044850620233117696","1044850620233117696")</f>
        <v>1044850620233117696</v>
      </c>
      <c r="F735" s="4"/>
      <c r="G735" s="4"/>
      <c r="H735" s="4"/>
      <c r="I735" s="10" t="str">
        <f>HYPERLINK("http://twitter.com/download/android","Twitter for Android")</f>
        <v>Twitter for Android</v>
      </c>
      <c r="J735" s="2">
        <v>37</v>
      </c>
      <c r="K735" s="2">
        <v>53</v>
      </c>
      <c r="L735" s="2">
        <v>0</v>
      </c>
      <c r="M735" s="2"/>
      <c r="N735" s="8">
        <v>42530.760462962964</v>
      </c>
      <c r="O735" s="4" t="s">
        <v>1</v>
      </c>
      <c r="P735" s="3" t="s">
        <v>1839</v>
      </c>
      <c r="Q735" s="4"/>
      <c r="R735" s="4"/>
      <c r="S735" s="2" t="s">
        <v>21</v>
      </c>
    </row>
    <row r="736" spans="1:19" ht="30">
      <c r="A736" s="8">
        <v>43369.45512731481</v>
      </c>
      <c r="B736" s="11" t="str">
        <f>HYPERLINK("https://twitter.com/asheykhfazleh","@asheykhfazleh")</f>
        <v>@asheykhfazleh</v>
      </c>
      <c r="C736" s="6" t="s">
        <v>1838</v>
      </c>
      <c r="D736" s="5" t="s">
        <v>1820</v>
      </c>
      <c r="E736" s="9" t="str">
        <f>HYPERLINK("https://twitter.com/asheykhfazleh/status/1044850404343844864","1044850404343844864")</f>
        <v>1044850404343844864</v>
      </c>
      <c r="F736" s="4"/>
      <c r="G736" s="4"/>
      <c r="H736" s="4"/>
      <c r="I736" s="10" t="str">
        <f>HYPERLINK("http://twitter.com/download/android","Twitter for Android")</f>
        <v>Twitter for Android</v>
      </c>
      <c r="J736" s="2">
        <v>601</v>
      </c>
      <c r="K736" s="2">
        <v>746</v>
      </c>
      <c r="L736" s="2">
        <v>0</v>
      </c>
      <c r="M736" s="2"/>
      <c r="N736" s="8">
        <v>43140.000717592593</v>
      </c>
      <c r="O736" s="4" t="s">
        <v>48</v>
      </c>
      <c r="P736" s="3" t="s">
        <v>1837</v>
      </c>
      <c r="Q736" s="4"/>
      <c r="R736" s="4"/>
      <c r="S736" s="9" t="str">
        <f>HYPERLINK("https://pbs.twimg.com/profile_images/1012757227319504898/oU99WScJ.jpg","View")</f>
        <v>View</v>
      </c>
    </row>
    <row r="737" spans="1:19" ht="40">
      <c r="A737" s="8">
        <v>43369.454398148147</v>
      </c>
      <c r="B737" s="11" t="str">
        <f>HYPERLINK("https://twitter.com/Gamma_Equations","@Gamma_Equations")</f>
        <v>@Gamma_Equations</v>
      </c>
      <c r="C737" s="6" t="s">
        <v>1836</v>
      </c>
      <c r="D737" s="5" t="s">
        <v>128</v>
      </c>
      <c r="E737" s="9" t="str">
        <f>HYPERLINK("https://twitter.com/Gamma_Equations/status/1044850139897221120","1044850139897221120")</f>
        <v>1044850139897221120</v>
      </c>
      <c r="F737" s="4"/>
      <c r="G737" s="4"/>
      <c r="H737" s="4"/>
      <c r="I737" s="10" t="str">
        <f>HYPERLINK("http://twitter.com/download/iphone","Twitter for iPhone")</f>
        <v>Twitter for iPhone</v>
      </c>
      <c r="J737" s="2">
        <v>1160</v>
      </c>
      <c r="K737" s="2">
        <v>4904</v>
      </c>
      <c r="L737" s="2">
        <v>5</v>
      </c>
      <c r="M737" s="2"/>
      <c r="N737" s="8">
        <v>40707.997291666667</v>
      </c>
      <c r="O737" s="4" t="s">
        <v>1835</v>
      </c>
      <c r="P737" s="3" t="s">
        <v>1834</v>
      </c>
      <c r="Q737" s="4"/>
      <c r="R737" s="4"/>
      <c r="S737" s="9" t="str">
        <f>HYPERLINK("https://pbs.twimg.com/profile_images/378800000793950808/4fa711043deedb18945be3a2e6bb3297.jpeg","View")</f>
        <v>View</v>
      </c>
    </row>
    <row r="738" spans="1:19" ht="20">
      <c r="A738" s="8">
        <v>43369.454328703709</v>
      </c>
      <c r="B738" s="11" t="str">
        <f>HYPERLINK("https://twitter.com/habbe_angooor","@habbe_angooor")</f>
        <v>@habbe_angooor</v>
      </c>
      <c r="C738" s="6" t="s">
        <v>1833</v>
      </c>
      <c r="D738" s="5" t="s">
        <v>736</v>
      </c>
      <c r="E738" s="9" t="str">
        <f>HYPERLINK("https://twitter.com/habbe_angooor/status/1044850114345480192","1044850114345480192")</f>
        <v>1044850114345480192</v>
      </c>
      <c r="F738" s="4"/>
      <c r="G738" s="10" t="s">
        <v>732</v>
      </c>
      <c r="H738" s="4"/>
      <c r="I738" s="10" t="str">
        <f>HYPERLINK("http://twitter.com/download/android","Twitter for Android")</f>
        <v>Twitter for Android</v>
      </c>
      <c r="J738" s="2">
        <v>641</v>
      </c>
      <c r="K738" s="2">
        <v>508</v>
      </c>
      <c r="L738" s="2">
        <v>1</v>
      </c>
      <c r="M738" s="2"/>
      <c r="N738" s="8">
        <v>43282.553703703699</v>
      </c>
      <c r="O738" s="4"/>
      <c r="P738" s="3" t="s">
        <v>1832</v>
      </c>
      <c r="Q738" s="4"/>
      <c r="R738" s="4"/>
      <c r="S738" s="9" t="str">
        <f>HYPERLINK("https://pbs.twimg.com/profile_images/1020234705889681410/jRt9DADi.jpg","View")</f>
        <v>View</v>
      </c>
    </row>
    <row r="739" spans="1:19" ht="30">
      <c r="A739" s="8">
        <v>43369.454097222224</v>
      </c>
      <c r="B739" s="11" t="str">
        <f>HYPERLINK("https://twitter.com/Babilon431","@Babilon431")</f>
        <v>@Babilon431</v>
      </c>
      <c r="C739" s="6" t="s">
        <v>1831</v>
      </c>
      <c r="D739" s="5" t="s">
        <v>49</v>
      </c>
      <c r="E739" s="9" t="str">
        <f>HYPERLINK("https://twitter.com/Babilon431/status/1044850030748856321","1044850030748856321")</f>
        <v>1044850030748856321</v>
      </c>
      <c r="F739" s="4"/>
      <c r="G739" s="4"/>
      <c r="H739" s="4"/>
      <c r="I739" s="10" t="str">
        <f>HYPERLINK("http://twitter.com/download/iphone","Twitter for iPhone")</f>
        <v>Twitter for iPhone</v>
      </c>
      <c r="J739" s="2">
        <v>564</v>
      </c>
      <c r="K739" s="2">
        <v>2577</v>
      </c>
      <c r="L739" s="2">
        <v>0</v>
      </c>
      <c r="M739" s="2"/>
      <c r="N739" s="8">
        <v>42471.8127662037</v>
      </c>
      <c r="O739" s="4"/>
      <c r="P739" s="3" t="s">
        <v>1830</v>
      </c>
      <c r="Q739" s="4"/>
      <c r="R739" s="4"/>
      <c r="S739" s="9" t="str">
        <f>HYPERLINK("https://pbs.twimg.com/profile_images/1041374028685103104/3tVQaz9-.jpg","View")</f>
        <v>View</v>
      </c>
    </row>
    <row r="740" spans="1:19" ht="30">
      <c r="A740" s="8">
        <v>43369.454016203701</v>
      </c>
      <c r="B740" s="11" t="str">
        <f>HYPERLINK("https://twitter.com/YasinRasafee","@YasinRasafee")</f>
        <v>@YasinRasafee</v>
      </c>
      <c r="C740" s="6" t="s">
        <v>1829</v>
      </c>
      <c r="D740" s="5" t="s">
        <v>1828</v>
      </c>
      <c r="E740" s="9" t="str">
        <f>HYPERLINK("https://twitter.com/YasinRasafee/status/1044850000226910208","1044850000226910208")</f>
        <v>1044850000226910208</v>
      </c>
      <c r="F740" s="4"/>
      <c r="G740" s="4"/>
      <c r="H740" s="4"/>
      <c r="I740" s="10" t="str">
        <f>HYPERLINK("http://twitter.com/download/android","Twitter for Android")</f>
        <v>Twitter for Android</v>
      </c>
      <c r="J740" s="2">
        <v>16</v>
      </c>
      <c r="K740" s="2">
        <v>14</v>
      </c>
      <c r="L740" s="2">
        <v>0</v>
      </c>
      <c r="M740" s="2"/>
      <c r="N740" s="8">
        <v>43265.606747685189</v>
      </c>
      <c r="O740" s="4"/>
      <c r="P740" s="3" t="s">
        <v>1827</v>
      </c>
      <c r="Q740" s="4"/>
      <c r="R740" s="4"/>
      <c r="S740" s="9" t="str">
        <f>HYPERLINK("https://pbs.twimg.com/profile_images/1043693001577562112/pYEaHNhG.jpg","View")</f>
        <v>View</v>
      </c>
    </row>
    <row r="741" spans="1:19" ht="30">
      <c r="A741" s="8">
        <v>43369.453726851847</v>
      </c>
      <c r="B741" s="11" t="str">
        <f>HYPERLINK("https://twitter.com/57hostage","@57hostage")</f>
        <v>@57hostage</v>
      </c>
      <c r="C741" s="6" t="s">
        <v>1826</v>
      </c>
      <c r="D741" s="5" t="s">
        <v>1683</v>
      </c>
      <c r="E741" s="9" t="str">
        <f>HYPERLINK("https://twitter.com/57hostage/status/1044849895507660800","1044849895507660800")</f>
        <v>1044849895507660800</v>
      </c>
      <c r="F741" s="4"/>
      <c r="G741" s="10" t="s">
        <v>1658</v>
      </c>
      <c r="H741" s="4"/>
      <c r="I741" s="10" t="str">
        <f>HYPERLINK("http://twitter.com/download/android","Twitter for Android")</f>
        <v>Twitter for Android</v>
      </c>
      <c r="J741" s="2">
        <v>576</v>
      </c>
      <c r="K741" s="2">
        <v>816</v>
      </c>
      <c r="L741" s="2">
        <v>0</v>
      </c>
      <c r="M741" s="2"/>
      <c r="N741" s="8">
        <v>42678.704652777778</v>
      </c>
      <c r="O741" s="4" t="s">
        <v>1825</v>
      </c>
      <c r="P741" s="3" t="s">
        <v>1824</v>
      </c>
      <c r="Q741" s="4"/>
      <c r="R741" s="4"/>
      <c r="S741" s="9" t="str">
        <f>HYPERLINK("https://pbs.twimg.com/profile_images/1038364837657681920/oTTL-qHY.jpg","View")</f>
        <v>View</v>
      </c>
    </row>
    <row r="742" spans="1:19" ht="40">
      <c r="A742" s="8">
        <v>43369.453171296293</v>
      </c>
      <c r="B742" s="11" t="str">
        <f>HYPERLINK("https://twitter.com/zahrakeshvari","@zahrakeshvari")</f>
        <v>@zahrakeshvari</v>
      </c>
      <c r="C742" s="6" t="s">
        <v>1823</v>
      </c>
      <c r="D742" s="5" t="s">
        <v>128</v>
      </c>
      <c r="E742" s="9" t="str">
        <f>HYPERLINK("https://twitter.com/zahrakeshvari/status/1044849695145758720","1044849695145758720")</f>
        <v>1044849695145758720</v>
      </c>
      <c r="F742" s="4"/>
      <c r="G742" s="4"/>
      <c r="H742" s="4"/>
      <c r="I742" s="10" t="str">
        <f>HYPERLINK("http://twitter.com/download/android","Twitter for Android")</f>
        <v>Twitter for Android</v>
      </c>
      <c r="J742" s="2">
        <v>15046</v>
      </c>
      <c r="K742" s="2">
        <v>518</v>
      </c>
      <c r="L742" s="2">
        <v>110</v>
      </c>
      <c r="M742" s="2"/>
      <c r="N742" s="8">
        <v>39992.414594907408</v>
      </c>
      <c r="O742" s="4" t="s">
        <v>8</v>
      </c>
      <c r="P742" s="3" t="s">
        <v>1822</v>
      </c>
      <c r="Q742" s="10" t="s">
        <v>1821</v>
      </c>
      <c r="R742" s="4"/>
      <c r="S742" s="9" t="str">
        <f>HYPERLINK("https://pbs.twimg.com/profile_images/944322877746229261/HNIvFPZq.jpg","View")</f>
        <v>View</v>
      </c>
    </row>
    <row r="743" spans="1:19" ht="30">
      <c r="A743" s="8">
        <v>43369.452951388885</v>
      </c>
      <c r="B743" s="11" t="str">
        <f>HYPERLINK("https://twitter.com/barandazambot","@barandazambot")</f>
        <v>@barandazambot</v>
      </c>
      <c r="C743" s="6" t="s">
        <v>683</v>
      </c>
      <c r="D743" s="5" t="s">
        <v>1820</v>
      </c>
      <c r="E743" s="9" t="str">
        <f>HYPERLINK("https://twitter.com/barandazambot/status/1044849616489975808","1044849616489975808")</f>
        <v>1044849616489975808</v>
      </c>
      <c r="F743" s="4"/>
      <c r="G743" s="4"/>
      <c r="H743" s="4"/>
      <c r="I743" s="10" t="str">
        <f>HYPERLINK("http://127.0.0.1","barandazambot")</f>
        <v>barandazambot</v>
      </c>
      <c r="J743" s="2">
        <v>904</v>
      </c>
      <c r="K743" s="2">
        <v>23</v>
      </c>
      <c r="L743" s="2">
        <v>2</v>
      </c>
      <c r="M743" s="2"/>
      <c r="N743" s="8">
        <v>43293.668993055559</v>
      </c>
      <c r="O743" s="4" t="s">
        <v>682</v>
      </c>
      <c r="P743" s="3" t="s">
        <v>681</v>
      </c>
      <c r="Q743" s="4"/>
      <c r="R743" s="4"/>
      <c r="S743" s="9" t="str">
        <f>HYPERLINK("https://pbs.twimg.com/profile_images/1017382724485730305/hGaBNoXG.jpg","View")</f>
        <v>View</v>
      </c>
    </row>
    <row r="744" spans="1:19" ht="20">
      <c r="A744" s="8">
        <v>43369.452650462961</v>
      </c>
      <c r="B744" s="11" t="str">
        <f>HYPERLINK("https://twitter.com/theSonofMMann","@theSonofMMann")</f>
        <v>@theSonofMMann</v>
      </c>
      <c r="C744" s="6" t="s">
        <v>1819</v>
      </c>
      <c r="D744" s="5" t="s">
        <v>1818</v>
      </c>
      <c r="E744" s="9" t="str">
        <f>HYPERLINK("https://twitter.com/theSonofMMann/status/1044849508058898433","1044849508058898433")</f>
        <v>1044849508058898433</v>
      </c>
      <c r="F744" s="4"/>
      <c r="G744" s="4"/>
      <c r="H744" s="4"/>
      <c r="I744" s="10" t="str">
        <f>HYPERLINK("http://twitter.com","Twitter Web Client")</f>
        <v>Twitter Web Client</v>
      </c>
      <c r="J744" s="2">
        <v>6</v>
      </c>
      <c r="K744" s="2">
        <v>6</v>
      </c>
      <c r="L744" s="2">
        <v>0</v>
      </c>
      <c r="M744" s="2"/>
      <c r="N744" s="8">
        <v>43354.962534722217</v>
      </c>
      <c r="O744" s="4" t="s">
        <v>7</v>
      </c>
      <c r="P744" s="3" t="s">
        <v>1817</v>
      </c>
      <c r="Q744" s="4"/>
      <c r="R744" s="4"/>
      <c r="S744" s="9" t="str">
        <f>HYPERLINK("https://pbs.twimg.com/profile_images/1040846073361784832/Jc5iGyjx.jpg","View")</f>
        <v>View</v>
      </c>
    </row>
    <row r="745" spans="1:19" ht="40">
      <c r="A745" s="8">
        <v>43369.452523148153</v>
      </c>
      <c r="B745" s="11" t="str">
        <f>HYPERLINK("https://twitter.com/bimaghz_","@bimaghz_")</f>
        <v>@bimaghz_</v>
      </c>
      <c r="C745" s="6" t="s">
        <v>1816</v>
      </c>
      <c r="D745" s="5" t="s">
        <v>163</v>
      </c>
      <c r="E745" s="9" t="str">
        <f>HYPERLINK("https://twitter.com/bimaghz_/status/1044849462353563648","1044849462353563648")</f>
        <v>1044849462353563648</v>
      </c>
      <c r="F745" s="4"/>
      <c r="G745" s="10" t="s">
        <v>162</v>
      </c>
      <c r="H745" s="4"/>
      <c r="I745" s="10" t="str">
        <f>HYPERLINK("http://twitter.com/download/android","Twitter for Android")</f>
        <v>Twitter for Android</v>
      </c>
      <c r="J745" s="2">
        <v>218</v>
      </c>
      <c r="K745" s="2">
        <v>173</v>
      </c>
      <c r="L745" s="2">
        <v>0</v>
      </c>
      <c r="M745" s="2"/>
      <c r="N745" s="8">
        <v>43055.874178240745</v>
      </c>
      <c r="O745" s="4" t="s">
        <v>1815</v>
      </c>
      <c r="P745" s="3" t="s">
        <v>1814</v>
      </c>
      <c r="Q745" s="4"/>
      <c r="R745" s="4"/>
      <c r="S745" s="9" t="str">
        <f>HYPERLINK("https://pbs.twimg.com/profile_images/1015538155666247680/6x077s6T.jpg","View")</f>
        <v>View</v>
      </c>
    </row>
    <row r="746" spans="1:19" ht="50">
      <c r="A746" s="8">
        <v>43369.451956018514</v>
      </c>
      <c r="B746" s="11" t="str">
        <f>HYPERLINK("https://twitter.com/barandazambot","@barandazambot")</f>
        <v>@barandazambot</v>
      </c>
      <c r="C746" s="6" t="s">
        <v>683</v>
      </c>
      <c r="D746" s="5" t="s">
        <v>1802</v>
      </c>
      <c r="E746" s="9" t="str">
        <f>HYPERLINK("https://twitter.com/barandazambot/status/1044849256190873602","1044849256190873602")</f>
        <v>1044849256190873602</v>
      </c>
      <c r="F746" s="4"/>
      <c r="G746" s="10" t="s">
        <v>1792</v>
      </c>
      <c r="H746" s="4"/>
      <c r="I746" s="10" t="str">
        <f>HYPERLINK("http://127.0.0.1","barandazambot")</f>
        <v>barandazambot</v>
      </c>
      <c r="J746" s="2">
        <v>904</v>
      </c>
      <c r="K746" s="2">
        <v>23</v>
      </c>
      <c r="L746" s="2">
        <v>2</v>
      </c>
      <c r="M746" s="2"/>
      <c r="N746" s="8">
        <v>43293.668993055559</v>
      </c>
      <c r="O746" s="4" t="s">
        <v>682</v>
      </c>
      <c r="P746" s="3" t="s">
        <v>681</v>
      </c>
      <c r="Q746" s="4"/>
      <c r="R746" s="4"/>
      <c r="S746" s="9" t="str">
        <f>HYPERLINK("https://pbs.twimg.com/profile_images/1017382724485730305/hGaBNoXG.jpg","View")</f>
        <v>View</v>
      </c>
    </row>
    <row r="747" spans="1:19" ht="40">
      <c r="A747" s="8">
        <v>43369.451909722222</v>
      </c>
      <c r="B747" s="11" t="str">
        <f>HYPERLINK("https://twitter.com/abdolah_abdi","@abdolah_abdi")</f>
        <v>@abdolah_abdi</v>
      </c>
      <c r="C747" s="6" t="s">
        <v>1813</v>
      </c>
      <c r="D747" s="5" t="s">
        <v>1812</v>
      </c>
      <c r="E747" s="9" t="str">
        <f>HYPERLINK("https://twitter.com/abdolah_abdi/status/1044849238390321153","1044849238390321153")</f>
        <v>1044849238390321153</v>
      </c>
      <c r="F747" s="4"/>
      <c r="G747" s="10" t="s">
        <v>1811</v>
      </c>
      <c r="H747" s="4"/>
      <c r="I747" s="10" t="str">
        <f>HYPERLINK("http://twitter.com","Twitter Web Client")</f>
        <v>Twitter Web Client</v>
      </c>
      <c r="J747" s="2">
        <v>146</v>
      </c>
      <c r="K747" s="2">
        <v>337</v>
      </c>
      <c r="L747" s="2">
        <v>0</v>
      </c>
      <c r="M747" s="2"/>
      <c r="N747" s="8">
        <v>42307.728113425925</v>
      </c>
      <c r="O747" s="4" t="s">
        <v>7</v>
      </c>
      <c r="P747" s="3" t="s">
        <v>1810</v>
      </c>
      <c r="Q747" s="10" t="s">
        <v>1809</v>
      </c>
      <c r="R747" s="4"/>
      <c r="S747" s="9" t="str">
        <f>HYPERLINK("https://pbs.twimg.com/profile_images/978270762263105537/FHSttrCd.jpg","View")</f>
        <v>View</v>
      </c>
    </row>
    <row r="748" spans="1:19" ht="20">
      <c r="A748" s="8">
        <v>43369.451805555553</v>
      </c>
      <c r="B748" s="11" t="str">
        <f>HYPERLINK("https://twitter.com/standing731","@standing731")</f>
        <v>@standing731</v>
      </c>
      <c r="C748" s="6" t="s">
        <v>1808</v>
      </c>
      <c r="D748" s="5" t="s">
        <v>736</v>
      </c>
      <c r="E748" s="9" t="str">
        <f>HYPERLINK("https://twitter.com/standing731/status/1044849198867386368","1044849198867386368")</f>
        <v>1044849198867386368</v>
      </c>
      <c r="F748" s="4"/>
      <c r="G748" s="10" t="s">
        <v>732</v>
      </c>
      <c r="H748" s="4"/>
      <c r="I748" s="10" t="str">
        <f>HYPERLINK("https://mobile.twitter.com","Twitter Lite")</f>
        <v>Twitter Lite</v>
      </c>
      <c r="J748" s="2">
        <v>210</v>
      </c>
      <c r="K748" s="2">
        <v>299</v>
      </c>
      <c r="L748" s="2">
        <v>0</v>
      </c>
      <c r="M748" s="2"/>
      <c r="N748" s="8">
        <v>43261.255208333328</v>
      </c>
      <c r="O748" s="4" t="s">
        <v>295</v>
      </c>
      <c r="P748" s="3" t="s">
        <v>1807</v>
      </c>
      <c r="Q748" s="4"/>
      <c r="R748" s="4"/>
      <c r="S748" s="9" t="str">
        <f>HYPERLINK("https://pbs.twimg.com/profile_images/1005646877684109312/C88YQzv5.jpg","View")</f>
        <v>View</v>
      </c>
    </row>
    <row r="749" spans="1:19" ht="40">
      <c r="A749" s="8">
        <v>43369.451585648145</v>
      </c>
      <c r="B749" s="11" t="str">
        <f>HYPERLINK("https://twitter.com/Top_tweet_fa","@Top_tweet_fa")</f>
        <v>@Top_tweet_fa</v>
      </c>
      <c r="C749" s="6" t="s">
        <v>1806</v>
      </c>
      <c r="D749" s="5" t="s">
        <v>1556</v>
      </c>
      <c r="E749" s="9" t="str">
        <f>HYPERLINK("https://twitter.com/Top_tweet_fa/status/1044849119829872640","1044849119829872640")</f>
        <v>1044849119829872640</v>
      </c>
      <c r="F749" s="4"/>
      <c r="G749" s="4"/>
      <c r="H749" s="4"/>
      <c r="I749" s="10" t="str">
        <f>HYPERLINK("http://tamrini.com","behtarinha")</f>
        <v>behtarinha</v>
      </c>
      <c r="J749" s="2">
        <v>1185</v>
      </c>
      <c r="K749" s="2">
        <v>81</v>
      </c>
      <c r="L749" s="2">
        <v>9</v>
      </c>
      <c r="M749" s="2"/>
      <c r="N749" s="8">
        <v>41850.668599537035</v>
      </c>
      <c r="O749" s="4"/>
      <c r="P749" s="3" t="s">
        <v>1805</v>
      </c>
      <c r="Q749" s="4"/>
      <c r="R749" s="4"/>
      <c r="S749" s="9" t="str">
        <f>HYPERLINK("https://pbs.twimg.com/profile_images/697947575538814978/IHIvgwqK.jpg","View")</f>
        <v>View</v>
      </c>
    </row>
    <row r="750" spans="1:19" ht="20">
      <c r="A750" s="8">
        <v>43369.451458333337</v>
      </c>
      <c r="B750" s="11" t="str">
        <f>HYPERLINK("https://twitter.com/daystar98173834","@daystar98173834")</f>
        <v>@daystar98173834</v>
      </c>
      <c r="C750" s="6" t="s">
        <v>1804</v>
      </c>
      <c r="D750" s="5" t="s">
        <v>736</v>
      </c>
      <c r="E750" s="9" t="str">
        <f>HYPERLINK("https://twitter.com/daystar98173834/status/1044849074011295745","1044849074011295745")</f>
        <v>1044849074011295745</v>
      </c>
      <c r="F750" s="4"/>
      <c r="G750" s="10" t="s">
        <v>732</v>
      </c>
      <c r="H750" s="4"/>
      <c r="I750" s="10" t="str">
        <f>HYPERLINK("http://twitter.com/download/iphone","Twitter for iPhone")</f>
        <v>Twitter for iPhone</v>
      </c>
      <c r="J750" s="2">
        <v>1529</v>
      </c>
      <c r="K750" s="2">
        <v>1459</v>
      </c>
      <c r="L750" s="2">
        <v>1</v>
      </c>
      <c r="M750" s="2"/>
      <c r="N750" s="8">
        <v>43304.026574074072</v>
      </c>
      <c r="O750" s="4"/>
      <c r="P750" s="3" t="s">
        <v>1803</v>
      </c>
      <c r="Q750" s="4"/>
      <c r="R750" s="4"/>
      <c r="S750" s="9" t="str">
        <f>HYPERLINK("https://pbs.twimg.com/profile_images/1021125927613489152/EMHfAQmZ.jpg","View")</f>
        <v>View</v>
      </c>
    </row>
    <row r="751" spans="1:19" ht="50">
      <c r="A751" s="8">
        <v>43369.45140046296</v>
      </c>
      <c r="B751" s="11" t="str">
        <f>HYPERLINK("https://twitter.com/SabetBehruz","@SabetBehruz")</f>
        <v>@SabetBehruz</v>
      </c>
      <c r="C751" s="6" t="s">
        <v>179</v>
      </c>
      <c r="D751" s="5" t="s">
        <v>1802</v>
      </c>
      <c r="E751" s="9" t="str">
        <f>HYPERLINK("https://twitter.com/SabetBehruz/status/1044849054885314562","1044849054885314562")</f>
        <v>1044849054885314562</v>
      </c>
      <c r="F751" s="4"/>
      <c r="G751" s="10" t="s">
        <v>1792</v>
      </c>
      <c r="H751" s="4"/>
      <c r="I751" s="10" t="str">
        <f>HYPERLINK("http://twitter.com","Twitter Web Client")</f>
        <v>Twitter Web Client</v>
      </c>
      <c r="J751" s="2">
        <v>978</v>
      </c>
      <c r="K751" s="2">
        <v>2595</v>
      </c>
      <c r="L751" s="2">
        <v>4</v>
      </c>
      <c r="M751" s="2"/>
      <c r="N751" s="8">
        <v>42486.604467592595</v>
      </c>
      <c r="O751" s="4"/>
      <c r="P751" s="3" t="s">
        <v>178</v>
      </c>
      <c r="Q751" s="4"/>
      <c r="R751" s="4"/>
      <c r="S751" s="9" t="str">
        <f>HYPERLINK("https://pbs.twimg.com/profile_images/1039062812729987072/pq-0Dptq.jpg","View")</f>
        <v>View</v>
      </c>
    </row>
    <row r="752" spans="1:19" ht="30">
      <c r="A752" s="8">
        <v>43369.450243055559</v>
      </c>
      <c r="B752" s="11" t="str">
        <f>HYPERLINK("https://twitter.com/esmail2001201","@esmail2001201")</f>
        <v>@esmail2001201</v>
      </c>
      <c r="C752" s="6" t="s">
        <v>1801</v>
      </c>
      <c r="D752" s="5" t="s">
        <v>229</v>
      </c>
      <c r="E752" s="9" t="str">
        <f>HYPERLINK("https://twitter.com/esmail2001201/status/1044848636595765248","1044848636595765248")</f>
        <v>1044848636595765248</v>
      </c>
      <c r="F752" s="4"/>
      <c r="G752" s="4"/>
      <c r="H752" s="4"/>
      <c r="I752" s="10" t="str">
        <f>HYPERLINK("http://twitter.com/download/android","Twitter for Android")</f>
        <v>Twitter for Android</v>
      </c>
      <c r="J752" s="2">
        <v>1970</v>
      </c>
      <c r="K752" s="2">
        <v>4143</v>
      </c>
      <c r="L752" s="2">
        <v>3</v>
      </c>
      <c r="M752" s="2"/>
      <c r="N752" s="8">
        <v>42741.564189814817</v>
      </c>
      <c r="O752" s="4" t="s">
        <v>1800</v>
      </c>
      <c r="P752" s="3" t="s">
        <v>1799</v>
      </c>
      <c r="Q752" s="10" t="s">
        <v>1798</v>
      </c>
      <c r="R752" s="4"/>
      <c r="S752" s="9" t="str">
        <f>HYPERLINK("https://pbs.twimg.com/profile_images/883951719016747008/GxTZWUWk.jpg","View")</f>
        <v>View</v>
      </c>
    </row>
    <row r="753" spans="1:19" ht="40">
      <c r="A753" s="8">
        <v>43369.449618055558</v>
      </c>
      <c r="B753" s="11" t="str">
        <f>HYPERLINK("https://twitter.com/fateme_kazemi_r","@fateme_kazemi_r")</f>
        <v>@fateme_kazemi_r</v>
      </c>
      <c r="C753" s="6" t="s">
        <v>1797</v>
      </c>
      <c r="D753" s="5" t="s">
        <v>1556</v>
      </c>
      <c r="E753" s="9" t="str">
        <f>HYPERLINK("https://twitter.com/fateme_kazemi_r/status/1044848408668917765","1044848408668917765")</f>
        <v>1044848408668917765</v>
      </c>
      <c r="F753" s="4"/>
      <c r="G753" s="4"/>
      <c r="H753" s="4"/>
      <c r="I753" s="10" t="str">
        <f>HYPERLINK("http://twitter.com/download/iphone","Twitter for iPhone")</f>
        <v>Twitter for iPhone</v>
      </c>
      <c r="J753" s="2">
        <v>211</v>
      </c>
      <c r="K753" s="2">
        <v>342</v>
      </c>
      <c r="L753" s="2">
        <v>1</v>
      </c>
      <c r="M753" s="2"/>
      <c r="N753" s="8">
        <v>42520.628506944442</v>
      </c>
      <c r="O753" s="4" t="s">
        <v>1796</v>
      </c>
      <c r="P753" s="3" t="s">
        <v>1795</v>
      </c>
      <c r="Q753" s="4"/>
      <c r="R753" s="4"/>
      <c r="S753" s="9" t="str">
        <f>HYPERLINK("https://pbs.twimg.com/profile_images/985088227114672129/3cjlKjzi.jpg","View")</f>
        <v>View</v>
      </c>
    </row>
    <row r="754" spans="1:19" ht="50">
      <c r="A754" s="8">
        <v>43369.449525462958</v>
      </c>
      <c r="B754" s="11" t="str">
        <f>HYPERLINK("https://twitter.com/RahaTaraneh1","@RahaTaraneh1")</f>
        <v>@RahaTaraneh1</v>
      </c>
      <c r="C754" s="6" t="s">
        <v>1794</v>
      </c>
      <c r="D754" s="5" t="s">
        <v>1793</v>
      </c>
      <c r="E754" s="9" t="str">
        <f>HYPERLINK("https://twitter.com/RahaTaraneh1/status/1044848373835223040","1044848373835223040")</f>
        <v>1044848373835223040</v>
      </c>
      <c r="F754" s="4"/>
      <c r="G754" s="10" t="s">
        <v>1792</v>
      </c>
      <c r="H754" s="4"/>
      <c r="I754" s="10" t="str">
        <f>HYPERLINK("http://twitter.com","Twitter Web Client")</f>
        <v>Twitter Web Client</v>
      </c>
      <c r="J754" s="2">
        <v>3800</v>
      </c>
      <c r="K754" s="2">
        <v>3459</v>
      </c>
      <c r="L754" s="2">
        <v>19</v>
      </c>
      <c r="M754" s="2"/>
      <c r="N754" s="8">
        <v>42486.583125000005</v>
      </c>
      <c r="O754" s="4"/>
      <c r="P754" s="3" t="s">
        <v>1791</v>
      </c>
      <c r="Q754" s="4"/>
      <c r="R754" s="4"/>
      <c r="S754" s="9" t="str">
        <f>HYPERLINK("https://pbs.twimg.com/profile_images/964895094041034752/IsWagN_U.jpg","View")</f>
        <v>View</v>
      </c>
    </row>
    <row r="755" spans="1:19" ht="40">
      <c r="A755" s="8">
        <v>43369.449374999997</v>
      </c>
      <c r="B755" s="11" t="str">
        <f>HYPERLINK("https://twitter.com/mamaliof","@mamaliof")</f>
        <v>@mamaliof</v>
      </c>
      <c r="C755" s="6" t="s">
        <v>1790</v>
      </c>
      <c r="D755" s="5" t="s">
        <v>1556</v>
      </c>
      <c r="E755" s="9" t="str">
        <f>HYPERLINK("https://twitter.com/mamaliof/status/1044848318671712256","1044848318671712256")</f>
        <v>1044848318671712256</v>
      </c>
      <c r="F755" s="4"/>
      <c r="G755" s="4"/>
      <c r="H755" s="4"/>
      <c r="I755" s="10" t="str">
        <f>HYPERLINK("http://twitter.com/download/android","Twitter for Android")</f>
        <v>Twitter for Android</v>
      </c>
      <c r="J755" s="2">
        <v>388</v>
      </c>
      <c r="K755" s="2">
        <v>357</v>
      </c>
      <c r="L755" s="2">
        <v>0</v>
      </c>
      <c r="M755" s="2"/>
      <c r="N755" s="8">
        <v>42607.543310185181</v>
      </c>
      <c r="O755" s="4" t="s">
        <v>7</v>
      </c>
      <c r="P755" s="3" t="s">
        <v>1789</v>
      </c>
      <c r="Q755" s="10" t="s">
        <v>1788</v>
      </c>
      <c r="R755" s="4"/>
      <c r="S755" s="9" t="str">
        <f>HYPERLINK("https://pbs.twimg.com/profile_images/1043562626679222272/qghJN-3Y.jpg","View")</f>
        <v>View</v>
      </c>
    </row>
    <row r="756" spans="1:19" ht="20">
      <c r="A756" s="8">
        <v>43369.448738425926</v>
      </c>
      <c r="B756" s="11" t="str">
        <f>HYPERLINK("https://twitter.com/tkcupHDhYXsvcsR","@tkcupHDhYXsvcsR")</f>
        <v>@tkcupHDhYXsvcsR</v>
      </c>
      <c r="C756" s="6" t="s">
        <v>1787</v>
      </c>
      <c r="D756" s="5" t="s">
        <v>1786</v>
      </c>
      <c r="E756" s="9" t="str">
        <f>HYPERLINK("https://twitter.com/tkcupHDhYXsvcsR/status/1044848087829819392","1044848087829819392")</f>
        <v>1044848087829819392</v>
      </c>
      <c r="F756" s="4"/>
      <c r="G756" s="4"/>
      <c r="H756" s="4"/>
      <c r="I756" s="10" t="str">
        <f>HYPERLINK("http://twitter.com/download/android","Twitter for Android")</f>
        <v>Twitter for Android</v>
      </c>
      <c r="J756" s="2">
        <v>2092</v>
      </c>
      <c r="K756" s="2">
        <v>2052</v>
      </c>
      <c r="L756" s="2">
        <v>0</v>
      </c>
      <c r="M756" s="2"/>
      <c r="N756" s="8">
        <v>43108.718518518523</v>
      </c>
      <c r="O756" s="4" t="s">
        <v>1785</v>
      </c>
      <c r="P756" s="3" t="s">
        <v>1784</v>
      </c>
      <c r="Q756" s="4"/>
      <c r="R756" s="4"/>
      <c r="S756" s="9" t="str">
        <f>HYPERLINK("https://pbs.twimg.com/profile_images/1039059982015193088/AMfbFycn.jpg","View")</f>
        <v>View</v>
      </c>
    </row>
    <row r="757" spans="1:19" ht="30">
      <c r="A757" s="8">
        <v>43369.448634259257</v>
      </c>
      <c r="B757" s="11" t="str">
        <f>HYPERLINK("https://twitter.com/IribMahabad","@IribMahabad")</f>
        <v>@IribMahabad</v>
      </c>
      <c r="C757" s="6" t="s">
        <v>1783</v>
      </c>
      <c r="D757" s="5" t="s">
        <v>1071</v>
      </c>
      <c r="E757" s="9" t="str">
        <f>HYPERLINK("https://twitter.com/IribMahabad/status/1044848053486845952","1044848053486845952")</f>
        <v>1044848053486845952</v>
      </c>
      <c r="F757" s="4"/>
      <c r="G757" s="4"/>
      <c r="H757" s="4"/>
      <c r="I757" s="10" t="str">
        <f>HYPERLINK("http://twitter.com/download/android","Twitter for Android")</f>
        <v>Twitter for Android</v>
      </c>
      <c r="J757" s="2">
        <v>14</v>
      </c>
      <c r="K757" s="2">
        <v>6</v>
      </c>
      <c r="L757" s="2">
        <v>0</v>
      </c>
      <c r="M757" s="2"/>
      <c r="N757" s="8">
        <v>43330.930219907408</v>
      </c>
      <c r="O757" s="4"/>
      <c r="P757" s="3"/>
      <c r="Q757" s="4"/>
      <c r="R757" s="4"/>
      <c r="S757" s="2" t="s">
        <v>21</v>
      </c>
    </row>
    <row r="758" spans="1:19" ht="30">
      <c r="A758" s="8">
        <v>43369.448541666672</v>
      </c>
      <c r="B758" s="11" t="str">
        <f>HYPERLINK("https://twitter.com/persianghobad","@persianghobad")</f>
        <v>@persianghobad</v>
      </c>
      <c r="C758" s="6" t="s">
        <v>394</v>
      </c>
      <c r="D758" s="5" t="s">
        <v>106</v>
      </c>
      <c r="E758" s="9" t="str">
        <f>HYPERLINK("https://twitter.com/persianghobad/status/1044848019928240129","1044848019928240129")</f>
        <v>1044848019928240129</v>
      </c>
      <c r="F758" s="4"/>
      <c r="G758" s="10" t="s">
        <v>105</v>
      </c>
      <c r="H758" s="4"/>
      <c r="I758" s="10" t="str">
        <f>HYPERLINK("http://twitter.com/download/android","Twitter for Android")</f>
        <v>Twitter for Android</v>
      </c>
      <c r="J758" s="2">
        <v>301</v>
      </c>
      <c r="K758" s="2">
        <v>99</v>
      </c>
      <c r="L758" s="2">
        <v>29</v>
      </c>
      <c r="M758" s="2"/>
      <c r="N758" s="8">
        <v>39976.855543981481</v>
      </c>
      <c r="O758" s="4" t="s">
        <v>70</v>
      </c>
      <c r="P758" s="3" t="s">
        <v>391</v>
      </c>
      <c r="Q758" s="4"/>
      <c r="R758" s="4"/>
      <c r="S758" s="9" t="str">
        <f>HYPERLINK("https://pbs.twimg.com/profile_images/378800000068352163/9d47d78fab604b3adc6ae6b5b37ab573.jpeg","View")</f>
        <v>View</v>
      </c>
    </row>
    <row r="759" spans="1:19" ht="30">
      <c r="A759" s="8">
        <v>43369.448541666672</v>
      </c>
      <c r="B759" s="11" t="str">
        <f>HYPERLINK("https://twitter.com/PittiSerendi","@PittiSerendi")</f>
        <v>@PittiSerendi</v>
      </c>
      <c r="C759" s="6" t="s">
        <v>1782</v>
      </c>
      <c r="D759" s="5" t="s">
        <v>49</v>
      </c>
      <c r="E759" s="9" t="str">
        <f>HYPERLINK("https://twitter.com/PittiSerendi/status/1044848017357049856","1044848017357049856")</f>
        <v>1044848017357049856</v>
      </c>
      <c r="F759" s="4"/>
      <c r="G759" s="4"/>
      <c r="H759" s="4"/>
      <c r="I759" s="10" t="str">
        <f>HYPERLINK("http://twitter.com/download/iphone","Twitter for iPhone")</f>
        <v>Twitter for iPhone</v>
      </c>
      <c r="J759" s="2">
        <v>209</v>
      </c>
      <c r="K759" s="2">
        <v>600</v>
      </c>
      <c r="L759" s="2">
        <v>0</v>
      </c>
      <c r="M759" s="2"/>
      <c r="N759" s="8">
        <v>43306.448229166665</v>
      </c>
      <c r="O759" s="4" t="s">
        <v>7</v>
      </c>
      <c r="P759" s="3" t="s">
        <v>1781</v>
      </c>
      <c r="Q759" s="4"/>
      <c r="R759" s="4"/>
      <c r="S759" s="2" t="s">
        <v>21</v>
      </c>
    </row>
    <row r="760" spans="1:19" ht="40">
      <c r="A760" s="8">
        <v>43369.448541666672</v>
      </c>
      <c r="B760" s="11" t="str">
        <f>HYPERLINK("https://twitter.com/74_farhad","@74_farhad")</f>
        <v>@74_farhad</v>
      </c>
      <c r="C760" s="6" t="s">
        <v>1780</v>
      </c>
      <c r="D760" s="5" t="s">
        <v>1556</v>
      </c>
      <c r="E760" s="9" t="str">
        <f>HYPERLINK("https://twitter.com/74_farhad/status/1044848016308490244","1044848016308490244")</f>
        <v>1044848016308490244</v>
      </c>
      <c r="F760" s="4"/>
      <c r="G760" s="4"/>
      <c r="H760" s="4"/>
      <c r="I760" s="10" t="str">
        <f>HYPERLINK("http://twitter.com/download/android","Twitter for Android")</f>
        <v>Twitter for Android</v>
      </c>
      <c r="J760" s="2">
        <v>201</v>
      </c>
      <c r="K760" s="2">
        <v>200</v>
      </c>
      <c r="L760" s="2">
        <v>0</v>
      </c>
      <c r="M760" s="2"/>
      <c r="N760" s="8">
        <v>42743.817997685182</v>
      </c>
      <c r="O760" s="4" t="s">
        <v>1779</v>
      </c>
      <c r="P760" s="3" t="s">
        <v>1778</v>
      </c>
      <c r="Q760" s="10" t="s">
        <v>1777</v>
      </c>
      <c r="R760" s="4"/>
      <c r="S760" s="9" t="str">
        <f>HYPERLINK("https://pbs.twimg.com/profile_images/1040601144245080065/8RUCJUvE.jpg","View")</f>
        <v>View</v>
      </c>
    </row>
    <row r="761" spans="1:19" ht="40">
      <c r="A761" s="8">
        <v>43369.44804398148</v>
      </c>
      <c r="B761" s="11" t="str">
        <f>HYPERLINK("https://twitter.com/ahmadkazemeian","@ahmadkazemeian")</f>
        <v>@ahmadkazemeian</v>
      </c>
      <c r="C761" s="6" t="s">
        <v>1776</v>
      </c>
      <c r="D761" s="5" t="s">
        <v>1556</v>
      </c>
      <c r="E761" s="9" t="str">
        <f>HYPERLINK("https://twitter.com/ahmadkazemeian/status/1044847837933162502","1044847837933162502")</f>
        <v>1044847837933162502</v>
      </c>
      <c r="F761" s="4"/>
      <c r="G761" s="4"/>
      <c r="H761" s="4"/>
      <c r="I761" s="10" t="str">
        <f>HYPERLINK("http://twitter.com/download/iphone","Twitter for iPhone")</f>
        <v>Twitter for iPhone</v>
      </c>
      <c r="J761" s="2">
        <v>1</v>
      </c>
      <c r="K761" s="2">
        <v>36</v>
      </c>
      <c r="L761" s="2">
        <v>0</v>
      </c>
      <c r="M761" s="2"/>
      <c r="N761" s="8">
        <v>43368.681585648148</v>
      </c>
      <c r="O761" s="4"/>
      <c r="P761" s="3"/>
      <c r="Q761" s="4"/>
      <c r="R761" s="4"/>
      <c r="S761" s="9" t="str">
        <f>HYPERLINK("https://pbs.twimg.com/profile_images/1044574433632022529/3gnstiHi.jpg","View")</f>
        <v>View</v>
      </c>
    </row>
    <row r="762" spans="1:19" ht="40">
      <c r="A762" s="8">
        <v>43369.447858796295</v>
      </c>
      <c r="B762" s="11" t="str">
        <f>HYPERLINK("https://twitter.com/mazinaniali","@mazinaniali")</f>
        <v>@mazinaniali</v>
      </c>
      <c r="C762" s="6" t="s">
        <v>1775</v>
      </c>
      <c r="D762" s="5" t="s">
        <v>1556</v>
      </c>
      <c r="E762" s="9" t="str">
        <f>HYPERLINK("https://twitter.com/mazinaniali/status/1044847769972805632","1044847769972805632")</f>
        <v>1044847769972805632</v>
      </c>
      <c r="F762" s="4"/>
      <c r="G762" s="4"/>
      <c r="H762" s="4"/>
      <c r="I762" s="10" t="str">
        <f>HYPERLINK("http://twitter.com","Twitter Web Client")</f>
        <v>Twitter Web Client</v>
      </c>
      <c r="J762" s="2">
        <v>395</v>
      </c>
      <c r="K762" s="2">
        <v>274</v>
      </c>
      <c r="L762" s="2">
        <v>0</v>
      </c>
      <c r="M762" s="2"/>
      <c r="N762" s="8">
        <v>41782.979085648149</v>
      </c>
      <c r="O762" s="4" t="s">
        <v>8</v>
      </c>
      <c r="P762" s="3" t="s">
        <v>1774</v>
      </c>
      <c r="Q762" s="10" t="s">
        <v>1773</v>
      </c>
      <c r="R762" s="4"/>
      <c r="S762" s="9" t="str">
        <f>HYPERLINK("https://pbs.twimg.com/profile_images/993130263877226496/LWDYt2t4.jpg","View")</f>
        <v>View</v>
      </c>
    </row>
    <row r="763" spans="1:19" ht="40">
      <c r="A763" s="8">
        <v>43369.447476851856</v>
      </c>
      <c r="B763" s="11" t="str">
        <f>HYPERLINK("https://twitter.com/fsmoghadam","@fsmoghadam")</f>
        <v>@fsmoghadam</v>
      </c>
      <c r="C763" s="6" t="s">
        <v>1319</v>
      </c>
      <c r="D763" s="5" t="s">
        <v>1556</v>
      </c>
      <c r="E763" s="9" t="str">
        <f>HYPERLINK("https://twitter.com/fsmoghadam/status/1044847633729294336","1044847633729294336")</f>
        <v>1044847633729294336</v>
      </c>
      <c r="F763" s="4"/>
      <c r="G763" s="4"/>
      <c r="H763" s="4"/>
      <c r="I763" s="10" t="str">
        <f>HYPERLINK("http://twitter.com/download/android","Twitter for Android")</f>
        <v>Twitter for Android</v>
      </c>
      <c r="J763" s="2">
        <v>906</v>
      </c>
      <c r="K763" s="2">
        <v>2999</v>
      </c>
      <c r="L763" s="2">
        <v>4</v>
      </c>
      <c r="M763" s="2"/>
      <c r="N763" s="8">
        <v>42760.00712962963</v>
      </c>
      <c r="O763" s="4" t="s">
        <v>7</v>
      </c>
      <c r="P763" s="3" t="s">
        <v>1318</v>
      </c>
      <c r="Q763" s="10" t="s">
        <v>1317</v>
      </c>
      <c r="R763" s="4"/>
      <c r="S763" s="9" t="str">
        <f>HYPERLINK("https://pbs.twimg.com/profile_images/878430088764813312/t4flT2RQ.jpg","View")</f>
        <v>View</v>
      </c>
    </row>
    <row r="764" spans="1:19" ht="40">
      <c r="A764" s="8">
        <v>43369.447418981479</v>
      </c>
      <c r="B764" s="11" t="str">
        <f>HYPERLINK("https://twitter.com/farrokh024","@farrokh024")</f>
        <v>@farrokh024</v>
      </c>
      <c r="C764" s="6" t="s">
        <v>1772</v>
      </c>
      <c r="D764" s="5" t="s">
        <v>383</v>
      </c>
      <c r="E764" s="9" t="str">
        <f>HYPERLINK("https://twitter.com/farrokh024/status/1044847610501242882","1044847610501242882")</f>
        <v>1044847610501242882</v>
      </c>
      <c r="F764" s="4"/>
      <c r="G764" s="10" t="s">
        <v>382</v>
      </c>
      <c r="H764" s="4"/>
      <c r="I764" s="10" t="str">
        <f>HYPERLINK("http://twitter.com/#!/download/ipad","Twitter for iPad")</f>
        <v>Twitter for iPad</v>
      </c>
      <c r="J764" s="2">
        <v>1162</v>
      </c>
      <c r="K764" s="2">
        <v>3075</v>
      </c>
      <c r="L764" s="2">
        <v>3</v>
      </c>
      <c r="M764" s="2"/>
      <c r="N764" s="8">
        <v>41639.021296296298</v>
      </c>
      <c r="O764" s="4" t="s">
        <v>1771</v>
      </c>
      <c r="P764" s="3" t="s">
        <v>1770</v>
      </c>
      <c r="Q764" s="4"/>
      <c r="R764" s="4"/>
      <c r="S764" s="9" t="str">
        <f>HYPERLINK("https://pbs.twimg.com/profile_images/498360132557086720/MN4KkW4k.jpeg","View")</f>
        <v>View</v>
      </c>
    </row>
    <row r="765" spans="1:19" ht="30">
      <c r="A765" s="8">
        <v>43369.447268518517</v>
      </c>
      <c r="B765" s="11" t="str">
        <f>HYPERLINK("https://twitter.com/mirzaalid1","@mirzaalid1")</f>
        <v>@mirzaalid1</v>
      </c>
      <c r="C765" s="6" t="s">
        <v>190</v>
      </c>
      <c r="D765" s="5" t="s">
        <v>1683</v>
      </c>
      <c r="E765" s="9" t="str">
        <f>HYPERLINK("https://twitter.com/mirzaalid1/status/1044847557741023232","1044847557741023232")</f>
        <v>1044847557741023232</v>
      </c>
      <c r="F765" s="4"/>
      <c r="G765" s="10" t="s">
        <v>1658</v>
      </c>
      <c r="H765" s="4"/>
      <c r="I765" s="10" t="str">
        <f>HYPERLINK("https://about.twitter.com/products/tweetdeck","TweetDeck")</f>
        <v>TweetDeck</v>
      </c>
      <c r="J765" s="2">
        <v>847</v>
      </c>
      <c r="K765" s="2">
        <v>962</v>
      </c>
      <c r="L765" s="2">
        <v>1</v>
      </c>
      <c r="M765" s="2"/>
      <c r="N765" s="8">
        <v>42833.001458333332</v>
      </c>
      <c r="O765" s="4" t="s">
        <v>189</v>
      </c>
      <c r="P765" s="3"/>
      <c r="Q765" s="4"/>
      <c r="R765" s="4"/>
      <c r="S765" s="9" t="str">
        <f>HYPERLINK("https://pbs.twimg.com/profile_images/996047379554975745/Q6UJBpSh.png","View")</f>
        <v>View</v>
      </c>
    </row>
    <row r="766" spans="1:19" ht="20">
      <c r="A766" s="8">
        <v>43369.446759259255</v>
      </c>
      <c r="B766" s="11" t="str">
        <f>HYPERLINK("https://twitter.com/Esze100","@Esze100")</f>
        <v>@Esze100</v>
      </c>
      <c r="C766" s="6" t="s">
        <v>1769</v>
      </c>
      <c r="D766" s="5" t="s">
        <v>320</v>
      </c>
      <c r="E766" s="9" t="str">
        <f>HYPERLINK("https://twitter.com/Esze100/status/1044847373866999808","1044847373866999808")</f>
        <v>1044847373866999808</v>
      </c>
      <c r="F766" s="4"/>
      <c r="G766" s="4"/>
      <c r="H766" s="4"/>
      <c r="I766" s="10" t="str">
        <f>HYPERLINK("http://twitter.com/download/android","Twitter for Android")</f>
        <v>Twitter for Android</v>
      </c>
      <c r="J766" s="2">
        <v>161</v>
      </c>
      <c r="K766" s="2">
        <v>368</v>
      </c>
      <c r="L766" s="2">
        <v>0</v>
      </c>
      <c r="M766" s="2"/>
      <c r="N766" s="8">
        <v>41242.924953703703</v>
      </c>
      <c r="O766" s="4"/>
      <c r="P766" s="3" t="s">
        <v>1768</v>
      </c>
      <c r="Q766" s="4"/>
      <c r="R766" s="4"/>
      <c r="S766" s="9" t="str">
        <f>HYPERLINK("https://pbs.twimg.com/profile_images/949544435754459138/7pNMb6Gj.jpg","View")</f>
        <v>View</v>
      </c>
    </row>
    <row r="767" spans="1:19" ht="30">
      <c r="A767" s="8">
        <v>43369.446620370371</v>
      </c>
      <c r="B767" s="11" t="str">
        <f>HYPERLINK("https://twitter.com/AhmadrezaTheDr","@AhmadrezaTheDr")</f>
        <v>@AhmadrezaTheDr</v>
      </c>
      <c r="C767" s="6" t="s">
        <v>1767</v>
      </c>
      <c r="D767" s="5" t="s">
        <v>49</v>
      </c>
      <c r="E767" s="9" t="str">
        <f>HYPERLINK("https://twitter.com/AhmadrezaTheDr/status/1044847319886307329","1044847319886307329")</f>
        <v>1044847319886307329</v>
      </c>
      <c r="F767" s="4"/>
      <c r="G767" s="4"/>
      <c r="H767" s="4"/>
      <c r="I767" s="10" t="str">
        <f>HYPERLINK("https://mobile.twitter.com","Twitter Lite")</f>
        <v>Twitter Lite</v>
      </c>
      <c r="J767" s="2">
        <v>170</v>
      </c>
      <c r="K767" s="2">
        <v>228</v>
      </c>
      <c r="L767" s="2">
        <v>0</v>
      </c>
      <c r="M767" s="2"/>
      <c r="N767" s="8">
        <v>43100.793854166666</v>
      </c>
      <c r="O767" s="4" t="s">
        <v>1766</v>
      </c>
      <c r="P767" s="3" t="s">
        <v>1765</v>
      </c>
      <c r="Q767" s="4"/>
      <c r="R767" s="4"/>
      <c r="S767" s="9" t="str">
        <f>HYPERLINK("https://pbs.twimg.com/profile_images/1032020604541718534/kV6cETWT.jpg","View")</f>
        <v>View</v>
      </c>
    </row>
    <row r="768" spans="1:19" ht="30">
      <c r="A768" s="8">
        <v>43369.446550925924</v>
      </c>
      <c r="B768" s="11" t="str">
        <f>HYPERLINK("https://twitter.com/CInZ6pLUeXOb75o","@CInZ6pLUeXOb75o")</f>
        <v>@CInZ6pLUeXOb75o</v>
      </c>
      <c r="C768" s="6" t="s">
        <v>1764</v>
      </c>
      <c r="D768" s="5" t="s">
        <v>1071</v>
      </c>
      <c r="E768" s="9" t="str">
        <f>HYPERLINK("https://twitter.com/CInZ6pLUeXOb75o/status/1044847296989593601","1044847296989593601")</f>
        <v>1044847296989593601</v>
      </c>
      <c r="F768" s="4"/>
      <c r="G768" s="4"/>
      <c r="H768" s="4"/>
      <c r="I768" s="10" t="str">
        <f>HYPERLINK("https://mobile.twitter.com","Twitter Lite")</f>
        <v>Twitter Lite</v>
      </c>
      <c r="J768" s="2">
        <v>7</v>
      </c>
      <c r="K768" s="2">
        <v>1</v>
      </c>
      <c r="L768" s="2">
        <v>0</v>
      </c>
      <c r="M768" s="2"/>
      <c r="N768" s="8">
        <v>43354.496192129634</v>
      </c>
      <c r="O768" s="4"/>
      <c r="P768" s="3"/>
      <c r="Q768" s="4"/>
      <c r="R768" s="4"/>
      <c r="S768" s="2" t="s">
        <v>21</v>
      </c>
    </row>
    <row r="769" spans="1:19" ht="20">
      <c r="A769" s="8">
        <v>43369.446423611109</v>
      </c>
      <c r="B769" s="11" t="str">
        <f>HYPERLINK("https://twitter.com/shahinmirshekar","@shahinmirshekar")</f>
        <v>@shahinmirshekar</v>
      </c>
      <c r="C769" s="6" t="s">
        <v>1763</v>
      </c>
      <c r="D769" s="5" t="s">
        <v>1762</v>
      </c>
      <c r="E769" s="9" t="str">
        <f>HYPERLINK("https://twitter.com/shahinmirshekar/status/1044847249736564736","1044847249736564736")</f>
        <v>1044847249736564736</v>
      </c>
      <c r="F769" s="4"/>
      <c r="G769" s="10" t="s">
        <v>1761</v>
      </c>
      <c r="H769" s="4"/>
      <c r="I769" s="10" t="str">
        <f>HYPERLINK("https://mobile.twitter.com","Twitter Lite")</f>
        <v>Twitter Lite</v>
      </c>
      <c r="J769" s="2">
        <v>3</v>
      </c>
      <c r="K769" s="2">
        <v>7</v>
      </c>
      <c r="L769" s="2">
        <v>0</v>
      </c>
      <c r="M769" s="2"/>
      <c r="N769" s="8">
        <v>43274.854965277773</v>
      </c>
      <c r="O769" s="4" t="s">
        <v>25</v>
      </c>
      <c r="P769" s="3"/>
      <c r="Q769" s="4"/>
      <c r="R769" s="4"/>
      <c r="S769" s="9" t="str">
        <f>HYPERLINK("https://pbs.twimg.com/profile_images/1040546326344290305/XVcwrDHn.jpg","View")</f>
        <v>View</v>
      </c>
    </row>
    <row r="770" spans="1:19" ht="20">
      <c r="A770" s="8">
        <v>43369.44599537037</v>
      </c>
      <c r="B770" s="11" t="str">
        <f>HYPERLINK("https://twitter.com/GeraaMedia","@GeraaMedia")</f>
        <v>@GeraaMedia</v>
      </c>
      <c r="C770" s="6" t="s">
        <v>38</v>
      </c>
      <c r="D770" s="5" t="s">
        <v>1760</v>
      </c>
      <c r="E770" s="9" t="str">
        <f>HYPERLINK("https://twitter.com/GeraaMedia/status/1044847094748598272","1044847094748598272")</f>
        <v>1044847094748598272</v>
      </c>
      <c r="F770" s="4"/>
      <c r="G770" s="10" t="s">
        <v>1759</v>
      </c>
      <c r="H770" s="4"/>
      <c r="I770" s="10" t="str">
        <f>HYPERLINK("http://twitter.com/download/android","Twitter for Android")</f>
        <v>Twitter for Android</v>
      </c>
      <c r="J770" s="2">
        <v>1133</v>
      </c>
      <c r="K770" s="2">
        <v>15</v>
      </c>
      <c r="L770" s="2">
        <v>16</v>
      </c>
      <c r="M770" s="2"/>
      <c r="N770" s="8">
        <v>43260.974722222221</v>
      </c>
      <c r="O770" s="4" t="s">
        <v>7</v>
      </c>
      <c r="P770" s="3" t="s">
        <v>37</v>
      </c>
      <c r="Q770" s="4"/>
      <c r="R770" s="4"/>
      <c r="S770" s="9" t="str">
        <f>HYPERLINK("https://pbs.twimg.com/profile_images/1013771784645218304/4VOo9uPU.jpg","View")</f>
        <v>View</v>
      </c>
    </row>
    <row r="771" spans="1:19" ht="12.5">
      <c r="A771" s="8">
        <v>43369.445960648147</v>
      </c>
      <c r="B771" s="11" t="str">
        <f>HYPERLINK("https://twitter.com/ElahieGhonchei","@ElahieGhonchei")</f>
        <v>@ElahieGhonchei</v>
      </c>
      <c r="C771" s="6" t="s">
        <v>1758</v>
      </c>
      <c r="D771" s="5" t="s">
        <v>1757</v>
      </c>
      <c r="E771" s="9" t="str">
        <f>HYPERLINK("https://twitter.com/ElahieGhonchei/status/1044847084418060295","1044847084418060295")</f>
        <v>1044847084418060295</v>
      </c>
      <c r="F771" s="4"/>
      <c r="G771" s="4"/>
      <c r="H771" s="4"/>
      <c r="I771" s="10" t="str">
        <f>HYPERLINK("http://twitter.com/download/android","Twitter for Android")</f>
        <v>Twitter for Android</v>
      </c>
      <c r="J771" s="2">
        <v>822</v>
      </c>
      <c r="K771" s="2">
        <v>158</v>
      </c>
      <c r="L771" s="2">
        <v>4</v>
      </c>
      <c r="M771" s="2"/>
      <c r="N771" s="8">
        <v>42754.956666666665</v>
      </c>
      <c r="O771" s="4"/>
      <c r="P771" s="3" t="s">
        <v>1756</v>
      </c>
      <c r="Q771" s="4"/>
      <c r="R771" s="4"/>
      <c r="S771" s="9" t="str">
        <f>HYPERLINK("https://pbs.twimg.com/profile_images/1003306234433490944/9rdY-HmY.jpg","View")</f>
        <v>View</v>
      </c>
    </row>
    <row r="772" spans="1:19" ht="30">
      <c r="A772" s="8">
        <v>43369.445613425924</v>
      </c>
      <c r="B772" s="11" t="str">
        <f>HYPERLINK("https://twitter.com/SirousBasiri","@SirousBasiri")</f>
        <v>@SirousBasiri</v>
      </c>
      <c r="C772" s="6" t="s">
        <v>1755</v>
      </c>
      <c r="D772" s="5" t="s">
        <v>1754</v>
      </c>
      <c r="E772" s="9" t="str">
        <f>HYPERLINK("https://twitter.com/SirousBasiri/status/1044846955380305921","1044846955380305921")</f>
        <v>1044846955380305921</v>
      </c>
      <c r="F772" s="4"/>
      <c r="G772" s="4"/>
      <c r="H772" s="4"/>
      <c r="I772" s="10" t="str">
        <f>HYPERLINK("http://twitter.com/download/iphone","Twitter for iPhone")</f>
        <v>Twitter for iPhone</v>
      </c>
      <c r="J772" s="2">
        <v>980</v>
      </c>
      <c r="K772" s="2">
        <v>471</v>
      </c>
      <c r="L772" s="2">
        <v>8</v>
      </c>
      <c r="M772" s="2"/>
      <c r="N772" s="8">
        <v>41594.757928240739</v>
      </c>
      <c r="O772" s="4" t="s">
        <v>1753</v>
      </c>
      <c r="P772" s="3" t="s">
        <v>1752</v>
      </c>
      <c r="Q772" s="4"/>
      <c r="R772" s="4"/>
      <c r="S772" s="9" t="str">
        <f>HYPERLINK("https://pbs.twimg.com/profile_images/1043617509361025025/EtlOqAgr.jpg","View")</f>
        <v>View</v>
      </c>
    </row>
    <row r="773" spans="1:19" ht="40">
      <c r="A773" s="8">
        <v>43369.444930555561</v>
      </c>
      <c r="B773" s="11" t="str">
        <f>HYPERLINK("https://twitter.com/Sabzinepush","@Sabzinepush")</f>
        <v>@Sabzinepush</v>
      </c>
      <c r="C773" s="6" t="s">
        <v>1594</v>
      </c>
      <c r="D773" s="5" t="s">
        <v>1404</v>
      </c>
      <c r="E773" s="9" t="str">
        <f>HYPERLINK("https://twitter.com/Sabzinepush/status/1044846709136924677","1044846709136924677")</f>
        <v>1044846709136924677</v>
      </c>
      <c r="F773" s="4"/>
      <c r="G773" s="4"/>
      <c r="H773" s="4"/>
      <c r="I773" s="10" t="str">
        <f>HYPERLINK("https://mobile.twitter.com","Twitter Lite")</f>
        <v>Twitter Lite</v>
      </c>
      <c r="J773" s="2">
        <v>1414</v>
      </c>
      <c r="K773" s="2">
        <v>1934</v>
      </c>
      <c r="L773" s="2">
        <v>0</v>
      </c>
      <c r="M773" s="2"/>
      <c r="N773" s="8">
        <v>43240.87100694445</v>
      </c>
      <c r="O773" s="4"/>
      <c r="P773" s="3"/>
      <c r="Q773" s="4"/>
      <c r="R773" s="4"/>
      <c r="S773" s="9" t="str">
        <f>HYPERLINK("https://pbs.twimg.com/profile_images/1011563915124371456/fvGQkNQE.jpg","View")</f>
        <v>View</v>
      </c>
    </row>
    <row r="774" spans="1:19" ht="40">
      <c r="A774" s="8">
        <v>43369.444224537037</v>
      </c>
      <c r="B774" s="11" t="str">
        <f>HYPERLINK("https://twitter.com/m_azizi1512","@m_azizi1512")</f>
        <v>@m_azizi1512</v>
      </c>
      <c r="C774" s="6" t="s">
        <v>1751</v>
      </c>
      <c r="D774" s="5" t="s">
        <v>1556</v>
      </c>
      <c r="E774" s="9" t="str">
        <f>HYPERLINK("https://twitter.com/m_azizi1512/status/1044846453942890497","1044846453942890497")</f>
        <v>1044846453942890497</v>
      </c>
      <c r="F774" s="4"/>
      <c r="G774" s="4"/>
      <c r="H774" s="4"/>
      <c r="I774" s="10" t="str">
        <f>HYPERLINK("http://twitter.com/download/android","Twitter for Android")</f>
        <v>Twitter for Android</v>
      </c>
      <c r="J774" s="2">
        <v>541</v>
      </c>
      <c r="K774" s="2">
        <v>693</v>
      </c>
      <c r="L774" s="2">
        <v>1</v>
      </c>
      <c r="M774" s="2"/>
      <c r="N774" s="8">
        <v>41873.025613425925</v>
      </c>
      <c r="O774" s="4"/>
      <c r="P774" s="3" t="s">
        <v>1750</v>
      </c>
      <c r="Q774" s="4"/>
      <c r="R774" s="4"/>
      <c r="S774" s="9" t="str">
        <f>HYPERLINK("https://pbs.twimg.com/profile_images/1035615827867979777/XdsAeVVp.jpg","View")</f>
        <v>View</v>
      </c>
    </row>
    <row r="775" spans="1:19" ht="20">
      <c r="A775" s="8">
        <v>43369.444224537037</v>
      </c>
      <c r="B775" s="11" t="str">
        <f>HYPERLINK("https://twitter.com/aftabkaran16","@aftabkaran16")</f>
        <v>@aftabkaran16</v>
      </c>
      <c r="C775" s="6" t="s">
        <v>1652</v>
      </c>
      <c r="D775" s="5" t="s">
        <v>438</v>
      </c>
      <c r="E775" s="9" t="str">
        <f>HYPERLINK("https://twitter.com/aftabkaran16/status/1044846452370018304","1044846452370018304")</f>
        <v>1044846452370018304</v>
      </c>
      <c r="F775" s="10" t="s">
        <v>437</v>
      </c>
      <c r="G775" s="10" t="s">
        <v>436</v>
      </c>
      <c r="H775" s="4"/>
      <c r="I775" s="10" t="str">
        <f>HYPERLINK("http://twitter.com","Twitter Web Client")</f>
        <v>Twitter Web Client</v>
      </c>
      <c r="J775" s="2">
        <v>449</v>
      </c>
      <c r="K775" s="2">
        <v>496</v>
      </c>
      <c r="L775" s="2">
        <v>21</v>
      </c>
      <c r="M775" s="2"/>
      <c r="N775" s="8">
        <v>42489.018055555556</v>
      </c>
      <c r="O775" s="4"/>
      <c r="P775" s="3" t="s">
        <v>1651</v>
      </c>
      <c r="Q775" s="4"/>
      <c r="R775" s="4"/>
      <c r="S775" s="9" t="str">
        <f>HYPERLINK("https://pbs.twimg.com/profile_images/1008387246427258880/oM1rsb7K.png","View")</f>
        <v>View</v>
      </c>
    </row>
    <row r="776" spans="1:19" ht="30">
      <c r="A776" s="8">
        <v>43369.444039351853</v>
      </c>
      <c r="B776" s="11" t="str">
        <f>HYPERLINK("https://twitter.com/C73NFBNkJXpTPb6","@C73NFBNkJXpTPb6")</f>
        <v>@C73NFBNkJXpTPb6</v>
      </c>
      <c r="C776" s="6" t="s">
        <v>1749</v>
      </c>
      <c r="D776" s="5" t="s">
        <v>1748</v>
      </c>
      <c r="E776" s="9" t="str">
        <f>HYPERLINK("https://twitter.com/C73NFBNkJXpTPb6/status/1044846384770355201","1044846384770355201")</f>
        <v>1044846384770355201</v>
      </c>
      <c r="F776" s="4"/>
      <c r="G776" s="4"/>
      <c r="H776" s="4"/>
      <c r="I776" s="10" t="str">
        <f>HYPERLINK("http://twitter.com/download/android","Twitter for Android")</f>
        <v>Twitter for Android</v>
      </c>
      <c r="J776" s="2">
        <v>13</v>
      </c>
      <c r="K776" s="2">
        <v>60</v>
      </c>
      <c r="L776" s="2">
        <v>0</v>
      </c>
      <c r="M776" s="2"/>
      <c r="N776" s="8">
        <v>43353.067326388889</v>
      </c>
      <c r="O776" s="4"/>
      <c r="P776" s="3"/>
      <c r="Q776" s="4"/>
      <c r="R776" s="4"/>
      <c r="S776" s="9" t="str">
        <f>HYPERLINK("https://pbs.twimg.com/profile_images/1044677527963340800/oMtIL31-.jpg","View")</f>
        <v>View</v>
      </c>
    </row>
    <row r="777" spans="1:19" ht="20">
      <c r="A777" s="8">
        <v>43369.443831018521</v>
      </c>
      <c r="B777" s="11" t="str">
        <f>HYPERLINK("https://twitter.com/mohamadkamal97","@mohamadkamal97")</f>
        <v>@mohamadkamal97</v>
      </c>
      <c r="C777" s="6" t="s">
        <v>1747</v>
      </c>
      <c r="D777" s="5" t="s">
        <v>438</v>
      </c>
      <c r="E777" s="9" t="str">
        <f>HYPERLINK("https://twitter.com/mohamadkamal97/status/1044846310178852865","1044846310178852865")</f>
        <v>1044846310178852865</v>
      </c>
      <c r="F777" s="10" t="s">
        <v>437</v>
      </c>
      <c r="G777" s="10" t="s">
        <v>436</v>
      </c>
      <c r="H777" s="4"/>
      <c r="I777" s="10" t="str">
        <f>HYPERLINK("http://twitter.com","Twitter Web Client")</f>
        <v>Twitter Web Client</v>
      </c>
      <c r="J777" s="2">
        <v>154</v>
      </c>
      <c r="K777" s="2">
        <v>208</v>
      </c>
      <c r="L777" s="2">
        <v>0</v>
      </c>
      <c r="M777" s="2"/>
      <c r="N777" s="8">
        <v>43273.63145833333</v>
      </c>
      <c r="O777" s="4"/>
      <c r="P777" s="3"/>
      <c r="Q777" s="4"/>
      <c r="R777" s="4"/>
      <c r="S777" s="9" t="str">
        <f>HYPERLINK("https://pbs.twimg.com/profile_images/1014889029651886080/L6BfPsyo.jpg","View")</f>
        <v>View</v>
      </c>
    </row>
    <row r="778" spans="1:19" ht="30">
      <c r="A778" s="8">
        <v>43369.443530092598</v>
      </c>
      <c r="B778" s="11" t="str">
        <f>HYPERLINK("https://twitter.com/mohamadkamal97","@mohamadkamal97")</f>
        <v>@mohamadkamal97</v>
      </c>
      <c r="C778" s="6" t="s">
        <v>1747</v>
      </c>
      <c r="D778" s="5" t="s">
        <v>91</v>
      </c>
      <c r="E778" s="9" t="str">
        <f>HYPERLINK("https://twitter.com/mohamadkamal97/status/1044846201382809606","1044846201382809606")</f>
        <v>1044846201382809606</v>
      </c>
      <c r="F778" s="4"/>
      <c r="G778" s="10" t="s">
        <v>90</v>
      </c>
      <c r="H778" s="4"/>
      <c r="I778" s="10" t="str">
        <f>HYPERLINK("http://twitter.com","Twitter Web Client")</f>
        <v>Twitter Web Client</v>
      </c>
      <c r="J778" s="2">
        <v>154</v>
      </c>
      <c r="K778" s="2">
        <v>208</v>
      </c>
      <c r="L778" s="2">
        <v>0</v>
      </c>
      <c r="M778" s="2"/>
      <c r="N778" s="8">
        <v>43273.63145833333</v>
      </c>
      <c r="O778" s="4"/>
      <c r="P778" s="3"/>
      <c r="Q778" s="4"/>
      <c r="R778" s="4"/>
      <c r="S778" s="9" t="str">
        <f>HYPERLINK("https://pbs.twimg.com/profile_images/1014889029651886080/L6BfPsyo.jpg","View")</f>
        <v>View</v>
      </c>
    </row>
    <row r="779" spans="1:19" ht="20">
      <c r="A779" s="8">
        <v>43369.443518518514</v>
      </c>
      <c r="B779" s="11" t="str">
        <f>HYPERLINK("https://twitter.com/Zdani16","@Zdani16")</f>
        <v>@Zdani16</v>
      </c>
      <c r="C779" s="6" t="s">
        <v>1745</v>
      </c>
      <c r="D779" s="5" t="s">
        <v>1746</v>
      </c>
      <c r="E779" s="9" t="str">
        <f>HYPERLINK("https://twitter.com/Zdani16/status/1044846199717724161","1044846199717724161")</f>
        <v>1044846199717724161</v>
      </c>
      <c r="F779" s="4"/>
      <c r="G779" s="4"/>
      <c r="H779" s="4"/>
      <c r="I779" s="10" t="str">
        <f>HYPERLINK("http://t.me/RetweetBot","HsinBot")</f>
        <v>HsinBot</v>
      </c>
      <c r="J779" s="2">
        <v>38</v>
      </c>
      <c r="K779" s="2">
        <v>57</v>
      </c>
      <c r="L779" s="2">
        <v>1</v>
      </c>
      <c r="M779" s="2"/>
      <c r="N779" s="8">
        <v>43103.85728009259</v>
      </c>
      <c r="O779" s="4"/>
      <c r="P779" s="3"/>
      <c r="Q779" s="4"/>
      <c r="R779" s="4"/>
      <c r="S779" s="9" t="str">
        <f>HYPERLINK("https://pbs.twimg.com/profile_images/948627373934698497/Aj6I8my2.jpg","View")</f>
        <v>View</v>
      </c>
    </row>
    <row r="780" spans="1:19" ht="40">
      <c r="A780" s="8">
        <v>43369.443043981482</v>
      </c>
      <c r="B780" s="11" t="str">
        <f>HYPERLINK("https://twitter.com/Zdani16","@Zdani16")</f>
        <v>@Zdani16</v>
      </c>
      <c r="C780" s="6" t="s">
        <v>1745</v>
      </c>
      <c r="D780" s="5" t="s">
        <v>1744</v>
      </c>
      <c r="E780" s="9" t="str">
        <f>HYPERLINK("https://twitter.com/Zdani16/status/1044846027268902913","1044846027268902913")</f>
        <v>1044846027268902913</v>
      </c>
      <c r="F780" s="4"/>
      <c r="G780" s="4"/>
      <c r="H780" s="4"/>
      <c r="I780" s="10" t="str">
        <f>HYPERLINK("http://t.me/RetweetBot","HsinBot")</f>
        <v>HsinBot</v>
      </c>
      <c r="J780" s="2">
        <v>38</v>
      </c>
      <c r="K780" s="2">
        <v>57</v>
      </c>
      <c r="L780" s="2">
        <v>1</v>
      </c>
      <c r="M780" s="2"/>
      <c r="N780" s="8">
        <v>43103.85728009259</v>
      </c>
      <c r="O780" s="4"/>
      <c r="P780" s="3"/>
      <c r="Q780" s="4"/>
      <c r="R780" s="4"/>
      <c r="S780" s="9" t="str">
        <f>HYPERLINK("https://pbs.twimg.com/profile_images/948627373934698497/Aj6I8my2.jpg","View")</f>
        <v>View</v>
      </c>
    </row>
    <row r="781" spans="1:19" ht="40">
      <c r="A781" s="8">
        <v>43369.442199074074</v>
      </c>
      <c r="B781" s="11" t="str">
        <f>HYPERLINK("https://twitter.com/vahidxml","@vahidxml")</f>
        <v>@vahidxml</v>
      </c>
      <c r="C781" s="6" t="s">
        <v>950</v>
      </c>
      <c r="D781" s="5" t="s">
        <v>72</v>
      </c>
      <c r="E781" s="9" t="str">
        <f>HYPERLINK("https://twitter.com/vahidxml/status/1044845718056382464","1044845718056382464")</f>
        <v>1044845718056382464</v>
      </c>
      <c r="F781" s="4"/>
      <c r="G781" s="4"/>
      <c r="H781" s="4"/>
      <c r="I781" s="10" t="str">
        <f>HYPERLINK("http://twitter.com","Twitter Web Client")</f>
        <v>Twitter Web Client</v>
      </c>
      <c r="J781" s="2">
        <v>79</v>
      </c>
      <c r="K781" s="2">
        <v>102</v>
      </c>
      <c r="L781" s="2">
        <v>0</v>
      </c>
      <c r="M781" s="2"/>
      <c r="N781" s="8">
        <v>42770.616064814814</v>
      </c>
      <c r="O781" s="4"/>
      <c r="P781" s="3"/>
      <c r="Q781" s="4"/>
      <c r="R781" s="4"/>
      <c r="S781" s="2" t="s">
        <v>21</v>
      </c>
    </row>
    <row r="782" spans="1:19" ht="40">
      <c r="A782" s="8">
        <v>43369.44122685185</v>
      </c>
      <c r="B782" s="11" t="str">
        <f>HYPERLINK("https://twitter.com/Hassan56281713","@Hassan56281713")</f>
        <v>@Hassan56281713</v>
      </c>
      <c r="C782" s="6" t="s">
        <v>1743</v>
      </c>
      <c r="D782" s="5" t="s">
        <v>1548</v>
      </c>
      <c r="E782" s="9" t="str">
        <f>HYPERLINK("https://twitter.com/Hassan56281713/status/1044845365680377858","1044845365680377858")</f>
        <v>1044845365680377858</v>
      </c>
      <c r="F782" s="4"/>
      <c r="G782" s="4"/>
      <c r="H782" s="4"/>
      <c r="I782" s="10" t="str">
        <f>HYPERLINK("http://twitter.com/download/android","Twitter for Android")</f>
        <v>Twitter for Android</v>
      </c>
      <c r="J782" s="2">
        <v>95</v>
      </c>
      <c r="K782" s="2">
        <v>16</v>
      </c>
      <c r="L782" s="2">
        <v>0</v>
      </c>
      <c r="M782" s="2"/>
      <c r="N782" s="8">
        <v>43231.490474537037</v>
      </c>
      <c r="O782" s="4"/>
      <c r="P782" s="3"/>
      <c r="Q782" s="4"/>
      <c r="R782" s="4"/>
      <c r="S782" s="2" t="s">
        <v>21</v>
      </c>
    </row>
    <row r="783" spans="1:19" ht="40">
      <c r="A783" s="8">
        <v>43369.440729166672</v>
      </c>
      <c r="B783" s="11" t="str">
        <f>HYPERLINK("https://twitter.com/mojtaba_m1","@mojtaba_m1")</f>
        <v>@mojtaba_m1</v>
      </c>
      <c r="C783" s="6" t="s">
        <v>1742</v>
      </c>
      <c r="D783" s="5" t="s">
        <v>1741</v>
      </c>
      <c r="E783" s="9" t="str">
        <f>HYPERLINK("https://twitter.com/mojtaba_m1/status/1044845186680061952","1044845186680061952")</f>
        <v>1044845186680061952</v>
      </c>
      <c r="F783" s="4"/>
      <c r="G783" s="4"/>
      <c r="H783" s="4"/>
      <c r="I783" s="10" t="str">
        <f>HYPERLINK("http://twitter.com/download/android","Twitter for Android")</f>
        <v>Twitter for Android</v>
      </c>
      <c r="J783" s="2">
        <v>710</v>
      </c>
      <c r="K783" s="2">
        <v>1366</v>
      </c>
      <c r="L783" s="2">
        <v>0</v>
      </c>
      <c r="M783" s="2"/>
      <c r="N783" s="8">
        <v>43280.203182870369</v>
      </c>
      <c r="O783" s="4" t="s">
        <v>7</v>
      </c>
      <c r="P783" s="3"/>
      <c r="Q783" s="4"/>
      <c r="R783" s="4"/>
      <c r="S783" s="9" t="str">
        <f>HYPERLINK("https://pbs.twimg.com/profile_images/1028490471847485442/jBZ3D4aN.jpg","View")</f>
        <v>View</v>
      </c>
    </row>
    <row r="784" spans="1:19" ht="40">
      <c r="A784" s="8">
        <v>43369.44049768518</v>
      </c>
      <c r="B784" s="11" t="str">
        <f>HYPERLINK("https://twitter.com/mahmoudarjavand","@mahmoudarjavand")</f>
        <v>@mahmoudarjavand</v>
      </c>
      <c r="C784" s="6" t="s">
        <v>1740</v>
      </c>
      <c r="D784" s="5" t="s">
        <v>1548</v>
      </c>
      <c r="E784" s="9" t="str">
        <f>HYPERLINK("https://twitter.com/mahmoudarjavand/status/1044845104618491905","1044845104618491905")</f>
        <v>1044845104618491905</v>
      </c>
      <c r="F784" s="4"/>
      <c r="G784" s="4"/>
      <c r="H784" s="4"/>
      <c r="I784" s="10" t="str">
        <f>HYPERLINK("http://twitter.com/download/android","Twitter for Android")</f>
        <v>Twitter for Android</v>
      </c>
      <c r="J784" s="2">
        <v>359</v>
      </c>
      <c r="K784" s="2">
        <v>661</v>
      </c>
      <c r="L784" s="2">
        <v>4</v>
      </c>
      <c r="M784" s="2"/>
      <c r="N784" s="8">
        <v>41491.903981481482</v>
      </c>
      <c r="O784" s="4" t="s">
        <v>7</v>
      </c>
      <c r="P784" s="3"/>
      <c r="Q784" s="4"/>
      <c r="R784" s="4"/>
      <c r="S784" s="9" t="str">
        <f>HYPERLINK("https://pbs.twimg.com/profile_images/838743879285374976/3apL2QvB.jpg","View")</f>
        <v>View</v>
      </c>
    </row>
    <row r="785" spans="1:19" ht="40">
      <c r="A785" s="8">
        <v>43369.439363425925</v>
      </c>
      <c r="B785" s="11" t="str">
        <f>HYPERLINK("https://twitter.com/Ttohidi71","@Ttohidi71")</f>
        <v>@Ttohidi71</v>
      </c>
      <c r="C785" s="6" t="s">
        <v>1163</v>
      </c>
      <c r="D785" s="5" t="s">
        <v>1556</v>
      </c>
      <c r="E785" s="9" t="str">
        <f>HYPERLINK("https://twitter.com/Ttohidi71/status/1044844693962543104","1044844693962543104")</f>
        <v>1044844693962543104</v>
      </c>
      <c r="F785" s="4"/>
      <c r="G785" s="4"/>
      <c r="H785" s="4"/>
      <c r="I785" s="10" t="str">
        <f>HYPERLINK("http://twitter.com/download/android","Twitter for Android")</f>
        <v>Twitter for Android</v>
      </c>
      <c r="J785" s="2">
        <v>74</v>
      </c>
      <c r="K785" s="2">
        <v>40</v>
      </c>
      <c r="L785" s="2">
        <v>0</v>
      </c>
      <c r="M785" s="2"/>
      <c r="N785" s="8">
        <v>42909.978865740741</v>
      </c>
      <c r="O785" s="4"/>
      <c r="P785" s="3" t="s">
        <v>1162</v>
      </c>
      <c r="Q785" s="4"/>
      <c r="R785" s="4"/>
      <c r="S785" s="9" t="str">
        <f>HYPERLINK("https://pbs.twimg.com/profile_images/966350138414456837/Z732Jnl6.jpg","View")</f>
        <v>View</v>
      </c>
    </row>
    <row r="786" spans="1:19" ht="40">
      <c r="A786" s="8">
        <v>43369.429826388892</v>
      </c>
      <c r="B786" s="11" t="str">
        <f>HYPERLINK("https://twitter.com/peymanpp","@peymanpp")</f>
        <v>@peymanpp</v>
      </c>
      <c r="C786" s="6" t="s">
        <v>1739</v>
      </c>
      <c r="D786" s="5" t="s">
        <v>1556</v>
      </c>
      <c r="E786" s="9" t="str">
        <f>HYPERLINK("https://twitter.com/peymanpp/status/1044841235943444480","1044841235943444480")</f>
        <v>1044841235943444480</v>
      </c>
      <c r="F786" s="4"/>
      <c r="G786" s="4"/>
      <c r="H786" s="4"/>
      <c r="I786" s="10" t="str">
        <f>HYPERLINK("http://twitter.com/download/android","Twitter for Android")</f>
        <v>Twitter for Android</v>
      </c>
      <c r="J786" s="2">
        <v>7117</v>
      </c>
      <c r="K786" s="2">
        <v>6252</v>
      </c>
      <c r="L786" s="2">
        <v>8</v>
      </c>
      <c r="M786" s="2"/>
      <c r="N786" s="8">
        <v>40595.61383101852</v>
      </c>
      <c r="O786" s="4" t="s">
        <v>1738</v>
      </c>
      <c r="P786" s="3" t="s">
        <v>1737</v>
      </c>
      <c r="Q786" s="4"/>
      <c r="R786" s="4"/>
      <c r="S786" s="9" t="str">
        <f>HYPERLINK("https://pbs.twimg.com/profile_images/1012135664270364672/UpOnsR74.jpg","View")</f>
        <v>View</v>
      </c>
    </row>
    <row r="787" spans="1:19" ht="40">
      <c r="A787" s="8">
        <v>43369.429629629631</v>
      </c>
      <c r="B787" s="11" t="str">
        <f>HYPERLINK("https://twitter.com/babak22222","@babak22222")</f>
        <v>@babak22222</v>
      </c>
      <c r="C787" s="6" t="s">
        <v>1736</v>
      </c>
      <c r="D787" s="5" t="s">
        <v>1735</v>
      </c>
      <c r="E787" s="9" t="str">
        <f>HYPERLINK("https://twitter.com/babak22222/status/1044841165789556737","1044841165789556737")</f>
        <v>1044841165789556737</v>
      </c>
      <c r="F787" s="4"/>
      <c r="G787" s="4"/>
      <c r="H787" s="4"/>
      <c r="I787" s="10" t="str">
        <f>HYPERLINK("http://twitter.com/download/iphone","Twitter for iPhone")</f>
        <v>Twitter for iPhone</v>
      </c>
      <c r="J787" s="2">
        <v>40</v>
      </c>
      <c r="K787" s="2">
        <v>84</v>
      </c>
      <c r="L787" s="2">
        <v>1</v>
      </c>
      <c r="M787" s="2"/>
      <c r="N787" s="8">
        <v>39982.293958333335</v>
      </c>
      <c r="O787" s="4" t="s">
        <v>16</v>
      </c>
      <c r="P787" s="3"/>
      <c r="Q787" s="4"/>
      <c r="R787" s="4"/>
      <c r="S787" s="9" t="str">
        <f>HYPERLINK("https://pbs.twimg.com/profile_images/658103925497839620/FzkpohR4.jpg","View")</f>
        <v>View</v>
      </c>
    </row>
    <row r="788" spans="1:19" ht="40">
      <c r="A788" s="8">
        <v>43369.429351851853</v>
      </c>
      <c r="B788" s="11" t="str">
        <f>HYPERLINK("https://twitter.com/jahanshomol","@jahanshomol")</f>
        <v>@jahanshomol</v>
      </c>
      <c r="C788" s="6" t="s">
        <v>1734</v>
      </c>
      <c r="D788" s="5" t="s">
        <v>1733</v>
      </c>
      <c r="E788" s="9" t="str">
        <f>HYPERLINK("https://twitter.com/jahanshomol/status/1044841062899101697","1044841062899101697")</f>
        <v>1044841062899101697</v>
      </c>
      <c r="F788" s="4"/>
      <c r="G788" s="4"/>
      <c r="H788" s="4"/>
      <c r="I788" s="10" t="str">
        <f>HYPERLINK("http://twitter.com/download/android","Twitter for Android")</f>
        <v>Twitter for Android</v>
      </c>
      <c r="J788" s="2">
        <v>34</v>
      </c>
      <c r="K788" s="2">
        <v>111</v>
      </c>
      <c r="L788" s="2">
        <v>0</v>
      </c>
      <c r="M788" s="2"/>
      <c r="N788" s="8">
        <v>41679.759398148148</v>
      </c>
      <c r="O788" s="4"/>
      <c r="P788" s="3"/>
      <c r="Q788" s="4"/>
      <c r="R788" s="4"/>
      <c r="S788" s="9" t="str">
        <f>HYPERLINK("https://pbs.twimg.com/profile_images/948829992066125824/2yCQ1oNR.jpg","View")</f>
        <v>View</v>
      </c>
    </row>
    <row r="789" spans="1:19" ht="40">
      <c r="A789" s="8">
        <v>43369.429293981477</v>
      </c>
      <c r="B789" s="11" t="str">
        <f>HYPERLINK("https://twitter.com/Nazanin_kamali","@Nazanin_kamali")</f>
        <v>@Nazanin_kamali</v>
      </c>
      <c r="C789" s="6" t="s">
        <v>1732</v>
      </c>
      <c r="D789" s="5" t="s">
        <v>1473</v>
      </c>
      <c r="E789" s="9" t="str">
        <f>HYPERLINK("https://twitter.com/Nazanin_kamali/status/1044841043873726464","1044841043873726464")</f>
        <v>1044841043873726464</v>
      </c>
      <c r="F789" s="4"/>
      <c r="G789" s="4"/>
      <c r="H789" s="4"/>
      <c r="I789" s="10" t="str">
        <f>HYPERLINK("http://twitter.com","Twitter Web Client")</f>
        <v>Twitter Web Client</v>
      </c>
      <c r="J789" s="2">
        <v>20082</v>
      </c>
      <c r="K789" s="2">
        <v>4605</v>
      </c>
      <c r="L789" s="2">
        <v>60</v>
      </c>
      <c r="M789" s="2"/>
      <c r="N789" s="8">
        <v>42807.639085648145</v>
      </c>
      <c r="O789" s="4"/>
      <c r="P789" s="3" t="s">
        <v>1731</v>
      </c>
      <c r="Q789" s="4"/>
      <c r="R789" s="4"/>
      <c r="S789" s="9" t="str">
        <f>HYPERLINK("https://pbs.twimg.com/profile_images/1035791974354366464/o-9rhNRO.jpg","View")</f>
        <v>View</v>
      </c>
    </row>
    <row r="790" spans="1:19" ht="40">
      <c r="A790" s="8">
        <v>43369.428807870368</v>
      </c>
      <c r="B790" s="11" t="str">
        <f>HYPERLINK("https://twitter.com/sadegh_parsa95","@sadegh_parsa95")</f>
        <v>@sadegh_parsa95</v>
      </c>
      <c r="C790" s="6" t="s">
        <v>928</v>
      </c>
      <c r="D790" s="5" t="s">
        <v>1473</v>
      </c>
      <c r="E790" s="9" t="str">
        <f>HYPERLINK("https://twitter.com/sadegh_parsa95/status/1044840868027478016","1044840868027478016")</f>
        <v>1044840868027478016</v>
      </c>
      <c r="F790" s="4"/>
      <c r="G790" s="4"/>
      <c r="H790" s="4"/>
      <c r="I790" s="10" t="str">
        <f>HYPERLINK("http://twitter.com/download/android","Twitter for Android")</f>
        <v>Twitter for Android</v>
      </c>
      <c r="J790" s="2">
        <v>1762</v>
      </c>
      <c r="K790" s="2">
        <v>404</v>
      </c>
      <c r="L790" s="2">
        <v>5</v>
      </c>
      <c r="M790" s="2"/>
      <c r="N790" s="8">
        <v>42988.836689814816</v>
      </c>
      <c r="O790" s="4"/>
      <c r="P790" s="3" t="s">
        <v>927</v>
      </c>
      <c r="Q790" s="4"/>
      <c r="R790" s="4"/>
      <c r="S790" s="9" t="str">
        <f>HYPERLINK("https://pbs.twimg.com/profile_images/907230654429106176/QzckVgHW.jpg","View")</f>
        <v>View</v>
      </c>
    </row>
    <row r="791" spans="1:19" ht="40">
      <c r="A791" s="8">
        <v>43369.428773148145</v>
      </c>
      <c r="B791" s="11" t="str">
        <f>HYPERLINK("https://twitter.com/AlamAlhoda4","@AlamAlhoda4")</f>
        <v>@AlamAlhoda4</v>
      </c>
      <c r="C791" s="6" t="s">
        <v>1258</v>
      </c>
      <c r="D791" s="5" t="s">
        <v>1730</v>
      </c>
      <c r="E791" s="9" t="str">
        <f>HYPERLINK("https://twitter.com/AlamAlhoda4/status/1044840853536165894","1044840853536165894")</f>
        <v>1044840853536165894</v>
      </c>
      <c r="F791" s="4"/>
      <c r="G791" s="4"/>
      <c r="H791" s="4"/>
      <c r="I791" s="10" t="str">
        <f>HYPERLINK("http://twitter.com/download/android","Twitter for Android")</f>
        <v>Twitter for Android</v>
      </c>
      <c r="J791" s="2">
        <v>152</v>
      </c>
      <c r="K791" s="2">
        <v>56</v>
      </c>
      <c r="L791" s="2">
        <v>0</v>
      </c>
      <c r="M791" s="2"/>
      <c r="N791" s="8">
        <v>43302.741759259261</v>
      </c>
      <c r="O791" s="4" t="s">
        <v>1256</v>
      </c>
      <c r="P791" s="3" t="s">
        <v>1255</v>
      </c>
      <c r="Q791" s="4"/>
      <c r="R791" s="4"/>
      <c r="S791" s="9" t="str">
        <f>HYPERLINK("https://pbs.twimg.com/profile_images/1020663339914072069/iUOWrnzs.jpg","View")</f>
        <v>View</v>
      </c>
    </row>
    <row r="792" spans="1:19" ht="30">
      <c r="A792" s="8">
        <v>43369.428391203706</v>
      </c>
      <c r="B792" s="11" t="str">
        <f>HYPERLINK("https://twitter.com/Mohamad_parsaa","@Mohamad_parsaa")</f>
        <v>@Mohamad_parsaa</v>
      </c>
      <c r="C792" s="6" t="s">
        <v>1729</v>
      </c>
      <c r="D792" s="5" t="s">
        <v>1728</v>
      </c>
      <c r="E792" s="9" t="str">
        <f>HYPERLINK("https://twitter.com/Mohamad_parsaa/status/1044840715031842817","1044840715031842817")</f>
        <v>1044840715031842817</v>
      </c>
      <c r="F792" s="4"/>
      <c r="G792" s="4"/>
      <c r="H792" s="4"/>
      <c r="I792" s="10" t="str">
        <f>HYPERLINK("http://twitter.com/download/iphone","Twitter for iPhone")</f>
        <v>Twitter for iPhone</v>
      </c>
      <c r="J792" s="2">
        <v>6</v>
      </c>
      <c r="K792" s="2">
        <v>36</v>
      </c>
      <c r="L792" s="2">
        <v>0</v>
      </c>
      <c r="M792" s="2"/>
      <c r="N792" s="8">
        <v>43211.795254629629</v>
      </c>
      <c r="O792" s="4" t="s">
        <v>1727</v>
      </c>
      <c r="P792" s="3" t="s">
        <v>1726</v>
      </c>
      <c r="Q792" s="4"/>
      <c r="R792" s="4"/>
      <c r="S792" s="9" t="str">
        <f>HYPERLINK("https://pbs.twimg.com/profile_images/1044083622339366912/ui_Pi5NK.jpg","View")</f>
        <v>View</v>
      </c>
    </row>
    <row r="793" spans="1:19" ht="20">
      <c r="A793" s="8">
        <v>43369.42833333333</v>
      </c>
      <c r="B793" s="11" t="str">
        <f>HYPERLINK("https://twitter.com/Miladjxyz","@Miladjxyz")</f>
        <v>@Miladjxyz</v>
      </c>
      <c r="C793" s="6" t="s">
        <v>1725</v>
      </c>
      <c r="D793" s="5" t="s">
        <v>102</v>
      </c>
      <c r="E793" s="9" t="str">
        <f>HYPERLINK("https://twitter.com/Miladjxyz/status/1044840695905882112","1044840695905882112")</f>
        <v>1044840695905882112</v>
      </c>
      <c r="F793" s="4"/>
      <c r="G793" s="4"/>
      <c r="H793" s="4"/>
      <c r="I793" s="10" t="str">
        <f>HYPERLINK("http://twitter.com/download/android","Twitter for Android")</f>
        <v>Twitter for Android</v>
      </c>
      <c r="J793" s="2">
        <v>132</v>
      </c>
      <c r="K793" s="2">
        <v>134</v>
      </c>
      <c r="L793" s="2">
        <v>0</v>
      </c>
      <c r="M793" s="2"/>
      <c r="N793" s="8">
        <v>43265.863449074073</v>
      </c>
      <c r="O793" s="4"/>
      <c r="P793" s="3"/>
      <c r="Q793" s="4"/>
      <c r="R793" s="4"/>
      <c r="S793" s="9" t="str">
        <f>HYPERLINK("https://pbs.twimg.com/profile_images/1036958166582546432/eLqwlGQ-.jpg","View")</f>
        <v>View</v>
      </c>
    </row>
    <row r="794" spans="1:19" ht="20">
      <c r="A794" s="8">
        <v>43369.428148148145</v>
      </c>
      <c r="B794" s="11" t="str">
        <f>HYPERLINK("https://twitter.com/AbbasRezaeiS","@AbbasRezaeiS")</f>
        <v>@AbbasRezaeiS</v>
      </c>
      <c r="C794" s="6" t="s">
        <v>1724</v>
      </c>
      <c r="D794" s="5" t="s">
        <v>185</v>
      </c>
      <c r="E794" s="9" t="str">
        <f>HYPERLINK("https://twitter.com/AbbasRezaeiS/status/1044840629359063041","1044840629359063041")</f>
        <v>1044840629359063041</v>
      </c>
      <c r="F794" s="4"/>
      <c r="G794" s="10" t="s">
        <v>177</v>
      </c>
      <c r="H794" s="4"/>
      <c r="I794" s="10" t="str">
        <f>HYPERLINK("http://twitter.com","Twitter Web Client")</f>
        <v>Twitter Web Client</v>
      </c>
      <c r="J794" s="2">
        <v>400</v>
      </c>
      <c r="K794" s="2">
        <v>388</v>
      </c>
      <c r="L794" s="2">
        <v>6</v>
      </c>
      <c r="M794" s="2"/>
      <c r="N794" s="8">
        <v>39931.762569444443</v>
      </c>
      <c r="O794" s="4" t="s">
        <v>22</v>
      </c>
      <c r="P794" s="3" t="s">
        <v>1723</v>
      </c>
      <c r="Q794" s="10" t="s">
        <v>1722</v>
      </c>
      <c r="R794" s="4"/>
      <c r="S794" s="9" t="str">
        <f>HYPERLINK("https://pbs.twimg.com/profile_images/876482411772727296/7WgniTnO.jpg","View")</f>
        <v>View</v>
      </c>
    </row>
    <row r="795" spans="1:19" ht="30">
      <c r="A795" s="8">
        <v>43369.428020833337</v>
      </c>
      <c r="B795" s="11" t="str">
        <f>HYPERLINK("https://twitter.com/patispaa","@patispaa")</f>
        <v>@patispaa</v>
      </c>
      <c r="C795" s="6" t="s">
        <v>1721</v>
      </c>
      <c r="D795" s="5" t="s">
        <v>1720</v>
      </c>
      <c r="E795" s="9" t="str">
        <f>HYPERLINK("https://twitter.com/patispaa/status/1044840582147964928","1044840582147964928")</f>
        <v>1044840582147964928</v>
      </c>
      <c r="F795" s="4"/>
      <c r="G795" s="10" t="s">
        <v>1695</v>
      </c>
      <c r="H795" s="4"/>
      <c r="I795" s="10" t="str">
        <f>HYPERLINK("http://twitter.com/download/android","Twitter for Android")</f>
        <v>Twitter for Android</v>
      </c>
      <c r="J795" s="2">
        <v>3889</v>
      </c>
      <c r="K795" s="2">
        <v>4691</v>
      </c>
      <c r="L795" s="2">
        <v>1</v>
      </c>
      <c r="M795" s="2"/>
      <c r="N795" s="8">
        <v>43166.476261574076</v>
      </c>
      <c r="O795" s="4" t="s">
        <v>25</v>
      </c>
      <c r="P795" s="3" t="s">
        <v>1719</v>
      </c>
      <c r="Q795" s="4"/>
      <c r="R795" s="4"/>
      <c r="S795" s="9" t="str">
        <f>HYPERLINK("https://pbs.twimg.com/profile_images/1022762019601166337/AgK0oyzB.jpg","View")</f>
        <v>View</v>
      </c>
    </row>
    <row r="796" spans="1:19" ht="30">
      <c r="A796" s="8">
        <v>43369.427881944444</v>
      </c>
      <c r="B796" s="11" t="str">
        <f>HYPERLINK("https://twitter.com/hamshahrinews","@hamshahrinews")</f>
        <v>@hamshahrinews</v>
      </c>
      <c r="C796" s="6" t="s">
        <v>1718</v>
      </c>
      <c r="D796" s="5" t="s">
        <v>1717</v>
      </c>
      <c r="E796" s="9" t="str">
        <f>HYPERLINK("https://twitter.com/hamshahrinews/status/1044840529148760065","1044840529148760065")</f>
        <v>1044840529148760065</v>
      </c>
      <c r="F796" s="10" t="s">
        <v>1716</v>
      </c>
      <c r="G796" s="4"/>
      <c r="H796" s="4"/>
      <c r="I796" s="10" t="str">
        <f>HYPERLINK("http://twitter.com","Twitter Web Client")</f>
        <v>Twitter Web Client</v>
      </c>
      <c r="J796" s="2">
        <v>1993</v>
      </c>
      <c r="K796" s="2">
        <v>13</v>
      </c>
      <c r="L796" s="2">
        <v>46</v>
      </c>
      <c r="M796" s="2"/>
      <c r="N796" s="8">
        <v>42984.575752314813</v>
      </c>
      <c r="O796" s="4" t="s">
        <v>25</v>
      </c>
      <c r="P796" s="3" t="s">
        <v>1715</v>
      </c>
      <c r="Q796" s="10" t="s">
        <v>1714</v>
      </c>
      <c r="R796" s="4"/>
      <c r="S796" s="9" t="str">
        <f>HYPERLINK("https://pbs.twimg.com/profile_images/918008480631533568/-awyAU90.jpg","View")</f>
        <v>View</v>
      </c>
    </row>
    <row r="797" spans="1:19" ht="30">
      <c r="A797" s="8">
        <v>43369.427812499998</v>
      </c>
      <c r="B797" s="11" t="str">
        <f>HYPERLINK("https://twitter.com/kardinal_284","@kardinal_284")</f>
        <v>@kardinal_284</v>
      </c>
      <c r="C797" s="6" t="s">
        <v>1713</v>
      </c>
      <c r="D797" s="5" t="s">
        <v>1593</v>
      </c>
      <c r="E797" s="9" t="str">
        <f>HYPERLINK("https://twitter.com/kardinal_284/status/1044840506524602370","1044840506524602370")</f>
        <v>1044840506524602370</v>
      </c>
      <c r="F797" s="4"/>
      <c r="G797" s="10" t="s">
        <v>1543</v>
      </c>
      <c r="H797" s="4"/>
      <c r="I797" s="10" t="str">
        <f>HYPERLINK("http://twitter.com","Twitter Web Client")</f>
        <v>Twitter Web Client</v>
      </c>
      <c r="J797" s="2">
        <v>414</v>
      </c>
      <c r="K797" s="2">
        <v>908</v>
      </c>
      <c r="L797" s="2">
        <v>0</v>
      </c>
      <c r="M797" s="2"/>
      <c r="N797" s="8">
        <v>43101.471782407403</v>
      </c>
      <c r="O797" s="4"/>
      <c r="P797" s="3" t="s">
        <v>1712</v>
      </c>
      <c r="Q797" s="4"/>
      <c r="R797" s="4"/>
      <c r="S797" s="9" t="str">
        <f>HYPERLINK("https://pbs.twimg.com/profile_images/1035775028770611200/wqnTVoog.jpg","View")</f>
        <v>View</v>
      </c>
    </row>
    <row r="798" spans="1:19" ht="20">
      <c r="A798" s="8">
        <v>43369.427650462967</v>
      </c>
      <c r="B798" s="11" t="str">
        <f>HYPERLINK("https://twitter.com/ab_kh_ir","@ab_kh_ir")</f>
        <v>@ab_kh_ir</v>
      </c>
      <c r="C798" s="6" t="s">
        <v>1711</v>
      </c>
      <c r="D798" s="5" t="s">
        <v>1147</v>
      </c>
      <c r="E798" s="9" t="str">
        <f>HYPERLINK("https://twitter.com/ab_kh_ir/status/1044840445547827200","1044840445547827200")</f>
        <v>1044840445547827200</v>
      </c>
      <c r="F798" s="4"/>
      <c r="G798" s="10" t="s">
        <v>1146</v>
      </c>
      <c r="H798" s="4"/>
      <c r="I798" s="10" t="str">
        <f>HYPERLINK("http://twitter.com","Twitter Web Client")</f>
        <v>Twitter Web Client</v>
      </c>
      <c r="J798" s="2">
        <v>655</v>
      </c>
      <c r="K798" s="2">
        <v>758</v>
      </c>
      <c r="L798" s="2">
        <v>1</v>
      </c>
      <c r="M798" s="2"/>
      <c r="N798" s="8">
        <v>43188.109178240746</v>
      </c>
      <c r="O798" s="4"/>
      <c r="P798" s="3"/>
      <c r="Q798" s="4"/>
      <c r="R798" s="4"/>
      <c r="S798" s="9" t="str">
        <f>HYPERLINK("https://pbs.twimg.com/profile_images/1028155274526257152/eUzabrNc.jpg","View")</f>
        <v>View</v>
      </c>
    </row>
    <row r="799" spans="1:19" ht="30">
      <c r="A799" s="8">
        <v>43369.427199074074</v>
      </c>
      <c r="B799" s="11" t="str">
        <f>HYPERLINK("https://twitter.com/MirSpreader","@MirSpreader")</f>
        <v>@MirSpreader</v>
      </c>
      <c r="C799" s="6" t="s">
        <v>1008</v>
      </c>
      <c r="D799" s="5" t="s">
        <v>1710</v>
      </c>
      <c r="E799" s="9" t="str">
        <f>HYPERLINK("https://twitter.com/MirSpreader/status/1044840282330738688","1044840282330738688")</f>
        <v>1044840282330738688</v>
      </c>
      <c r="F799" s="4"/>
      <c r="G799" s="10" t="s">
        <v>1677</v>
      </c>
      <c r="H799" s="4"/>
      <c r="I799" s="10" t="str">
        <f>HYPERLINK("https://gitlab.com/danialbehzadi/mirspreader","MirSpreader")</f>
        <v>MirSpreader</v>
      </c>
      <c r="J799" s="2">
        <v>688</v>
      </c>
      <c r="K799" s="2">
        <v>226</v>
      </c>
      <c r="L799" s="2">
        <v>4</v>
      </c>
      <c r="M799" s="2"/>
      <c r="N799" s="8">
        <v>41500.165601851855</v>
      </c>
      <c r="O799" s="4" t="s">
        <v>1006</v>
      </c>
      <c r="P799" s="3" t="s">
        <v>1005</v>
      </c>
      <c r="Q799" s="10" t="s">
        <v>1004</v>
      </c>
      <c r="R799" s="4"/>
      <c r="S799" s="9" t="str">
        <f>HYPERLINK("https://pbs.twimg.com/profile_images/967183999465529344/pxrXyOL2.jpg","View")</f>
        <v>View</v>
      </c>
    </row>
    <row r="800" spans="1:19" ht="40">
      <c r="A800" s="8">
        <v>43369.427187499998</v>
      </c>
      <c r="B800" s="11" t="str">
        <f>HYPERLINK("https://twitter.com/Ayyoubsaba1","@Ayyoubsaba1")</f>
        <v>@Ayyoubsaba1</v>
      </c>
      <c r="C800" s="6" t="s">
        <v>1709</v>
      </c>
      <c r="D800" s="5" t="s">
        <v>1556</v>
      </c>
      <c r="E800" s="9" t="str">
        <f>HYPERLINK("https://twitter.com/Ayyoubsaba1/status/1044840277511426050","1044840277511426050")</f>
        <v>1044840277511426050</v>
      </c>
      <c r="F800" s="4"/>
      <c r="G800" s="4"/>
      <c r="H800" s="4"/>
      <c r="I800" s="10" t="str">
        <f>HYPERLINK("http://twitter.com/download/iphone","Twitter for iPhone")</f>
        <v>Twitter for iPhone</v>
      </c>
      <c r="J800" s="2">
        <v>37</v>
      </c>
      <c r="K800" s="2">
        <v>174</v>
      </c>
      <c r="L800" s="2">
        <v>0</v>
      </c>
      <c r="M800" s="2"/>
      <c r="N800" s="8">
        <v>43106.543333333335</v>
      </c>
      <c r="O800" s="4"/>
      <c r="P800" s="3"/>
      <c r="Q800" s="4"/>
      <c r="R800" s="4"/>
      <c r="S800" s="9" t="str">
        <f>HYPERLINK("https://pbs.twimg.com/profile_images/990843560999178240/VTicsouH.jpg","View")</f>
        <v>View</v>
      </c>
    </row>
    <row r="801" spans="1:19" ht="20">
      <c r="A801" s="8">
        <v>43369.427025462966</v>
      </c>
      <c r="B801" s="11" t="str">
        <f>HYPERLINK("https://twitter.com/Same_Irani","@Same_Irani")</f>
        <v>@Same_Irani</v>
      </c>
      <c r="C801" s="6" t="s">
        <v>1152</v>
      </c>
      <c r="D801" s="5" t="s">
        <v>1708</v>
      </c>
      <c r="E801" s="9" t="str">
        <f>HYPERLINK("https://twitter.com/Same_Irani/status/1044840222415101953","1044840222415101953")</f>
        <v>1044840222415101953</v>
      </c>
      <c r="F801" s="4"/>
      <c r="G801" s="10" t="s">
        <v>1707</v>
      </c>
      <c r="H801" s="4"/>
      <c r="I801" s="10" t="str">
        <f>HYPERLINK("http://twitter.com","Twitter Web Client")</f>
        <v>Twitter Web Client</v>
      </c>
      <c r="J801" s="2">
        <v>784</v>
      </c>
      <c r="K801" s="2">
        <v>579</v>
      </c>
      <c r="L801" s="2">
        <v>0</v>
      </c>
      <c r="M801" s="2"/>
      <c r="N801" s="8">
        <v>43143.716134259259</v>
      </c>
      <c r="O801" s="4"/>
      <c r="P801" s="3"/>
      <c r="Q801" s="4"/>
      <c r="R801" s="4"/>
      <c r="S801" s="9" t="str">
        <f>HYPERLINK("https://pbs.twimg.com/profile_images/993193233336426498/VZLD4GQp.jpg","View")</f>
        <v>View</v>
      </c>
    </row>
    <row r="802" spans="1:19" ht="40">
      <c r="A802" s="8">
        <v>43369.427025462966</v>
      </c>
      <c r="B802" s="11" t="str">
        <f>HYPERLINK("https://twitter.com/ba5685977","@ba5685977")</f>
        <v>@ba5685977</v>
      </c>
      <c r="C802" s="6" t="s">
        <v>1706</v>
      </c>
      <c r="D802" s="5" t="s">
        <v>756</v>
      </c>
      <c r="E802" s="9" t="str">
        <f>HYPERLINK("https://twitter.com/ba5685977/status/1044840220414418944","1044840220414418944")</f>
        <v>1044840220414418944</v>
      </c>
      <c r="F802" s="4"/>
      <c r="G802" s="4"/>
      <c r="H802" s="4"/>
      <c r="I802" s="10" t="str">
        <f>HYPERLINK("http://twitter.com/download/android","Twitter for Android")</f>
        <v>Twitter for Android</v>
      </c>
      <c r="J802" s="2">
        <v>739</v>
      </c>
      <c r="K802" s="2">
        <v>705</v>
      </c>
      <c r="L802" s="2">
        <v>3</v>
      </c>
      <c r="M802" s="2"/>
      <c r="N802" s="8">
        <v>43094.51427083333</v>
      </c>
      <c r="O802" s="4" t="s">
        <v>1</v>
      </c>
      <c r="P802" s="3" t="s">
        <v>1705</v>
      </c>
      <c r="Q802" s="4"/>
      <c r="R802" s="4"/>
      <c r="S802" s="9" t="str">
        <f>HYPERLINK("https://pbs.twimg.com/profile_images/1034804957449539584/XaiU7T3y.jpg","View")</f>
        <v>View</v>
      </c>
    </row>
    <row r="803" spans="1:19" ht="40">
      <c r="A803" s="8">
        <v>43369.426851851851</v>
      </c>
      <c r="B803" s="11" t="str">
        <f>HYPERLINK("https://twitter.com/Kuroshfree","@Kuroshfree")</f>
        <v>@Kuroshfree</v>
      </c>
      <c r="C803" s="6" t="s">
        <v>1704</v>
      </c>
      <c r="D803" s="5" t="s">
        <v>1404</v>
      </c>
      <c r="E803" s="9" t="str">
        <f>HYPERLINK("https://twitter.com/Kuroshfree/status/1044840156270931970","1044840156270931970")</f>
        <v>1044840156270931970</v>
      </c>
      <c r="F803" s="4"/>
      <c r="G803" s="4"/>
      <c r="H803" s="4"/>
      <c r="I803" s="10" t="str">
        <f>HYPERLINK("http://twitter.com/download/android","Twitter for Android")</f>
        <v>Twitter for Android</v>
      </c>
      <c r="J803" s="2">
        <v>849</v>
      </c>
      <c r="K803" s="2">
        <v>159</v>
      </c>
      <c r="L803" s="2">
        <v>0</v>
      </c>
      <c r="M803" s="2"/>
      <c r="N803" s="8">
        <v>42884.170914351853</v>
      </c>
      <c r="O803" s="4"/>
      <c r="P803" s="3" t="s">
        <v>1703</v>
      </c>
      <c r="Q803" s="4"/>
      <c r="R803" s="4"/>
      <c r="S803" s="9" t="str">
        <f>HYPERLINK("https://pbs.twimg.com/profile_images/868976135232794624/mtX1A-7t.jpg","View")</f>
        <v>View</v>
      </c>
    </row>
    <row r="804" spans="1:19" ht="30">
      <c r="A804" s="8">
        <v>43369.426770833335</v>
      </c>
      <c r="B804" s="11" t="str">
        <f>HYPERLINK("https://twitter.com/Same_Irani","@Same_Irani")</f>
        <v>@Same_Irani</v>
      </c>
      <c r="C804" s="6" t="s">
        <v>1152</v>
      </c>
      <c r="D804" s="5" t="s">
        <v>1702</v>
      </c>
      <c r="E804" s="9" t="str">
        <f>HYPERLINK("https://twitter.com/Same_Irani/status/1044840128202649600","1044840128202649600")</f>
        <v>1044840128202649600</v>
      </c>
      <c r="F804" s="4"/>
      <c r="G804" s="10" t="s">
        <v>1701</v>
      </c>
      <c r="H804" s="4"/>
      <c r="I804" s="10" t="str">
        <f>HYPERLINK("http://twitter.com","Twitter Web Client")</f>
        <v>Twitter Web Client</v>
      </c>
      <c r="J804" s="2">
        <v>784</v>
      </c>
      <c r="K804" s="2">
        <v>579</v>
      </c>
      <c r="L804" s="2">
        <v>0</v>
      </c>
      <c r="M804" s="2"/>
      <c r="N804" s="8">
        <v>43143.716134259259</v>
      </c>
      <c r="O804" s="4"/>
      <c r="P804" s="3"/>
      <c r="Q804" s="4"/>
      <c r="R804" s="4"/>
      <c r="S804" s="9" t="str">
        <f>HYPERLINK("https://pbs.twimg.com/profile_images/993193233336426498/VZLD4GQp.jpg","View")</f>
        <v>View</v>
      </c>
    </row>
    <row r="805" spans="1:19" ht="40">
      <c r="A805" s="8">
        <v>43369.426701388889</v>
      </c>
      <c r="B805" s="11" t="str">
        <f>HYPERLINK("https://twitter.com/Farhad31676998","@Farhad31676998")</f>
        <v>@Farhad31676998</v>
      </c>
      <c r="C805" s="6" t="s">
        <v>1700</v>
      </c>
      <c r="D805" s="5" t="s">
        <v>1699</v>
      </c>
      <c r="E805" s="9" t="str">
        <f>HYPERLINK("https://twitter.com/Farhad31676998/status/1044840105188487171","1044840105188487171")</f>
        <v>1044840105188487171</v>
      </c>
      <c r="F805" s="4"/>
      <c r="G805" s="4"/>
      <c r="H805" s="4"/>
      <c r="I805" s="10" t="str">
        <f>HYPERLINK("http://twitter.com/download/android","Twitter for Android")</f>
        <v>Twitter for Android</v>
      </c>
      <c r="J805" s="2">
        <v>0</v>
      </c>
      <c r="K805" s="2">
        <v>0</v>
      </c>
      <c r="L805" s="2">
        <v>0</v>
      </c>
      <c r="M805" s="2"/>
      <c r="N805" s="8">
        <v>43276.914930555555</v>
      </c>
      <c r="O805" s="4"/>
      <c r="P805" s="3"/>
      <c r="Q805" s="4"/>
      <c r="R805" s="4"/>
      <c r="S805" s="2" t="s">
        <v>21</v>
      </c>
    </row>
    <row r="806" spans="1:19" ht="20">
      <c r="A806" s="8">
        <v>43369.426655092597</v>
      </c>
      <c r="B806" s="11" t="str">
        <f>HYPERLINK("https://twitter.com/mehraban222","@mehraban222")</f>
        <v>@mehraban222</v>
      </c>
      <c r="C806" s="6" t="s">
        <v>1698</v>
      </c>
      <c r="D806" s="5" t="s">
        <v>15</v>
      </c>
      <c r="E806" s="9" t="str">
        <f>HYPERLINK("https://twitter.com/mehraban222/status/1044840085970202624","1044840085970202624")</f>
        <v>1044840085970202624</v>
      </c>
      <c r="F806" s="4"/>
      <c r="G806" s="4"/>
      <c r="H806" s="4"/>
      <c r="I806" s="10" t="str">
        <f>HYPERLINK("http://twitter.com/download/android","Twitter for Android")</f>
        <v>Twitter for Android</v>
      </c>
      <c r="J806" s="2">
        <v>447</v>
      </c>
      <c r="K806" s="2">
        <v>488</v>
      </c>
      <c r="L806" s="2">
        <v>1</v>
      </c>
      <c r="M806" s="2"/>
      <c r="N806" s="8">
        <v>43303.377615740741</v>
      </c>
      <c r="O806" s="4" t="s">
        <v>786</v>
      </c>
      <c r="P806" s="3"/>
      <c r="Q806" s="4"/>
      <c r="R806" s="4"/>
      <c r="S806" s="9" t="str">
        <f>HYPERLINK("https://pbs.twimg.com/profile_images/1032527543960829952/97f1-7A8.jpg","View")</f>
        <v>View</v>
      </c>
    </row>
    <row r="807" spans="1:19" ht="30">
      <c r="A807" s="8">
        <v>43369.426469907412</v>
      </c>
      <c r="B807" s="11" t="str">
        <f>HYPERLINK("https://twitter.com/kazeruni","@kazeruni")</f>
        <v>@kazeruni</v>
      </c>
      <c r="C807" s="6" t="s">
        <v>1697</v>
      </c>
      <c r="D807" s="5" t="s">
        <v>1696</v>
      </c>
      <c r="E807" s="9" t="str">
        <f>HYPERLINK("https://twitter.com/kazeruni/status/1044840019263975424","1044840019263975424")</f>
        <v>1044840019263975424</v>
      </c>
      <c r="F807" s="4"/>
      <c r="G807" s="10" t="s">
        <v>1695</v>
      </c>
      <c r="H807" s="4"/>
      <c r="I807" s="10" t="str">
        <f>HYPERLINK("http://twitter.com/download/iphone","Twitter for iPhone")</f>
        <v>Twitter for iPhone</v>
      </c>
      <c r="J807" s="2">
        <v>16847</v>
      </c>
      <c r="K807" s="2">
        <v>869</v>
      </c>
      <c r="L807" s="2">
        <v>135</v>
      </c>
      <c r="M807" s="2"/>
      <c r="N807" s="8">
        <v>41406.983124999999</v>
      </c>
      <c r="O807" s="4" t="s">
        <v>7</v>
      </c>
      <c r="P807" s="3" t="s">
        <v>1694</v>
      </c>
      <c r="Q807" s="10" t="s">
        <v>1693</v>
      </c>
      <c r="R807" s="4"/>
      <c r="S807" s="9" t="str">
        <f>HYPERLINK("https://pbs.twimg.com/profile_images/1044657825639788550/BJvSdLSt.jpg","View")</f>
        <v>View</v>
      </c>
    </row>
    <row r="808" spans="1:19" ht="40">
      <c r="A808" s="8">
        <v>43369.426157407404</v>
      </c>
      <c r="B808" s="11" t="str">
        <f>HYPERLINK("https://twitter.com/sam1983t","@sam1983t")</f>
        <v>@sam1983t</v>
      </c>
      <c r="C808" s="6" t="s">
        <v>1692</v>
      </c>
      <c r="D808" s="5" t="s">
        <v>1691</v>
      </c>
      <c r="E808" s="9" t="str">
        <f>HYPERLINK("https://twitter.com/sam1983t/status/1044839907531919360","1044839907531919360")</f>
        <v>1044839907531919360</v>
      </c>
      <c r="F808" s="4"/>
      <c r="G808" s="4"/>
      <c r="H808" s="4"/>
      <c r="I808" s="10" t="str">
        <f>HYPERLINK("http://twitter.com/download/iphone","Twitter for iPhone")</f>
        <v>Twitter for iPhone</v>
      </c>
      <c r="J808" s="2">
        <v>2442</v>
      </c>
      <c r="K808" s="2">
        <v>1264</v>
      </c>
      <c r="L808" s="2">
        <v>15</v>
      </c>
      <c r="M808" s="2"/>
      <c r="N808" s="8">
        <v>41915.015474537038</v>
      </c>
      <c r="O808" s="4" t="s">
        <v>1690</v>
      </c>
      <c r="P808" s="3" t="s">
        <v>1689</v>
      </c>
      <c r="Q808" s="4"/>
      <c r="R808" s="4"/>
      <c r="S808" s="9" t="str">
        <f>HYPERLINK("https://pbs.twimg.com/profile_images/916425672406503424/WyuueP4p.jpg","View")</f>
        <v>View</v>
      </c>
    </row>
    <row r="809" spans="1:19" ht="40">
      <c r="A809" s="8">
        <v>43369.426064814819</v>
      </c>
      <c r="B809" s="11" t="str">
        <f>HYPERLINK("https://twitter.com/masoudshahini","@masoudshahini")</f>
        <v>@masoudshahini</v>
      </c>
      <c r="C809" s="6" t="s">
        <v>1688</v>
      </c>
      <c r="D809" s="5" t="s">
        <v>1556</v>
      </c>
      <c r="E809" s="9" t="str">
        <f>HYPERLINK("https://twitter.com/masoudshahini/status/1044839872127733762","1044839872127733762")</f>
        <v>1044839872127733762</v>
      </c>
      <c r="F809" s="4"/>
      <c r="G809" s="4"/>
      <c r="H809" s="4"/>
      <c r="I809" s="10" t="str">
        <f>HYPERLINK("http://twitter.com","Twitter Web Client")</f>
        <v>Twitter Web Client</v>
      </c>
      <c r="J809" s="2">
        <v>26</v>
      </c>
      <c r="K809" s="2">
        <v>96</v>
      </c>
      <c r="L809" s="2">
        <v>0</v>
      </c>
      <c r="M809" s="2"/>
      <c r="N809" s="8">
        <v>41572.870995370373</v>
      </c>
      <c r="O809" s="4" t="s">
        <v>1687</v>
      </c>
      <c r="P809" s="3" t="s">
        <v>1686</v>
      </c>
      <c r="Q809" s="10" t="s">
        <v>1685</v>
      </c>
      <c r="R809" s="4"/>
      <c r="S809" s="9" t="str">
        <f>HYPERLINK("https://pbs.twimg.com/profile_images/818850444764151808/3-0txF0O.jpg","View")</f>
        <v>View</v>
      </c>
    </row>
    <row r="810" spans="1:19" ht="30">
      <c r="A810" s="8">
        <v>43369.425115740742</v>
      </c>
      <c r="B810" s="11" t="str">
        <f>HYPERLINK("https://twitter.com/Dubaitrainer","@Dubaitrainer")</f>
        <v>@Dubaitrainer</v>
      </c>
      <c r="C810" s="6" t="s">
        <v>1684</v>
      </c>
      <c r="D810" s="5" t="s">
        <v>1683</v>
      </c>
      <c r="E810" s="9" t="str">
        <f>HYPERLINK("https://twitter.com/Dubaitrainer/status/1044839528807182336","1044839528807182336")</f>
        <v>1044839528807182336</v>
      </c>
      <c r="F810" s="4"/>
      <c r="G810" s="10" t="s">
        <v>1658</v>
      </c>
      <c r="H810" s="4"/>
      <c r="I810" s="10" t="str">
        <f>HYPERLINK("http://twitter.com/download/android","Twitter for Android")</f>
        <v>Twitter for Android</v>
      </c>
      <c r="J810" s="2">
        <v>2068</v>
      </c>
      <c r="K810" s="2">
        <v>4992</v>
      </c>
      <c r="L810" s="2">
        <v>49</v>
      </c>
      <c r="M810" s="2"/>
      <c r="N810" s="8">
        <v>41395.720706018517</v>
      </c>
      <c r="O810" s="4" t="s">
        <v>1682</v>
      </c>
      <c r="P810" s="3" t="s">
        <v>1681</v>
      </c>
      <c r="Q810" s="4"/>
      <c r="R810" s="4"/>
      <c r="S810" s="9" t="str">
        <f>HYPERLINK("https://pbs.twimg.com/profile_images/1007684354213113856/l9iUB97K.jpg","View")</f>
        <v>View</v>
      </c>
    </row>
    <row r="811" spans="1:19" ht="30">
      <c r="A811" s="8">
        <v>43369.424768518518</v>
      </c>
      <c r="B811" s="11" t="str">
        <f>HYPERLINK("https://twitter.com/paradox2071","@paradox2071")</f>
        <v>@paradox2071</v>
      </c>
      <c r="C811" s="6" t="s">
        <v>930</v>
      </c>
      <c r="D811" s="5" t="s">
        <v>49</v>
      </c>
      <c r="E811" s="9" t="str">
        <f>HYPERLINK("https://twitter.com/paradox2071/status/1044839401447206912","1044839401447206912")</f>
        <v>1044839401447206912</v>
      </c>
      <c r="F811" s="4"/>
      <c r="G811" s="4"/>
      <c r="H811" s="4"/>
      <c r="I811" s="10" t="str">
        <f>HYPERLINK("http://twitter.com/download/android","Twitter for Android")</f>
        <v>Twitter for Android</v>
      </c>
      <c r="J811" s="2">
        <v>1119</v>
      </c>
      <c r="K811" s="2">
        <v>1108</v>
      </c>
      <c r="L811" s="2">
        <v>1</v>
      </c>
      <c r="M811" s="2"/>
      <c r="N811" s="8">
        <v>43103.333877314813</v>
      </c>
      <c r="O811" s="4" t="s">
        <v>929</v>
      </c>
      <c r="P811" s="3"/>
      <c r="Q811" s="4"/>
      <c r="R811" s="4"/>
      <c r="S811" s="9" t="str">
        <f>HYPERLINK("https://pbs.twimg.com/profile_images/1011158472279220225/aKPM8F0D.jpg","View")</f>
        <v>View</v>
      </c>
    </row>
    <row r="812" spans="1:19" ht="40">
      <c r="A812" s="8">
        <v>43369.424502314811</v>
      </c>
      <c r="B812" s="11" t="str">
        <f>HYPERLINK("https://twitter.com/retwitt_fa","@retwitt_fa")</f>
        <v>@retwitt_fa</v>
      </c>
      <c r="C812" s="6" t="s">
        <v>1635</v>
      </c>
      <c r="D812" s="5" t="s">
        <v>877</v>
      </c>
      <c r="E812" s="9" t="str">
        <f>HYPERLINK("https://twitter.com/retwitt_fa/status/1044839304739135488","1044839304739135488")</f>
        <v>1044839304739135488</v>
      </c>
      <c r="F812" s="4"/>
      <c r="G812" s="4"/>
      <c r="H812" s="4"/>
      <c r="I812" s="10" t="str">
        <f>HYPERLINK("http://twitter.com/download/android","Twitter for Android")</f>
        <v>Twitter for Android</v>
      </c>
      <c r="J812" s="2">
        <v>44</v>
      </c>
      <c r="K812" s="2">
        <v>45</v>
      </c>
      <c r="L812" s="2">
        <v>0</v>
      </c>
      <c r="M812" s="2"/>
      <c r="N812" s="8">
        <v>43156.925381944442</v>
      </c>
      <c r="O812" s="4"/>
      <c r="P812" s="3"/>
      <c r="Q812" s="4"/>
      <c r="R812" s="4"/>
      <c r="S812" s="2" t="s">
        <v>21</v>
      </c>
    </row>
    <row r="813" spans="1:19" ht="40">
      <c r="A813" s="8">
        <v>43369.424479166672</v>
      </c>
      <c r="B813" s="11" t="str">
        <f>HYPERLINK("https://twitter.com/Liliziba2","@Liliziba2")</f>
        <v>@Liliziba2</v>
      </c>
      <c r="C813" s="6" t="s">
        <v>1680</v>
      </c>
      <c r="D813" s="5" t="s">
        <v>1556</v>
      </c>
      <c r="E813" s="9" t="str">
        <f>HYPERLINK("https://twitter.com/Liliziba2/status/1044839297705226240","1044839297705226240")</f>
        <v>1044839297705226240</v>
      </c>
      <c r="F813" s="4"/>
      <c r="G813" s="4"/>
      <c r="H813" s="4"/>
      <c r="I813" s="10" t="str">
        <f>HYPERLINK("https://mobile.twitter.com","Twitter Lite")</f>
        <v>Twitter Lite</v>
      </c>
      <c r="J813" s="2">
        <v>93</v>
      </c>
      <c r="K813" s="2">
        <v>173</v>
      </c>
      <c r="L813" s="2">
        <v>0</v>
      </c>
      <c r="M813" s="2"/>
      <c r="N813" s="8">
        <v>42882.834710648152</v>
      </c>
      <c r="O813" s="4" t="s">
        <v>22</v>
      </c>
      <c r="P813" s="3" t="s">
        <v>1679</v>
      </c>
      <c r="Q813" s="4"/>
      <c r="R813" s="4"/>
      <c r="S813" s="9" t="str">
        <f>HYPERLINK("https://pbs.twimg.com/profile_images/935914845811113989/lF4oHLiX.jpg","View")</f>
        <v>View</v>
      </c>
    </row>
    <row r="814" spans="1:19" ht="30">
      <c r="A814" s="8">
        <v>43369.424120370371</v>
      </c>
      <c r="B814" s="11" t="str">
        <f>HYPERLINK("https://twitter.com/Arash57228","@Arash57228")</f>
        <v>@Arash57228</v>
      </c>
      <c r="C814" s="6" t="s">
        <v>1054</v>
      </c>
      <c r="D814" s="5" t="s">
        <v>1678</v>
      </c>
      <c r="E814" s="9" t="str">
        <f>HYPERLINK("https://twitter.com/Arash57228/status/1044839167694376960","1044839167694376960")</f>
        <v>1044839167694376960</v>
      </c>
      <c r="F814" s="4"/>
      <c r="G814" s="10" t="s">
        <v>1677</v>
      </c>
      <c r="H814" s="4"/>
      <c r="I814" s="10" t="str">
        <f>HYPERLINK("http://twitter.com/download/android","Twitter for Android")</f>
        <v>Twitter for Android</v>
      </c>
      <c r="J814" s="2">
        <v>28</v>
      </c>
      <c r="K814" s="2">
        <v>35</v>
      </c>
      <c r="L814" s="2">
        <v>0</v>
      </c>
      <c r="M814" s="2"/>
      <c r="N814" s="8">
        <v>41713.961018518516</v>
      </c>
      <c r="O814" s="4"/>
      <c r="P814" s="3"/>
      <c r="Q814" s="4"/>
      <c r="R814" s="4"/>
      <c r="S814" s="9" t="str">
        <f>HYPERLINK("https://pbs.twimg.com/profile_images/904642440362999808/Tvzy4Kdl.jpg","View")</f>
        <v>View</v>
      </c>
    </row>
    <row r="815" spans="1:19" ht="40">
      <c r="A815" s="8">
        <v>43369.423796296294</v>
      </c>
      <c r="B815" s="11" t="str">
        <f>HYPERLINK("https://twitter.com/mehbazrafkan","@mehbazrafkan")</f>
        <v>@mehbazrafkan</v>
      </c>
      <c r="C815" s="6" t="s">
        <v>1550</v>
      </c>
      <c r="D815" s="5" t="s">
        <v>1676</v>
      </c>
      <c r="E815" s="9" t="str">
        <f>HYPERLINK("https://twitter.com/mehbazrafkan/status/1044839052158128129","1044839052158128129")</f>
        <v>1044839052158128129</v>
      </c>
      <c r="F815" s="4"/>
      <c r="G815" s="10" t="s">
        <v>1675</v>
      </c>
      <c r="H815" s="4"/>
      <c r="I815" s="10" t="str">
        <f>HYPERLINK("http://twitter.com","Twitter Web Client")</f>
        <v>Twitter Web Client</v>
      </c>
      <c r="J815" s="2">
        <v>13</v>
      </c>
      <c r="K815" s="2">
        <v>20</v>
      </c>
      <c r="L815" s="2">
        <v>1</v>
      </c>
      <c r="M815" s="2"/>
      <c r="N815" s="8">
        <v>42918.762662037036</v>
      </c>
      <c r="O815" s="4"/>
      <c r="P815" s="3"/>
      <c r="Q815" s="4"/>
      <c r="R815" s="4"/>
      <c r="S815" s="9" t="str">
        <f>HYPERLINK("https://pbs.twimg.com/profile_images/912751238713708546/S7xDaZTr.jpg","View")</f>
        <v>View</v>
      </c>
    </row>
    <row r="816" spans="1:19" ht="40">
      <c r="A816" s="8">
        <v>43369.423738425925</v>
      </c>
      <c r="B816" s="11" t="str">
        <f>HYPERLINK("https://twitter.com/nikanarekhii","@nikanarekhii")</f>
        <v>@nikanarekhii</v>
      </c>
      <c r="C816" s="6" t="s">
        <v>1674</v>
      </c>
      <c r="D816" s="5" t="s">
        <v>1556</v>
      </c>
      <c r="E816" s="9" t="str">
        <f>HYPERLINK("https://twitter.com/nikanarekhii/status/1044839029915766784","1044839029915766784")</f>
        <v>1044839029915766784</v>
      </c>
      <c r="F816" s="4"/>
      <c r="G816" s="4"/>
      <c r="H816" s="4"/>
      <c r="I816" s="10" t="str">
        <f>HYPERLINK("http://twitter.com/download/iphone","Twitter for iPhone")</f>
        <v>Twitter for iPhone</v>
      </c>
      <c r="J816" s="2">
        <v>93</v>
      </c>
      <c r="K816" s="2">
        <v>243</v>
      </c>
      <c r="L816" s="2">
        <v>0</v>
      </c>
      <c r="M816" s="2"/>
      <c r="N816" s="8">
        <v>43217.897326388891</v>
      </c>
      <c r="O816" s="4" t="s">
        <v>7</v>
      </c>
      <c r="P816" s="3" t="s">
        <v>1673</v>
      </c>
      <c r="Q816" s="4"/>
      <c r="R816" s="4"/>
      <c r="S816" s="9" t="str">
        <f>HYPERLINK("https://pbs.twimg.com/profile_images/1042687114520010754/URe7Lrao.jpg","View")</f>
        <v>View</v>
      </c>
    </row>
    <row r="817" spans="1:19" ht="40">
      <c r="A817" s="8">
        <v>43369.423668981486</v>
      </c>
      <c r="B817" s="11" t="str">
        <f>HYPERLINK("https://twitter.com/omidfj133","@omidfj133")</f>
        <v>@omidfj133</v>
      </c>
      <c r="C817" s="6" t="s">
        <v>1672</v>
      </c>
      <c r="D817" s="5" t="s">
        <v>1556</v>
      </c>
      <c r="E817" s="9" t="str">
        <f>HYPERLINK("https://twitter.com/omidfj133/status/1044839004573761536","1044839004573761536")</f>
        <v>1044839004573761536</v>
      </c>
      <c r="F817" s="4"/>
      <c r="G817" s="4"/>
      <c r="H817" s="4"/>
      <c r="I817" s="10" t="str">
        <f>HYPERLINK("http://twitter.com","Twitter Web Client")</f>
        <v>Twitter Web Client</v>
      </c>
      <c r="J817" s="2">
        <v>248</v>
      </c>
      <c r="K817" s="2">
        <v>1785</v>
      </c>
      <c r="L817" s="2">
        <v>3</v>
      </c>
      <c r="M817" s="2"/>
      <c r="N817" s="8">
        <v>42366.632418981477</v>
      </c>
      <c r="O817" s="4" t="s">
        <v>1671</v>
      </c>
      <c r="P817" s="3"/>
      <c r="Q817" s="4"/>
      <c r="R817" s="4"/>
      <c r="S817" s="9" t="str">
        <f>HYPERLINK("https://pbs.twimg.com/profile_images/964225158188736512/fZCVgTwd.jpg","View")</f>
        <v>View</v>
      </c>
    </row>
    <row r="818" spans="1:19" ht="30">
      <c r="A818" s="8">
        <v>43369.423622685186</v>
      </c>
      <c r="B818" s="11" t="str">
        <f>HYPERLINK("https://twitter.com/Z_B1984","@Z_B1984")</f>
        <v>@Z_B1984</v>
      </c>
      <c r="C818" s="6" t="s">
        <v>1670</v>
      </c>
      <c r="D818" s="5" t="s">
        <v>49</v>
      </c>
      <c r="E818" s="9" t="str">
        <f>HYPERLINK("https://twitter.com/Z_B1984/status/1044838987263807489","1044838987263807489")</f>
        <v>1044838987263807489</v>
      </c>
      <c r="F818" s="4"/>
      <c r="G818" s="4"/>
      <c r="H818" s="4"/>
      <c r="I818" s="10" t="str">
        <f>HYPERLINK("http://twitter.com/download/android","Twitter for Android")</f>
        <v>Twitter for Android</v>
      </c>
      <c r="J818" s="2">
        <v>194</v>
      </c>
      <c r="K818" s="2">
        <v>99</v>
      </c>
      <c r="L818" s="2">
        <v>2</v>
      </c>
      <c r="M818" s="2"/>
      <c r="N818" s="8">
        <v>41742.680972222224</v>
      </c>
      <c r="O818" s="4"/>
      <c r="P818" s="3" t="s">
        <v>1669</v>
      </c>
      <c r="Q818" s="4"/>
      <c r="R818" s="4"/>
      <c r="S818" s="9" t="str">
        <f>HYPERLINK("https://pbs.twimg.com/profile_images/998802721388965889/TFnMiMq_.jpg","View")</f>
        <v>View</v>
      </c>
    </row>
    <row r="819" spans="1:19" ht="30">
      <c r="A819" s="8">
        <v>43369.423541666663</v>
      </c>
      <c r="B819" s="11" t="str">
        <f>HYPERLINK("https://twitter.com/retwitt_fa","@retwitt_fa")</f>
        <v>@retwitt_fa</v>
      </c>
      <c r="C819" s="6" t="s">
        <v>1635</v>
      </c>
      <c r="D819" s="5" t="s">
        <v>1668</v>
      </c>
      <c r="E819" s="9" t="str">
        <f>HYPERLINK("https://twitter.com/retwitt_fa/status/1044838958402883584","1044838958402883584")</f>
        <v>1044838958402883584</v>
      </c>
      <c r="F819" s="4"/>
      <c r="G819" s="10" t="s">
        <v>1068</v>
      </c>
      <c r="H819" s="4"/>
      <c r="I819" s="10" t="str">
        <f>HYPERLINK("http://twitter.com/download/android","Twitter for Android")</f>
        <v>Twitter for Android</v>
      </c>
      <c r="J819" s="2">
        <v>44</v>
      </c>
      <c r="K819" s="2">
        <v>45</v>
      </c>
      <c r="L819" s="2">
        <v>0</v>
      </c>
      <c r="M819" s="2"/>
      <c r="N819" s="8">
        <v>43156.925381944442</v>
      </c>
      <c r="O819" s="4"/>
      <c r="P819" s="3"/>
      <c r="Q819" s="4"/>
      <c r="R819" s="4"/>
      <c r="S819" s="2" t="s">
        <v>21</v>
      </c>
    </row>
    <row r="820" spans="1:19" ht="20">
      <c r="A820" s="8">
        <v>43369.423379629632</v>
      </c>
      <c r="B820" s="11" t="str">
        <f>HYPERLINK("https://twitter.com/mortezasayadi11","@mortezasayadi11")</f>
        <v>@mortezasayadi11</v>
      </c>
      <c r="C820" s="6" t="s">
        <v>213</v>
      </c>
      <c r="D820" s="5" t="s">
        <v>79</v>
      </c>
      <c r="E820" s="9" t="str">
        <f>HYPERLINK("https://twitter.com/mortezasayadi11/status/1044838900676653280","1044838900676653280")</f>
        <v>1044838900676653280</v>
      </c>
      <c r="F820" s="4"/>
      <c r="G820" s="4"/>
      <c r="H820" s="4"/>
      <c r="I820" s="10" t="str">
        <f>HYPERLINK("http://twitter.com/download/android","Twitter for Android")</f>
        <v>Twitter for Android</v>
      </c>
      <c r="J820" s="2">
        <v>39</v>
      </c>
      <c r="K820" s="2">
        <v>42</v>
      </c>
      <c r="L820" s="2">
        <v>0</v>
      </c>
      <c r="M820" s="2"/>
      <c r="N820" s="8">
        <v>43219.018888888888</v>
      </c>
      <c r="O820" s="4" t="s">
        <v>7</v>
      </c>
      <c r="P820" s="3" t="s">
        <v>212</v>
      </c>
      <c r="Q820" s="4"/>
      <c r="R820" s="4"/>
      <c r="S820" s="9" t="str">
        <f>HYPERLINK("https://pbs.twimg.com/profile_images/1042501226800316420/mZIwNpib.jpg","View")</f>
        <v>View</v>
      </c>
    </row>
    <row r="821" spans="1:19" ht="40">
      <c r="A821" s="8">
        <v>43369.423206018517</v>
      </c>
      <c r="B821" s="11" t="str">
        <f>HYPERLINK("https://twitter.com/abuezrail","@abuezrail")</f>
        <v>@abuezrail</v>
      </c>
      <c r="C821" s="6" t="s">
        <v>1667</v>
      </c>
      <c r="D821" s="5" t="s">
        <v>1473</v>
      </c>
      <c r="E821" s="9" t="str">
        <f>HYPERLINK("https://twitter.com/abuezrail/status/1044838835585257472","1044838835585257472")</f>
        <v>1044838835585257472</v>
      </c>
      <c r="F821" s="4"/>
      <c r="G821" s="4"/>
      <c r="H821" s="4"/>
      <c r="I821" s="10" t="str">
        <f>HYPERLINK("http://twitter.com/download/android","Twitter for Android")</f>
        <v>Twitter for Android</v>
      </c>
      <c r="J821" s="2">
        <v>2285</v>
      </c>
      <c r="K821" s="2">
        <v>2238</v>
      </c>
      <c r="L821" s="2">
        <v>2</v>
      </c>
      <c r="M821" s="2"/>
      <c r="N821" s="8">
        <v>42996.613761574074</v>
      </c>
      <c r="O821" s="4" t="s">
        <v>1666</v>
      </c>
      <c r="P821" s="3" t="s">
        <v>1665</v>
      </c>
      <c r="Q821" s="10" t="s">
        <v>1664</v>
      </c>
      <c r="R821" s="4"/>
      <c r="S821" s="9" t="str">
        <f>HYPERLINK("https://pbs.twimg.com/profile_images/1037834242925965313/CxvhygD_.jpg","View")</f>
        <v>View</v>
      </c>
    </row>
    <row r="822" spans="1:19" ht="40">
      <c r="A822" s="8">
        <v>43369.423171296294</v>
      </c>
      <c r="B822" s="11" t="str">
        <f>HYPERLINK("https://twitter.com/glstar67","@glstar67")</f>
        <v>@glstar67</v>
      </c>
      <c r="C822" s="6" t="s">
        <v>195</v>
      </c>
      <c r="D822" s="5" t="s">
        <v>1556</v>
      </c>
      <c r="E822" s="9" t="str">
        <f>HYPERLINK("https://twitter.com/glstar67/status/1044838825170735104","1044838825170735104")</f>
        <v>1044838825170735104</v>
      </c>
      <c r="F822" s="4"/>
      <c r="G822" s="4"/>
      <c r="H822" s="4"/>
      <c r="I822" s="10" t="str">
        <f>HYPERLINK("https://mobile.twitter.com","Twitter Lite")</f>
        <v>Twitter Lite</v>
      </c>
      <c r="J822" s="2">
        <v>338</v>
      </c>
      <c r="K822" s="2">
        <v>232</v>
      </c>
      <c r="L822" s="2">
        <v>0</v>
      </c>
      <c r="M822" s="2"/>
      <c r="N822" s="8">
        <v>41134.078692129631</v>
      </c>
      <c r="O822" s="4"/>
      <c r="P822" s="3"/>
      <c r="Q822" s="4"/>
      <c r="R822" s="4"/>
      <c r="S822" s="9" t="str">
        <f>HYPERLINK("https://pbs.twimg.com/profile_images/884486643033309184/7eqHuNqf.jpg","View")</f>
        <v>View</v>
      </c>
    </row>
    <row r="823" spans="1:19" ht="40">
      <c r="A823" s="8">
        <v>43369.422835648147</v>
      </c>
      <c r="B823" s="11" t="str">
        <f>HYPERLINK("https://twitter.com/4cb591aff26c47e","@4cb591aff26c47e")</f>
        <v>@4cb591aff26c47e</v>
      </c>
      <c r="C823" s="6" t="s">
        <v>1663</v>
      </c>
      <c r="D823" s="5" t="s">
        <v>1556</v>
      </c>
      <c r="E823" s="9" t="str">
        <f>HYPERLINK("https://twitter.com/4cb591aff26c47e/status/1044838703947034624","1044838703947034624")</f>
        <v>1044838703947034624</v>
      </c>
      <c r="F823" s="4"/>
      <c r="G823" s="4"/>
      <c r="H823" s="4"/>
      <c r="I823" s="10" t="str">
        <f>HYPERLINK("http://twitter.com/download/android","Twitter for Android")</f>
        <v>Twitter for Android</v>
      </c>
      <c r="J823" s="2">
        <v>88</v>
      </c>
      <c r="K823" s="2">
        <v>479</v>
      </c>
      <c r="L823" s="2">
        <v>0</v>
      </c>
      <c r="M823" s="2"/>
      <c r="N823" s="8">
        <v>41972.771365740744</v>
      </c>
      <c r="O823" s="4" t="s">
        <v>1662</v>
      </c>
      <c r="P823" s="3" t="s">
        <v>1661</v>
      </c>
      <c r="Q823" s="4"/>
      <c r="R823" s="4"/>
      <c r="S823" s="9" t="str">
        <f>HYPERLINK("https://pbs.twimg.com/profile_images/1042504348985683968/SDSlc-rO.jpg","View")</f>
        <v>View</v>
      </c>
    </row>
    <row r="824" spans="1:19" ht="40">
      <c r="A824" s="8">
        <v>43369.422708333332</v>
      </c>
      <c r="B824" s="11" t="str">
        <f>HYPERLINK("https://twitter.com/leunic_ms","@leunic_ms")</f>
        <v>@leunic_ms</v>
      </c>
      <c r="C824" s="6" t="s">
        <v>833</v>
      </c>
      <c r="D824" s="5" t="s">
        <v>1404</v>
      </c>
      <c r="E824" s="9" t="str">
        <f>HYPERLINK("https://twitter.com/leunic_ms/status/1044838658275192832","1044838658275192832")</f>
        <v>1044838658275192832</v>
      </c>
      <c r="F824" s="4"/>
      <c r="G824" s="4"/>
      <c r="H824" s="4"/>
      <c r="I824" s="10" t="str">
        <f>HYPERLINK("http://twitter.com/download/android","Twitter for Android")</f>
        <v>Twitter for Android</v>
      </c>
      <c r="J824" s="2">
        <v>1184</v>
      </c>
      <c r="K824" s="2">
        <v>1626</v>
      </c>
      <c r="L824" s="2">
        <v>0</v>
      </c>
      <c r="M824" s="2"/>
      <c r="N824" s="8">
        <v>42801.382037037038</v>
      </c>
      <c r="O824" s="4" t="s">
        <v>832</v>
      </c>
      <c r="P824" s="3" t="s">
        <v>831</v>
      </c>
      <c r="Q824" s="4"/>
      <c r="R824" s="4"/>
      <c r="S824" s="9" t="str">
        <f>HYPERLINK("https://pbs.twimg.com/profile_images/947801655835353088/iqFglK1E.jpg","View")</f>
        <v>View</v>
      </c>
    </row>
    <row r="825" spans="1:19" ht="30">
      <c r="A825" s="8">
        <v>43369.422407407408</v>
      </c>
      <c r="B825" s="11" t="str">
        <f>HYPERLINK("https://twitter.com/freedommesenger","@freedommesenger")</f>
        <v>@freedommesenger</v>
      </c>
      <c r="C825" s="6" t="s">
        <v>1660</v>
      </c>
      <c r="D825" s="5" t="s">
        <v>1659</v>
      </c>
      <c r="E825" s="9" t="str">
        <f>HYPERLINK("https://twitter.com/freedommesenger/status/1044838547054841856","1044838547054841856")</f>
        <v>1044838547054841856</v>
      </c>
      <c r="F825" s="4"/>
      <c r="G825" s="10" t="s">
        <v>1658</v>
      </c>
      <c r="H825" s="4"/>
      <c r="I825" s="10" t="str">
        <f>HYPERLINK("http://twitter.com","Twitter Web Client")</f>
        <v>Twitter Web Client</v>
      </c>
      <c r="J825" s="2">
        <v>7874</v>
      </c>
      <c r="K825" s="2">
        <v>32</v>
      </c>
      <c r="L825" s="2">
        <v>263</v>
      </c>
      <c r="M825" s="2"/>
      <c r="N825" s="8">
        <v>40052.203796296293</v>
      </c>
      <c r="O825" s="4" t="s">
        <v>1657</v>
      </c>
      <c r="P825" s="3" t="s">
        <v>1656</v>
      </c>
      <c r="Q825" s="10" t="s">
        <v>1655</v>
      </c>
      <c r="R825" s="4"/>
      <c r="S825" s="9" t="str">
        <f>HYPERLINK("https://pbs.twimg.com/profile_images/756008327/youtube_icon_01.jpg","View")</f>
        <v>View</v>
      </c>
    </row>
    <row r="826" spans="1:19" ht="30">
      <c r="A826" s="8">
        <v>43369.422256944439</v>
      </c>
      <c r="B826" s="11" t="str">
        <f>HYPERLINK("https://twitter.com/hichi_nothing","@hichi_nothing")</f>
        <v>@hichi_nothing</v>
      </c>
      <c r="C826" s="6" t="s">
        <v>1522</v>
      </c>
      <c r="D826" s="5" t="s">
        <v>106</v>
      </c>
      <c r="E826" s="9" t="str">
        <f>HYPERLINK("https://twitter.com/hichi_nothing/status/1044838490767339523","1044838490767339523")</f>
        <v>1044838490767339523</v>
      </c>
      <c r="F826" s="4"/>
      <c r="G826" s="10" t="s">
        <v>105</v>
      </c>
      <c r="H826" s="4"/>
      <c r="I826" s="10" t="str">
        <f>HYPERLINK("http://twitter.com/download/android","Twitter for Android")</f>
        <v>Twitter for Android</v>
      </c>
      <c r="J826" s="2">
        <v>10</v>
      </c>
      <c r="K826" s="2">
        <v>26</v>
      </c>
      <c r="L826" s="2">
        <v>0</v>
      </c>
      <c r="M826" s="2"/>
      <c r="N826" s="8">
        <v>43360.402013888888</v>
      </c>
      <c r="O826" s="4" t="s">
        <v>1654</v>
      </c>
      <c r="P826" s="3" t="s">
        <v>1653</v>
      </c>
      <c r="Q826" s="4"/>
      <c r="R826" s="4"/>
      <c r="S826" s="9" t="str">
        <f>HYPERLINK("https://pbs.twimg.com/profile_images/1042653477862866946/oRQtqxcE.jpg","View")</f>
        <v>View</v>
      </c>
    </row>
    <row r="827" spans="1:19" ht="40">
      <c r="A827" s="8">
        <v>43369.422060185185</v>
      </c>
      <c r="B827" s="11" t="str">
        <f>HYPERLINK("https://twitter.com/aftabkaran16","@aftabkaran16")</f>
        <v>@aftabkaran16</v>
      </c>
      <c r="C827" s="6" t="s">
        <v>1652</v>
      </c>
      <c r="D827" s="5" t="s">
        <v>58</v>
      </c>
      <c r="E827" s="9" t="str">
        <f>HYPERLINK("https://twitter.com/aftabkaran16/status/1044838420164562945","1044838420164562945")</f>
        <v>1044838420164562945</v>
      </c>
      <c r="F827" s="4"/>
      <c r="G827" s="10" t="s">
        <v>57</v>
      </c>
      <c r="H827" s="4"/>
      <c r="I827" s="10" t="str">
        <f>HYPERLINK("http://twitter.com","Twitter Web Client")</f>
        <v>Twitter Web Client</v>
      </c>
      <c r="J827" s="2">
        <v>449</v>
      </c>
      <c r="K827" s="2">
        <v>496</v>
      </c>
      <c r="L827" s="2">
        <v>21</v>
      </c>
      <c r="M827" s="2"/>
      <c r="N827" s="8">
        <v>42489.018055555556</v>
      </c>
      <c r="O827" s="4"/>
      <c r="P827" s="3" t="s">
        <v>1651</v>
      </c>
      <c r="Q827" s="4"/>
      <c r="R827" s="4"/>
      <c r="S827" s="9" t="str">
        <f>HYPERLINK("https://pbs.twimg.com/profile_images/1008387246427258880/oM1rsb7K.png","View")</f>
        <v>View</v>
      </c>
    </row>
    <row r="828" spans="1:19" ht="40">
      <c r="A828" s="8">
        <v>43369.421458333338</v>
      </c>
      <c r="B828" s="11" t="str">
        <f>HYPERLINK("https://twitter.com/hamidrsn110","@hamidrsn110")</f>
        <v>@hamidrsn110</v>
      </c>
      <c r="C828" s="6" t="s">
        <v>1650</v>
      </c>
      <c r="D828" s="5" t="s">
        <v>1548</v>
      </c>
      <c r="E828" s="9" t="str">
        <f>HYPERLINK("https://twitter.com/hamidrsn110/status/1044838203587534849","1044838203587534849")</f>
        <v>1044838203587534849</v>
      </c>
      <c r="F828" s="4"/>
      <c r="G828" s="4"/>
      <c r="H828" s="4"/>
      <c r="I828" s="10" t="str">
        <f>HYPERLINK("http://twitter.com/download/android","Twitter for Android")</f>
        <v>Twitter for Android</v>
      </c>
      <c r="J828" s="2">
        <v>96</v>
      </c>
      <c r="K828" s="2">
        <v>87</v>
      </c>
      <c r="L828" s="2">
        <v>1</v>
      </c>
      <c r="M828" s="2"/>
      <c r="N828" s="8">
        <v>42917.682824074072</v>
      </c>
      <c r="O828" s="4" t="s">
        <v>1</v>
      </c>
      <c r="P828" s="3" t="s">
        <v>1649</v>
      </c>
      <c r="Q828" s="10" t="s">
        <v>1648</v>
      </c>
      <c r="R828" s="4"/>
      <c r="S828" s="9" t="str">
        <f>HYPERLINK("https://pbs.twimg.com/profile_images/1041795132134236164/C3Kd8YSJ.jpg","View")</f>
        <v>View</v>
      </c>
    </row>
    <row r="829" spans="1:19" ht="30">
      <c r="A829" s="8">
        <v>43369.421435185184</v>
      </c>
      <c r="B829" s="11" t="str">
        <f>HYPERLINK("https://twitter.com/Saeed_Bahariam","@Saeed_Bahariam")</f>
        <v>@Saeed_Bahariam</v>
      </c>
      <c r="C829" s="6" t="s">
        <v>1156</v>
      </c>
      <c r="D829" s="5" t="s">
        <v>1460</v>
      </c>
      <c r="E829" s="9" t="str">
        <f>HYPERLINK("https://twitter.com/Saeed_Bahariam/status/1044838196515938304","1044838196515938304")</f>
        <v>1044838196515938304</v>
      </c>
      <c r="F829" s="4"/>
      <c r="G829" s="4"/>
      <c r="H829" s="4"/>
      <c r="I829" s="10" t="str">
        <f>HYPERLINK("http://twitter.com/download/android","Twitter for Android")</f>
        <v>Twitter for Android</v>
      </c>
      <c r="J829" s="2">
        <v>966</v>
      </c>
      <c r="K829" s="2">
        <v>1252</v>
      </c>
      <c r="L829" s="2">
        <v>0</v>
      </c>
      <c r="M829" s="2"/>
      <c r="N829" s="8">
        <v>43100.649108796293</v>
      </c>
      <c r="O829" s="4" t="s">
        <v>1154</v>
      </c>
      <c r="P829" s="3" t="s">
        <v>1153</v>
      </c>
      <c r="Q829" s="4"/>
      <c r="R829" s="4"/>
      <c r="S829" s="9" t="str">
        <f>HYPERLINK("https://pbs.twimg.com/profile_images/994988869769625601/FrkUKAFM.jpg","View")</f>
        <v>View</v>
      </c>
    </row>
    <row r="830" spans="1:19" ht="30">
      <c r="A830" s="8">
        <v>43369.421412037038</v>
      </c>
      <c r="B830" s="11" t="str">
        <f>HYPERLINK("https://twitter.com/shahinshayea","@shahinshayea")</f>
        <v>@shahinshayea</v>
      </c>
      <c r="C830" s="6" t="s">
        <v>1067</v>
      </c>
      <c r="D830" s="5" t="s">
        <v>49</v>
      </c>
      <c r="E830" s="9" t="str">
        <f>HYPERLINK("https://twitter.com/shahinshayea/status/1044838184700579840","1044838184700579840")</f>
        <v>1044838184700579840</v>
      </c>
      <c r="F830" s="4"/>
      <c r="G830" s="4"/>
      <c r="H830" s="4"/>
      <c r="I830" s="10" t="str">
        <f>HYPERLINK("http://twitter.com/download/android","Twitter for Android")</f>
        <v>Twitter for Android</v>
      </c>
      <c r="J830" s="2">
        <v>3349</v>
      </c>
      <c r="K830" s="2">
        <v>3929</v>
      </c>
      <c r="L830" s="2">
        <v>1</v>
      </c>
      <c r="M830" s="2"/>
      <c r="N830" s="8">
        <v>43305.017557870371</v>
      </c>
      <c r="O830" s="4"/>
      <c r="P830" s="3" t="s">
        <v>1066</v>
      </c>
      <c r="Q830" s="4"/>
      <c r="R830" s="4"/>
      <c r="S830" s="9" t="str">
        <f>HYPERLINK("https://pbs.twimg.com/profile_images/1041855773054328835/Ie6gv1P7.jpg","View")</f>
        <v>View</v>
      </c>
    </row>
    <row r="831" spans="1:19" ht="50">
      <c r="A831" s="8">
        <v>43369.421331018515</v>
      </c>
      <c r="B831" s="11" t="str">
        <f>HYPERLINK("https://twitter.com/retwitt_fa","@retwitt_fa")</f>
        <v>@retwitt_fa</v>
      </c>
      <c r="C831" s="6" t="s">
        <v>1635</v>
      </c>
      <c r="D831" s="5" t="s">
        <v>1647</v>
      </c>
      <c r="E831" s="9" t="str">
        <f>HYPERLINK("https://twitter.com/retwitt_fa/status/1044838157185880064","1044838157185880064")</f>
        <v>1044838157185880064</v>
      </c>
      <c r="F831" s="4"/>
      <c r="G831" s="4"/>
      <c r="H831" s="4"/>
      <c r="I831" s="10" t="str">
        <f>HYPERLINK("http://twitter.com/download/android","Twitter for Android")</f>
        <v>Twitter for Android</v>
      </c>
      <c r="J831" s="2">
        <v>44</v>
      </c>
      <c r="K831" s="2">
        <v>45</v>
      </c>
      <c r="L831" s="2">
        <v>0</v>
      </c>
      <c r="M831" s="2"/>
      <c r="N831" s="8">
        <v>43156.925381944442</v>
      </c>
      <c r="O831" s="4"/>
      <c r="P831" s="3"/>
      <c r="Q831" s="4"/>
      <c r="R831" s="4"/>
      <c r="S831" s="2" t="s">
        <v>21</v>
      </c>
    </row>
    <row r="832" spans="1:19" ht="40">
      <c r="A832" s="8">
        <v>43369.421249999999</v>
      </c>
      <c r="B832" s="11" t="str">
        <f>HYPERLINK("https://twitter.com/abasshemmati34","@abasshemmati34")</f>
        <v>@abasshemmati34</v>
      </c>
      <c r="C832" s="6" t="s">
        <v>1646</v>
      </c>
      <c r="D832" s="5" t="s">
        <v>58</v>
      </c>
      <c r="E832" s="9" t="str">
        <f>HYPERLINK("https://twitter.com/abasshemmati34/status/1044838126592696321","1044838126592696321")</f>
        <v>1044838126592696321</v>
      </c>
      <c r="F832" s="4"/>
      <c r="G832" s="10" t="s">
        <v>57</v>
      </c>
      <c r="H832" s="4"/>
      <c r="I832" s="10" t="str">
        <f>HYPERLINK("http://twitter.com","Twitter Web Client")</f>
        <v>Twitter Web Client</v>
      </c>
      <c r="J832" s="2">
        <v>735</v>
      </c>
      <c r="K832" s="2">
        <v>685</v>
      </c>
      <c r="L832" s="2">
        <v>1</v>
      </c>
      <c r="M832" s="2"/>
      <c r="N832" s="8">
        <v>42968.472951388889</v>
      </c>
      <c r="O832" s="4" t="s">
        <v>1645</v>
      </c>
      <c r="P832" s="3" t="s">
        <v>1644</v>
      </c>
      <c r="Q832" s="4"/>
      <c r="R832" s="4"/>
      <c r="S832" s="9" t="str">
        <f>HYPERLINK("https://pbs.twimg.com/profile_images/957888376178290688/l23_Z_H0.jpg","View")</f>
        <v>View</v>
      </c>
    </row>
    <row r="833" spans="1:19" ht="40">
      <c r="A833" s="8">
        <v>43369.421099537038</v>
      </c>
      <c r="B833" s="11" t="str">
        <f>HYPERLINK("https://twitter.com/gilejan","@gilejan")</f>
        <v>@gilejan</v>
      </c>
      <c r="C833" s="6" t="s">
        <v>1643</v>
      </c>
      <c r="D833" s="5" t="s">
        <v>1556</v>
      </c>
      <c r="E833" s="9" t="str">
        <f>HYPERLINK("https://twitter.com/gilejan/status/1044838074612699136","1044838074612699136")</f>
        <v>1044838074612699136</v>
      </c>
      <c r="F833" s="4"/>
      <c r="G833" s="4"/>
      <c r="H833" s="4"/>
      <c r="I833" s="10" t="str">
        <f>HYPERLINK("http://twitter.com/download/android","Twitter for Android")</f>
        <v>Twitter for Android</v>
      </c>
      <c r="J833" s="2">
        <v>69</v>
      </c>
      <c r="K833" s="2">
        <v>72</v>
      </c>
      <c r="L833" s="2">
        <v>0</v>
      </c>
      <c r="M833" s="2"/>
      <c r="N833" s="8">
        <v>39995.610266203701</v>
      </c>
      <c r="O833" s="4" t="s">
        <v>1642</v>
      </c>
      <c r="P833" s="3"/>
      <c r="Q833" s="4"/>
      <c r="R833" s="4"/>
      <c r="S833" s="9" t="str">
        <f>HYPERLINK("https://pbs.twimg.com/profile_images/530608946877181953/RYxX4mXj.jpeg","View")</f>
        <v>View</v>
      </c>
    </row>
    <row r="834" spans="1:19" ht="20">
      <c r="A834" s="8">
        <v>43369.42086805556</v>
      </c>
      <c r="B834" s="11" t="str">
        <f>HYPERLINK("https://twitter.com/Kaarton_khaab","@Kaarton_khaab")</f>
        <v>@Kaarton_khaab</v>
      </c>
      <c r="C834" s="6" t="s">
        <v>316</v>
      </c>
      <c r="D834" s="5" t="s">
        <v>1091</v>
      </c>
      <c r="E834" s="9" t="str">
        <f>HYPERLINK("https://twitter.com/Kaarton_khaab/status/1044837990554628098","1044837990554628098")</f>
        <v>1044837990554628098</v>
      </c>
      <c r="F834" s="4"/>
      <c r="G834" s="4"/>
      <c r="H834" s="4"/>
      <c r="I834" s="10" t="str">
        <f>HYPERLINK("http://twitter.com/download/android","Twitter for Android")</f>
        <v>Twitter for Android</v>
      </c>
      <c r="J834" s="2">
        <v>5046</v>
      </c>
      <c r="K834" s="2">
        <v>5551</v>
      </c>
      <c r="L834" s="2">
        <v>3</v>
      </c>
      <c r="M834" s="2"/>
      <c r="N834" s="8">
        <v>43321.482627314814</v>
      </c>
      <c r="O834" s="4" t="s">
        <v>313</v>
      </c>
      <c r="P834" s="3"/>
      <c r="Q834" s="4"/>
      <c r="R834" s="4"/>
      <c r="S834" s="9" t="str">
        <f>HYPERLINK("https://pbs.twimg.com/profile_images/1044151998671671296/wiaq5EXd.jpg","View")</f>
        <v>View</v>
      </c>
    </row>
    <row r="835" spans="1:19" ht="40">
      <c r="A835" s="8">
        <v>43369.420648148152</v>
      </c>
      <c r="B835" s="11" t="str">
        <f>HYPERLINK("https://twitter.com/mahdiyavaran_","@mahdiyavaran_")</f>
        <v>@mahdiyavaran_</v>
      </c>
      <c r="C835" s="6" t="s">
        <v>1641</v>
      </c>
      <c r="D835" s="5" t="s">
        <v>1473</v>
      </c>
      <c r="E835" s="9" t="str">
        <f>HYPERLINK("https://twitter.com/mahdiyavaran_/status/1044837910552424448","1044837910552424448")</f>
        <v>1044837910552424448</v>
      </c>
      <c r="F835" s="4"/>
      <c r="G835" s="4"/>
      <c r="H835" s="4"/>
      <c r="I835" s="10" t="str">
        <f>HYPERLINK("http://twitter.com/download/iphone","Twitter for iPhone")</f>
        <v>Twitter for iPhone</v>
      </c>
      <c r="J835" s="2">
        <v>2094</v>
      </c>
      <c r="K835" s="2">
        <v>2321</v>
      </c>
      <c r="L835" s="2">
        <v>2</v>
      </c>
      <c r="M835" s="2"/>
      <c r="N835" s="8">
        <v>43248.949444444443</v>
      </c>
      <c r="O835" s="4" t="s">
        <v>7</v>
      </c>
      <c r="P835" s="3" t="s">
        <v>1640</v>
      </c>
      <c r="Q835" s="4"/>
      <c r="R835" s="4"/>
      <c r="S835" s="9" t="str">
        <f>HYPERLINK("https://pbs.twimg.com/profile_images/1039399940802404352/6Siu1cg_.jpg","View")</f>
        <v>View</v>
      </c>
    </row>
    <row r="836" spans="1:19" ht="40">
      <c r="A836" s="8">
        <v>43369.420624999999</v>
      </c>
      <c r="B836" s="11" t="str">
        <f>HYPERLINK("https://twitter.com/MHD_1376","@MHD_1376")</f>
        <v>@MHD_1376</v>
      </c>
      <c r="C836" s="6" t="s">
        <v>621</v>
      </c>
      <c r="D836" s="5" t="s">
        <v>75</v>
      </c>
      <c r="E836" s="9" t="str">
        <f>HYPERLINK("https://twitter.com/MHD_1376/status/1044837901568233472","1044837901568233472")</f>
        <v>1044837901568233472</v>
      </c>
      <c r="F836" s="4"/>
      <c r="G836" s="4"/>
      <c r="H836" s="4"/>
      <c r="I836" s="10" t="str">
        <f>HYPERLINK("http://twitter.com/download/android","Twitter for Android")</f>
        <v>Twitter for Android</v>
      </c>
      <c r="J836" s="2">
        <v>2016</v>
      </c>
      <c r="K836" s="2">
        <v>2538</v>
      </c>
      <c r="L836" s="2">
        <v>4</v>
      </c>
      <c r="M836" s="2"/>
      <c r="N836" s="8">
        <v>43140.70034722222</v>
      </c>
      <c r="O836" s="4"/>
      <c r="P836" s="3" t="s">
        <v>1639</v>
      </c>
      <c r="Q836" s="4"/>
      <c r="R836" s="4"/>
      <c r="S836" s="9" t="str">
        <f>HYPERLINK("https://pbs.twimg.com/profile_images/1039341853160525825/l_afqciq.jpg","View")</f>
        <v>View</v>
      </c>
    </row>
    <row r="837" spans="1:19" ht="40">
      <c r="A837" s="8">
        <v>43369.420497685191</v>
      </c>
      <c r="B837" s="11" t="str">
        <f>HYPERLINK("https://twitter.com/m_al_olama","@m_al_olama")</f>
        <v>@m_al_olama</v>
      </c>
      <c r="C837" s="6" t="s">
        <v>1638</v>
      </c>
      <c r="D837" s="5" t="s">
        <v>1637</v>
      </c>
      <c r="E837" s="9" t="str">
        <f>HYPERLINK("https://twitter.com/m_al_olama/status/1044837857205145600","1044837857205145600")</f>
        <v>1044837857205145600</v>
      </c>
      <c r="F837" s="4"/>
      <c r="G837" s="4"/>
      <c r="H837" s="4"/>
      <c r="I837" s="10" t="str">
        <f>HYPERLINK("http://twitter.com","Twitter Web Client")</f>
        <v>Twitter Web Client</v>
      </c>
      <c r="J837" s="2">
        <v>224</v>
      </c>
      <c r="K837" s="2">
        <v>721</v>
      </c>
      <c r="L837" s="2">
        <v>0</v>
      </c>
      <c r="M837" s="2"/>
      <c r="N837" s="8">
        <v>42848.49282407407</v>
      </c>
      <c r="O837" s="4"/>
      <c r="P837" s="3" t="s">
        <v>1636</v>
      </c>
      <c r="Q837" s="4"/>
      <c r="R837" s="4"/>
      <c r="S837" s="9" t="str">
        <f>HYPERLINK("https://pbs.twimg.com/profile_images/1032607596144934912/o94LEv_b.jpg","View")</f>
        <v>View</v>
      </c>
    </row>
    <row r="838" spans="1:19" ht="30">
      <c r="A838" s="8">
        <v>43369.420266203699</v>
      </c>
      <c r="B838" s="11" t="str">
        <f>HYPERLINK("https://twitter.com/retwitt_fa","@retwitt_fa")</f>
        <v>@retwitt_fa</v>
      </c>
      <c r="C838" s="6" t="s">
        <v>1635</v>
      </c>
      <c r="D838" s="5" t="s">
        <v>1634</v>
      </c>
      <c r="E838" s="9" t="str">
        <f>HYPERLINK("https://twitter.com/retwitt_fa/status/1044837769946812416","1044837769946812416")</f>
        <v>1044837769946812416</v>
      </c>
      <c r="F838" s="4"/>
      <c r="G838" s="10" t="s">
        <v>1560</v>
      </c>
      <c r="H838" s="4"/>
      <c r="I838" s="10" t="str">
        <f>HYPERLINK("http://twitter.com/download/android","Twitter for Android")</f>
        <v>Twitter for Android</v>
      </c>
      <c r="J838" s="2">
        <v>44</v>
      </c>
      <c r="K838" s="2">
        <v>45</v>
      </c>
      <c r="L838" s="2">
        <v>0</v>
      </c>
      <c r="M838" s="2"/>
      <c r="N838" s="8">
        <v>43156.925381944442</v>
      </c>
      <c r="O838" s="4"/>
      <c r="P838" s="3"/>
      <c r="Q838" s="4"/>
      <c r="R838" s="4"/>
      <c r="S838" s="2" t="s">
        <v>21</v>
      </c>
    </row>
    <row r="839" spans="1:19" ht="20">
      <c r="A839" s="8">
        <v>43369.420185185183</v>
      </c>
      <c r="B839" s="11" t="str">
        <f>HYPERLINK("https://twitter.com/mahbobdj2","@mahbobdj2")</f>
        <v>@mahbobdj2</v>
      </c>
      <c r="C839" s="6" t="s">
        <v>129</v>
      </c>
      <c r="D839" s="5" t="s">
        <v>185</v>
      </c>
      <c r="E839" s="9" t="str">
        <f>HYPERLINK("https://twitter.com/mahbobdj2/status/1044837742159507456","1044837742159507456")</f>
        <v>1044837742159507456</v>
      </c>
      <c r="F839" s="4"/>
      <c r="G839" s="10" t="s">
        <v>177</v>
      </c>
      <c r="H839" s="4"/>
      <c r="I839" s="10" t="str">
        <f>HYPERLINK("http://twitter.com/download/android","Twitter for Android")</f>
        <v>Twitter for Android</v>
      </c>
      <c r="J839" s="2">
        <v>139</v>
      </c>
      <c r="K839" s="2">
        <v>363</v>
      </c>
      <c r="L839" s="2">
        <v>0</v>
      </c>
      <c r="M839" s="2"/>
      <c r="N839" s="8">
        <v>43144.900960648149</v>
      </c>
      <c r="O839" s="4" t="s">
        <v>127</v>
      </c>
      <c r="P839" s="3" t="s">
        <v>126</v>
      </c>
      <c r="Q839" s="4"/>
      <c r="R839" s="4"/>
      <c r="S839" s="9" t="str">
        <f>HYPERLINK("https://pbs.twimg.com/profile_images/1042306212853940224/UWqknsAv.jpg","View")</f>
        <v>View</v>
      </c>
    </row>
    <row r="840" spans="1:19" ht="20">
      <c r="A840" s="8">
        <v>43369.420069444444</v>
      </c>
      <c r="B840" s="11" t="str">
        <f>HYPERLINK("https://twitter.com/jalilyonline","@jalilyonline")</f>
        <v>@jalilyonline</v>
      </c>
      <c r="C840" s="6" t="s">
        <v>1486</v>
      </c>
      <c r="D840" s="5" t="s">
        <v>185</v>
      </c>
      <c r="E840" s="9" t="str">
        <f>HYPERLINK("https://twitter.com/jalilyonline/status/1044837701613236225","1044837701613236225")</f>
        <v>1044837701613236225</v>
      </c>
      <c r="F840" s="4"/>
      <c r="G840" s="10" t="s">
        <v>177</v>
      </c>
      <c r="H840" s="4"/>
      <c r="I840" s="10" t="str">
        <f>HYPERLINK("http://twitter.com/download/android","Twitter for Android")</f>
        <v>Twitter for Android</v>
      </c>
      <c r="J840" s="2">
        <v>3018</v>
      </c>
      <c r="K840" s="2">
        <v>759</v>
      </c>
      <c r="L840" s="2">
        <v>47</v>
      </c>
      <c r="M840" s="2"/>
      <c r="N840" s="8">
        <v>39977.613796296297</v>
      </c>
      <c r="O840" s="4" t="s">
        <v>1485</v>
      </c>
      <c r="P840" s="3" t="s">
        <v>1484</v>
      </c>
      <c r="Q840" s="10" t="s">
        <v>1483</v>
      </c>
      <c r="R840" s="4"/>
      <c r="S840" s="9" t="str">
        <f>HYPERLINK("https://pbs.twimg.com/profile_images/1006533899823050752/on-odDW_.jpg","View")</f>
        <v>View</v>
      </c>
    </row>
    <row r="841" spans="1:19" ht="30">
      <c r="A841" s="8">
        <v>43369.419490740736</v>
      </c>
      <c r="B841" s="11" t="str">
        <f>HYPERLINK("https://twitter.com/MehdiSardiny","@MehdiSardiny")</f>
        <v>@MehdiSardiny</v>
      </c>
      <c r="C841" s="6" t="s">
        <v>1633</v>
      </c>
      <c r="D841" s="5" t="s">
        <v>520</v>
      </c>
      <c r="E841" s="9" t="str">
        <f>HYPERLINK("https://twitter.com/MehdiSardiny/status/1044837489322668033","1044837489322668033")</f>
        <v>1044837489322668033</v>
      </c>
      <c r="F841" s="4"/>
      <c r="G841" s="4"/>
      <c r="H841" s="4"/>
      <c r="I841" s="10" t="str">
        <f>HYPERLINK("http://twitter.com/download/android","Twitter for Android")</f>
        <v>Twitter for Android</v>
      </c>
      <c r="J841" s="2">
        <v>198</v>
      </c>
      <c r="K841" s="2">
        <v>900</v>
      </c>
      <c r="L841" s="2">
        <v>0</v>
      </c>
      <c r="M841" s="2"/>
      <c r="N841" s="8">
        <v>43022.639166666668</v>
      </c>
      <c r="O841" s="4"/>
      <c r="P841" s="3" t="s">
        <v>1632</v>
      </c>
      <c r="Q841" s="4"/>
      <c r="R841" s="4"/>
      <c r="S841" s="9" t="str">
        <f>HYPERLINK("https://pbs.twimg.com/profile_images/1038737904003112961/fJteU7Mw.jpg","View")</f>
        <v>View</v>
      </c>
    </row>
    <row r="842" spans="1:19" ht="20">
      <c r="A842" s="8">
        <v>43369.419444444444</v>
      </c>
      <c r="B842" s="11" t="str">
        <f>HYPERLINK("https://twitter.com/YeganehKhodami","@YeganehKhodami")</f>
        <v>@YeganehKhodami</v>
      </c>
      <c r="C842" s="6" t="s">
        <v>1631</v>
      </c>
      <c r="D842" s="5" t="s">
        <v>185</v>
      </c>
      <c r="E842" s="9" t="str">
        <f>HYPERLINK("https://twitter.com/YeganehKhodami/status/1044837475280138240","1044837475280138240")</f>
        <v>1044837475280138240</v>
      </c>
      <c r="F842" s="4"/>
      <c r="G842" s="10" t="s">
        <v>177</v>
      </c>
      <c r="H842" s="4"/>
      <c r="I842" s="10" t="str">
        <f>HYPERLINK("http://twitter.com/download/android","Twitter for Android")</f>
        <v>Twitter for Android</v>
      </c>
      <c r="J842" s="2">
        <v>15991</v>
      </c>
      <c r="K842" s="2">
        <v>555</v>
      </c>
      <c r="L842" s="2">
        <v>92</v>
      </c>
      <c r="M842" s="2"/>
      <c r="N842" s="8">
        <v>42222.582835648151</v>
      </c>
      <c r="O842" s="4" t="s">
        <v>33</v>
      </c>
      <c r="P842" s="3" t="s">
        <v>1630</v>
      </c>
      <c r="Q842" s="10" t="s">
        <v>1629</v>
      </c>
      <c r="R842" s="4"/>
      <c r="S842" s="9" t="str">
        <f>HYPERLINK("https://pbs.twimg.com/profile_images/815066966855651332/pwfz-58h.jpg","View")</f>
        <v>View</v>
      </c>
    </row>
    <row r="843" spans="1:19" ht="40">
      <c r="A843" s="8">
        <v>43369.419166666667</v>
      </c>
      <c r="B843" s="11" t="str">
        <f>HYPERLINK("https://twitter.com/taheri_master","@taheri_master")</f>
        <v>@taheri_master</v>
      </c>
      <c r="C843" s="6" t="s">
        <v>1628</v>
      </c>
      <c r="D843" s="5" t="s">
        <v>1556</v>
      </c>
      <c r="E843" s="9" t="str">
        <f>HYPERLINK("https://twitter.com/taheri_master/status/1044837374579142663","1044837374579142663")</f>
        <v>1044837374579142663</v>
      </c>
      <c r="F843" s="4"/>
      <c r="G843" s="4"/>
      <c r="H843" s="4"/>
      <c r="I843" s="10" t="str">
        <f>HYPERLINK("http://twitter.com/download/android","Twitter for Android")</f>
        <v>Twitter for Android</v>
      </c>
      <c r="J843" s="2">
        <v>2695</v>
      </c>
      <c r="K843" s="2">
        <v>2792</v>
      </c>
      <c r="L843" s="2">
        <v>3</v>
      </c>
      <c r="M843" s="2"/>
      <c r="N843" s="8">
        <v>42961.520868055552</v>
      </c>
      <c r="O843" s="4" t="s">
        <v>33</v>
      </c>
      <c r="P843" s="3" t="s">
        <v>1627</v>
      </c>
      <c r="Q843" s="4"/>
      <c r="R843" s="4"/>
      <c r="S843" s="9" t="str">
        <f>HYPERLINK("https://pbs.twimg.com/profile_images/968462670365159424/qrDC141g.jpg","View")</f>
        <v>View</v>
      </c>
    </row>
    <row r="844" spans="1:19" ht="40">
      <c r="A844" s="8">
        <v>43369.419039351851</v>
      </c>
      <c r="B844" s="11" t="str">
        <f>HYPERLINK("https://twitter.com/Biiiganeh","@Biiiganeh")</f>
        <v>@Biiiganeh</v>
      </c>
      <c r="C844" s="6" t="s">
        <v>1626</v>
      </c>
      <c r="D844" s="5" t="s">
        <v>1404</v>
      </c>
      <c r="E844" s="9" t="str">
        <f>HYPERLINK("https://twitter.com/Biiiganeh/status/1044837328307597316","1044837328307597316")</f>
        <v>1044837328307597316</v>
      </c>
      <c r="F844" s="4"/>
      <c r="G844" s="4"/>
      <c r="H844" s="4"/>
      <c r="I844" s="10" t="str">
        <f>HYPERLINK("http://twitter.com/download/android","Twitter for Android")</f>
        <v>Twitter for Android</v>
      </c>
      <c r="J844" s="2">
        <v>225</v>
      </c>
      <c r="K844" s="2">
        <v>281</v>
      </c>
      <c r="L844" s="2">
        <v>0</v>
      </c>
      <c r="M844" s="2"/>
      <c r="N844" s="8">
        <v>43133.724849537037</v>
      </c>
      <c r="O844" s="4"/>
      <c r="P844" s="3" t="s">
        <v>1625</v>
      </c>
      <c r="Q844" s="4"/>
      <c r="R844" s="4"/>
      <c r="S844" s="9" t="str">
        <f>HYPERLINK("https://pbs.twimg.com/profile_images/1040966854855024640/v9tPIj3P.jpg","View")</f>
        <v>View</v>
      </c>
    </row>
    <row r="845" spans="1:19" ht="40">
      <c r="A845" s="8">
        <v>43369.41878472222</v>
      </c>
      <c r="B845" s="11" t="str">
        <f>HYPERLINK("https://twitter.com/onikashvili61","@onikashvili61")</f>
        <v>@onikashvili61</v>
      </c>
      <c r="C845" s="6" t="s">
        <v>1624</v>
      </c>
      <c r="D845" s="5" t="s">
        <v>1548</v>
      </c>
      <c r="E845" s="9" t="str">
        <f>HYPERLINK("https://twitter.com/onikashvili61/status/1044837232727789569","1044837232727789569")</f>
        <v>1044837232727789569</v>
      </c>
      <c r="F845" s="4"/>
      <c r="G845" s="4"/>
      <c r="H845" s="4"/>
      <c r="I845" s="10" t="str">
        <f>HYPERLINK("http://twitter.com/download/android","Twitter for Android")</f>
        <v>Twitter for Android</v>
      </c>
      <c r="J845" s="2">
        <v>337</v>
      </c>
      <c r="K845" s="2">
        <v>476</v>
      </c>
      <c r="L845" s="2">
        <v>0</v>
      </c>
      <c r="M845" s="2"/>
      <c r="N845" s="8">
        <v>42755.4846412037</v>
      </c>
      <c r="O845" s="4"/>
      <c r="P845" s="3" t="s">
        <v>1623</v>
      </c>
      <c r="Q845" s="4"/>
      <c r="R845" s="4"/>
      <c r="S845" s="9" t="str">
        <f>HYPERLINK("https://pbs.twimg.com/profile_images/973784365862932481/uSUlLq_S.jpg","View")</f>
        <v>View</v>
      </c>
    </row>
    <row r="846" spans="1:19" ht="40">
      <c r="A846" s="8">
        <v>43369.418657407412</v>
      </c>
      <c r="B846" s="11" t="str">
        <f>HYPERLINK("https://twitter.com/Elham21081524","@Elham21081524")</f>
        <v>@Elham21081524</v>
      </c>
      <c r="C846" s="6" t="s">
        <v>1622</v>
      </c>
      <c r="D846" s="5" t="s">
        <v>1621</v>
      </c>
      <c r="E846" s="9" t="str">
        <f>HYPERLINK("https://twitter.com/Elham21081524/status/1044837188339421184","1044837188339421184")</f>
        <v>1044837188339421184</v>
      </c>
      <c r="F846" s="4"/>
      <c r="G846" s="4"/>
      <c r="H846" s="4"/>
      <c r="I846" s="10" t="str">
        <f>HYPERLINK("http://twitter.com/download/iphone","Twitter for iPhone")</f>
        <v>Twitter for iPhone</v>
      </c>
      <c r="J846" s="2">
        <v>921</v>
      </c>
      <c r="K846" s="2">
        <v>875</v>
      </c>
      <c r="L846" s="2">
        <v>0</v>
      </c>
      <c r="M846" s="2"/>
      <c r="N846" s="8">
        <v>43123.614421296297</v>
      </c>
      <c r="O846" s="4"/>
      <c r="P846" s="3" t="s">
        <v>1620</v>
      </c>
      <c r="Q846" s="4"/>
      <c r="R846" s="4"/>
      <c r="S846" s="9" t="str">
        <f>HYPERLINK("https://pbs.twimg.com/profile_images/1043800984986759168/6Rx-G2op.jpg","View")</f>
        <v>View</v>
      </c>
    </row>
    <row r="847" spans="1:19" ht="40">
      <c r="A847" s="8">
        <v>43369.418217592596</v>
      </c>
      <c r="B847" s="11" t="str">
        <f>HYPERLINK("https://twitter.com/samsam45855503","@samsam45855503")</f>
        <v>@samsam45855503</v>
      </c>
      <c r="C847" s="6" t="s">
        <v>1619</v>
      </c>
      <c r="D847" s="5" t="s">
        <v>1404</v>
      </c>
      <c r="E847" s="9" t="str">
        <f>HYPERLINK("https://twitter.com/samsam45855503/status/1044837027668283392","1044837027668283392")</f>
        <v>1044837027668283392</v>
      </c>
      <c r="F847" s="4"/>
      <c r="G847" s="4"/>
      <c r="H847" s="4"/>
      <c r="I847" s="10" t="str">
        <f>HYPERLINK("http://twitter.com/download/iphone","Twitter for iPhone")</f>
        <v>Twitter for iPhone</v>
      </c>
      <c r="J847" s="2">
        <v>91</v>
      </c>
      <c r="K847" s="2">
        <v>174</v>
      </c>
      <c r="L847" s="2">
        <v>0</v>
      </c>
      <c r="M847" s="2"/>
      <c r="N847" s="8">
        <v>43318.569143518514</v>
      </c>
      <c r="O847" s="4"/>
      <c r="P847" s="3" t="s">
        <v>1618</v>
      </c>
      <c r="Q847" s="4"/>
      <c r="R847" s="4"/>
      <c r="S847" s="9" t="str">
        <f>HYPERLINK("https://pbs.twimg.com/profile_images/1026397335457353728/A5y8hV0A.jpg","View")</f>
        <v>View</v>
      </c>
    </row>
    <row r="848" spans="1:19" ht="50">
      <c r="A848" s="8">
        <v>43369.418090277773</v>
      </c>
      <c r="B848" s="11" t="str">
        <f>HYPERLINK("https://twitter.com/Havangz","@Havangz")</f>
        <v>@Havangz</v>
      </c>
      <c r="C848" s="6" t="s">
        <v>1617</v>
      </c>
      <c r="D848" s="5" t="s">
        <v>202</v>
      </c>
      <c r="E848" s="9" t="str">
        <f>HYPERLINK("https://twitter.com/Havangz/status/1044836981556084736","1044836981556084736")</f>
        <v>1044836981556084736</v>
      </c>
      <c r="F848" s="4"/>
      <c r="G848" s="4"/>
      <c r="H848" s="4"/>
      <c r="I848" s="10" t="str">
        <f>HYPERLINK("http://twitter.com/download/android","Twitter for Android")</f>
        <v>Twitter for Android</v>
      </c>
      <c r="J848" s="2">
        <v>2376</v>
      </c>
      <c r="K848" s="2">
        <v>599</v>
      </c>
      <c r="L848" s="2">
        <v>51</v>
      </c>
      <c r="M848" s="2"/>
      <c r="N848" s="8">
        <v>39977.724814814814</v>
      </c>
      <c r="O848" s="4" t="s">
        <v>16</v>
      </c>
      <c r="P848" s="3" t="s">
        <v>1616</v>
      </c>
      <c r="Q848" s="4"/>
      <c r="R848" s="4"/>
      <c r="S848" s="9" t="str">
        <f>HYPERLINK("https://pbs.twimg.com/profile_images/1000586021900374016/j2n2RQoF.jpg","View")</f>
        <v>View</v>
      </c>
    </row>
    <row r="849" spans="1:19" ht="40">
      <c r="A849" s="8">
        <v>43369.418067129634</v>
      </c>
      <c r="B849" s="11" t="str">
        <f>HYPERLINK("https://twitter.com/GostarHagh","@GostarHagh")</f>
        <v>@GostarHagh</v>
      </c>
      <c r="C849" s="6" t="s">
        <v>1615</v>
      </c>
      <c r="D849" s="5" t="s">
        <v>1404</v>
      </c>
      <c r="E849" s="9" t="str">
        <f>HYPERLINK("https://twitter.com/GostarHagh/status/1044836973968527361","1044836973968527361")</f>
        <v>1044836973968527361</v>
      </c>
      <c r="F849" s="4"/>
      <c r="G849" s="4"/>
      <c r="H849" s="4"/>
      <c r="I849" s="10" t="str">
        <f>HYPERLINK("http://twitter.com/download/android","Twitter for Android")</f>
        <v>Twitter for Android</v>
      </c>
      <c r="J849" s="2">
        <v>1117</v>
      </c>
      <c r="K849" s="2">
        <v>760</v>
      </c>
      <c r="L849" s="2">
        <v>2</v>
      </c>
      <c r="M849" s="2"/>
      <c r="N849" s="8">
        <v>43223.600462962961</v>
      </c>
      <c r="O849" s="4"/>
      <c r="P849" s="3" t="s">
        <v>1614</v>
      </c>
      <c r="Q849" s="4"/>
      <c r="R849" s="4"/>
      <c r="S849" s="9" t="str">
        <f>HYPERLINK("https://pbs.twimg.com/profile_images/1025056200461885440/_NS8ygfd.jpg","View")</f>
        <v>View</v>
      </c>
    </row>
    <row r="850" spans="1:19" ht="40">
      <c r="A850" s="8">
        <v>43369.418032407411</v>
      </c>
      <c r="B850" s="11" t="str">
        <f>HYPERLINK("https://twitter.com/panjerehms","@panjerehms")</f>
        <v>@panjerehms</v>
      </c>
      <c r="C850" s="6" t="s">
        <v>1613</v>
      </c>
      <c r="D850" s="5" t="s">
        <v>1556</v>
      </c>
      <c r="E850" s="9" t="str">
        <f>HYPERLINK("https://twitter.com/panjerehms/status/1044836963747016705","1044836963747016705")</f>
        <v>1044836963747016705</v>
      </c>
      <c r="F850" s="4"/>
      <c r="G850" s="4"/>
      <c r="H850" s="4"/>
      <c r="I850" s="10" t="str">
        <f>HYPERLINK("http://twitter.com/download/android","Twitter for Android")</f>
        <v>Twitter for Android</v>
      </c>
      <c r="J850" s="2">
        <v>596</v>
      </c>
      <c r="K850" s="2">
        <v>1228</v>
      </c>
      <c r="L850" s="2">
        <v>0</v>
      </c>
      <c r="M850" s="2"/>
      <c r="N850" s="8">
        <v>41031.557152777779</v>
      </c>
      <c r="O850" s="4" t="s">
        <v>33</v>
      </c>
      <c r="P850" s="3" t="s">
        <v>1612</v>
      </c>
      <c r="Q850" s="4"/>
      <c r="R850" s="4"/>
      <c r="S850" s="9" t="str">
        <f>HYPERLINK("https://pbs.twimg.com/profile_images/1010126044555292673/DOsUaEtC.jpg","View")</f>
        <v>View</v>
      </c>
    </row>
    <row r="851" spans="1:19" ht="40">
      <c r="A851" s="8">
        <v>43369.417222222226</v>
      </c>
      <c r="B851" s="11" t="str">
        <f>HYPERLINK("https://twitter.com/AliRezaF13","@AliRezaF13")</f>
        <v>@AliRezaF13</v>
      </c>
      <c r="C851" s="6" t="s">
        <v>1611</v>
      </c>
      <c r="D851" s="5" t="s">
        <v>1556</v>
      </c>
      <c r="E851" s="9" t="str">
        <f>HYPERLINK("https://twitter.com/AliRezaF13/status/1044836668279279616","1044836668279279616")</f>
        <v>1044836668279279616</v>
      </c>
      <c r="F851" s="4"/>
      <c r="G851" s="4"/>
      <c r="H851" s="4"/>
      <c r="I851" s="10" t="str">
        <f>HYPERLINK("http://twitter.com/download/iphone","Twitter for iPhone")</f>
        <v>Twitter for iPhone</v>
      </c>
      <c r="J851" s="2">
        <v>20</v>
      </c>
      <c r="K851" s="2">
        <v>41</v>
      </c>
      <c r="L851" s="2">
        <v>0</v>
      </c>
      <c r="M851" s="2"/>
      <c r="N851" s="8">
        <v>43010.391759259262</v>
      </c>
      <c r="O851" s="4"/>
      <c r="P851" s="3"/>
      <c r="Q851" s="4"/>
      <c r="R851" s="4"/>
      <c r="S851" s="9" t="str">
        <f>HYPERLINK("https://pbs.twimg.com/profile_images/1026600684639186944/av7A7xFO.jpg","View")</f>
        <v>View</v>
      </c>
    </row>
    <row r="852" spans="1:19" ht="40">
      <c r="A852" s="8">
        <v>43369.417187500003</v>
      </c>
      <c r="B852" s="11" t="str">
        <f>HYPERLINK("https://twitter.com/ehsanghazizade1","@ehsanghazizade1")</f>
        <v>@ehsanghazizade1</v>
      </c>
      <c r="C852" s="6" t="s">
        <v>1610</v>
      </c>
      <c r="D852" s="5" t="s">
        <v>1556</v>
      </c>
      <c r="E852" s="9" t="str">
        <f>HYPERLINK("https://twitter.com/ehsanghazizade1/status/1044836654928809984","1044836654928809984")</f>
        <v>1044836654928809984</v>
      </c>
      <c r="F852" s="4"/>
      <c r="G852" s="4"/>
      <c r="H852" s="4"/>
      <c r="I852" s="10" t="str">
        <f>HYPERLINK("http://twitter.com","Twitter Web Client")</f>
        <v>Twitter Web Client</v>
      </c>
      <c r="J852" s="2">
        <v>26</v>
      </c>
      <c r="K852" s="2">
        <v>86</v>
      </c>
      <c r="L852" s="2">
        <v>0</v>
      </c>
      <c r="M852" s="2"/>
      <c r="N852" s="8">
        <v>41812.551979166667</v>
      </c>
      <c r="O852" s="4"/>
      <c r="P852" s="3"/>
      <c r="Q852" s="4"/>
      <c r="R852" s="4"/>
      <c r="S852" s="9" t="str">
        <f>HYPERLINK("https://pbs.twimg.com/profile_images/1031913199258542081/a8ZXpdJs.jpg","View")</f>
        <v>View</v>
      </c>
    </row>
    <row r="853" spans="1:19" ht="40">
      <c r="A853" s="8">
        <v>43369.416956018518</v>
      </c>
      <c r="B853" s="11" t="str">
        <f>HYPERLINK("https://twitter.com/Q1f7kK9BINUySRV","@Q1f7kK9BINUySRV")</f>
        <v>@Q1f7kK9BINUySRV</v>
      </c>
      <c r="C853" s="6" t="s">
        <v>1609</v>
      </c>
      <c r="D853" s="5" t="s">
        <v>1556</v>
      </c>
      <c r="E853" s="9" t="str">
        <f>HYPERLINK("https://twitter.com/Q1f7kK9BINUySRV/status/1044836573785788416","1044836573785788416")</f>
        <v>1044836573785788416</v>
      </c>
      <c r="F853" s="4"/>
      <c r="G853" s="4"/>
      <c r="H853" s="4"/>
      <c r="I853" s="10" t="str">
        <f>HYPERLINK("http://twitter.com/download/android","Twitter for Android")</f>
        <v>Twitter for Android</v>
      </c>
      <c r="J853" s="2">
        <v>2740</v>
      </c>
      <c r="K853" s="2">
        <v>4802</v>
      </c>
      <c r="L853" s="2">
        <v>0</v>
      </c>
      <c r="M853" s="2"/>
      <c r="N853" s="8">
        <v>43306.359305555554</v>
      </c>
      <c r="O853" s="4"/>
      <c r="P853" s="3" t="s">
        <v>1608</v>
      </c>
      <c r="Q853" s="4"/>
      <c r="R853" s="4"/>
      <c r="S853" s="9" t="str">
        <f>HYPERLINK("https://pbs.twimg.com/profile_images/1021970905562599427/KxJYxcIh.jpg","View")</f>
        <v>View</v>
      </c>
    </row>
    <row r="854" spans="1:19" ht="50">
      <c r="A854" s="8">
        <v>43369.416886574079</v>
      </c>
      <c r="B854" s="11" t="str">
        <f>HYPERLINK("https://twitter.com/dbarmas","@dbarmas")</f>
        <v>@dbarmas</v>
      </c>
      <c r="C854" s="6" t="s">
        <v>1607</v>
      </c>
      <c r="D854" s="5" t="s">
        <v>202</v>
      </c>
      <c r="E854" s="9" t="str">
        <f>HYPERLINK("https://twitter.com/dbarmas/status/1044836545558179840","1044836545558179840")</f>
        <v>1044836545558179840</v>
      </c>
      <c r="F854" s="4"/>
      <c r="G854" s="4"/>
      <c r="H854" s="4"/>
      <c r="I854" s="10" t="str">
        <f>HYPERLINK("http://twitter.com/download/android","Twitter for Android")</f>
        <v>Twitter for Android</v>
      </c>
      <c r="J854" s="2">
        <v>337</v>
      </c>
      <c r="K854" s="2">
        <v>245</v>
      </c>
      <c r="L854" s="2">
        <v>4</v>
      </c>
      <c r="M854" s="2"/>
      <c r="N854" s="8">
        <v>43134.067256944443</v>
      </c>
      <c r="O854" s="4" t="s">
        <v>1606</v>
      </c>
      <c r="P854" s="3" t="s">
        <v>1605</v>
      </c>
      <c r="Q854" s="10" t="s">
        <v>1604</v>
      </c>
      <c r="R854" s="4"/>
      <c r="S854" s="9" t="str">
        <f>HYPERLINK("https://pbs.twimg.com/profile_images/1036813779617501185/M_vxVB7H.jpg","View")</f>
        <v>View</v>
      </c>
    </row>
    <row r="855" spans="1:19" ht="40">
      <c r="A855" s="8">
        <v>43369.416666666672</v>
      </c>
      <c r="B855" s="11" t="str">
        <f>HYPERLINK("https://twitter.com/mina_translator","@mina_translator")</f>
        <v>@mina_translator</v>
      </c>
      <c r="C855" s="6" t="s">
        <v>1603</v>
      </c>
      <c r="D855" s="5" t="s">
        <v>1404</v>
      </c>
      <c r="E855" s="9" t="str">
        <f>HYPERLINK("https://twitter.com/mina_translator/status/1044836467321769984","1044836467321769984")</f>
        <v>1044836467321769984</v>
      </c>
      <c r="F855" s="4"/>
      <c r="G855" s="4"/>
      <c r="H855" s="4"/>
      <c r="I855" s="10" t="str">
        <f>HYPERLINK("http://twitter.com/download/android","Twitter for Android")</f>
        <v>Twitter for Android</v>
      </c>
      <c r="J855" s="2">
        <v>990</v>
      </c>
      <c r="K855" s="2">
        <v>1242</v>
      </c>
      <c r="L855" s="2">
        <v>1</v>
      </c>
      <c r="M855" s="2"/>
      <c r="N855" s="8">
        <v>43248.519768518519</v>
      </c>
      <c r="O855" s="4" t="s">
        <v>1602</v>
      </c>
      <c r="P855" s="3" t="s">
        <v>1601</v>
      </c>
      <c r="Q855" s="4"/>
      <c r="R855" s="4"/>
      <c r="S855" s="9" t="str">
        <f>HYPERLINK("https://pbs.twimg.com/profile_images/1013720816637370368/F97_bm9c.jpg","View")</f>
        <v>View</v>
      </c>
    </row>
    <row r="856" spans="1:19" ht="40">
      <c r="A856" s="8">
        <v>43369.415717592594</v>
      </c>
      <c r="B856" s="11" t="str">
        <f>HYPERLINK("https://twitter.com/Montazer_Bahar","@Montazer_Bahar")</f>
        <v>@Montazer_Bahar</v>
      </c>
      <c r="C856" s="6" t="s">
        <v>1424</v>
      </c>
      <c r="D856" s="5" t="s">
        <v>1548</v>
      </c>
      <c r="E856" s="9" t="str">
        <f>HYPERLINK("https://twitter.com/Montazer_Bahar/status/1044836123342761984","1044836123342761984")</f>
        <v>1044836123342761984</v>
      </c>
      <c r="F856" s="4"/>
      <c r="G856" s="4"/>
      <c r="H856" s="4"/>
      <c r="I856" s="10" t="str">
        <f>HYPERLINK("http://twitter.com/download/android","Twitter for Android")</f>
        <v>Twitter for Android</v>
      </c>
      <c r="J856" s="2">
        <v>1226</v>
      </c>
      <c r="K856" s="2">
        <v>1200</v>
      </c>
      <c r="L856" s="2">
        <v>4</v>
      </c>
      <c r="M856" s="2"/>
      <c r="N856" s="8">
        <v>42804.577638888892</v>
      </c>
      <c r="O856" s="4" t="s">
        <v>7</v>
      </c>
      <c r="P856" s="3" t="s">
        <v>1423</v>
      </c>
      <c r="Q856" s="4"/>
      <c r="R856" s="4"/>
      <c r="S856" s="9" t="str">
        <f>HYPERLINK("https://pbs.twimg.com/profile_images/935045644653355008/QLQl88v6.jpg","View")</f>
        <v>View</v>
      </c>
    </row>
    <row r="857" spans="1:19" ht="40">
      <c r="A857" s="8">
        <v>43369.415567129632</v>
      </c>
      <c r="B857" s="11" t="str">
        <f>HYPERLINK("https://twitter.com/Gisso13","@Gisso13")</f>
        <v>@Gisso13</v>
      </c>
      <c r="C857" s="6" t="s">
        <v>1600</v>
      </c>
      <c r="D857" s="5" t="s">
        <v>1404</v>
      </c>
      <c r="E857" s="9" t="str">
        <f>HYPERLINK("https://twitter.com/Gisso13/status/1044836067696955392","1044836067696955392")</f>
        <v>1044836067696955392</v>
      </c>
      <c r="F857" s="4"/>
      <c r="G857" s="4"/>
      <c r="H857" s="4"/>
      <c r="I857" s="10" t="str">
        <f>HYPERLINK("http://twitter.com/download/android","Twitter for Android")</f>
        <v>Twitter for Android</v>
      </c>
      <c r="J857" s="2">
        <v>1143</v>
      </c>
      <c r="K857" s="2">
        <v>1023</v>
      </c>
      <c r="L857" s="2">
        <v>2</v>
      </c>
      <c r="M857" s="2"/>
      <c r="N857" s="8">
        <v>43106.844849537039</v>
      </c>
      <c r="O857" s="4"/>
      <c r="P857" s="3"/>
      <c r="Q857" s="4"/>
      <c r="R857" s="4"/>
      <c r="S857" s="9" t="str">
        <f>HYPERLINK("https://pbs.twimg.com/profile_images/1043723838754893824/xc0Nv7uV.jpg","View")</f>
        <v>View</v>
      </c>
    </row>
    <row r="858" spans="1:19" ht="20">
      <c r="A858" s="8">
        <v>43369.415324074071</v>
      </c>
      <c r="B858" s="11" t="str">
        <f>HYPERLINK("https://twitter.com/hamidrezakheiry","@hamidrezakheiry")</f>
        <v>@hamidrezakheiry</v>
      </c>
      <c r="C858" s="6" t="s">
        <v>1599</v>
      </c>
      <c r="D858" s="5" t="s">
        <v>1598</v>
      </c>
      <c r="E858" s="9" t="str">
        <f>HYPERLINK("https://twitter.com/hamidrezakheiry/status/1044835980337909760","1044835980337909760")</f>
        <v>1044835980337909760</v>
      </c>
      <c r="F858" s="4"/>
      <c r="G858" s="4"/>
      <c r="H858" s="4"/>
      <c r="I858" s="10" t="str">
        <f>HYPERLINK("http://twitter.com","Twitter Web Client")</f>
        <v>Twitter Web Client</v>
      </c>
      <c r="J858" s="2">
        <v>4344</v>
      </c>
      <c r="K858" s="2">
        <v>2869</v>
      </c>
      <c r="L858" s="2">
        <v>2</v>
      </c>
      <c r="M858" s="2"/>
      <c r="N858" s="8">
        <v>42748.89298611111</v>
      </c>
      <c r="O858" s="4" t="s">
        <v>1</v>
      </c>
      <c r="P858" s="3" t="s">
        <v>1597</v>
      </c>
      <c r="Q858" s="4"/>
      <c r="R858" s="4"/>
      <c r="S858" s="9" t="str">
        <f>HYPERLINK("https://pbs.twimg.com/profile_images/819970292911116288/WUlfcNbn.jpg","View")</f>
        <v>View</v>
      </c>
    </row>
    <row r="859" spans="1:19" ht="40">
      <c r="A859" s="8">
        <v>43369.415150462963</v>
      </c>
      <c r="B859" s="11" t="str">
        <f>HYPERLINK("https://twitter.com/GhomiAhmad","@GhomiAhmad")</f>
        <v>@GhomiAhmad</v>
      </c>
      <c r="C859" s="6" t="s">
        <v>1596</v>
      </c>
      <c r="D859" s="5" t="s">
        <v>72</v>
      </c>
      <c r="E859" s="9" t="str">
        <f>HYPERLINK("https://twitter.com/GhomiAhmad/status/1044835916571914240","1044835916571914240")</f>
        <v>1044835916571914240</v>
      </c>
      <c r="F859" s="4"/>
      <c r="G859" s="4"/>
      <c r="H859" s="4"/>
      <c r="I859" s="10" t="str">
        <f>HYPERLINK("http://twitter.com/download/android","Twitter for Android")</f>
        <v>Twitter for Android</v>
      </c>
      <c r="J859" s="2">
        <v>4</v>
      </c>
      <c r="K859" s="2">
        <v>15</v>
      </c>
      <c r="L859" s="2">
        <v>0</v>
      </c>
      <c r="M859" s="2"/>
      <c r="N859" s="8">
        <v>43349.642106481479</v>
      </c>
      <c r="O859" s="4" t="s">
        <v>1595</v>
      </c>
      <c r="P859" s="3"/>
      <c r="Q859" s="4"/>
      <c r="R859" s="4"/>
      <c r="S859" s="9" t="str">
        <f>HYPERLINK("https://pbs.twimg.com/profile_images/1037808424778706945/xpB054iH.jpg","View")</f>
        <v>View</v>
      </c>
    </row>
    <row r="860" spans="1:19" ht="30">
      <c r="A860" s="8">
        <v>43369.41511574074</v>
      </c>
      <c r="B860" s="11" t="str">
        <f>HYPERLINK("https://twitter.com/Sabzinepush","@Sabzinepush")</f>
        <v>@Sabzinepush</v>
      </c>
      <c r="C860" s="6" t="s">
        <v>1594</v>
      </c>
      <c r="D860" s="5" t="s">
        <v>1593</v>
      </c>
      <c r="E860" s="9" t="str">
        <f>HYPERLINK("https://twitter.com/Sabzinepush/status/1044835905322848256","1044835905322848256")</f>
        <v>1044835905322848256</v>
      </c>
      <c r="F860" s="4"/>
      <c r="G860" s="10" t="s">
        <v>1543</v>
      </c>
      <c r="H860" s="4"/>
      <c r="I860" s="10" t="str">
        <f>HYPERLINK("https://mobile.twitter.com","Twitter Lite")</f>
        <v>Twitter Lite</v>
      </c>
      <c r="J860" s="2">
        <v>1409</v>
      </c>
      <c r="K860" s="2">
        <v>1935</v>
      </c>
      <c r="L860" s="2">
        <v>0</v>
      </c>
      <c r="M860" s="2"/>
      <c r="N860" s="8">
        <v>43240.87100694445</v>
      </c>
      <c r="O860" s="4"/>
      <c r="P860" s="3"/>
      <c r="Q860" s="4"/>
      <c r="R860" s="4"/>
      <c r="S860" s="9" t="str">
        <f>HYPERLINK("https://pbs.twimg.com/profile_images/1011563915124371456/fvGQkNQE.jpg","View")</f>
        <v>View</v>
      </c>
    </row>
    <row r="861" spans="1:19" ht="30">
      <c r="A861" s="8">
        <v>43369.415000000001</v>
      </c>
      <c r="B861" s="11" t="str">
        <f>HYPERLINK("https://twitter.com/Pokerfacesk","@Pokerfacesk")</f>
        <v>@Pokerfacesk</v>
      </c>
      <c r="C861" s="6" t="s">
        <v>1592</v>
      </c>
      <c r="D861" s="5" t="s">
        <v>49</v>
      </c>
      <c r="E861" s="9" t="str">
        <f>HYPERLINK("https://twitter.com/Pokerfacesk/status/1044835861987291137","1044835861987291137")</f>
        <v>1044835861987291137</v>
      </c>
      <c r="F861" s="4"/>
      <c r="G861" s="4"/>
      <c r="H861" s="4"/>
      <c r="I861" s="10" t="str">
        <f>HYPERLINK("http://twitter.com/download/iphone","Twitter for iPhone")</f>
        <v>Twitter for iPhone</v>
      </c>
      <c r="J861" s="2">
        <v>334</v>
      </c>
      <c r="K861" s="2">
        <v>351</v>
      </c>
      <c r="L861" s="2">
        <v>0</v>
      </c>
      <c r="M861" s="2"/>
      <c r="N861" s="8">
        <v>42555.836597222224</v>
      </c>
      <c r="O861" s="4" t="s">
        <v>1591</v>
      </c>
      <c r="P861" s="3" t="s">
        <v>1590</v>
      </c>
      <c r="Q861" s="4"/>
      <c r="R861" s="4"/>
      <c r="S861" s="9" t="str">
        <f>HYPERLINK("https://pbs.twimg.com/profile_images/1043530307033554944/CKLDRPEr.jpg","View")</f>
        <v>View</v>
      </c>
    </row>
    <row r="862" spans="1:19" ht="30">
      <c r="A862" s="8">
        <v>43369.414722222224</v>
      </c>
      <c r="B862" s="11" t="str">
        <f>HYPERLINK("https://twitter.com/TT7_OFFICIAL","@TT7_OFFICIAL")</f>
        <v>@TT7_OFFICIAL</v>
      </c>
      <c r="C862" s="6" t="s">
        <v>1589</v>
      </c>
      <c r="D862" s="5" t="s">
        <v>200</v>
      </c>
      <c r="E862" s="9" t="str">
        <f>HYPERLINK("https://twitter.com/TT7_OFFICIAL/status/1044835761495965696","1044835761495965696")</f>
        <v>1044835761495965696</v>
      </c>
      <c r="F862" s="4"/>
      <c r="G862" s="4"/>
      <c r="H862" s="4"/>
      <c r="I862" s="10" t="str">
        <f>HYPERLINK("http://twitter.com","Twitter Web Client")</f>
        <v>Twitter Web Client</v>
      </c>
      <c r="J862" s="2">
        <v>10038</v>
      </c>
      <c r="K862" s="2">
        <v>2018</v>
      </c>
      <c r="L862" s="2">
        <v>16</v>
      </c>
      <c r="M862" s="2"/>
      <c r="N862" s="8">
        <v>42001.494409722218</v>
      </c>
      <c r="O862" s="4" t="s">
        <v>1588</v>
      </c>
      <c r="P862" s="3" t="s">
        <v>1587</v>
      </c>
      <c r="Q862" s="4"/>
      <c r="R862" s="4"/>
      <c r="S862" s="9" t="str">
        <f>HYPERLINK("https://pbs.twimg.com/profile_images/1033296386555408384/aWu7dVjr.jpg","View")</f>
        <v>View</v>
      </c>
    </row>
    <row r="863" spans="1:19" ht="20">
      <c r="A863" s="8">
        <v>43369.414386574077</v>
      </c>
      <c r="B863" s="11" t="str">
        <f>HYPERLINK("https://twitter.com/Hosein_NdH","@Hosein_NdH")</f>
        <v>@Hosein_NdH</v>
      </c>
      <c r="C863" s="6" t="s">
        <v>1586</v>
      </c>
      <c r="D863" s="5" t="s">
        <v>1091</v>
      </c>
      <c r="E863" s="9" t="str">
        <f>HYPERLINK("https://twitter.com/Hosein_NdH/status/1044835641333350400","1044835641333350400")</f>
        <v>1044835641333350400</v>
      </c>
      <c r="F863" s="4"/>
      <c r="G863" s="4"/>
      <c r="H863" s="4"/>
      <c r="I863" s="10" t="str">
        <f>HYPERLINK("http://twitter.com/download/android","Twitter for Android")</f>
        <v>Twitter for Android</v>
      </c>
      <c r="J863" s="2">
        <v>2569</v>
      </c>
      <c r="K863" s="2">
        <v>2005</v>
      </c>
      <c r="L863" s="2">
        <v>5</v>
      </c>
      <c r="M863" s="2"/>
      <c r="N863" s="8">
        <v>43200.792372685188</v>
      </c>
      <c r="O863" s="4" t="s">
        <v>1585</v>
      </c>
      <c r="P863" s="3" t="s">
        <v>1584</v>
      </c>
      <c r="Q863" s="4"/>
      <c r="R863" s="4"/>
      <c r="S863" s="9" t="str">
        <f>HYPERLINK("https://pbs.twimg.com/profile_images/1042467771689443329/COlII0gh.jpg","View")</f>
        <v>View</v>
      </c>
    </row>
    <row r="864" spans="1:19" ht="20">
      <c r="A864" s="8">
        <v>43369.414363425924</v>
      </c>
      <c r="B864" s="11" t="str">
        <f>HYPERLINK("https://twitter.com/faezekm","@faezekm")</f>
        <v>@faezekm</v>
      </c>
      <c r="C864" s="6" t="s">
        <v>1583</v>
      </c>
      <c r="D864" s="5" t="s">
        <v>185</v>
      </c>
      <c r="E864" s="9" t="str">
        <f>HYPERLINK("https://twitter.com/faezekm/status/1044835631665426432","1044835631665426432")</f>
        <v>1044835631665426432</v>
      </c>
      <c r="F864" s="4"/>
      <c r="G864" s="10" t="s">
        <v>177</v>
      </c>
      <c r="H864" s="4"/>
      <c r="I864" s="10" t="str">
        <f>HYPERLINK("http://twitter.com/download/iphone","Twitter for iPhone")</f>
        <v>Twitter for iPhone</v>
      </c>
      <c r="J864" s="2">
        <v>48</v>
      </c>
      <c r="K864" s="2">
        <v>218</v>
      </c>
      <c r="L864" s="2">
        <v>0</v>
      </c>
      <c r="M864" s="2"/>
      <c r="N864" s="8">
        <v>41533.077997685185</v>
      </c>
      <c r="O864" s="4" t="s">
        <v>7</v>
      </c>
      <c r="P864" s="3" t="s">
        <v>1582</v>
      </c>
      <c r="Q864" s="4"/>
      <c r="R864" s="4"/>
      <c r="S864" s="9" t="str">
        <f>HYPERLINK("https://pbs.twimg.com/profile_images/1035176434107666432/kZ5IR1iU.jpg","View")</f>
        <v>View</v>
      </c>
    </row>
    <row r="865" spans="1:19" ht="30">
      <c r="A865" s="8">
        <v>43369.413900462961</v>
      </c>
      <c r="B865" s="11" t="str">
        <f>HYPERLINK("https://twitter.com/Esteghlal1397","@Esteghlal1397")</f>
        <v>@Esteghlal1397</v>
      </c>
      <c r="C865" s="6" t="s">
        <v>1581</v>
      </c>
      <c r="D865" s="5" t="s">
        <v>1071</v>
      </c>
      <c r="E865" s="9" t="str">
        <f>HYPERLINK("https://twitter.com/Esteghlal1397/status/1044835463830413313","1044835463830413313")</f>
        <v>1044835463830413313</v>
      </c>
      <c r="F865" s="4"/>
      <c r="G865" s="4"/>
      <c r="H865" s="4"/>
      <c r="I865" s="10" t="str">
        <f>HYPERLINK("http://twitter.com/download/android","Twitter for Android")</f>
        <v>Twitter for Android</v>
      </c>
      <c r="J865" s="2">
        <v>244</v>
      </c>
      <c r="K865" s="2">
        <v>204</v>
      </c>
      <c r="L865" s="2">
        <v>0</v>
      </c>
      <c r="M865" s="2"/>
      <c r="N865" s="8">
        <v>43331.039537037039</v>
      </c>
      <c r="O865" s="4" t="s">
        <v>1</v>
      </c>
      <c r="P865" s="3" t="s">
        <v>1580</v>
      </c>
      <c r="Q865" s="4"/>
      <c r="R865" s="4"/>
      <c r="S865" s="9" t="str">
        <f>HYPERLINK("https://pbs.twimg.com/profile_images/1031994036352102400/7FpqKgsi.jpg","View")</f>
        <v>View</v>
      </c>
    </row>
    <row r="866" spans="1:19" ht="30">
      <c r="A866" s="8">
        <v>43369.41369212963</v>
      </c>
      <c r="B866" s="11" t="str">
        <f>HYPERLINK("https://twitter.com/mohamma64118018","@mohamma64118018")</f>
        <v>@mohamma64118018</v>
      </c>
      <c r="C866" s="6" t="s">
        <v>1579</v>
      </c>
      <c r="D866" s="5" t="s">
        <v>1071</v>
      </c>
      <c r="E866" s="9" t="str">
        <f>HYPERLINK("https://twitter.com/mohamma64118018/status/1044835390904061954","1044835390904061954")</f>
        <v>1044835390904061954</v>
      </c>
      <c r="F866" s="4"/>
      <c r="G866" s="4"/>
      <c r="H866" s="4"/>
      <c r="I866" s="10" t="str">
        <f>HYPERLINK("http://twitter.com/download/android","Twitter for Android")</f>
        <v>Twitter for Android</v>
      </c>
      <c r="J866" s="2">
        <v>24</v>
      </c>
      <c r="K866" s="2">
        <v>13</v>
      </c>
      <c r="L866" s="2">
        <v>0</v>
      </c>
      <c r="M866" s="2"/>
      <c r="N866" s="8">
        <v>43329.854259259257</v>
      </c>
      <c r="O866" s="4"/>
      <c r="P866" s="3"/>
      <c r="Q866" s="4"/>
      <c r="R866" s="4"/>
      <c r="S866" s="2" t="s">
        <v>21</v>
      </c>
    </row>
    <row r="867" spans="1:19" ht="20">
      <c r="A867" s="8">
        <v>43369.412523148145</v>
      </c>
      <c r="B867" s="11" t="str">
        <f>HYPERLINK("https://twitter.com/FMahmodzade","@FMahmodzade")</f>
        <v>@FMahmodzade</v>
      </c>
      <c r="C867" s="6" t="s">
        <v>1578</v>
      </c>
      <c r="D867" s="5" t="s">
        <v>102</v>
      </c>
      <c r="E867" s="9" t="str">
        <f>HYPERLINK("https://twitter.com/FMahmodzade/status/1044834965643567104","1044834965643567104")</f>
        <v>1044834965643567104</v>
      </c>
      <c r="F867" s="4"/>
      <c r="G867" s="4"/>
      <c r="H867" s="4"/>
      <c r="I867" s="10" t="str">
        <f>HYPERLINK("http://twitter.com/download/android","Twitter for Android")</f>
        <v>Twitter for Android</v>
      </c>
      <c r="J867" s="2">
        <v>3413</v>
      </c>
      <c r="K867" s="2">
        <v>2593</v>
      </c>
      <c r="L867" s="2">
        <v>7</v>
      </c>
      <c r="M867" s="2"/>
      <c r="N867" s="8">
        <v>43106.972233796296</v>
      </c>
      <c r="O867" s="4" t="s">
        <v>1389</v>
      </c>
      <c r="P867" s="3" t="s">
        <v>1577</v>
      </c>
      <c r="Q867" s="4"/>
      <c r="R867" s="4"/>
      <c r="S867" s="9" t="str">
        <f>HYPERLINK("https://pbs.twimg.com/profile_images/1038744469615636484/PA9IAzIC.jpg","View")</f>
        <v>View</v>
      </c>
    </row>
    <row r="868" spans="1:19" ht="40">
      <c r="A868" s="8">
        <v>43369.412511574075</v>
      </c>
      <c r="B868" s="11" t="str">
        <f>HYPERLINK("https://twitter.com/ali_yasami","@ali_yasami")</f>
        <v>@ali_yasami</v>
      </c>
      <c r="C868" s="6" t="s">
        <v>1576</v>
      </c>
      <c r="D868" s="5" t="s">
        <v>1575</v>
      </c>
      <c r="E868" s="9" t="str">
        <f>HYPERLINK("https://twitter.com/ali_yasami/status/1044834961805758466","1044834961805758466")</f>
        <v>1044834961805758466</v>
      </c>
      <c r="F868" s="4"/>
      <c r="G868" s="4"/>
      <c r="H868" s="4"/>
      <c r="I868" s="10" t="str">
        <f>HYPERLINK("http://twitter.com/download/android","Twitter for Android")</f>
        <v>Twitter for Android</v>
      </c>
      <c r="J868" s="2">
        <v>511</v>
      </c>
      <c r="K868" s="2">
        <v>739</v>
      </c>
      <c r="L868" s="2">
        <v>0</v>
      </c>
      <c r="M868" s="2"/>
      <c r="N868" s="8">
        <v>42849.13899305556</v>
      </c>
      <c r="O868" s="4" t="s">
        <v>1574</v>
      </c>
      <c r="P868" s="3" t="s">
        <v>1573</v>
      </c>
      <c r="Q868" s="10" t="s">
        <v>1572</v>
      </c>
      <c r="R868" s="4"/>
      <c r="S868" s="9" t="str">
        <f>HYPERLINK("https://pbs.twimg.com/profile_images/1038879102126710784/2X8vFghV.jpg","View")</f>
        <v>View</v>
      </c>
    </row>
    <row r="869" spans="1:19" ht="40">
      <c r="A869" s="8">
        <v>43369.41243055556</v>
      </c>
      <c r="B869" s="11" t="str">
        <f>HYPERLINK("https://twitter.com/AliSmaeily","@AliSmaeily")</f>
        <v>@AliSmaeily</v>
      </c>
      <c r="C869" s="6" t="s">
        <v>408</v>
      </c>
      <c r="D869" s="5" t="s">
        <v>1556</v>
      </c>
      <c r="E869" s="9" t="str">
        <f>HYPERLINK("https://twitter.com/AliSmaeily/status/1044834932776939520","1044834932776939520")</f>
        <v>1044834932776939520</v>
      </c>
      <c r="F869" s="4"/>
      <c r="G869" s="4"/>
      <c r="H869" s="4"/>
      <c r="I869" s="10" t="str">
        <f>HYPERLINK("http://twitter.com/download/android","Twitter for Android")</f>
        <v>Twitter for Android</v>
      </c>
      <c r="J869" s="2">
        <v>16</v>
      </c>
      <c r="K869" s="2">
        <v>193</v>
      </c>
      <c r="L869" s="2">
        <v>0</v>
      </c>
      <c r="M869" s="2"/>
      <c r="N869" s="8">
        <v>43069.583854166667</v>
      </c>
      <c r="O869" s="4"/>
      <c r="P869" s="3"/>
      <c r="Q869" s="4"/>
      <c r="R869" s="4"/>
      <c r="S869" s="9" t="str">
        <f>HYPERLINK("https://pbs.twimg.com/profile_images/950613944770727937/tWh_8b2K.jpg","View")</f>
        <v>View</v>
      </c>
    </row>
    <row r="870" spans="1:19" ht="40">
      <c r="A870" s="8">
        <v>43369.41206018519</v>
      </c>
      <c r="B870" s="11" t="str">
        <f>HYPERLINK("https://twitter.com/persian_poll","@persian_poll")</f>
        <v>@persian_poll</v>
      </c>
      <c r="C870" s="6" t="s">
        <v>1571</v>
      </c>
      <c r="D870" s="5" t="s">
        <v>1548</v>
      </c>
      <c r="E870" s="9" t="str">
        <f>HYPERLINK("https://twitter.com/persian_poll/status/1044834797196070912","1044834797196070912")</f>
        <v>1044834797196070912</v>
      </c>
      <c r="F870" s="4"/>
      <c r="G870" s="4"/>
      <c r="H870" s="4"/>
      <c r="I870" s="10" t="str">
        <f>HYPERLINK("http://twitter.com/download/android","Twitter for Android")</f>
        <v>Twitter for Android</v>
      </c>
      <c r="J870" s="2">
        <v>1311</v>
      </c>
      <c r="K870" s="2">
        <v>1328</v>
      </c>
      <c r="L870" s="2">
        <v>0</v>
      </c>
      <c r="M870" s="2"/>
      <c r="N870" s="8">
        <v>43142.044930555552</v>
      </c>
      <c r="O870" s="4" t="s">
        <v>48</v>
      </c>
      <c r="P870" s="3" t="s">
        <v>1570</v>
      </c>
      <c r="Q870" s="4"/>
      <c r="R870" s="4"/>
      <c r="S870" s="9" t="str">
        <f>HYPERLINK("https://pbs.twimg.com/profile_images/962441423294488576/QN3I_bTO.jpg","View")</f>
        <v>View</v>
      </c>
    </row>
    <row r="871" spans="1:19" ht="40">
      <c r="A871" s="8">
        <v>43369.411689814813</v>
      </c>
      <c r="B871" s="11" t="str">
        <f>HYPERLINK("https://twitter.com/sarbedaran1397","@sarbedaran1397")</f>
        <v>@sarbedaran1397</v>
      </c>
      <c r="C871" s="6" t="s">
        <v>1569</v>
      </c>
      <c r="D871" s="5" t="s">
        <v>1556</v>
      </c>
      <c r="E871" s="9" t="str">
        <f>HYPERLINK("https://twitter.com/sarbedaran1397/status/1044834661493616640","1044834661493616640")</f>
        <v>1044834661493616640</v>
      </c>
      <c r="F871" s="4"/>
      <c r="G871" s="4"/>
      <c r="H871" s="4"/>
      <c r="I871" s="10" t="str">
        <f>HYPERLINK("https://mobile.twitter.com","Twitter Lite")</f>
        <v>Twitter Lite</v>
      </c>
      <c r="J871" s="2">
        <v>143</v>
      </c>
      <c r="K871" s="2">
        <v>477</v>
      </c>
      <c r="L871" s="2">
        <v>0</v>
      </c>
      <c r="M871" s="2"/>
      <c r="N871" s="8">
        <v>43015.572199074071</v>
      </c>
      <c r="O871" s="4" t="s">
        <v>1</v>
      </c>
      <c r="P871" s="3" t="s">
        <v>1568</v>
      </c>
      <c r="Q871" s="4"/>
      <c r="R871" s="4"/>
      <c r="S871" s="9" t="str">
        <f>HYPERLINK("https://pbs.twimg.com/profile_images/1022000865916399616/vxG5HJEz.jpg","View")</f>
        <v>View</v>
      </c>
    </row>
    <row r="872" spans="1:19" ht="40">
      <c r="A872" s="8">
        <v>43369.411481481482</v>
      </c>
      <c r="B872" s="11" t="str">
        <f>HYPERLINK("https://twitter.com/gringottsboss","@gringottsboss")</f>
        <v>@gringottsboss</v>
      </c>
      <c r="C872" s="6" t="s">
        <v>1567</v>
      </c>
      <c r="D872" s="5" t="s">
        <v>1556</v>
      </c>
      <c r="E872" s="9" t="str">
        <f>HYPERLINK("https://twitter.com/gringottsboss/status/1044834585849319424","1044834585849319424")</f>
        <v>1044834585849319424</v>
      </c>
      <c r="F872" s="4"/>
      <c r="G872" s="4"/>
      <c r="H872" s="4"/>
      <c r="I872" s="10" t="str">
        <f>HYPERLINK("http://twitter.com/download/android","Twitter for Android")</f>
        <v>Twitter for Android</v>
      </c>
      <c r="J872" s="2">
        <v>360</v>
      </c>
      <c r="K872" s="2">
        <v>982</v>
      </c>
      <c r="L872" s="2">
        <v>2</v>
      </c>
      <c r="M872" s="2"/>
      <c r="N872" s="8">
        <v>42618.816527777773</v>
      </c>
      <c r="O872" s="4" t="s">
        <v>1566</v>
      </c>
      <c r="P872" s="3" t="s">
        <v>1565</v>
      </c>
      <c r="Q872" s="4"/>
      <c r="R872" s="4"/>
      <c r="S872" s="9" t="str">
        <f>HYPERLINK("https://pbs.twimg.com/profile_images/1035775515699949568/KVbzM5pm.jpg","View")</f>
        <v>View</v>
      </c>
    </row>
    <row r="873" spans="1:19" ht="40">
      <c r="A873" s="8">
        <v>43369.411377314813</v>
      </c>
      <c r="B873" s="11" t="str">
        <f>HYPERLINK("https://twitter.com/saeidshahabadi","@saeidshahabadi")</f>
        <v>@saeidshahabadi</v>
      </c>
      <c r="C873" s="6" t="s">
        <v>1564</v>
      </c>
      <c r="D873" s="5" t="s">
        <v>1556</v>
      </c>
      <c r="E873" s="9" t="str">
        <f>HYPERLINK("https://twitter.com/saeidshahabadi/status/1044834552093573121","1044834552093573121")</f>
        <v>1044834552093573121</v>
      </c>
      <c r="F873" s="4"/>
      <c r="G873" s="4"/>
      <c r="H873" s="4"/>
      <c r="I873" s="10" t="str">
        <f>HYPERLINK("http://twitter.com/download/android","Twitter for Android")</f>
        <v>Twitter for Android</v>
      </c>
      <c r="J873" s="2">
        <v>280</v>
      </c>
      <c r="K873" s="2">
        <v>540</v>
      </c>
      <c r="L873" s="2">
        <v>1</v>
      </c>
      <c r="M873" s="2"/>
      <c r="N873" s="8">
        <v>41818.530694444446</v>
      </c>
      <c r="O873" s="4" t="s">
        <v>1563</v>
      </c>
      <c r="P873" s="3"/>
      <c r="Q873" s="4"/>
      <c r="R873" s="4"/>
      <c r="S873" s="9" t="str">
        <f>HYPERLINK("https://pbs.twimg.com/profile_images/554638433117679616/iGNMflDK.jpeg","View")</f>
        <v>View</v>
      </c>
    </row>
    <row r="874" spans="1:19" ht="30">
      <c r="A874" s="8">
        <v>43369.411215277782</v>
      </c>
      <c r="B874" s="11" t="str">
        <f>HYPERLINK("https://twitter.com/mahmoodjavan","@mahmoodjavan")</f>
        <v>@mahmoodjavan</v>
      </c>
      <c r="C874" s="6" t="s">
        <v>1562</v>
      </c>
      <c r="D874" s="5" t="s">
        <v>1561</v>
      </c>
      <c r="E874" s="9" t="str">
        <f>HYPERLINK("https://twitter.com/mahmoodjavan/status/1044834489409720320","1044834489409720320")</f>
        <v>1044834489409720320</v>
      </c>
      <c r="F874" s="4"/>
      <c r="G874" s="10" t="s">
        <v>1560</v>
      </c>
      <c r="H874" s="4"/>
      <c r="I874" s="10" t="str">
        <f>HYPERLINK("http://twitter.com","Twitter Web Client")</f>
        <v>Twitter Web Client</v>
      </c>
      <c r="J874" s="2">
        <v>1884</v>
      </c>
      <c r="K874" s="2">
        <v>2806</v>
      </c>
      <c r="L874" s="2">
        <v>5</v>
      </c>
      <c r="M874" s="2"/>
      <c r="N874" s="8">
        <v>42466.026932870373</v>
      </c>
      <c r="O874" s="4" t="s">
        <v>1559</v>
      </c>
      <c r="P874" s="3"/>
      <c r="Q874" s="10" t="s">
        <v>1558</v>
      </c>
      <c r="R874" s="4"/>
      <c r="S874" s="9" t="str">
        <f>HYPERLINK("https://pbs.twimg.com/profile_images/1036639384643280897/a_KWNnAZ.jpg","View")</f>
        <v>View</v>
      </c>
    </row>
    <row r="875" spans="1:19" ht="40">
      <c r="A875" s="8">
        <v>43369.411111111112</v>
      </c>
      <c r="B875" s="11" t="str">
        <f>HYPERLINK("https://twitter.com/messi_spacey","@messi_spacey")</f>
        <v>@messi_spacey</v>
      </c>
      <c r="C875" s="6" t="s">
        <v>1557</v>
      </c>
      <c r="D875" s="5" t="s">
        <v>1556</v>
      </c>
      <c r="E875" s="9" t="str">
        <f>HYPERLINK("https://twitter.com/messi_spacey/status/1044834453405790211","1044834453405790211")</f>
        <v>1044834453405790211</v>
      </c>
      <c r="F875" s="4"/>
      <c r="G875" s="4"/>
      <c r="H875" s="4"/>
      <c r="I875" s="10" t="str">
        <f>HYPERLINK("https://mobile.twitter.com","Mobile Web (M2)")</f>
        <v>Mobile Web (M2)</v>
      </c>
      <c r="J875" s="2">
        <v>3348</v>
      </c>
      <c r="K875" s="2">
        <v>2381</v>
      </c>
      <c r="L875" s="2">
        <v>7</v>
      </c>
      <c r="M875" s="2"/>
      <c r="N875" s="8">
        <v>42096.295578703706</v>
      </c>
      <c r="O875" s="4" t="s">
        <v>1555</v>
      </c>
      <c r="P875" s="3" t="s">
        <v>1554</v>
      </c>
      <c r="Q875" s="10" t="s">
        <v>1553</v>
      </c>
      <c r="R875" s="4"/>
      <c r="S875" s="9" t="str">
        <f>HYPERLINK("https://pbs.twimg.com/profile_images/968549094942789632/k4eAgsrx.jpg","View")</f>
        <v>View</v>
      </c>
    </row>
    <row r="876" spans="1:19" ht="40">
      <c r="A876" s="8">
        <v>43369.410231481481</v>
      </c>
      <c r="B876" s="11" t="str">
        <f>HYPERLINK("https://twitter.com/mostafatajzade","@mostafatajzade")</f>
        <v>@mostafatajzade</v>
      </c>
      <c r="C876" s="6" t="s">
        <v>1552</v>
      </c>
      <c r="D876" s="5" t="s">
        <v>1551</v>
      </c>
      <c r="E876" s="9" t="str">
        <f>HYPERLINK("https://twitter.com/mostafatajzade/status/1044834136584851456","1044834136584851456")</f>
        <v>1044834136584851456</v>
      </c>
      <c r="F876" s="4"/>
      <c r="G876" s="4"/>
      <c r="H876" s="4"/>
      <c r="I876" s="10" t="str">
        <f>HYPERLINK("http://twitter.com","Twitter Web Client")</f>
        <v>Twitter Web Client</v>
      </c>
      <c r="J876" s="2">
        <v>148653</v>
      </c>
      <c r="K876" s="2">
        <v>2841</v>
      </c>
      <c r="L876" s="2">
        <v>410</v>
      </c>
      <c r="M876" s="2"/>
      <c r="N876" s="8">
        <v>42780.77511574074</v>
      </c>
      <c r="O876" s="4"/>
      <c r="P876" s="3"/>
      <c r="Q876" s="4"/>
      <c r="R876" s="4"/>
      <c r="S876" s="9" t="str">
        <f>HYPERLINK("https://pbs.twimg.com/profile_images/977936257698418689/Bx8vAPKp.jpg","View")</f>
        <v>View</v>
      </c>
    </row>
    <row r="877" spans="1:19" ht="20">
      <c r="A877" s="8">
        <v>43369.409386574072</v>
      </c>
      <c r="B877" s="11" t="str">
        <f>HYPERLINK("https://twitter.com/mehbazrafkan","@mehbazrafkan")</f>
        <v>@mehbazrafkan</v>
      </c>
      <c r="C877" s="6" t="s">
        <v>1550</v>
      </c>
      <c r="D877" s="5" t="s">
        <v>1549</v>
      </c>
      <c r="E877" s="9" t="str">
        <f>HYPERLINK("https://twitter.com/mehbazrafkan/status/1044833828324470784","1044833828324470784")</f>
        <v>1044833828324470784</v>
      </c>
      <c r="F877" s="4"/>
      <c r="G877" s="4"/>
      <c r="H877" s="4"/>
      <c r="I877" s="10" t="str">
        <f>HYPERLINK("http://twitter.com","Twitter Web Client")</f>
        <v>Twitter Web Client</v>
      </c>
      <c r="J877" s="2">
        <v>13</v>
      </c>
      <c r="K877" s="2">
        <v>20</v>
      </c>
      <c r="L877" s="2">
        <v>1</v>
      </c>
      <c r="M877" s="2"/>
      <c r="N877" s="8">
        <v>42918.762662037036</v>
      </c>
      <c r="O877" s="4"/>
      <c r="P877" s="3"/>
      <c r="Q877" s="4"/>
      <c r="R877" s="4"/>
      <c r="S877" s="9" t="str">
        <f>HYPERLINK("https://pbs.twimg.com/profile_images/912751238713708546/S7xDaZTr.jpg","View")</f>
        <v>View</v>
      </c>
    </row>
    <row r="878" spans="1:19" ht="40">
      <c r="A878" s="8">
        <v>43369.409120370372</v>
      </c>
      <c r="B878" s="11" t="str">
        <f>HYPERLINK("https://twitter.com/rozeabi4398","@rozeabi4398")</f>
        <v>@rozeabi4398</v>
      </c>
      <c r="C878" s="6" t="s">
        <v>888</v>
      </c>
      <c r="D878" s="5" t="s">
        <v>1548</v>
      </c>
      <c r="E878" s="9" t="str">
        <f>HYPERLINK("https://twitter.com/rozeabi4398/status/1044833732665004034","1044833732665004034")</f>
        <v>1044833732665004034</v>
      </c>
      <c r="F878" s="4"/>
      <c r="G878" s="4"/>
      <c r="H878" s="4"/>
      <c r="I878" s="10" t="str">
        <f>HYPERLINK("http://twitter.com/download/android","Twitter for Android")</f>
        <v>Twitter for Android</v>
      </c>
      <c r="J878" s="2">
        <v>1820</v>
      </c>
      <c r="K878" s="2">
        <v>1633</v>
      </c>
      <c r="L878" s="2">
        <v>5</v>
      </c>
      <c r="M878" s="2"/>
      <c r="N878" s="8">
        <v>42746.46774305556</v>
      </c>
      <c r="O878" s="4" t="s">
        <v>1</v>
      </c>
      <c r="P878" s="3" t="s">
        <v>887</v>
      </c>
      <c r="Q878" s="4"/>
      <c r="R878" s="4"/>
      <c r="S878" s="9" t="str">
        <f>HYPERLINK("https://pbs.twimg.com/profile_images/1039095275611144193/Esw17LHc.jpg","View")</f>
        <v>View</v>
      </c>
    </row>
    <row r="879" spans="1:19" ht="30">
      <c r="A879" s="8">
        <v>43369.407453703709</v>
      </c>
      <c r="B879" s="11" t="str">
        <f>HYPERLINK("https://twitter.com/QazvinTv","@QazvinTv")</f>
        <v>@QazvinTv</v>
      </c>
      <c r="C879" s="6" t="s">
        <v>1547</v>
      </c>
      <c r="D879" s="5" t="s">
        <v>1071</v>
      </c>
      <c r="E879" s="9" t="str">
        <f>HYPERLINK("https://twitter.com/QazvinTv/status/1044833126869061633","1044833126869061633")</f>
        <v>1044833126869061633</v>
      </c>
      <c r="F879" s="4"/>
      <c r="G879" s="4"/>
      <c r="H879" s="4"/>
      <c r="I879" s="10" t="str">
        <f>HYPERLINK("http://twitter.com/download/android","Twitter for Android")</f>
        <v>Twitter for Android</v>
      </c>
      <c r="J879" s="2">
        <v>123</v>
      </c>
      <c r="K879" s="2">
        <v>257</v>
      </c>
      <c r="L879" s="2">
        <v>1</v>
      </c>
      <c r="M879" s="2"/>
      <c r="N879" s="8">
        <v>43330.469976851848</v>
      </c>
      <c r="O879" s="4" t="s">
        <v>1546</v>
      </c>
      <c r="P879" s="3" t="s">
        <v>1545</v>
      </c>
      <c r="Q879" s="4"/>
      <c r="R879" s="4"/>
      <c r="S879" s="9" t="str">
        <f>HYPERLINK("https://pbs.twimg.com/profile_images/1030717266445389825/aS6lTmv9.jpg","View")</f>
        <v>View</v>
      </c>
    </row>
    <row r="880" spans="1:19" ht="40">
      <c r="A880" s="8">
        <v>43369.406655092593</v>
      </c>
      <c r="B880" s="11" t="str">
        <f>HYPERLINK("https://twitter.com/shahrvandyar","@shahrvandyar")</f>
        <v>@shahrvandyar</v>
      </c>
      <c r="C880" s="6" t="s">
        <v>1494</v>
      </c>
      <c r="D880" s="5" t="s">
        <v>1544</v>
      </c>
      <c r="E880" s="9" t="str">
        <f>HYPERLINK("https://twitter.com/shahrvandyar/status/1044832839060066304","1044832839060066304")</f>
        <v>1044832839060066304</v>
      </c>
      <c r="F880" s="4"/>
      <c r="G880" s="10" t="s">
        <v>1543</v>
      </c>
      <c r="H880" s="4"/>
      <c r="I880" s="10" t="str">
        <f>HYPERLINK("http://twitter.com/download/android","Twitter for Android")</f>
        <v>Twitter for Android</v>
      </c>
      <c r="J880" s="2">
        <v>5363</v>
      </c>
      <c r="K880" s="2">
        <v>135</v>
      </c>
      <c r="L880" s="2">
        <v>37</v>
      </c>
      <c r="M880" s="2"/>
      <c r="N880" s="8">
        <v>40568.889525462961</v>
      </c>
      <c r="O880" s="4" t="s">
        <v>1491</v>
      </c>
      <c r="P880" s="3" t="s">
        <v>1490</v>
      </c>
      <c r="Q880" s="10" t="s">
        <v>1489</v>
      </c>
      <c r="R880" s="4"/>
      <c r="S880" s="9" t="str">
        <f>HYPERLINK("https://pbs.twimg.com/profile_images/597542915360063488/VEvA-5OZ.jpg","View")</f>
        <v>View</v>
      </c>
    </row>
    <row r="881" spans="1:19" ht="50">
      <c r="A881" s="8">
        <v>43369.406030092592</v>
      </c>
      <c r="B881" s="11" t="str">
        <f>HYPERLINK("https://twitter.com/Ariobarzan97919","@Ariobarzan97919")</f>
        <v>@Ariobarzan97919</v>
      </c>
      <c r="C881" s="6" t="s">
        <v>1542</v>
      </c>
      <c r="D881" s="5" t="s">
        <v>202</v>
      </c>
      <c r="E881" s="9" t="str">
        <f>HYPERLINK("https://twitter.com/Ariobarzan97919/status/1044832614048288768","1044832614048288768")</f>
        <v>1044832614048288768</v>
      </c>
      <c r="F881" s="4"/>
      <c r="G881" s="4"/>
      <c r="H881" s="4"/>
      <c r="I881" s="10" t="str">
        <f>HYPERLINK("http://twitter.com/download/android","Twitter for Android")</f>
        <v>Twitter for Android</v>
      </c>
      <c r="J881" s="2">
        <v>0</v>
      </c>
      <c r="K881" s="2">
        <v>14</v>
      </c>
      <c r="L881" s="2">
        <v>0</v>
      </c>
      <c r="M881" s="2"/>
      <c r="N881" s="8">
        <v>43103.352453703701</v>
      </c>
      <c r="O881" s="4"/>
      <c r="P881" s="3"/>
      <c r="Q881" s="4"/>
      <c r="R881" s="4"/>
      <c r="S881" s="9" t="str">
        <f>HYPERLINK("https://pbs.twimg.com/profile_images/1044689596045570048/Yu8ylh6D.jpg","View")</f>
        <v>View</v>
      </c>
    </row>
    <row r="882" spans="1:19" ht="40">
      <c r="A882" s="8">
        <v>43369.405798611115</v>
      </c>
      <c r="B882" s="11" t="str">
        <f>HYPERLINK("https://twitter.com/mahdiminaei","@mahdiminaei")</f>
        <v>@mahdiminaei</v>
      </c>
      <c r="C882" s="6" t="s">
        <v>1541</v>
      </c>
      <c r="D882" s="5" t="s">
        <v>75</v>
      </c>
      <c r="E882" s="9" t="str">
        <f>HYPERLINK("https://twitter.com/mahdiminaei/status/1044832530015375361","1044832530015375361")</f>
        <v>1044832530015375361</v>
      </c>
      <c r="F882" s="4"/>
      <c r="G882" s="4"/>
      <c r="H882" s="4"/>
      <c r="I882" s="10" t="str">
        <f>HYPERLINK("http://twitter.com/download/android","Twitter for Android")</f>
        <v>Twitter for Android</v>
      </c>
      <c r="J882" s="2">
        <v>108</v>
      </c>
      <c r="K882" s="2">
        <v>300</v>
      </c>
      <c r="L882" s="2">
        <v>1</v>
      </c>
      <c r="M882" s="2"/>
      <c r="N882" s="8">
        <v>41124.740474537037</v>
      </c>
      <c r="O882" s="4" t="s">
        <v>7</v>
      </c>
      <c r="P882" s="3" t="s">
        <v>1540</v>
      </c>
      <c r="Q882" s="4"/>
      <c r="R882" s="4"/>
      <c r="S882" s="9" t="str">
        <f>HYPERLINK("https://pbs.twimg.com/profile_images/862976831154249728/BfvdwMBo.jpg","View")</f>
        <v>View</v>
      </c>
    </row>
    <row r="883" spans="1:19" ht="20">
      <c r="A883" s="8">
        <v>43369.404560185183</v>
      </c>
      <c r="B883" s="11" t="str">
        <f>HYPERLINK("https://twitter.com/navidlatifi","@navidlatifi")</f>
        <v>@navidlatifi</v>
      </c>
      <c r="C883" s="6" t="s">
        <v>1539</v>
      </c>
      <c r="D883" s="5" t="s">
        <v>185</v>
      </c>
      <c r="E883" s="9" t="str">
        <f>HYPERLINK("https://twitter.com/navidlatifi/status/1044832078871883776","1044832078871883776")</f>
        <v>1044832078871883776</v>
      </c>
      <c r="F883" s="4"/>
      <c r="G883" s="10" t="s">
        <v>177</v>
      </c>
      <c r="H883" s="4"/>
      <c r="I883" s="10" t="str">
        <f>HYPERLINK("http://twitter.com/download/android","Twitter for Android")</f>
        <v>Twitter for Android</v>
      </c>
      <c r="J883" s="2">
        <v>499</v>
      </c>
      <c r="K883" s="2">
        <v>693</v>
      </c>
      <c r="L883" s="2">
        <v>0</v>
      </c>
      <c r="M883" s="2"/>
      <c r="N883" s="8">
        <v>41791.139062499999</v>
      </c>
      <c r="O883" s="4"/>
      <c r="P883" s="3" t="s">
        <v>1538</v>
      </c>
      <c r="Q883" s="4"/>
      <c r="R883" s="4"/>
      <c r="S883" s="9" t="str">
        <f>HYPERLINK("https://pbs.twimg.com/profile_images/868419207486218241/hi2p8rY8.jpg","View")</f>
        <v>View</v>
      </c>
    </row>
    <row r="884" spans="1:19" ht="30">
      <c r="A884" s="8">
        <v>43369.404467592598</v>
      </c>
      <c r="B884" s="11" t="str">
        <f>HYPERLINK("https://twitter.com/kobra5083","@kobra5083")</f>
        <v>@kobra5083</v>
      </c>
      <c r="C884" s="6" t="s">
        <v>1537</v>
      </c>
      <c r="D884" s="5" t="s">
        <v>43</v>
      </c>
      <c r="E884" s="9" t="str">
        <f>HYPERLINK("https://twitter.com/kobra5083/status/1044832047708164097","1044832047708164097")</f>
        <v>1044832047708164097</v>
      </c>
      <c r="F884" s="4"/>
      <c r="G884" s="4"/>
      <c r="H884" s="4"/>
      <c r="I884" s="10" t="str">
        <f>HYPERLINK("http://twitter.com/download/android","Twitter for Android")</f>
        <v>Twitter for Android</v>
      </c>
      <c r="J884" s="2">
        <v>487</v>
      </c>
      <c r="K884" s="2">
        <v>889</v>
      </c>
      <c r="L884" s="2">
        <v>1</v>
      </c>
      <c r="M884" s="2"/>
      <c r="N884" s="8">
        <v>43328.439722222218</v>
      </c>
      <c r="O884" s="4" t="s">
        <v>1</v>
      </c>
      <c r="P884" s="3" t="s">
        <v>1536</v>
      </c>
      <c r="Q884" s="4"/>
      <c r="R884" s="4"/>
      <c r="S884" s="9" t="str">
        <f>HYPERLINK("https://pbs.twimg.com/profile_images/1038692443124891649/8WDSGThe.jpg","View")</f>
        <v>View</v>
      </c>
    </row>
    <row r="885" spans="1:19" ht="20">
      <c r="A885" s="8">
        <v>43369.403148148151</v>
      </c>
      <c r="B885" s="11" t="str">
        <f>HYPERLINK("https://twitter.com/freedomstarrr","@freedomstarrr")</f>
        <v>@freedomstarrr</v>
      </c>
      <c r="C885" s="6" t="s">
        <v>1535</v>
      </c>
      <c r="D885" s="5" t="s">
        <v>1534</v>
      </c>
      <c r="E885" s="9" t="str">
        <f>HYPERLINK("https://twitter.com/freedomstarrr/status/1044831569083600896","1044831569083600896")</f>
        <v>1044831569083600896</v>
      </c>
      <c r="F885" s="4"/>
      <c r="G885" s="10" t="s">
        <v>1492</v>
      </c>
      <c r="H885" s="4"/>
      <c r="I885" s="10" t="str">
        <f>HYPERLINK("http://twitter.com/download/iphone","Twitter for iPhone")</f>
        <v>Twitter for iPhone</v>
      </c>
      <c r="J885" s="2">
        <v>48</v>
      </c>
      <c r="K885" s="2">
        <v>62</v>
      </c>
      <c r="L885" s="2">
        <v>0</v>
      </c>
      <c r="M885" s="2"/>
      <c r="N885" s="8">
        <v>43183.172893518524</v>
      </c>
      <c r="O885" s="4" t="s">
        <v>1533</v>
      </c>
      <c r="P885" s="3" t="s">
        <v>1532</v>
      </c>
      <c r="Q885" s="4"/>
      <c r="R885" s="4"/>
      <c r="S885" s="9" t="str">
        <f>HYPERLINK("https://pbs.twimg.com/profile_images/1015894079366946816/GOdo8IPq.jpg","View")</f>
        <v>View</v>
      </c>
    </row>
    <row r="886" spans="1:19" ht="30">
      <c r="A886" s="8">
        <v>43369.386793981481</v>
      </c>
      <c r="B886" s="11" t="str">
        <f>HYPERLINK("https://twitter.com/somimn1006","@somimn1006")</f>
        <v>@somimn1006</v>
      </c>
      <c r="C886" s="6" t="s">
        <v>1531</v>
      </c>
      <c r="D886" s="5" t="s">
        <v>49</v>
      </c>
      <c r="E886" s="9" t="str">
        <f>HYPERLINK("https://twitter.com/somimn1006/status/1044825642540445697","1044825642540445697")</f>
        <v>1044825642540445697</v>
      </c>
      <c r="F886" s="4"/>
      <c r="G886" s="4"/>
      <c r="H886" s="4"/>
      <c r="I886" s="10" t="str">
        <f>HYPERLINK("http://twitter.com/download/iphone","Twitter for iPhone")</f>
        <v>Twitter for iPhone</v>
      </c>
      <c r="J886" s="2">
        <v>134</v>
      </c>
      <c r="K886" s="2">
        <v>195</v>
      </c>
      <c r="L886" s="2">
        <v>0</v>
      </c>
      <c r="M886" s="2"/>
      <c r="N886" s="8">
        <v>43112.018206018518</v>
      </c>
      <c r="O886" s="4" t="s">
        <v>1530</v>
      </c>
      <c r="P886" s="3" t="s">
        <v>1529</v>
      </c>
      <c r="Q886" s="4"/>
      <c r="R886" s="4"/>
      <c r="S886" s="9" t="str">
        <f>HYPERLINK("https://pbs.twimg.com/profile_images/1041899985304997888/S_YHuNtf.jpg","View")</f>
        <v>View</v>
      </c>
    </row>
    <row r="887" spans="1:19" ht="40">
      <c r="A887" s="8">
        <v>43369.38554398148</v>
      </c>
      <c r="B887" s="11" t="str">
        <f>HYPERLINK("https://twitter.com/hastibarb","@hastibarb")</f>
        <v>@hastibarb</v>
      </c>
      <c r="C887" s="6" t="s">
        <v>1528</v>
      </c>
      <c r="D887" s="5" t="s">
        <v>1527</v>
      </c>
      <c r="E887" s="9" t="str">
        <f>HYPERLINK("https://twitter.com/hastibarb/status/1044825189165543424","1044825189165543424")</f>
        <v>1044825189165543424</v>
      </c>
      <c r="F887" s="4"/>
      <c r="G887" s="4"/>
      <c r="H887" s="4"/>
      <c r="I887" s="10" t="str">
        <f>HYPERLINK("http://twitter.com/download/iphone","Twitter for iPhone")</f>
        <v>Twitter for iPhone</v>
      </c>
      <c r="J887" s="2">
        <v>833</v>
      </c>
      <c r="K887" s="2">
        <v>874</v>
      </c>
      <c r="L887" s="2">
        <v>1</v>
      </c>
      <c r="M887" s="2"/>
      <c r="N887" s="8">
        <v>41551.83425925926</v>
      </c>
      <c r="O887" s="4"/>
      <c r="P887" s="3"/>
      <c r="Q887" s="4"/>
      <c r="R887" s="4"/>
      <c r="S887" s="9" t="str">
        <f>HYPERLINK("https://pbs.twimg.com/profile_images/833029394650263552/m8QtBIsK.jpg","View")</f>
        <v>View</v>
      </c>
    </row>
    <row r="888" spans="1:19" ht="40">
      <c r="A888" s="8">
        <v>43369.385520833333</v>
      </c>
      <c r="B888" s="11" t="str">
        <f>HYPERLINK("https://twitter.com/SaeidA19","@SaeidA19")</f>
        <v>@SaeidA19</v>
      </c>
      <c r="C888" s="6" t="s">
        <v>1526</v>
      </c>
      <c r="D888" s="5" t="s">
        <v>1525</v>
      </c>
      <c r="E888" s="9" t="str">
        <f>HYPERLINK("https://twitter.com/SaeidA19/status/1044825181661859840","1044825181661859840")</f>
        <v>1044825181661859840</v>
      </c>
      <c r="F888" s="4"/>
      <c r="G888" s="4"/>
      <c r="H888" s="4"/>
      <c r="I888" s="10" t="str">
        <f>HYPERLINK("http://twitter.com/download/iphone","Twitter for iPhone")</f>
        <v>Twitter for iPhone</v>
      </c>
      <c r="J888" s="2">
        <v>4</v>
      </c>
      <c r="K888" s="2">
        <v>33</v>
      </c>
      <c r="L888" s="2">
        <v>0</v>
      </c>
      <c r="M888" s="2"/>
      <c r="N888" s="8">
        <v>43318.944571759261</v>
      </c>
      <c r="O888" s="4" t="s">
        <v>101</v>
      </c>
      <c r="P888" s="3"/>
      <c r="Q888" s="4"/>
      <c r="R888" s="4"/>
      <c r="S888" s="9" t="str">
        <f>HYPERLINK("https://pbs.twimg.com/profile_images/1040827279390199808/7khSP9jo.jpg","View")</f>
        <v>View</v>
      </c>
    </row>
    <row r="889" spans="1:19" ht="40">
      <c r="A889" s="8">
        <v>43369.38490740741</v>
      </c>
      <c r="B889" s="11" t="str">
        <f>HYPERLINK("https://twitter.com/navidzolata","@navidzolata")</f>
        <v>@navidzolata</v>
      </c>
      <c r="C889" s="6" t="s">
        <v>145</v>
      </c>
      <c r="D889" s="5" t="s">
        <v>1524</v>
      </c>
      <c r="E889" s="9" t="str">
        <f>HYPERLINK("https://twitter.com/navidzolata/status/1044824956276789249","1044824956276789249")</f>
        <v>1044824956276789249</v>
      </c>
      <c r="F889" s="4"/>
      <c r="G889" s="4"/>
      <c r="H889" s="4"/>
      <c r="I889" s="10" t="str">
        <f>HYPERLINK("http://twitter.com/download/iphone","Twitter for iPhone")</f>
        <v>Twitter for iPhone</v>
      </c>
      <c r="J889" s="2">
        <v>62</v>
      </c>
      <c r="K889" s="2">
        <v>106</v>
      </c>
      <c r="L889" s="2">
        <v>0</v>
      </c>
      <c r="M889" s="2"/>
      <c r="N889" s="8">
        <v>43326.117442129631</v>
      </c>
      <c r="O889" s="4"/>
      <c r="P889" s="3"/>
      <c r="Q889" s="4"/>
      <c r="R889" s="4"/>
      <c r="S889" s="9" t="str">
        <f>HYPERLINK("https://pbs.twimg.com/profile_images/1032020592478904320/HJ-uh97A.jpg","View")</f>
        <v>View</v>
      </c>
    </row>
    <row r="890" spans="1:19" ht="30">
      <c r="A890" s="8">
        <v>43369.384293981479</v>
      </c>
      <c r="B890" s="11" t="str">
        <f>HYPERLINK("https://twitter.com/Last_Stand_Mann","@Last_Stand_Mann")</f>
        <v>@Last_Stand_Mann</v>
      </c>
      <c r="C890" s="6" t="s">
        <v>1523</v>
      </c>
      <c r="D890" s="5" t="s">
        <v>49</v>
      </c>
      <c r="E890" s="9" t="str">
        <f>HYPERLINK("https://twitter.com/Last_Stand_Mann/status/1044824736293941249","1044824736293941249")</f>
        <v>1044824736293941249</v>
      </c>
      <c r="F890" s="4"/>
      <c r="G890" s="4"/>
      <c r="H890" s="4"/>
      <c r="I890" s="10" t="str">
        <f>HYPERLINK("http://twitter.com/download/android","Twitter for Android")</f>
        <v>Twitter for Android</v>
      </c>
      <c r="J890" s="2">
        <v>134</v>
      </c>
      <c r="K890" s="2">
        <v>351</v>
      </c>
      <c r="L890" s="2">
        <v>0</v>
      </c>
      <c r="M890" s="2"/>
      <c r="N890" s="8">
        <v>39982.525104166663</v>
      </c>
      <c r="O890" s="4"/>
      <c r="P890" s="3" t="s">
        <v>1522</v>
      </c>
      <c r="Q890" s="4"/>
      <c r="R890" s="4"/>
      <c r="S890" s="9" t="str">
        <f>HYPERLINK("https://pbs.twimg.com/profile_images/1019883326830727168/K9vmf3z1.jpg","View")</f>
        <v>View</v>
      </c>
    </row>
    <row r="891" spans="1:19" ht="20">
      <c r="A891" s="8">
        <v>43369.383969907409</v>
      </c>
      <c r="B891" s="11" t="str">
        <f>HYPERLINK("https://twitter.com/HOSSEN6768","@HOSSEN6768")</f>
        <v>@HOSSEN6768</v>
      </c>
      <c r="C891" s="6" t="s">
        <v>1521</v>
      </c>
      <c r="D891" s="5" t="s">
        <v>1520</v>
      </c>
      <c r="E891" s="9" t="str">
        <f>HYPERLINK("https://twitter.com/HOSSEN6768/status/1044824619843227648","1044824619843227648")</f>
        <v>1044824619843227648</v>
      </c>
      <c r="F891" s="4"/>
      <c r="G891" s="10" t="s">
        <v>1519</v>
      </c>
      <c r="H891" s="4"/>
      <c r="I891" s="10" t="str">
        <f>HYPERLINK("http://twitter.com/download/android","Twitter for Android")</f>
        <v>Twitter for Android</v>
      </c>
      <c r="J891" s="2">
        <v>90</v>
      </c>
      <c r="K891" s="2">
        <v>145</v>
      </c>
      <c r="L891" s="2">
        <v>1</v>
      </c>
      <c r="M891" s="2"/>
      <c r="N891" s="8">
        <v>41845.835543981484</v>
      </c>
      <c r="O891" s="4"/>
      <c r="P891" s="3"/>
      <c r="Q891" s="4"/>
      <c r="R891" s="4"/>
      <c r="S891" s="9" t="str">
        <f>HYPERLINK("https://pbs.twimg.com/profile_images/1043043918433148928/7dKD-QY8.jpg","View")</f>
        <v>View</v>
      </c>
    </row>
    <row r="892" spans="1:19" ht="40">
      <c r="A892" s="8">
        <v>43369.383703703701</v>
      </c>
      <c r="B892" s="11" t="str">
        <f>HYPERLINK("https://twitter.com/Antirooh","@Antirooh")</f>
        <v>@Antirooh</v>
      </c>
      <c r="C892" s="6" t="s">
        <v>1518</v>
      </c>
      <c r="D892" s="5" t="s">
        <v>72</v>
      </c>
      <c r="E892" s="9" t="str">
        <f>HYPERLINK("https://twitter.com/Antirooh/status/1044824521449119749","1044824521449119749")</f>
        <v>1044824521449119749</v>
      </c>
      <c r="F892" s="4"/>
      <c r="G892" s="4"/>
      <c r="H892" s="4"/>
      <c r="I892" s="10" t="str">
        <f>HYPERLINK("http://twitter.com/download/android","Twitter for Android")</f>
        <v>Twitter for Android</v>
      </c>
      <c r="J892" s="2">
        <v>790</v>
      </c>
      <c r="K892" s="2">
        <v>1159</v>
      </c>
      <c r="L892" s="2">
        <v>3</v>
      </c>
      <c r="M892" s="2"/>
      <c r="N892" s="8">
        <v>43283.793622685189</v>
      </c>
      <c r="O892" s="4"/>
      <c r="P892" s="3" t="s">
        <v>1517</v>
      </c>
      <c r="Q892" s="4"/>
      <c r="R892" s="4"/>
      <c r="S892" s="9" t="str">
        <f>HYPERLINK("https://pbs.twimg.com/profile_images/1013801258325610497/wIatdCfB.jpg","View")</f>
        <v>View</v>
      </c>
    </row>
    <row r="893" spans="1:19" ht="40">
      <c r="A893" s="8">
        <v>43369.383692129632</v>
      </c>
      <c r="B893" s="11" t="str">
        <f>HYPERLINK("https://twitter.com/_shaghayegh_18","@_shaghayegh_18")</f>
        <v>@_shaghayegh_18</v>
      </c>
      <c r="C893" s="6" t="s">
        <v>1516</v>
      </c>
      <c r="D893" s="5" t="s">
        <v>174</v>
      </c>
      <c r="E893" s="9" t="str">
        <f>HYPERLINK("https://twitter.com/_shaghayegh_18/status/1044824517489635328","1044824517489635328")</f>
        <v>1044824517489635328</v>
      </c>
      <c r="F893" s="4"/>
      <c r="G893" s="4"/>
      <c r="H893" s="4"/>
      <c r="I893" s="10" t="str">
        <f>HYPERLINK("http://twitter.com/download/android","Twitter for Android")</f>
        <v>Twitter for Android</v>
      </c>
      <c r="J893" s="2">
        <v>3267</v>
      </c>
      <c r="K893" s="2">
        <v>2559</v>
      </c>
      <c r="L893" s="2">
        <v>6</v>
      </c>
      <c r="M893" s="2"/>
      <c r="N893" s="8">
        <v>43106.54688657407</v>
      </c>
      <c r="O893" s="4" t="s">
        <v>1515</v>
      </c>
      <c r="P893" s="3" t="s">
        <v>1514</v>
      </c>
      <c r="Q893" s="4"/>
      <c r="R893" s="4"/>
      <c r="S893" s="9" t="str">
        <f>HYPERLINK("https://pbs.twimg.com/profile_images/960496740779593728/7tKWvhtz.jpg","View")</f>
        <v>View</v>
      </c>
    </row>
    <row r="894" spans="1:19" ht="20">
      <c r="A894" s="8">
        <v>43369.38349537037</v>
      </c>
      <c r="B894" s="11" t="str">
        <f>HYPERLINK("https://twitter.com/8Salary","@8Salary")</f>
        <v>@8Salary</v>
      </c>
      <c r="C894" s="6" t="s">
        <v>1513</v>
      </c>
      <c r="D894" s="5" t="s">
        <v>1512</v>
      </c>
      <c r="E894" s="9" t="str">
        <f>HYPERLINK("https://twitter.com/8Salary/status/1044824444974354433","1044824444974354433")</f>
        <v>1044824444974354433</v>
      </c>
      <c r="F894" s="4"/>
      <c r="G894" s="4"/>
      <c r="H894" s="4"/>
      <c r="I894" s="10" t="str">
        <f>HYPERLINK("http://twitter.com/download/android","Twitter for Android")</f>
        <v>Twitter for Android</v>
      </c>
      <c r="J894" s="2">
        <v>205</v>
      </c>
      <c r="K894" s="2">
        <v>137</v>
      </c>
      <c r="L894" s="2">
        <v>4</v>
      </c>
      <c r="M894" s="2"/>
      <c r="N894" s="8">
        <v>41388.428506944445</v>
      </c>
      <c r="O894" s="4" t="s">
        <v>1511</v>
      </c>
      <c r="P894" s="3" t="s">
        <v>1510</v>
      </c>
      <c r="Q894" s="4"/>
      <c r="R894" s="4"/>
      <c r="S894" s="9" t="str">
        <f>HYPERLINK("https://pbs.twimg.com/profile_images/952959351865643009/A0XzD49j.jpg","View")</f>
        <v>View</v>
      </c>
    </row>
    <row r="895" spans="1:19" ht="40">
      <c r="A895" s="8">
        <v>43369.383472222224</v>
      </c>
      <c r="B895" s="11" t="str">
        <f>HYPERLINK("https://twitter.com/mh40haddad","@mh40haddad")</f>
        <v>@mh40haddad</v>
      </c>
      <c r="C895" s="6" t="s">
        <v>1509</v>
      </c>
      <c r="D895" s="5" t="s">
        <v>72</v>
      </c>
      <c r="E895" s="9" t="str">
        <f>HYPERLINK("https://twitter.com/mh40haddad/status/1044824439098155008","1044824439098155008")</f>
        <v>1044824439098155008</v>
      </c>
      <c r="F895" s="4"/>
      <c r="G895" s="4"/>
      <c r="H895" s="4"/>
      <c r="I895" s="10" t="str">
        <f>HYPERLINK("http://twitter.com/download/android","Twitter for Android")</f>
        <v>Twitter for Android</v>
      </c>
      <c r="J895" s="2">
        <v>309</v>
      </c>
      <c r="K895" s="2">
        <v>107</v>
      </c>
      <c r="L895" s="2">
        <v>0</v>
      </c>
      <c r="M895" s="2"/>
      <c r="N895" s="8">
        <v>43299.926180555558</v>
      </c>
      <c r="O895" s="4"/>
      <c r="P895" s="3" t="s">
        <v>1508</v>
      </c>
      <c r="Q895" s="4"/>
      <c r="R895" s="4"/>
      <c r="S895" s="9" t="str">
        <f>HYPERLINK("https://pbs.twimg.com/profile_images/1020510899789025281/AIjMGZVZ.jpg","View")</f>
        <v>View</v>
      </c>
    </row>
    <row r="896" spans="1:19" ht="40">
      <c r="A896" s="8">
        <v>43369.383321759262</v>
      </c>
      <c r="B896" s="11" t="str">
        <f>HYPERLINK("https://twitter.com/ebi_kohsaryan","@ebi_kohsaryan")</f>
        <v>@ebi_kohsaryan</v>
      </c>
      <c r="C896" s="6" t="s">
        <v>1507</v>
      </c>
      <c r="D896" s="5" t="s">
        <v>72</v>
      </c>
      <c r="E896" s="9" t="str">
        <f>HYPERLINK("https://twitter.com/ebi_kohsaryan/status/1044824384177876992","1044824384177876992")</f>
        <v>1044824384177876992</v>
      </c>
      <c r="F896" s="4"/>
      <c r="G896" s="4"/>
      <c r="H896" s="4"/>
      <c r="I896" s="10" t="str">
        <f>HYPERLINK("http://twitter.com/download/android","Twitter for Android")</f>
        <v>Twitter for Android</v>
      </c>
      <c r="J896" s="2">
        <v>267</v>
      </c>
      <c r="K896" s="2">
        <v>156</v>
      </c>
      <c r="L896" s="2">
        <v>0</v>
      </c>
      <c r="M896" s="2"/>
      <c r="N896" s="8">
        <v>43200.009039351848</v>
      </c>
      <c r="O896" s="4" t="s">
        <v>1</v>
      </c>
      <c r="P896" s="3" t="s">
        <v>1506</v>
      </c>
      <c r="Q896" s="4"/>
      <c r="R896" s="4"/>
      <c r="S896" s="9" t="str">
        <f>HYPERLINK("https://pbs.twimg.com/profile_images/983572523639025665/c831ouUY.jpg","View")</f>
        <v>View</v>
      </c>
    </row>
    <row r="897" spans="1:19" ht="40">
      <c r="A897" s="8">
        <v>43369.382986111115</v>
      </c>
      <c r="B897" s="11" t="str">
        <f>HYPERLINK("https://twitter.com/kawir0","@kawir0")</f>
        <v>@kawir0</v>
      </c>
      <c r="C897" s="6" t="s">
        <v>1505</v>
      </c>
      <c r="D897" s="5" t="s">
        <v>756</v>
      </c>
      <c r="E897" s="9" t="str">
        <f>HYPERLINK("https://twitter.com/kawir0/status/1044824261238673409","1044824261238673409")</f>
        <v>1044824261238673409</v>
      </c>
      <c r="F897" s="4"/>
      <c r="G897" s="4"/>
      <c r="H897" s="4"/>
      <c r="I897" s="10" t="str">
        <f>HYPERLINK("http://twitter.com","Twitter Web Client")</f>
        <v>Twitter Web Client</v>
      </c>
      <c r="J897" s="2">
        <v>1270</v>
      </c>
      <c r="K897" s="2">
        <v>1277</v>
      </c>
      <c r="L897" s="2">
        <v>1</v>
      </c>
      <c r="M897" s="2"/>
      <c r="N897" s="8">
        <v>43006.662245370375</v>
      </c>
      <c r="O897" s="4"/>
      <c r="P897" s="3" t="s">
        <v>1504</v>
      </c>
      <c r="Q897" s="4"/>
      <c r="R897" s="4"/>
      <c r="S897" s="9" t="str">
        <f>HYPERLINK("https://pbs.twimg.com/profile_images/913388870615617536/88k0T9jC.jpg","View")</f>
        <v>View</v>
      </c>
    </row>
    <row r="898" spans="1:19" ht="30">
      <c r="A898" s="8">
        <v>43369.382962962962</v>
      </c>
      <c r="B898" s="11" t="str">
        <f>HYPERLINK("https://twitter.com/LittlePrAncess","@LittlePrAncess")</f>
        <v>@LittlePrAncess</v>
      </c>
      <c r="C898" s="6" t="s">
        <v>1503</v>
      </c>
      <c r="D898" s="5" t="s">
        <v>49</v>
      </c>
      <c r="E898" s="9" t="str">
        <f>HYPERLINK("https://twitter.com/LittlePrAncess/status/1044824251499499520","1044824251499499520")</f>
        <v>1044824251499499520</v>
      </c>
      <c r="F898" s="4"/>
      <c r="G898" s="4"/>
      <c r="H898" s="4"/>
      <c r="I898" s="10" t="str">
        <f>HYPERLINK("http://twitter.com/download/android","Twitter for Android")</f>
        <v>Twitter for Android</v>
      </c>
      <c r="J898" s="2">
        <v>6577</v>
      </c>
      <c r="K898" s="2">
        <v>5517</v>
      </c>
      <c r="L898" s="2">
        <v>7</v>
      </c>
      <c r="M898" s="2"/>
      <c r="N898" s="8">
        <v>42981.495833333334</v>
      </c>
      <c r="O898" s="4" t="s">
        <v>1502</v>
      </c>
      <c r="P898" s="3" t="s">
        <v>1501</v>
      </c>
      <c r="Q898" s="4"/>
      <c r="R898" s="4"/>
      <c r="S898" s="9" t="str">
        <f>HYPERLINK("https://pbs.twimg.com/profile_images/1044313824931639296/xM2ShVsI.jpg","View")</f>
        <v>View</v>
      </c>
    </row>
    <row r="899" spans="1:19" ht="20">
      <c r="A899" s="8">
        <v>43369.38280092593</v>
      </c>
      <c r="B899" s="11" t="str">
        <f>HYPERLINK("https://twitter.com/fatemehora","@fatemehora")</f>
        <v>@fatemehora</v>
      </c>
      <c r="C899" s="6" t="s">
        <v>1500</v>
      </c>
      <c r="D899" s="5" t="s">
        <v>15</v>
      </c>
      <c r="E899" s="9" t="str">
        <f>HYPERLINK("https://twitter.com/fatemehora/status/1044824193215459329","1044824193215459329")</f>
        <v>1044824193215459329</v>
      </c>
      <c r="F899" s="4"/>
      <c r="G899" s="4"/>
      <c r="H899" s="4"/>
      <c r="I899" s="10" t="str">
        <f>HYPERLINK("http://twitter.com/download/iphone","Twitter for iPhone")</f>
        <v>Twitter for iPhone</v>
      </c>
      <c r="J899" s="2">
        <v>257</v>
      </c>
      <c r="K899" s="2">
        <v>251</v>
      </c>
      <c r="L899" s="2">
        <v>0</v>
      </c>
      <c r="M899" s="2"/>
      <c r="N899" s="8">
        <v>43110.384953703702</v>
      </c>
      <c r="O899" s="4" t="s">
        <v>7</v>
      </c>
      <c r="P899" s="3" t="s">
        <v>1499</v>
      </c>
      <c r="Q899" s="4"/>
      <c r="R899" s="4"/>
      <c r="S899" s="9" t="str">
        <f>HYPERLINK("https://pbs.twimg.com/profile_images/986153113814958086/_bQzF1de.jpg","View")</f>
        <v>View</v>
      </c>
    </row>
    <row r="900" spans="1:19" ht="20">
      <c r="A900" s="8">
        <v>43369.382731481484</v>
      </c>
      <c r="B900" s="11" t="str">
        <f>HYPERLINK("https://twitter.com/devotiagha","@devotiagha")</f>
        <v>@devotiagha</v>
      </c>
      <c r="C900" s="6" t="s">
        <v>1498</v>
      </c>
      <c r="D900" s="5" t="s">
        <v>1147</v>
      </c>
      <c r="E900" s="9" t="str">
        <f>HYPERLINK("https://twitter.com/devotiagha/status/1044824169094021120","1044824169094021120")</f>
        <v>1044824169094021120</v>
      </c>
      <c r="F900" s="4"/>
      <c r="G900" s="10" t="s">
        <v>1146</v>
      </c>
      <c r="H900" s="4"/>
      <c r="I900" s="10" t="str">
        <f>HYPERLINK("http://twitter.com/download/android","Twitter for Android")</f>
        <v>Twitter for Android</v>
      </c>
      <c r="J900" s="2">
        <v>450</v>
      </c>
      <c r="K900" s="2">
        <v>98</v>
      </c>
      <c r="L900" s="2">
        <v>0</v>
      </c>
      <c r="M900" s="2"/>
      <c r="N900" s="8">
        <v>42930.936701388884</v>
      </c>
      <c r="O900" s="4" t="s">
        <v>1</v>
      </c>
      <c r="P900" s="3" t="s">
        <v>1497</v>
      </c>
      <c r="Q900" s="4"/>
      <c r="R900" s="4"/>
      <c r="S900" s="9" t="str">
        <f>HYPERLINK("https://pbs.twimg.com/profile_images/909785458850312193/zDENQxLU.jpg","View")</f>
        <v>View</v>
      </c>
    </row>
    <row r="901" spans="1:19" ht="50">
      <c r="A901" s="8">
        <v>43369.382719907408</v>
      </c>
      <c r="B901" s="11" t="str">
        <f>HYPERLINK("https://twitter.com/m_zamani1362","@m_zamani1362")</f>
        <v>@m_zamani1362</v>
      </c>
      <c r="C901" s="6" t="s">
        <v>1496</v>
      </c>
      <c r="D901" s="5" t="s">
        <v>109</v>
      </c>
      <c r="E901" s="9" t="str">
        <f>HYPERLINK("https://twitter.com/m_zamani1362/status/1044824164157321217","1044824164157321217")</f>
        <v>1044824164157321217</v>
      </c>
      <c r="F901" s="4"/>
      <c r="G901" s="4"/>
      <c r="H901" s="4"/>
      <c r="I901" s="10" t="str">
        <f>HYPERLINK("http://twitter.com/download/android","Twitter for Android")</f>
        <v>Twitter for Android</v>
      </c>
      <c r="J901" s="2">
        <v>16</v>
      </c>
      <c r="K901" s="2">
        <v>24</v>
      </c>
      <c r="L901" s="2">
        <v>0</v>
      </c>
      <c r="M901" s="2"/>
      <c r="N901" s="8">
        <v>43241.798275462963</v>
      </c>
      <c r="O901" s="4"/>
      <c r="P901" s="3" t="s">
        <v>1495</v>
      </c>
      <c r="Q901" s="4"/>
      <c r="R901" s="4"/>
      <c r="S901" s="9" t="str">
        <f>HYPERLINK("https://pbs.twimg.com/profile_images/998640443138101248/HSlW56b9.jpg","View")</f>
        <v>View</v>
      </c>
    </row>
    <row r="902" spans="1:19" ht="40">
      <c r="A902" s="8">
        <v>43369.382673611108</v>
      </c>
      <c r="B902" s="11" t="str">
        <f>HYPERLINK("https://twitter.com/shahrvandyar","@shahrvandyar")</f>
        <v>@shahrvandyar</v>
      </c>
      <c r="C902" s="6" t="s">
        <v>1494</v>
      </c>
      <c r="D902" s="5" t="s">
        <v>1493</v>
      </c>
      <c r="E902" s="9" t="str">
        <f>HYPERLINK("https://twitter.com/shahrvandyar/status/1044824146859962371","1044824146859962371")</f>
        <v>1044824146859962371</v>
      </c>
      <c r="F902" s="4"/>
      <c r="G902" s="10" t="s">
        <v>1492</v>
      </c>
      <c r="H902" s="4"/>
      <c r="I902" s="10" t="str">
        <f>HYPERLINK("http://twitter.com/download/android","Twitter for Android")</f>
        <v>Twitter for Android</v>
      </c>
      <c r="J902" s="2">
        <v>5362</v>
      </c>
      <c r="K902" s="2">
        <v>135</v>
      </c>
      <c r="L902" s="2">
        <v>37</v>
      </c>
      <c r="M902" s="2"/>
      <c r="N902" s="8">
        <v>40568.889525462961</v>
      </c>
      <c r="O902" s="4" t="s">
        <v>1491</v>
      </c>
      <c r="P902" s="3" t="s">
        <v>1490</v>
      </c>
      <c r="Q902" s="10" t="s">
        <v>1489</v>
      </c>
      <c r="R902" s="4"/>
      <c r="S902" s="9" t="str">
        <f>HYPERLINK("https://pbs.twimg.com/profile_images/597542915360063488/VEvA-5OZ.jpg","View")</f>
        <v>View</v>
      </c>
    </row>
    <row r="903" spans="1:19" ht="40">
      <c r="A903" s="8">
        <v>43369.381296296298</v>
      </c>
      <c r="B903" s="11" t="str">
        <f>HYPERLINK("https://twitter.com/FaeghehB","@FaeghehB")</f>
        <v>@FaeghehB</v>
      </c>
      <c r="C903" s="6" t="s">
        <v>1488</v>
      </c>
      <c r="D903" s="5" t="s">
        <v>72</v>
      </c>
      <c r="E903" s="9" t="str">
        <f>HYPERLINK("https://twitter.com/FaeghehB/status/1044823648991940609","1044823648991940609")</f>
        <v>1044823648991940609</v>
      </c>
      <c r="F903" s="4"/>
      <c r="G903" s="4"/>
      <c r="H903" s="4"/>
      <c r="I903" s="10" t="str">
        <f>HYPERLINK("http://twitter.com/download/android","Twitter for Android")</f>
        <v>Twitter for Android</v>
      </c>
      <c r="J903" s="2">
        <v>445</v>
      </c>
      <c r="K903" s="2">
        <v>76</v>
      </c>
      <c r="L903" s="2">
        <v>0</v>
      </c>
      <c r="M903" s="2"/>
      <c r="N903" s="8">
        <v>43146.406458333338</v>
      </c>
      <c r="O903" s="4"/>
      <c r="P903" s="3" t="s">
        <v>1487</v>
      </c>
      <c r="Q903" s="4"/>
      <c r="R903" s="4"/>
      <c r="S903" s="9" t="str">
        <f>HYPERLINK("https://pbs.twimg.com/profile_images/1039213576823562240/FgdIjmc6.jpg","View")</f>
        <v>View</v>
      </c>
    </row>
    <row r="904" spans="1:19" ht="40">
      <c r="A904" s="8">
        <v>43369.380891203706</v>
      </c>
      <c r="B904" s="11" t="str">
        <f>HYPERLINK("https://twitter.com/jalilyonline","@jalilyonline")</f>
        <v>@jalilyonline</v>
      </c>
      <c r="C904" s="6" t="s">
        <v>1486</v>
      </c>
      <c r="D904" s="5" t="s">
        <v>75</v>
      </c>
      <c r="E904" s="9" t="str">
        <f>HYPERLINK("https://twitter.com/jalilyonline/status/1044823501553762304","1044823501553762304")</f>
        <v>1044823501553762304</v>
      </c>
      <c r="F904" s="4"/>
      <c r="G904" s="4"/>
      <c r="H904" s="4"/>
      <c r="I904" s="10" t="str">
        <f>HYPERLINK("http://twitter.com/download/android","Twitter for Android")</f>
        <v>Twitter for Android</v>
      </c>
      <c r="J904" s="2">
        <v>3018</v>
      </c>
      <c r="K904" s="2">
        <v>759</v>
      </c>
      <c r="L904" s="2">
        <v>47</v>
      </c>
      <c r="M904" s="2"/>
      <c r="N904" s="8">
        <v>39977.613796296297</v>
      </c>
      <c r="O904" s="4" t="s">
        <v>1485</v>
      </c>
      <c r="P904" s="3" t="s">
        <v>1484</v>
      </c>
      <c r="Q904" s="10" t="s">
        <v>1483</v>
      </c>
      <c r="R904" s="4"/>
      <c r="S904" s="9" t="str">
        <f>HYPERLINK("https://pbs.twimg.com/profile_images/1006533899823050752/on-odDW_.jpg","View")</f>
        <v>View</v>
      </c>
    </row>
    <row r="905" spans="1:19" ht="20">
      <c r="A905" s="8">
        <v>43369.38081018519</v>
      </c>
      <c r="B905" s="11" t="str">
        <f>HYPERLINK("https://twitter.com/Yasermasoumi","@Yasermasoumi")</f>
        <v>@Yasermasoumi</v>
      </c>
      <c r="C905" s="6" t="s">
        <v>1482</v>
      </c>
      <c r="D905" s="5" t="s">
        <v>185</v>
      </c>
      <c r="E905" s="9" t="str">
        <f>HYPERLINK("https://twitter.com/Yasermasoumi/status/1044823473095364609","1044823473095364609")</f>
        <v>1044823473095364609</v>
      </c>
      <c r="F905" s="4"/>
      <c r="G905" s="10" t="s">
        <v>177</v>
      </c>
      <c r="H905" s="4"/>
      <c r="I905" s="10" t="str">
        <f>HYPERLINK("http://twitter.com/download/iphone","Twitter for iPhone")</f>
        <v>Twitter for iPhone</v>
      </c>
      <c r="J905" s="2">
        <v>345</v>
      </c>
      <c r="K905" s="2">
        <v>511</v>
      </c>
      <c r="L905" s="2">
        <v>3</v>
      </c>
      <c r="M905" s="2"/>
      <c r="N905" s="8">
        <v>40051.436724537038</v>
      </c>
      <c r="O905" s="4" t="s">
        <v>52</v>
      </c>
      <c r="P905" s="3"/>
      <c r="Q905" s="4"/>
      <c r="R905" s="4"/>
      <c r="S905" s="9" t="str">
        <f>HYPERLINK("https://pbs.twimg.com/profile_images/854203638545358848/rCckWtdQ.jpg","View")</f>
        <v>View</v>
      </c>
    </row>
    <row r="906" spans="1:19" ht="40">
      <c r="A906" s="8">
        <v>43369.379745370374</v>
      </c>
      <c r="B906" s="11" t="str">
        <f>HYPERLINK("https://twitter.com/AdbMohsen","@AdbMohsen")</f>
        <v>@AdbMohsen</v>
      </c>
      <c r="C906" s="6" t="s">
        <v>1481</v>
      </c>
      <c r="D906" s="5" t="s">
        <v>1480</v>
      </c>
      <c r="E906" s="9" t="str">
        <f>HYPERLINK("https://twitter.com/AdbMohsen/status/1044823088993640448","1044823088993640448")</f>
        <v>1044823088993640448</v>
      </c>
      <c r="F906" s="4"/>
      <c r="G906" s="4"/>
      <c r="H906" s="4"/>
      <c r="I906" s="10" t="str">
        <f>HYPERLINK("http://twitter.com/download/iphone","Twitter for iPhone")</f>
        <v>Twitter for iPhone</v>
      </c>
      <c r="J906" s="2">
        <v>24</v>
      </c>
      <c r="K906" s="2">
        <v>113</v>
      </c>
      <c r="L906" s="2">
        <v>0</v>
      </c>
      <c r="M906" s="2"/>
      <c r="N906" s="8">
        <v>43254.962118055555</v>
      </c>
      <c r="O906" s="4" t="s">
        <v>7</v>
      </c>
      <c r="P906" s="3"/>
      <c r="Q906" s="4"/>
      <c r="R906" s="4"/>
      <c r="S906" s="9" t="str">
        <f>HYPERLINK("https://pbs.twimg.com/profile_images/1003345547795689473/-xbZ5qh2.jpg","View")</f>
        <v>View</v>
      </c>
    </row>
    <row r="907" spans="1:19" ht="50">
      <c r="A907" s="8">
        <v>43369.379432870366</v>
      </c>
      <c r="B907" s="11" t="str">
        <f>HYPERLINK("https://twitter.com/XLNCTweets","@XLNCTweets")</f>
        <v>@XLNCTweets</v>
      </c>
      <c r="C907" s="6" t="s">
        <v>1475</v>
      </c>
      <c r="D907" s="5" t="s">
        <v>210</v>
      </c>
      <c r="E907" s="9" t="str">
        <f>HYPERLINK("https://twitter.com/XLNCTweets/status/1044822972832382976","1044822972832382976")</f>
        <v>1044822972832382976</v>
      </c>
      <c r="F907" s="4"/>
      <c r="G907" s="4"/>
      <c r="H907" s="4"/>
      <c r="I907" s="10" t="str">
        <f>HYPERLINK("http://twitter.com","Twitter Web Client")</f>
        <v>Twitter Web Client</v>
      </c>
      <c r="J907" s="2">
        <v>8768</v>
      </c>
      <c r="K907" s="2">
        <v>6508</v>
      </c>
      <c r="L907" s="2">
        <v>8</v>
      </c>
      <c r="M907" s="2"/>
      <c r="N907" s="8">
        <v>42946.150601851856</v>
      </c>
      <c r="O907" s="4" t="s">
        <v>96</v>
      </c>
      <c r="P907" s="3" t="s">
        <v>1474</v>
      </c>
      <c r="Q907" s="4"/>
      <c r="R907" s="4"/>
      <c r="S907" s="9" t="str">
        <f>HYPERLINK("https://pbs.twimg.com/profile_images/891436919397257220/8yctFQPa.jpg","View")</f>
        <v>View</v>
      </c>
    </row>
    <row r="908" spans="1:19" ht="30">
      <c r="A908" s="8">
        <v>43369.379421296297</v>
      </c>
      <c r="B908" s="11" t="str">
        <f>HYPERLINK("https://twitter.com/Zendebad_IRAN","@Zendebad_IRAN")</f>
        <v>@Zendebad_IRAN</v>
      </c>
      <c r="C908" s="6" t="s">
        <v>1479</v>
      </c>
      <c r="D908" s="5" t="s">
        <v>49</v>
      </c>
      <c r="E908" s="9" t="str">
        <f>HYPERLINK("https://twitter.com/Zendebad_IRAN/status/1044822968378019840","1044822968378019840")</f>
        <v>1044822968378019840</v>
      </c>
      <c r="F908" s="4"/>
      <c r="G908" s="4"/>
      <c r="H908" s="4"/>
      <c r="I908" s="10" t="str">
        <f>HYPERLINK("http://twitter.com/download/android","Twitter for Android")</f>
        <v>Twitter for Android</v>
      </c>
      <c r="J908" s="2">
        <v>321</v>
      </c>
      <c r="K908" s="2">
        <v>459</v>
      </c>
      <c r="L908" s="2">
        <v>0</v>
      </c>
      <c r="M908" s="2"/>
      <c r="N908" s="8">
        <v>43285.888645833329</v>
      </c>
      <c r="O908" s="4"/>
      <c r="P908" s="3"/>
      <c r="Q908" s="4"/>
      <c r="R908" s="4"/>
      <c r="S908" s="9" t="str">
        <f>HYPERLINK("https://pbs.twimg.com/profile_images/1034915145317863439/E8iQlUEE.jpg","View")</f>
        <v>View</v>
      </c>
    </row>
    <row r="909" spans="1:19" ht="30">
      <c r="A909" s="8">
        <v>43369.379409722227</v>
      </c>
      <c r="B909" s="11" t="str">
        <f>HYPERLINK("https://twitter.com/sara28100494","@sara28100494")</f>
        <v>@sara28100494</v>
      </c>
      <c r="C909" s="6" t="s">
        <v>1478</v>
      </c>
      <c r="D909" s="5" t="s">
        <v>229</v>
      </c>
      <c r="E909" s="9" t="str">
        <f>HYPERLINK("https://twitter.com/sara28100494/status/1044822964175351809","1044822964175351809")</f>
        <v>1044822964175351809</v>
      </c>
      <c r="F909" s="4"/>
      <c r="G909" s="4"/>
      <c r="H909" s="4"/>
      <c r="I909" s="10" t="str">
        <f>HYPERLINK("http://twitter.com/download/android","Twitter for Android")</f>
        <v>Twitter for Android</v>
      </c>
      <c r="J909" s="2">
        <v>853</v>
      </c>
      <c r="K909" s="2">
        <v>594</v>
      </c>
      <c r="L909" s="2">
        <v>0</v>
      </c>
      <c r="M909" s="2"/>
      <c r="N909" s="8">
        <v>43268.656087962961</v>
      </c>
      <c r="O909" s="4"/>
      <c r="P909" s="3" t="s">
        <v>1477</v>
      </c>
      <c r="Q909" s="4"/>
      <c r="R909" s="4"/>
      <c r="S909" s="9" t="str">
        <f>HYPERLINK("https://pbs.twimg.com/profile_images/1044492577335054336/Vgcywuj1.jpg","View")</f>
        <v>View</v>
      </c>
    </row>
    <row r="910" spans="1:19" ht="40">
      <c r="A910" s="8">
        <v>43369.379027777773</v>
      </c>
      <c r="B910" s="11" t="str">
        <f>HYPERLINK("https://twitter.com/javid20j","@javid20j")</f>
        <v>@javid20j</v>
      </c>
      <c r="C910" s="6" t="s">
        <v>1476</v>
      </c>
      <c r="D910" s="5" t="s">
        <v>58</v>
      </c>
      <c r="E910" s="9" t="str">
        <f>HYPERLINK("https://twitter.com/javid20j/status/1044822827298422784","1044822827298422784")</f>
        <v>1044822827298422784</v>
      </c>
      <c r="F910" s="4"/>
      <c r="G910" s="10" t="s">
        <v>57</v>
      </c>
      <c r="H910" s="4"/>
      <c r="I910" s="10" t="str">
        <f>HYPERLINK("http://twitter.com","Twitter Web Client")</f>
        <v>Twitter Web Client</v>
      </c>
      <c r="J910" s="2">
        <v>28</v>
      </c>
      <c r="K910" s="2">
        <v>23</v>
      </c>
      <c r="L910" s="2">
        <v>0</v>
      </c>
      <c r="M910" s="2"/>
      <c r="N910" s="8">
        <v>42723.631944444445</v>
      </c>
      <c r="O910" s="4"/>
      <c r="P910" s="3"/>
      <c r="Q910" s="4"/>
      <c r="R910" s="4"/>
      <c r="S910" s="9" t="str">
        <f>HYPERLINK("https://pbs.twimg.com/profile_images/810880293020332032/K2SkxK2_.jpg","View")</f>
        <v>View</v>
      </c>
    </row>
    <row r="911" spans="1:19" ht="30">
      <c r="A911" s="8">
        <v>43369.378842592589</v>
      </c>
      <c r="B911" s="11" t="str">
        <f>HYPERLINK("https://twitter.com/XLNCTweets","@XLNCTweets")</f>
        <v>@XLNCTweets</v>
      </c>
      <c r="C911" s="6" t="s">
        <v>1475</v>
      </c>
      <c r="D911" s="5" t="s">
        <v>1358</v>
      </c>
      <c r="E911" s="9" t="str">
        <f>HYPERLINK("https://twitter.com/XLNCTweets/status/1044822759145185280","1044822759145185280")</f>
        <v>1044822759145185280</v>
      </c>
      <c r="F911" s="4"/>
      <c r="G911" s="10" t="s">
        <v>1357</v>
      </c>
      <c r="H911" s="4"/>
      <c r="I911" s="10" t="str">
        <f>HYPERLINK("http://twitter.com","Twitter Web Client")</f>
        <v>Twitter Web Client</v>
      </c>
      <c r="J911" s="2">
        <v>8768</v>
      </c>
      <c r="K911" s="2">
        <v>6508</v>
      </c>
      <c r="L911" s="2">
        <v>8</v>
      </c>
      <c r="M911" s="2"/>
      <c r="N911" s="8">
        <v>42946.150601851856</v>
      </c>
      <c r="O911" s="4" t="s">
        <v>96</v>
      </c>
      <c r="P911" s="3" t="s">
        <v>1474</v>
      </c>
      <c r="Q911" s="4"/>
      <c r="R911" s="4"/>
      <c r="S911" s="9" t="str">
        <f>HYPERLINK("https://pbs.twimg.com/profile_images/891436919397257220/8yctFQPa.jpg","View")</f>
        <v>View</v>
      </c>
    </row>
    <row r="912" spans="1:19" ht="40">
      <c r="A912" s="8">
        <v>43369.377442129626</v>
      </c>
      <c r="B912" s="11" t="str">
        <f>HYPERLINK("https://twitter.com/ar_motazedian","@ar_motazedian")</f>
        <v>@ar_motazedian</v>
      </c>
      <c r="C912" s="6" t="s">
        <v>1436</v>
      </c>
      <c r="D912" s="5" t="s">
        <v>1473</v>
      </c>
      <c r="E912" s="9" t="str">
        <f>HYPERLINK("https://twitter.com/ar_motazedian/status/1044822251919618049","1044822251919618049")</f>
        <v>1044822251919618049</v>
      </c>
      <c r="F912" s="4"/>
      <c r="G912" s="4"/>
      <c r="H912" s="4"/>
      <c r="I912" s="10" t="str">
        <f>HYPERLINK("http://twitter.com/download/android","Twitter for Android")</f>
        <v>Twitter for Android</v>
      </c>
      <c r="J912" s="2">
        <v>736</v>
      </c>
      <c r="K912" s="2">
        <v>1042</v>
      </c>
      <c r="L912" s="2">
        <v>3</v>
      </c>
      <c r="M912" s="2"/>
      <c r="N912" s="8">
        <v>43102.496064814812</v>
      </c>
      <c r="O912" s="4" t="s">
        <v>255</v>
      </c>
      <c r="P912" s="3" t="s">
        <v>1435</v>
      </c>
      <c r="Q912" s="4"/>
      <c r="R912" s="4"/>
      <c r="S912" s="9" t="str">
        <f>HYPERLINK("https://pbs.twimg.com/profile_images/1013506308161581058/P9KlVe5l.jpg","View")</f>
        <v>View</v>
      </c>
    </row>
    <row r="913" spans="1:19" ht="20">
      <c r="A913" s="8">
        <v>43369.376782407402</v>
      </c>
      <c r="B913" s="11" t="str">
        <f>HYPERLINK("https://twitter.com/mardemashreghi","@mardemashreghi")</f>
        <v>@mardemashreghi</v>
      </c>
      <c r="C913" s="6" t="s">
        <v>20</v>
      </c>
      <c r="D913" s="5" t="s">
        <v>63</v>
      </c>
      <c r="E913" s="9" t="str">
        <f>HYPERLINK("https://twitter.com/mardemashreghi/status/1044822014312239109","1044822014312239109")</f>
        <v>1044822014312239109</v>
      </c>
      <c r="F913" s="4"/>
      <c r="G913" s="4"/>
      <c r="H913" s="4"/>
      <c r="I913" s="10" t="str">
        <f>HYPERLINK("http://twitter.com/download/iphone","Twitter for iPhone")</f>
        <v>Twitter for iPhone</v>
      </c>
      <c r="J913" s="2">
        <v>610</v>
      </c>
      <c r="K913" s="2">
        <v>4035</v>
      </c>
      <c r="L913" s="2">
        <v>1</v>
      </c>
      <c r="M913" s="2"/>
      <c r="N913" s="8">
        <v>39982.329837962963</v>
      </c>
      <c r="O913" s="4" t="s">
        <v>7</v>
      </c>
      <c r="P913" s="3" t="s">
        <v>19</v>
      </c>
      <c r="Q913" s="4"/>
      <c r="R913" s="4"/>
      <c r="S913" s="9" t="str">
        <f>HYPERLINK("https://pbs.twimg.com/profile_images/421372784803987457/3ar7vgL2.jpeg","View")</f>
        <v>View</v>
      </c>
    </row>
    <row r="914" spans="1:19" ht="40">
      <c r="A914" s="8">
        <v>43369.376689814817</v>
      </c>
      <c r="B914" s="11" t="str">
        <f>HYPERLINK("https://twitter.com/metty1358","@metty1358")</f>
        <v>@metty1358</v>
      </c>
      <c r="C914" s="6" t="s">
        <v>1472</v>
      </c>
      <c r="D914" s="5" t="s">
        <v>1471</v>
      </c>
      <c r="E914" s="9" t="str">
        <f>HYPERLINK("https://twitter.com/metty1358/status/1044821981051408384","1044821981051408384")</f>
        <v>1044821981051408384</v>
      </c>
      <c r="F914" s="4"/>
      <c r="G914" s="4"/>
      <c r="H914" s="4"/>
      <c r="I914" s="10" t="str">
        <f>HYPERLINK("http://twitter.com/#!/download/ipad","Twitter for iPad")</f>
        <v>Twitter for iPad</v>
      </c>
      <c r="J914" s="2">
        <v>1112</v>
      </c>
      <c r="K914" s="2">
        <v>887</v>
      </c>
      <c r="L914" s="2">
        <v>0</v>
      </c>
      <c r="M914" s="2"/>
      <c r="N914" s="8">
        <v>42199.713784722218</v>
      </c>
      <c r="O914" s="4"/>
      <c r="P914" s="3" t="s">
        <v>1470</v>
      </c>
      <c r="Q914" s="4"/>
      <c r="R914" s="4"/>
      <c r="S914" s="9" t="str">
        <f>HYPERLINK("https://pbs.twimg.com/profile_images/936233989903396865/YjlPzz0T.jpg","View")</f>
        <v>View</v>
      </c>
    </row>
    <row r="915" spans="1:19" ht="30">
      <c r="A915" s="8">
        <v>43369.376458333332</v>
      </c>
      <c r="B915" s="11" t="str">
        <f>HYPERLINK("https://twitter.com/Taamogh","@Taamogh")</f>
        <v>@Taamogh</v>
      </c>
      <c r="C915" s="6" t="s">
        <v>1469</v>
      </c>
      <c r="D915" s="5" t="s">
        <v>1010</v>
      </c>
      <c r="E915" s="9" t="str">
        <f>HYPERLINK("https://twitter.com/Taamogh/status/1044821898021019648","1044821898021019648")</f>
        <v>1044821898021019648</v>
      </c>
      <c r="F915" s="10" t="s">
        <v>955</v>
      </c>
      <c r="G915" s="10" t="s">
        <v>954</v>
      </c>
      <c r="H915" s="4"/>
      <c r="I915" s="10" t="str">
        <f>HYPERLINK("http://twitter.com/download/android","Twitter for Android")</f>
        <v>Twitter for Android</v>
      </c>
      <c r="J915" s="2">
        <v>81</v>
      </c>
      <c r="K915" s="2">
        <v>234</v>
      </c>
      <c r="L915" s="2">
        <v>0</v>
      </c>
      <c r="M915" s="2"/>
      <c r="N915" s="8">
        <v>43114.609965277778</v>
      </c>
      <c r="O915" s="4" t="s">
        <v>1468</v>
      </c>
      <c r="P915" s="3" t="s">
        <v>1467</v>
      </c>
      <c r="Q915" s="4"/>
      <c r="R915" s="4"/>
      <c r="S915" s="9" t="str">
        <f>HYPERLINK("https://pbs.twimg.com/profile_images/999267296865542146/RrZ9bi01.jpg","View")</f>
        <v>View</v>
      </c>
    </row>
    <row r="916" spans="1:19" ht="20">
      <c r="A916" s="8">
        <v>43369.376122685186</v>
      </c>
      <c r="B916" s="11" t="str">
        <f>HYPERLINK("https://twitter.com/masoud04982166","@masoud04982166")</f>
        <v>@masoud04982166</v>
      </c>
      <c r="C916" s="6" t="s">
        <v>1466</v>
      </c>
      <c r="D916" s="5" t="s">
        <v>1465</v>
      </c>
      <c r="E916" s="9" t="str">
        <f>HYPERLINK("https://twitter.com/masoud04982166/status/1044821773244657666","1044821773244657666")</f>
        <v>1044821773244657666</v>
      </c>
      <c r="F916" s="4"/>
      <c r="G916" s="4"/>
      <c r="H916" s="4"/>
      <c r="I916" s="10" t="str">
        <f>HYPERLINK("http://twitter.com/download/android","Twitter for Android")</f>
        <v>Twitter for Android</v>
      </c>
      <c r="J916" s="2">
        <v>2</v>
      </c>
      <c r="K916" s="2">
        <v>7</v>
      </c>
      <c r="L916" s="2">
        <v>0</v>
      </c>
      <c r="M916" s="2"/>
      <c r="N916" s="8">
        <v>43277.096620370372</v>
      </c>
      <c r="O916" s="4"/>
      <c r="P916" s="3" t="s">
        <v>1464</v>
      </c>
      <c r="Q916" s="4"/>
      <c r="R916" s="4"/>
      <c r="S916" s="9" t="str">
        <f>HYPERLINK("https://pbs.twimg.com/profile_images/1044823130760511496/Og1gdK7o.jpg","View")</f>
        <v>View</v>
      </c>
    </row>
    <row r="917" spans="1:19" ht="20">
      <c r="A917" s="8">
        <v>43369.375925925924</v>
      </c>
      <c r="B917" s="11" t="str">
        <f>HYPERLINK("https://twitter.com/write4peace","@write4peace")</f>
        <v>@write4peace</v>
      </c>
      <c r="C917" s="6" t="s">
        <v>1463</v>
      </c>
      <c r="D917" s="5" t="s">
        <v>185</v>
      </c>
      <c r="E917" s="9" t="str">
        <f>HYPERLINK("https://twitter.com/write4peace/status/1044821702713184256","1044821702713184256")</f>
        <v>1044821702713184256</v>
      </c>
      <c r="F917" s="4"/>
      <c r="G917" s="10" t="s">
        <v>177</v>
      </c>
      <c r="H917" s="4"/>
      <c r="I917" s="10" t="str">
        <f>HYPERLINK("http://twitter.com/download/android","Twitter for Android")</f>
        <v>Twitter for Android</v>
      </c>
      <c r="J917" s="2">
        <v>296</v>
      </c>
      <c r="K917" s="2">
        <v>548</v>
      </c>
      <c r="L917" s="2">
        <v>3</v>
      </c>
      <c r="M917" s="2"/>
      <c r="N917" s="8">
        <v>43039.308078703703</v>
      </c>
      <c r="O917" s="4" t="s">
        <v>16</v>
      </c>
      <c r="P917" s="3" t="s">
        <v>1462</v>
      </c>
      <c r="Q917" s="4"/>
      <c r="R917" s="4"/>
      <c r="S917" s="9" t="str">
        <f>HYPERLINK("https://pbs.twimg.com/profile_images/927584836499460096/aYlv4Es2.jpg","View")</f>
        <v>View</v>
      </c>
    </row>
    <row r="918" spans="1:19" ht="30">
      <c r="A918" s="8">
        <v>43369.375740740739</v>
      </c>
      <c r="B918" s="11" t="str">
        <f>HYPERLINK("https://twitter.com/mahdikhodarahmi","@mahdikhodarahmi")</f>
        <v>@mahdikhodarahmi</v>
      </c>
      <c r="C918" s="6" t="s">
        <v>1461</v>
      </c>
      <c r="D918" s="5" t="s">
        <v>1460</v>
      </c>
      <c r="E918" s="9" t="str">
        <f>HYPERLINK("https://twitter.com/mahdikhodarahmi/status/1044821634014760961","1044821634014760961")</f>
        <v>1044821634014760961</v>
      </c>
      <c r="F918" s="4"/>
      <c r="G918" s="4"/>
      <c r="H918" s="4"/>
      <c r="I918" s="10" t="str">
        <f>HYPERLINK("http://twitter.com/download/android","Twitter for Android")</f>
        <v>Twitter for Android</v>
      </c>
      <c r="J918" s="2">
        <v>25</v>
      </c>
      <c r="K918" s="2">
        <v>73</v>
      </c>
      <c r="L918" s="2">
        <v>0</v>
      </c>
      <c r="M918" s="2"/>
      <c r="N918" s="8">
        <v>41325.702974537038</v>
      </c>
      <c r="O918" s="4" t="s">
        <v>7</v>
      </c>
      <c r="P918" s="3"/>
      <c r="Q918" s="10" t="s">
        <v>1459</v>
      </c>
      <c r="R918" s="4"/>
      <c r="S918" s="9" t="str">
        <f>HYPERLINK("https://pbs.twimg.com/profile_images/1032759828236697601/omy0rBYn.jpg","View")</f>
        <v>View</v>
      </c>
    </row>
    <row r="919" spans="1:19" ht="40">
      <c r="A919" s="8">
        <v>43369.375717592593</v>
      </c>
      <c r="B919" s="11" t="str">
        <f>HYPERLINK("https://twitter.com/Atheistmajnon","@Atheistmajnon")</f>
        <v>@Atheistmajnon</v>
      </c>
      <c r="C919" s="6" t="s">
        <v>1458</v>
      </c>
      <c r="D919" s="5" t="s">
        <v>1457</v>
      </c>
      <c r="E919" s="9" t="str">
        <f>HYPERLINK("https://twitter.com/Atheistmajnon/status/1044821627832340482","1044821627832340482")</f>
        <v>1044821627832340482</v>
      </c>
      <c r="F919" s="4"/>
      <c r="G919" s="4"/>
      <c r="H919" s="4"/>
      <c r="I919" s="10" t="str">
        <f>HYPERLINK("http://twitter.com/download/android","Twitter for Android")</f>
        <v>Twitter for Android</v>
      </c>
      <c r="J919" s="2">
        <v>320</v>
      </c>
      <c r="K919" s="2">
        <v>305</v>
      </c>
      <c r="L919" s="2">
        <v>0</v>
      </c>
      <c r="M919" s="2"/>
      <c r="N919" s="8">
        <v>40864.477962962963</v>
      </c>
      <c r="O919" s="4"/>
      <c r="P919" s="3" t="s">
        <v>1456</v>
      </c>
      <c r="Q919" s="4"/>
      <c r="R919" s="4"/>
      <c r="S919" s="9" t="str">
        <f>HYPERLINK("https://pbs.twimg.com/profile_images/1033405761894985729/k_3g3S4N.jpg","View")</f>
        <v>View</v>
      </c>
    </row>
    <row r="920" spans="1:19" ht="40">
      <c r="A920" s="8">
        <v>43369.375648148147</v>
      </c>
      <c r="B920" s="11" t="str">
        <f>HYPERLINK("https://twitter.com/Fkallh","@Fkallh")</f>
        <v>@Fkallh</v>
      </c>
      <c r="C920" s="6" t="s">
        <v>1455</v>
      </c>
      <c r="D920" s="5" t="s">
        <v>58</v>
      </c>
      <c r="E920" s="9" t="str">
        <f>HYPERLINK("https://twitter.com/Fkallh/status/1044821602624581633","1044821602624581633")</f>
        <v>1044821602624581633</v>
      </c>
      <c r="F920" s="4"/>
      <c r="G920" s="10" t="s">
        <v>57</v>
      </c>
      <c r="H920" s="4"/>
      <c r="I920" s="10" t="str">
        <f>HYPERLINK("https://mobile.twitter.com","Twitter Lite")</f>
        <v>Twitter Lite</v>
      </c>
      <c r="J920" s="2">
        <v>323</v>
      </c>
      <c r="K920" s="2">
        <v>1114</v>
      </c>
      <c r="L920" s="2">
        <v>0</v>
      </c>
      <c r="M920" s="2"/>
      <c r="N920" s="8">
        <v>43104.933252314819</v>
      </c>
      <c r="O920" s="4"/>
      <c r="P920" s="3" t="s">
        <v>1454</v>
      </c>
      <c r="Q920" s="4"/>
      <c r="R920" s="4"/>
      <c r="S920" s="2" t="s">
        <v>21</v>
      </c>
    </row>
    <row r="921" spans="1:19" ht="40">
      <c r="A921" s="8">
        <v>43369.375104166669</v>
      </c>
      <c r="B921" s="11" t="str">
        <f>HYPERLINK("https://twitter.com/k0_0kfk","@k0_0kfk")</f>
        <v>@k0_0kfk</v>
      </c>
      <c r="C921" s="6" t="s">
        <v>1453</v>
      </c>
      <c r="D921" s="5" t="s">
        <v>1392</v>
      </c>
      <c r="E921" s="9" t="str">
        <f>HYPERLINK("https://twitter.com/k0_0kfk/status/1044821406796697601","1044821406796697601")</f>
        <v>1044821406796697601</v>
      </c>
      <c r="F921" s="4"/>
      <c r="G921" s="4"/>
      <c r="H921" s="4"/>
      <c r="I921" s="10" t="str">
        <f>HYPERLINK("http://twitter.com","Twitter Web Client")</f>
        <v>Twitter Web Client</v>
      </c>
      <c r="J921" s="2">
        <v>883</v>
      </c>
      <c r="K921" s="2">
        <v>313</v>
      </c>
      <c r="L921" s="2">
        <v>150</v>
      </c>
      <c r="M921" s="2"/>
      <c r="N921" s="8">
        <v>41285.791041666671</v>
      </c>
      <c r="O921" s="4" t="s">
        <v>1452</v>
      </c>
      <c r="P921" s="3" t="s">
        <v>1451</v>
      </c>
      <c r="Q921" s="4"/>
      <c r="R921" s="4"/>
      <c r="S921" s="9" t="str">
        <f>HYPERLINK("https://pbs.twimg.com/profile_images/1031447745515716609/CzYzdsT5.jpg","View")</f>
        <v>View</v>
      </c>
    </row>
    <row r="922" spans="1:19" ht="30">
      <c r="A922" s="8">
        <v>43369.375081018516</v>
      </c>
      <c r="B922" s="11" t="str">
        <f>HYPERLINK("https://twitter.com/MonaSaberi","@MonaSaberi")</f>
        <v>@MonaSaberi</v>
      </c>
      <c r="C922" s="6" t="s">
        <v>1450</v>
      </c>
      <c r="D922" s="5" t="s">
        <v>43</v>
      </c>
      <c r="E922" s="9" t="str">
        <f>HYPERLINK("https://twitter.com/MonaSaberi/status/1044821397334364162","1044821397334364162")</f>
        <v>1044821397334364162</v>
      </c>
      <c r="F922" s="4"/>
      <c r="G922" s="4"/>
      <c r="H922" s="4"/>
      <c r="I922" s="10" t="str">
        <f>HYPERLINK("http://twitter.com/download/android","Twitter for Android")</f>
        <v>Twitter for Android</v>
      </c>
      <c r="J922" s="2">
        <v>177</v>
      </c>
      <c r="K922" s="2">
        <v>62</v>
      </c>
      <c r="L922" s="2">
        <v>0</v>
      </c>
      <c r="M922" s="2"/>
      <c r="N922" s="8">
        <v>43310.490474537037</v>
      </c>
      <c r="O922" s="4"/>
      <c r="P922" s="3"/>
      <c r="Q922" s="4"/>
      <c r="R922" s="4"/>
      <c r="S922" s="9" t="str">
        <f>HYPERLINK("https://pbs.twimg.com/profile_images/1024167295097204737/AQMazcwZ.jpg","View")</f>
        <v>View</v>
      </c>
    </row>
    <row r="923" spans="1:19" ht="30">
      <c r="A923" s="8">
        <v>43369.374965277777</v>
      </c>
      <c r="B923" s="11" t="str">
        <f>HYPERLINK("https://twitter.com/rhinoslife","@rhinoslife")</f>
        <v>@rhinoslife</v>
      </c>
      <c r="C923" s="6" t="s">
        <v>1449</v>
      </c>
      <c r="D923" s="5" t="s">
        <v>49</v>
      </c>
      <c r="E923" s="9" t="str">
        <f>HYPERLINK("https://twitter.com/rhinoslife/status/1044821354112045057","1044821354112045057")</f>
        <v>1044821354112045057</v>
      </c>
      <c r="F923" s="4"/>
      <c r="G923" s="4"/>
      <c r="H923" s="4"/>
      <c r="I923" s="10" t="str">
        <f>HYPERLINK("http://twitter.com/download/iphone","Twitter for iPhone")</f>
        <v>Twitter for iPhone</v>
      </c>
      <c r="J923" s="2">
        <v>56</v>
      </c>
      <c r="K923" s="2">
        <v>194</v>
      </c>
      <c r="L923" s="2">
        <v>0</v>
      </c>
      <c r="M923" s="2"/>
      <c r="N923" s="8">
        <v>43225.92833333333</v>
      </c>
      <c r="O923" s="4"/>
      <c r="P923" s="3" t="s">
        <v>1448</v>
      </c>
      <c r="Q923" s="4"/>
      <c r="R923" s="4"/>
      <c r="S923" s="9" t="str">
        <f>HYPERLINK("https://pbs.twimg.com/profile_images/1032609552699744257/m8wG1_AR.jpg","View")</f>
        <v>View</v>
      </c>
    </row>
    <row r="924" spans="1:19" ht="40">
      <c r="A924" s="8">
        <v>43369.373703703706</v>
      </c>
      <c r="B924" s="11" t="str">
        <f>HYPERLINK("https://twitter.com/iwebnevis","@iwebnevis")</f>
        <v>@iwebnevis</v>
      </c>
      <c r="C924" s="6" t="s">
        <v>1447</v>
      </c>
      <c r="D924" s="5" t="s">
        <v>1446</v>
      </c>
      <c r="E924" s="9" t="str">
        <f>HYPERLINK("https://twitter.com/iwebnevis/status/1044820896006000640","1044820896006000640")</f>
        <v>1044820896006000640</v>
      </c>
      <c r="F924" s="4"/>
      <c r="G924" s="4"/>
      <c r="H924" s="4"/>
      <c r="I924" s="10" t="str">
        <f>HYPERLINK("http://twitter.com/download/android","Twitter for Android")</f>
        <v>Twitter for Android</v>
      </c>
      <c r="J924" s="2">
        <v>2247</v>
      </c>
      <c r="K924" s="2">
        <v>1183</v>
      </c>
      <c r="L924" s="2">
        <v>6</v>
      </c>
      <c r="M924" s="2"/>
      <c r="N924" s="8">
        <v>43127.908275462964</v>
      </c>
      <c r="O924" s="4" t="s">
        <v>7</v>
      </c>
      <c r="P924" s="3" t="s">
        <v>1445</v>
      </c>
      <c r="Q924" s="4"/>
      <c r="R924" s="4"/>
      <c r="S924" s="9" t="str">
        <f>HYPERLINK("https://pbs.twimg.com/profile_images/1042660365757231107/VObQxdlo.jpg","View")</f>
        <v>View</v>
      </c>
    </row>
    <row r="925" spans="1:19" ht="40">
      <c r="A925" s="8">
        <v>43369.373576388884</v>
      </c>
      <c r="B925" s="11" t="str">
        <f>HYPERLINK("https://twitter.com/kboutar","@kboutar")</f>
        <v>@kboutar</v>
      </c>
      <c r="C925" s="6" t="s">
        <v>1444</v>
      </c>
      <c r="D925" s="5" t="s">
        <v>58</v>
      </c>
      <c r="E925" s="9" t="str">
        <f>HYPERLINK("https://twitter.com/kboutar/status/1044820851638571008","1044820851638571008")</f>
        <v>1044820851638571008</v>
      </c>
      <c r="F925" s="4"/>
      <c r="G925" s="10" t="s">
        <v>57</v>
      </c>
      <c r="H925" s="4"/>
      <c r="I925" s="10" t="str">
        <f>HYPERLINK("http://twitter.com/download/android","Twitter for Android")</f>
        <v>Twitter for Android</v>
      </c>
      <c r="J925" s="2">
        <v>72</v>
      </c>
      <c r="K925" s="2">
        <v>118</v>
      </c>
      <c r="L925" s="2">
        <v>0</v>
      </c>
      <c r="M925" s="2"/>
      <c r="N925" s="8">
        <v>43251.54923611111</v>
      </c>
      <c r="O925" s="4"/>
      <c r="P925" s="3"/>
      <c r="Q925" s="4"/>
      <c r="R925" s="4"/>
      <c r="S925" s="2" t="s">
        <v>21</v>
      </c>
    </row>
    <row r="926" spans="1:19" ht="30">
      <c r="A926" s="8">
        <v>43369.373414351852</v>
      </c>
      <c r="B926" s="11" t="str">
        <f>HYPERLINK("https://twitter.com/negarsayeh","@negarsayeh")</f>
        <v>@negarsayeh</v>
      </c>
      <c r="C926" s="6" t="s">
        <v>1367</v>
      </c>
      <c r="D926" s="5" t="s">
        <v>53</v>
      </c>
      <c r="E926" s="9" t="str">
        <f>HYPERLINK("https://twitter.com/negarsayeh/status/1044820791102181379","1044820791102181379")</f>
        <v>1044820791102181379</v>
      </c>
      <c r="F926" s="4"/>
      <c r="G926" s="4"/>
      <c r="H926" s="4"/>
      <c r="I926" s="10" t="str">
        <f>HYPERLINK("http://twitter.com/download/android","Twitter for Android")</f>
        <v>Twitter for Android</v>
      </c>
      <c r="J926" s="2">
        <v>74</v>
      </c>
      <c r="K926" s="2">
        <v>210</v>
      </c>
      <c r="L926" s="2">
        <v>0</v>
      </c>
      <c r="M926" s="2"/>
      <c r="N926" s="8">
        <v>43295.922337962962</v>
      </c>
      <c r="O926" s="4" t="s">
        <v>8</v>
      </c>
      <c r="P926" s="3" t="s">
        <v>1365</v>
      </c>
      <c r="Q926" s="4"/>
      <c r="R926" s="4"/>
      <c r="S926" s="9" t="str">
        <f>HYPERLINK("https://pbs.twimg.com/profile_images/1018197567866359815/sxRI1j-O.jpg","View")</f>
        <v>View</v>
      </c>
    </row>
    <row r="927" spans="1:19" ht="20">
      <c r="A927" s="8">
        <v>43369.373240740737</v>
      </c>
      <c r="B927" s="11" t="str">
        <f>HYPERLINK("https://twitter.com/SajadKhoshrou","@SajadKhoshrou")</f>
        <v>@SajadKhoshrou</v>
      </c>
      <c r="C927" s="6" t="s">
        <v>1118</v>
      </c>
      <c r="D927" s="5" t="s">
        <v>185</v>
      </c>
      <c r="E927" s="9" t="str">
        <f>HYPERLINK("https://twitter.com/SajadKhoshrou/status/1044820728238034944","1044820728238034944")</f>
        <v>1044820728238034944</v>
      </c>
      <c r="F927" s="4"/>
      <c r="G927" s="10" t="s">
        <v>177</v>
      </c>
      <c r="H927" s="4"/>
      <c r="I927" s="10" t="str">
        <f>HYPERLINK("http://twitter.com/download/iphone","Twitter for iPhone")</f>
        <v>Twitter for iPhone</v>
      </c>
      <c r="J927" s="2">
        <v>219</v>
      </c>
      <c r="K927" s="2">
        <v>341</v>
      </c>
      <c r="L927" s="2">
        <v>0</v>
      </c>
      <c r="M927" s="2"/>
      <c r="N927" s="8">
        <v>42346.799270833333</v>
      </c>
      <c r="O927" s="4" t="s">
        <v>7</v>
      </c>
      <c r="P927" s="3" t="s">
        <v>1117</v>
      </c>
      <c r="Q927" s="4"/>
      <c r="R927" s="4"/>
      <c r="S927" s="9" t="str">
        <f>HYPERLINK("https://pbs.twimg.com/profile_images/969882246437105665/T5eyZbq0.jpg","View")</f>
        <v>View</v>
      </c>
    </row>
    <row r="928" spans="1:19" ht="40">
      <c r="A928" s="8">
        <v>43369.372893518521</v>
      </c>
      <c r="B928" s="11" t="str">
        <f>HYPERLINK("https://twitter.com/omid_manafi","@omid_manafi")</f>
        <v>@omid_manafi</v>
      </c>
      <c r="C928" s="6" t="s">
        <v>1443</v>
      </c>
      <c r="D928" s="5" t="s">
        <v>1392</v>
      </c>
      <c r="E928" s="9" t="str">
        <f>HYPERLINK("https://twitter.com/omid_manafi/status/1044820602727616513","1044820602727616513")</f>
        <v>1044820602727616513</v>
      </c>
      <c r="F928" s="4"/>
      <c r="G928" s="4"/>
      <c r="H928" s="4"/>
      <c r="I928" s="10" t="str">
        <f>HYPERLINK("http://twitter.com","Twitter Web Client")</f>
        <v>Twitter Web Client</v>
      </c>
      <c r="J928" s="2">
        <v>4010</v>
      </c>
      <c r="K928" s="2">
        <v>3860</v>
      </c>
      <c r="L928" s="2">
        <v>8</v>
      </c>
      <c r="M928" s="2"/>
      <c r="N928" s="8">
        <v>42866.617361111115</v>
      </c>
      <c r="O928" s="4"/>
      <c r="P928" s="3" t="s">
        <v>1442</v>
      </c>
      <c r="Q928" s="4"/>
      <c r="R928" s="4"/>
      <c r="S928" s="9" t="str">
        <f>HYPERLINK("https://pbs.twimg.com/profile_images/1005393765002039296/69Mchj1N.jpg","View")</f>
        <v>View</v>
      </c>
    </row>
    <row r="929" spans="1:19" ht="30">
      <c r="A929" s="8">
        <v>43369.372673611113</v>
      </c>
      <c r="B929" s="11" t="str">
        <f>HYPERLINK("https://twitter.com/halehazami","@halehazami")</f>
        <v>@halehazami</v>
      </c>
      <c r="C929" s="6" t="s">
        <v>1441</v>
      </c>
      <c r="D929" s="5" t="s">
        <v>65</v>
      </c>
      <c r="E929" s="9" t="str">
        <f>HYPERLINK("https://twitter.com/halehazami/status/1044820526244540417","1044820526244540417")</f>
        <v>1044820526244540417</v>
      </c>
      <c r="F929" s="4"/>
      <c r="G929" s="10" t="s">
        <v>64</v>
      </c>
      <c r="H929" s="4"/>
      <c r="I929" s="10" t="str">
        <f>HYPERLINK("http://twitter.com/download/iphone","Twitter for iPhone")</f>
        <v>Twitter for iPhone</v>
      </c>
      <c r="J929" s="2">
        <v>135</v>
      </c>
      <c r="K929" s="2">
        <v>74</v>
      </c>
      <c r="L929" s="2">
        <v>2</v>
      </c>
      <c r="M929" s="2"/>
      <c r="N929" s="8">
        <v>41225.977777777778</v>
      </c>
      <c r="O929" s="4" t="s">
        <v>7</v>
      </c>
      <c r="P929" s="3"/>
      <c r="Q929" s="4"/>
      <c r="R929" s="4"/>
      <c r="S929" s="9" t="str">
        <f>HYPERLINK("https://pbs.twimg.com/profile_images/941776133368025088/-ZW4clHc.jpg","View")</f>
        <v>View</v>
      </c>
    </row>
    <row r="930" spans="1:19" ht="20">
      <c r="A930" s="8">
        <v>43369.372650462959</v>
      </c>
      <c r="B930" s="11" t="str">
        <f>HYPERLINK("https://twitter.com/iraneraha2001","@iraneraha2001")</f>
        <v>@iraneraha2001</v>
      </c>
      <c r="C930" s="6" t="s">
        <v>1440</v>
      </c>
      <c r="D930" s="5" t="s">
        <v>1439</v>
      </c>
      <c r="E930" s="9" t="str">
        <f>HYPERLINK("https://twitter.com/iraneraha2001/status/1044820517335814144","1044820517335814144")</f>
        <v>1044820517335814144</v>
      </c>
      <c r="F930" s="4"/>
      <c r="G930" s="10" t="s">
        <v>1438</v>
      </c>
      <c r="H930" s="4"/>
      <c r="I930" s="10" t="str">
        <f>HYPERLINK("http://twitter.com","Twitter Web Client")</f>
        <v>Twitter Web Client</v>
      </c>
      <c r="J930" s="2">
        <v>123</v>
      </c>
      <c r="K930" s="2">
        <v>245</v>
      </c>
      <c r="L930" s="2">
        <v>1</v>
      </c>
      <c r="M930" s="2"/>
      <c r="N930" s="8">
        <v>43272.448541666672</v>
      </c>
      <c r="O930" s="4"/>
      <c r="P930" s="3" t="s">
        <v>1332</v>
      </c>
      <c r="Q930" s="4"/>
      <c r="R930" s="4"/>
      <c r="S930" s="9" t="str">
        <f>HYPERLINK("https://pbs.twimg.com/profile_images/1009688430417272833/9Jdk2kL7.jpg","View")</f>
        <v>View</v>
      </c>
    </row>
    <row r="931" spans="1:19" ht="20">
      <c r="A931" s="8">
        <v>43369.372488425928</v>
      </c>
      <c r="B931" s="11" t="str">
        <f>HYPERLINK("https://twitter.com/ar_motazedian","@ar_motazedian")</f>
        <v>@ar_motazedian</v>
      </c>
      <c r="C931" s="6" t="s">
        <v>1436</v>
      </c>
      <c r="D931" s="5" t="s">
        <v>102</v>
      </c>
      <c r="E931" s="9" t="str">
        <f>HYPERLINK("https://twitter.com/ar_motazedian/status/1044820458724642816","1044820458724642816")</f>
        <v>1044820458724642816</v>
      </c>
      <c r="F931" s="4"/>
      <c r="G931" s="4"/>
      <c r="H931" s="4"/>
      <c r="I931" s="10" t="str">
        <f>HYPERLINK("http://twitter.com/download/android","Twitter for Android")</f>
        <v>Twitter for Android</v>
      </c>
      <c r="J931" s="2">
        <v>736</v>
      </c>
      <c r="K931" s="2">
        <v>1042</v>
      </c>
      <c r="L931" s="2">
        <v>3</v>
      </c>
      <c r="M931" s="2"/>
      <c r="N931" s="8">
        <v>43102.496064814812</v>
      </c>
      <c r="O931" s="4" t="s">
        <v>255</v>
      </c>
      <c r="P931" s="3" t="s">
        <v>1435</v>
      </c>
      <c r="Q931" s="4"/>
      <c r="R931" s="4"/>
      <c r="S931" s="9" t="str">
        <f>HYPERLINK("https://pbs.twimg.com/profile_images/1013506308161581058/P9KlVe5l.jpg","View")</f>
        <v>View</v>
      </c>
    </row>
    <row r="932" spans="1:19" ht="20">
      <c r="A932" s="8">
        <v>43369.372314814813</v>
      </c>
      <c r="B932" s="11" t="str">
        <f>HYPERLINK("https://twitter.com/jgP1SjD38IZJTDC","@jgP1SjD38IZJTDC")</f>
        <v>@jgP1SjD38IZJTDC</v>
      </c>
      <c r="C932" s="6" t="s">
        <v>1437</v>
      </c>
      <c r="D932" s="5" t="s">
        <v>102</v>
      </c>
      <c r="E932" s="9" t="str">
        <f>HYPERLINK("https://twitter.com/jgP1SjD38IZJTDC/status/1044820394044272640","1044820394044272640")</f>
        <v>1044820394044272640</v>
      </c>
      <c r="F932" s="4"/>
      <c r="G932" s="4"/>
      <c r="H932" s="4"/>
      <c r="I932" s="10" t="str">
        <f>HYPERLINK("http://twitter.com/download/android","Twitter for Android")</f>
        <v>Twitter for Android</v>
      </c>
      <c r="J932" s="2">
        <v>11</v>
      </c>
      <c r="K932" s="2">
        <v>27</v>
      </c>
      <c r="L932" s="2">
        <v>0</v>
      </c>
      <c r="M932" s="2"/>
      <c r="N932" s="8">
        <v>43368.56318287037</v>
      </c>
      <c r="O932" s="4"/>
      <c r="P932" s="3"/>
      <c r="Q932" s="4"/>
      <c r="R932" s="4"/>
      <c r="S932" s="2" t="s">
        <v>21</v>
      </c>
    </row>
    <row r="933" spans="1:19" ht="40">
      <c r="A933" s="8">
        <v>43369.372048611112</v>
      </c>
      <c r="B933" s="11" t="str">
        <f>HYPERLINK("https://twitter.com/ar_motazedian","@ar_motazedian")</f>
        <v>@ar_motazedian</v>
      </c>
      <c r="C933" s="6" t="s">
        <v>1436</v>
      </c>
      <c r="D933" s="5" t="s">
        <v>72</v>
      </c>
      <c r="E933" s="9" t="str">
        <f>HYPERLINK("https://twitter.com/ar_motazedian/status/1044820299764682752","1044820299764682752")</f>
        <v>1044820299764682752</v>
      </c>
      <c r="F933" s="4"/>
      <c r="G933" s="4"/>
      <c r="H933" s="4"/>
      <c r="I933" s="10" t="str">
        <f>HYPERLINK("http://twitter.com/download/android","Twitter for Android")</f>
        <v>Twitter for Android</v>
      </c>
      <c r="J933" s="2">
        <v>736</v>
      </c>
      <c r="K933" s="2">
        <v>1042</v>
      </c>
      <c r="L933" s="2">
        <v>3</v>
      </c>
      <c r="M933" s="2"/>
      <c r="N933" s="8">
        <v>43102.496064814812</v>
      </c>
      <c r="O933" s="4" t="s">
        <v>255</v>
      </c>
      <c r="P933" s="3" t="s">
        <v>1435</v>
      </c>
      <c r="Q933" s="4"/>
      <c r="R933" s="4"/>
      <c r="S933" s="9" t="str">
        <f>HYPERLINK("https://pbs.twimg.com/profile_images/1013506308161581058/P9KlVe5l.jpg","View")</f>
        <v>View</v>
      </c>
    </row>
    <row r="934" spans="1:19" ht="30">
      <c r="A934" s="8">
        <v>43369.371851851851</v>
      </c>
      <c r="B934" s="11" t="str">
        <f>HYPERLINK("https://twitter.com/AfsanehJahan","@AfsanehJahan")</f>
        <v>@AfsanehJahan</v>
      </c>
      <c r="C934" s="6" t="s">
        <v>1434</v>
      </c>
      <c r="D934" s="5" t="s">
        <v>106</v>
      </c>
      <c r="E934" s="9" t="str">
        <f>HYPERLINK("https://twitter.com/AfsanehJahan/status/1044820226355998721","1044820226355998721")</f>
        <v>1044820226355998721</v>
      </c>
      <c r="F934" s="4"/>
      <c r="G934" s="10" t="s">
        <v>105</v>
      </c>
      <c r="H934" s="4"/>
      <c r="I934" s="10" t="str">
        <f>HYPERLINK("http://twitter.com/download/android","Twitter for Android")</f>
        <v>Twitter for Android</v>
      </c>
      <c r="J934" s="2">
        <v>50</v>
      </c>
      <c r="K934" s="2">
        <v>88</v>
      </c>
      <c r="L934" s="2">
        <v>7</v>
      </c>
      <c r="M934" s="2"/>
      <c r="N934" s="8">
        <v>42131.851365740746</v>
      </c>
      <c r="O934" s="4"/>
      <c r="P934" s="3"/>
      <c r="Q934" s="4"/>
      <c r="R934" s="4"/>
      <c r="S934" s="9" t="str">
        <f>HYPERLINK("https://pbs.twimg.com/profile_images/849217469738876932/q6Tdj8AH.jpg","View")</f>
        <v>View</v>
      </c>
    </row>
    <row r="935" spans="1:19" ht="30">
      <c r="A935" s="8">
        <v>43369.371840277774</v>
      </c>
      <c r="B935" s="11" t="str">
        <f>HYPERLINK("https://twitter.com/jaaardotcom","@jaaardotcom")</f>
        <v>@jaaardotcom</v>
      </c>
      <c r="C935" s="6" t="s">
        <v>1433</v>
      </c>
      <c r="D935" s="5" t="s">
        <v>1432</v>
      </c>
      <c r="E935" s="9" t="str">
        <f>HYPERLINK("https://twitter.com/jaaardotcom/status/1044820220861456384","1044820220861456384")</f>
        <v>1044820220861456384</v>
      </c>
      <c r="F935" s="10" t="s">
        <v>1431</v>
      </c>
      <c r="G935" s="10" t="s">
        <v>1430</v>
      </c>
      <c r="H935" s="4"/>
      <c r="I935" s="10" t="str">
        <f>HYPERLINK("https://buffer.com","Buffer")</f>
        <v>Buffer</v>
      </c>
      <c r="J935" s="2">
        <v>22577</v>
      </c>
      <c r="K935" s="2">
        <v>204</v>
      </c>
      <c r="L935" s="2">
        <v>92</v>
      </c>
      <c r="M935" s="2"/>
      <c r="N935" s="8">
        <v>40893.423807870371</v>
      </c>
      <c r="O935" s="4" t="s">
        <v>25</v>
      </c>
      <c r="P935" s="3" t="s">
        <v>1429</v>
      </c>
      <c r="Q935" s="10" t="s">
        <v>1428</v>
      </c>
      <c r="R935" s="4"/>
      <c r="S935" s="9" t="str">
        <f>HYPERLINK("https://pbs.twimg.com/profile_images/1020564746473525250/XzyzGGfn.jpg","View")</f>
        <v>View</v>
      </c>
    </row>
    <row r="936" spans="1:19" ht="40">
      <c r="A936" s="8">
        <v>43369.370173611111</v>
      </c>
      <c r="B936" s="11" t="str">
        <f>HYPERLINK("https://twitter.com/SaeedRep","@SaeedRep")</f>
        <v>@SaeedRep</v>
      </c>
      <c r="C936" s="6" t="s">
        <v>1427</v>
      </c>
      <c r="D936" s="5" t="s">
        <v>1366</v>
      </c>
      <c r="E936" s="9" t="str">
        <f>HYPERLINK("https://twitter.com/SaeedRep/status/1044819620396437506","1044819620396437506")</f>
        <v>1044819620396437506</v>
      </c>
      <c r="F936" s="4"/>
      <c r="G936" s="4"/>
      <c r="H936" s="4"/>
      <c r="I936" s="10" t="str">
        <f>HYPERLINK("http://twitter.com/download/android","Twitter for Android")</f>
        <v>Twitter for Android</v>
      </c>
      <c r="J936" s="2">
        <v>247</v>
      </c>
      <c r="K936" s="2">
        <v>245</v>
      </c>
      <c r="L936" s="2">
        <v>0</v>
      </c>
      <c r="M936" s="2"/>
      <c r="N936" s="8">
        <v>42941.563217592593</v>
      </c>
      <c r="O936" s="4"/>
      <c r="P936" s="3" t="s">
        <v>1426</v>
      </c>
      <c r="Q936" s="10" t="s">
        <v>1425</v>
      </c>
      <c r="R936" s="4"/>
      <c r="S936" s="9" t="str">
        <f>HYPERLINK("https://pbs.twimg.com/profile_images/909523715825786883/hW0-tpOh.jpg","View")</f>
        <v>View</v>
      </c>
    </row>
    <row r="937" spans="1:19" ht="40">
      <c r="A937" s="8">
        <v>43369.36996527778</v>
      </c>
      <c r="B937" s="11" t="str">
        <f>HYPERLINK("https://twitter.com/Montazer_Bahar","@Montazer_Bahar")</f>
        <v>@Montazer_Bahar</v>
      </c>
      <c r="C937" s="6" t="s">
        <v>1424</v>
      </c>
      <c r="D937" s="5" t="s">
        <v>1408</v>
      </c>
      <c r="E937" s="9" t="str">
        <f>HYPERLINK("https://twitter.com/Montazer_Bahar/status/1044819543066116096","1044819543066116096")</f>
        <v>1044819543066116096</v>
      </c>
      <c r="F937" s="4"/>
      <c r="G937" s="4"/>
      <c r="H937" s="4"/>
      <c r="I937" s="10" t="str">
        <f>HYPERLINK("http://twitter.com/download/android","Twitter for Android")</f>
        <v>Twitter for Android</v>
      </c>
      <c r="J937" s="2">
        <v>1224</v>
      </c>
      <c r="K937" s="2">
        <v>1200</v>
      </c>
      <c r="L937" s="2">
        <v>4</v>
      </c>
      <c r="M937" s="2"/>
      <c r="N937" s="8">
        <v>42804.577638888892</v>
      </c>
      <c r="O937" s="4" t="s">
        <v>7</v>
      </c>
      <c r="P937" s="3" t="s">
        <v>1423</v>
      </c>
      <c r="Q937" s="4"/>
      <c r="R937" s="4"/>
      <c r="S937" s="9" t="str">
        <f>HYPERLINK("https://pbs.twimg.com/profile_images/935045644653355008/QLQl88v6.jpg","View")</f>
        <v>View</v>
      </c>
    </row>
    <row r="938" spans="1:19" ht="20">
      <c r="A938" s="8">
        <v>43369.369328703702</v>
      </c>
      <c r="B938" s="11" t="str">
        <f>HYPERLINK("https://twitter.com/aliaalei","@aliaalei")</f>
        <v>@aliaalei</v>
      </c>
      <c r="C938" s="6" t="s">
        <v>1422</v>
      </c>
      <c r="D938" s="5" t="s">
        <v>185</v>
      </c>
      <c r="E938" s="9" t="str">
        <f>HYPERLINK("https://twitter.com/aliaalei/status/1044819311737663488","1044819311737663488")</f>
        <v>1044819311737663488</v>
      </c>
      <c r="F938" s="4"/>
      <c r="G938" s="10" t="s">
        <v>177</v>
      </c>
      <c r="H938" s="4"/>
      <c r="I938" s="10" t="str">
        <f>HYPERLINK("http://twitter.com/download/iphone","Twitter for iPhone")</f>
        <v>Twitter for iPhone</v>
      </c>
      <c r="J938" s="2">
        <v>17524</v>
      </c>
      <c r="K938" s="2">
        <v>207</v>
      </c>
      <c r="L938" s="2">
        <v>80</v>
      </c>
      <c r="M938" s="2"/>
      <c r="N938" s="8">
        <v>42776.707650462966</v>
      </c>
      <c r="O938" s="4" t="s">
        <v>7</v>
      </c>
      <c r="P938" s="3" t="s">
        <v>1421</v>
      </c>
      <c r="Q938" s="10" t="s">
        <v>1420</v>
      </c>
      <c r="R938" s="4"/>
      <c r="S938" s="9" t="str">
        <f>HYPERLINK("https://pbs.twimg.com/profile_images/938473927881449472/qEe9jv00.jpg","View")</f>
        <v>View</v>
      </c>
    </row>
    <row r="939" spans="1:19" ht="20">
      <c r="A939" s="8">
        <v>43369.36917824074</v>
      </c>
      <c r="B939" s="11" t="str">
        <f>HYPERLINK("https://twitter.com/JavadNazok","@JavadNazok")</f>
        <v>@JavadNazok</v>
      </c>
      <c r="C939" s="6" t="s">
        <v>1419</v>
      </c>
      <c r="D939" s="5" t="s">
        <v>1306</v>
      </c>
      <c r="E939" s="9" t="str">
        <f>HYPERLINK("https://twitter.com/JavadNazok/status/1044819259514408960","1044819259514408960")</f>
        <v>1044819259514408960</v>
      </c>
      <c r="F939" s="4"/>
      <c r="G939" s="4"/>
      <c r="H939" s="4"/>
      <c r="I939" s="10" t="str">
        <f>HYPERLINK("http://twitter.com","Twitter Web Client")</f>
        <v>Twitter Web Client</v>
      </c>
      <c r="J939" s="2">
        <v>166</v>
      </c>
      <c r="K939" s="2">
        <v>153</v>
      </c>
      <c r="L939" s="2">
        <v>0</v>
      </c>
      <c r="M939" s="2"/>
      <c r="N939" s="8">
        <v>43324.44027777778</v>
      </c>
      <c r="O939" s="4"/>
      <c r="P939" s="3"/>
      <c r="Q939" s="4"/>
      <c r="R939" s="4"/>
      <c r="S939" s="9" t="str">
        <f>HYPERLINK("https://pbs.twimg.com/profile_images/1039078771456962560/MGkaYdQV.jpg","View")</f>
        <v>View</v>
      </c>
    </row>
    <row r="940" spans="1:19" ht="30">
      <c r="A940" s="8">
        <v>43369.367233796293</v>
      </c>
      <c r="B940" s="11" t="str">
        <f>HYPERLINK("https://twitter.com/baharp1982","@baharp1982")</f>
        <v>@baharp1982</v>
      </c>
      <c r="C940" s="6" t="s">
        <v>1324</v>
      </c>
      <c r="D940" s="5" t="s">
        <v>53</v>
      </c>
      <c r="E940" s="9" t="str">
        <f>HYPERLINK("https://twitter.com/baharp1982/status/1044818552333762560","1044818552333762560")</f>
        <v>1044818552333762560</v>
      </c>
      <c r="F940" s="4"/>
      <c r="G940" s="4"/>
      <c r="H940" s="4"/>
      <c r="I940" s="10" t="str">
        <f>HYPERLINK("http://twitter.com/download/android","Twitter for Android")</f>
        <v>Twitter for Android</v>
      </c>
      <c r="J940" s="2">
        <v>429</v>
      </c>
      <c r="K940" s="2">
        <v>1115</v>
      </c>
      <c r="L940" s="2">
        <v>0</v>
      </c>
      <c r="M940" s="2"/>
      <c r="N940" s="8">
        <v>42886.793460648143</v>
      </c>
      <c r="O940" s="4"/>
      <c r="P940" s="3"/>
      <c r="Q940" s="4"/>
      <c r="R940" s="4"/>
      <c r="S940" s="9" t="str">
        <f>HYPERLINK("https://pbs.twimg.com/profile_images/876138784433336321/6XoTzw4D.jpg","View")</f>
        <v>View</v>
      </c>
    </row>
    <row r="941" spans="1:19" ht="40">
      <c r="A941" s="8">
        <v>43369.366932870369</v>
      </c>
      <c r="B941" s="11" t="str">
        <f>HYPERLINK("https://twitter.com/amu_zanjir_baf","@amu_zanjir_baf")</f>
        <v>@amu_zanjir_baf</v>
      </c>
      <c r="C941" s="6" t="s">
        <v>1418</v>
      </c>
      <c r="D941" s="5" t="s">
        <v>1404</v>
      </c>
      <c r="E941" s="9" t="str">
        <f>HYPERLINK("https://twitter.com/amu_zanjir_baf/status/1044818442514305024","1044818442514305024")</f>
        <v>1044818442514305024</v>
      </c>
      <c r="F941" s="4"/>
      <c r="G941" s="4"/>
      <c r="H941" s="4"/>
      <c r="I941" s="10" t="str">
        <f>HYPERLINK("http://twitter.com","Twitter Web Client")</f>
        <v>Twitter Web Client</v>
      </c>
      <c r="J941" s="2">
        <v>15</v>
      </c>
      <c r="K941" s="2">
        <v>90</v>
      </c>
      <c r="L941" s="2">
        <v>0</v>
      </c>
      <c r="M941" s="2"/>
      <c r="N941" s="8">
        <v>43127.437905092593</v>
      </c>
      <c r="O941" s="4"/>
      <c r="P941" s="3"/>
      <c r="Q941" s="4"/>
      <c r="R941" s="4"/>
      <c r="S941" s="9" t="str">
        <f>HYPERLINK("https://pbs.twimg.com/profile_images/987251636744663040/CGt3JD2A.jpg","View")</f>
        <v>View</v>
      </c>
    </row>
    <row r="942" spans="1:19" ht="40">
      <c r="A942" s="8">
        <v>43369.3669212963</v>
      </c>
      <c r="B942" s="11" t="str">
        <f>HYPERLINK("https://twitter.com/Zahrarezaie8","@Zahrarezaie8")</f>
        <v>@Zahrarezaie8</v>
      </c>
      <c r="C942" s="6" t="s">
        <v>1417</v>
      </c>
      <c r="D942" s="5" t="s">
        <v>72</v>
      </c>
      <c r="E942" s="9" t="str">
        <f>HYPERLINK("https://twitter.com/Zahrarezaie8/status/1044818438106107915","1044818438106107915")</f>
        <v>1044818438106107915</v>
      </c>
      <c r="F942" s="4"/>
      <c r="G942" s="4"/>
      <c r="H942" s="4"/>
      <c r="I942" s="10" t="str">
        <f>HYPERLINK("http://twitter.com/download/android","Twitter for Android")</f>
        <v>Twitter for Android</v>
      </c>
      <c r="J942" s="2">
        <v>332</v>
      </c>
      <c r="K942" s="2">
        <v>908</v>
      </c>
      <c r="L942" s="2">
        <v>0</v>
      </c>
      <c r="M942" s="2"/>
      <c r="N942" s="8">
        <v>43010.82947916667</v>
      </c>
      <c r="O942" s="4" t="s">
        <v>1416</v>
      </c>
      <c r="P942" s="3" t="s">
        <v>1415</v>
      </c>
      <c r="Q942" s="4"/>
      <c r="R942" s="4"/>
      <c r="S942" s="9" t="str">
        <f>HYPERLINK("https://pbs.twimg.com/profile_images/1035769146682875904/ZrZnF8YB.jpg","View")</f>
        <v>View</v>
      </c>
    </row>
    <row r="943" spans="1:19" ht="20">
      <c r="A943" s="8">
        <v>43369.36650462963</v>
      </c>
      <c r="B943" s="11" t="str">
        <f>HYPERLINK("https://twitter.com/AliJazayerii","@AliJazayerii")</f>
        <v>@AliJazayerii</v>
      </c>
      <c r="C943" s="6" t="s">
        <v>1414</v>
      </c>
      <c r="D943" s="5" t="s">
        <v>185</v>
      </c>
      <c r="E943" s="9" t="str">
        <f>HYPERLINK("https://twitter.com/AliJazayerii/status/1044818288298078209","1044818288298078209")</f>
        <v>1044818288298078209</v>
      </c>
      <c r="F943" s="4"/>
      <c r="G943" s="10" t="s">
        <v>177</v>
      </c>
      <c r="H943" s="4"/>
      <c r="I943" s="10" t="str">
        <f>HYPERLINK("http://twitter.com/download/iphone","Twitter for iPhone")</f>
        <v>Twitter for iPhone</v>
      </c>
      <c r="J943" s="2">
        <v>923</v>
      </c>
      <c r="K943" s="2">
        <v>821</v>
      </c>
      <c r="L943" s="2">
        <v>2</v>
      </c>
      <c r="M943" s="2"/>
      <c r="N943" s="8">
        <v>42799.952708333338</v>
      </c>
      <c r="O943" s="4" t="s">
        <v>7</v>
      </c>
      <c r="P943" s="3" t="s">
        <v>1413</v>
      </c>
      <c r="Q943" s="10" t="s">
        <v>1412</v>
      </c>
      <c r="R943" s="4"/>
      <c r="S943" s="9" t="str">
        <f>HYPERLINK("https://pbs.twimg.com/profile_images/1040651852117942274/n3p-oaR1.jpg","View")</f>
        <v>View</v>
      </c>
    </row>
    <row r="944" spans="1:19" ht="40">
      <c r="A944" s="8">
        <v>43369.366446759261</v>
      </c>
      <c r="B944" s="11" t="str">
        <f>HYPERLINK("https://twitter.com/baharp1982","@baharp1982")</f>
        <v>@baharp1982</v>
      </c>
      <c r="C944" s="6" t="s">
        <v>1324</v>
      </c>
      <c r="D944" s="5" t="s">
        <v>128</v>
      </c>
      <c r="E944" s="9" t="str">
        <f>HYPERLINK("https://twitter.com/baharp1982/status/1044818268115152901","1044818268115152901")</f>
        <v>1044818268115152901</v>
      </c>
      <c r="F944" s="4"/>
      <c r="G944" s="4"/>
      <c r="H944" s="4"/>
      <c r="I944" s="10" t="str">
        <f>HYPERLINK("http://twitter.com/download/android","Twitter for Android")</f>
        <v>Twitter for Android</v>
      </c>
      <c r="J944" s="2">
        <v>429</v>
      </c>
      <c r="K944" s="2">
        <v>1115</v>
      </c>
      <c r="L944" s="2">
        <v>0</v>
      </c>
      <c r="M944" s="2"/>
      <c r="N944" s="8">
        <v>42886.793460648143</v>
      </c>
      <c r="O944" s="4"/>
      <c r="P944" s="3"/>
      <c r="Q944" s="4"/>
      <c r="R944" s="4"/>
      <c r="S944" s="9" t="str">
        <f>HYPERLINK("https://pbs.twimg.com/profile_images/876138784433336321/6XoTzw4D.jpg","View")</f>
        <v>View</v>
      </c>
    </row>
    <row r="945" spans="1:19" ht="30">
      <c r="A945" s="8">
        <v>43369.366388888884</v>
      </c>
      <c r="B945" s="11" t="str">
        <f>HYPERLINK("https://twitter.com/milgerd67","@milgerd67")</f>
        <v>@milgerd67</v>
      </c>
      <c r="C945" s="6" t="s">
        <v>1411</v>
      </c>
      <c r="D945" s="5" t="s">
        <v>1410</v>
      </c>
      <c r="E945" s="9" t="str">
        <f>HYPERLINK("https://twitter.com/milgerd67/status/1044818247361732609","1044818247361732609")</f>
        <v>1044818247361732609</v>
      </c>
      <c r="F945" s="4"/>
      <c r="G945" s="4"/>
      <c r="H945" s="4"/>
      <c r="I945" s="10" t="str">
        <f>HYPERLINK("http://twitter.com/download/iphone","Twitter for iPhone")</f>
        <v>Twitter for iPhone</v>
      </c>
      <c r="J945" s="2">
        <v>48</v>
      </c>
      <c r="K945" s="2">
        <v>59</v>
      </c>
      <c r="L945" s="2">
        <v>0</v>
      </c>
      <c r="M945" s="2"/>
      <c r="N945" s="8">
        <v>42910.109097222223</v>
      </c>
      <c r="O945" s="4"/>
      <c r="P945" s="3"/>
      <c r="Q945" s="4"/>
      <c r="R945" s="4"/>
      <c r="S945" s="9" t="str">
        <f>HYPERLINK("https://pbs.twimg.com/profile_images/991422812047990784/31almRWQ.jpg","View")</f>
        <v>View</v>
      </c>
    </row>
    <row r="946" spans="1:19" ht="40">
      <c r="A946" s="8">
        <v>43369.36619212963</v>
      </c>
      <c r="B946" s="11" t="str">
        <f>HYPERLINK("https://twitter.com/shayanheidari85","@shayanheidari85")</f>
        <v>@shayanheidari85</v>
      </c>
      <c r="C946" s="6" t="s">
        <v>1409</v>
      </c>
      <c r="D946" s="5" t="s">
        <v>1408</v>
      </c>
      <c r="E946" s="9" t="str">
        <f>HYPERLINK("https://twitter.com/shayanheidari85/status/1044818176956145664","1044818176956145664")</f>
        <v>1044818176956145664</v>
      </c>
      <c r="F946" s="4"/>
      <c r="G946" s="4"/>
      <c r="H946" s="4"/>
      <c r="I946" s="10" t="str">
        <f>HYPERLINK("http://twitter.com/download/android","Twitter for Android")</f>
        <v>Twitter for Android</v>
      </c>
      <c r="J946" s="2">
        <v>225</v>
      </c>
      <c r="K946" s="2">
        <v>279</v>
      </c>
      <c r="L946" s="2">
        <v>2</v>
      </c>
      <c r="M946" s="2"/>
      <c r="N946" s="8">
        <v>42842.572175925925</v>
      </c>
      <c r="O946" s="4" t="s">
        <v>33</v>
      </c>
      <c r="P946" s="3" t="s">
        <v>1407</v>
      </c>
      <c r="Q946" s="4"/>
      <c r="R946" s="4"/>
      <c r="S946" s="9" t="str">
        <f>HYPERLINK("https://pbs.twimg.com/profile_images/1004352281515626497/MsMWsB5I.jpg","View")</f>
        <v>View</v>
      </c>
    </row>
    <row r="947" spans="1:19" ht="50">
      <c r="A947" s="8">
        <v>43369.366168981476</v>
      </c>
      <c r="B947" s="11" t="str">
        <f>HYPERLINK("https://twitter.com/alib1767","@alib1767")</f>
        <v>@alib1767</v>
      </c>
      <c r="C947" s="6" t="s">
        <v>1406</v>
      </c>
      <c r="D947" s="5" t="s">
        <v>202</v>
      </c>
      <c r="E947" s="9" t="str">
        <f>HYPERLINK("https://twitter.com/alib1767/status/1044818166399062016","1044818166399062016")</f>
        <v>1044818166399062016</v>
      </c>
      <c r="F947" s="4"/>
      <c r="G947" s="4"/>
      <c r="H947" s="4"/>
      <c r="I947" s="10" t="str">
        <f>HYPERLINK("http://twitter.com/download/android","Twitter for Android")</f>
        <v>Twitter for Android</v>
      </c>
      <c r="J947" s="2">
        <v>60</v>
      </c>
      <c r="K947" s="2">
        <v>73</v>
      </c>
      <c r="L947" s="2">
        <v>0</v>
      </c>
      <c r="M947" s="2"/>
      <c r="N947" s="8">
        <v>43016.566898148143</v>
      </c>
      <c r="O947" s="4"/>
      <c r="P947" s="3"/>
      <c r="Q947" s="4"/>
      <c r="R947" s="4"/>
      <c r="S947" s="9" t="str">
        <f>HYPERLINK("https://pbs.twimg.com/profile_images/919524571719569408/XOqm2CJP.jpg","View")</f>
        <v>View</v>
      </c>
    </row>
    <row r="948" spans="1:19" ht="40">
      <c r="A948" s="8">
        <v>43369.366064814814</v>
      </c>
      <c r="B948" s="11" t="str">
        <f>HYPERLINK("https://twitter.com/SO_HA_FREE","@SO_HA_FREE")</f>
        <v>@SO_HA_FREE</v>
      </c>
      <c r="C948" s="6" t="s">
        <v>1405</v>
      </c>
      <c r="D948" s="5" t="s">
        <v>1404</v>
      </c>
      <c r="E948" s="9" t="str">
        <f>HYPERLINK("https://twitter.com/SO_HA_FREE/status/1044818130416148485","1044818130416148485")</f>
        <v>1044818130416148485</v>
      </c>
      <c r="F948" s="4"/>
      <c r="G948" s="4"/>
      <c r="H948" s="4"/>
      <c r="I948" s="10" t="str">
        <f>HYPERLINK("http://twitter.com","Twitter Web Client")</f>
        <v>Twitter Web Client</v>
      </c>
      <c r="J948" s="2">
        <v>493</v>
      </c>
      <c r="K948" s="2">
        <v>758</v>
      </c>
      <c r="L948" s="2">
        <v>0</v>
      </c>
      <c r="M948" s="2"/>
      <c r="N948" s="8">
        <v>43219.67086805556</v>
      </c>
      <c r="O948" s="4"/>
      <c r="P948" s="3"/>
      <c r="Q948" s="4"/>
      <c r="R948" s="4"/>
      <c r="S948" s="2" t="s">
        <v>21</v>
      </c>
    </row>
    <row r="949" spans="1:19" ht="30">
      <c r="A949" s="8">
        <v>43369.365914351853</v>
      </c>
      <c r="B949" s="11" t="str">
        <f>HYPERLINK("https://twitter.com/mostafa_sharif_","@mostafa_sharif_")</f>
        <v>@mostafa_sharif_</v>
      </c>
      <c r="C949" s="6" t="s">
        <v>1403</v>
      </c>
      <c r="D949" s="5" t="s">
        <v>1402</v>
      </c>
      <c r="E949" s="9" t="str">
        <f>HYPERLINK("https://twitter.com/mostafa_sharif_/status/1044818074413793280","1044818074413793280")</f>
        <v>1044818074413793280</v>
      </c>
      <c r="F949" s="4"/>
      <c r="G949" s="4"/>
      <c r="H949" s="4"/>
      <c r="I949" s="10" t="str">
        <f>HYPERLINK("http://twitter.com/download/android","Twitter for Android")</f>
        <v>Twitter for Android</v>
      </c>
      <c r="J949" s="2">
        <v>3266</v>
      </c>
      <c r="K949" s="2">
        <v>3094</v>
      </c>
      <c r="L949" s="2">
        <v>6</v>
      </c>
      <c r="M949" s="2"/>
      <c r="N949" s="8">
        <v>42639.917476851857</v>
      </c>
      <c r="O949" s="4" t="s">
        <v>7</v>
      </c>
      <c r="P949" s="3" t="s">
        <v>1401</v>
      </c>
      <c r="Q949" s="10" t="s">
        <v>1400</v>
      </c>
      <c r="R949" s="4"/>
      <c r="S949" s="9" t="str">
        <f>HYPERLINK("https://pbs.twimg.com/profile_images/1044566406069669888/G-D7Efhv.jpg","View")</f>
        <v>View</v>
      </c>
    </row>
    <row r="950" spans="1:19" ht="30">
      <c r="A950" s="8">
        <v>43369.36555555556</v>
      </c>
      <c r="B950" s="11" t="str">
        <f>HYPERLINK("https://twitter.com/Babaei54","@Babaei54")</f>
        <v>@Babaei54</v>
      </c>
      <c r="C950" s="6" t="s">
        <v>1399</v>
      </c>
      <c r="D950" s="5" t="s">
        <v>1398</v>
      </c>
      <c r="E950" s="9" t="str">
        <f>HYPERLINK("https://twitter.com/Babaei54/status/1044817943861833728","1044817943861833728")</f>
        <v>1044817943861833728</v>
      </c>
      <c r="F950" s="4"/>
      <c r="G950" s="4"/>
      <c r="H950" s="4"/>
      <c r="I950" s="10" t="str">
        <f>HYPERLINK("http://twitter.com","Twitter Web Client")</f>
        <v>Twitter Web Client</v>
      </c>
      <c r="J950" s="2">
        <v>55</v>
      </c>
      <c r="K950" s="2">
        <v>174</v>
      </c>
      <c r="L950" s="2">
        <v>1</v>
      </c>
      <c r="M950" s="2"/>
      <c r="N950" s="8">
        <v>39936.380868055552</v>
      </c>
      <c r="O950" s="4" t="s">
        <v>25</v>
      </c>
      <c r="P950" s="3" t="s">
        <v>1397</v>
      </c>
      <c r="Q950" s="10" t="s">
        <v>1396</v>
      </c>
      <c r="R950" s="4"/>
      <c r="S950" s="9" t="str">
        <f>HYPERLINK("https://pbs.twimg.com/profile_images/1017291943158665221/Wpwjnx-A.jpg","View")</f>
        <v>View</v>
      </c>
    </row>
    <row r="951" spans="1:19" ht="50">
      <c r="A951" s="8">
        <v>43369.365219907406</v>
      </c>
      <c r="B951" s="11" t="str">
        <f>HYPERLINK("https://twitter.com/Ned_Ned_","@Ned_Ned_")</f>
        <v>@Ned_Ned_</v>
      </c>
      <c r="C951" s="6" t="s">
        <v>1395</v>
      </c>
      <c r="D951" s="5" t="s">
        <v>1394</v>
      </c>
      <c r="E951" s="9" t="str">
        <f>HYPERLINK("https://twitter.com/Ned_Ned_/status/1044817823808344064","1044817823808344064")</f>
        <v>1044817823808344064</v>
      </c>
      <c r="F951" s="4"/>
      <c r="G951" s="4"/>
      <c r="H951" s="4"/>
      <c r="I951" s="10" t="str">
        <f>HYPERLINK("http://twitter.com/download/iphone","Twitter for iPhone")</f>
        <v>Twitter for iPhone</v>
      </c>
      <c r="J951" s="2">
        <v>182</v>
      </c>
      <c r="K951" s="2">
        <v>399</v>
      </c>
      <c r="L951" s="2">
        <v>0</v>
      </c>
      <c r="M951" s="2"/>
      <c r="N951" s="8">
        <v>41278.716990740737</v>
      </c>
      <c r="O951" s="4"/>
      <c r="P951" s="3"/>
      <c r="Q951" s="4"/>
      <c r="R951" s="4"/>
      <c r="S951" s="9" t="str">
        <f>HYPERLINK("https://pbs.twimg.com/profile_images/873498455120990208/Ceipnqyt.jpg","View")</f>
        <v>View</v>
      </c>
    </row>
    <row r="952" spans="1:19" ht="40">
      <c r="A952" s="8">
        <v>43369.365104166667</v>
      </c>
      <c r="B952" s="11" t="str">
        <f>HYPERLINK("https://twitter.com/HamzeGhalebi","@HamzeGhalebi")</f>
        <v>@HamzeGhalebi</v>
      </c>
      <c r="C952" s="6" t="s">
        <v>1393</v>
      </c>
      <c r="D952" s="5" t="s">
        <v>1392</v>
      </c>
      <c r="E952" s="9" t="str">
        <f>HYPERLINK("https://twitter.com/HamzeGhalebi/status/1044817782918053888","1044817782918053888")</f>
        <v>1044817782918053888</v>
      </c>
      <c r="F952" s="4"/>
      <c r="G952" s="4"/>
      <c r="H952" s="4"/>
      <c r="I952" s="10" t="str">
        <f>HYPERLINK("http://twitter.com/download/iphone","Twitter for iPhone")</f>
        <v>Twitter for iPhone</v>
      </c>
      <c r="J952" s="2">
        <v>10050</v>
      </c>
      <c r="K952" s="2">
        <v>4770</v>
      </c>
      <c r="L952" s="2">
        <v>106</v>
      </c>
      <c r="M952" s="2"/>
      <c r="N952" s="8">
        <v>40330.584467592591</v>
      </c>
      <c r="O952" s="4" t="s">
        <v>29</v>
      </c>
      <c r="P952" s="3" t="s">
        <v>1391</v>
      </c>
      <c r="Q952" s="4"/>
      <c r="R952" s="4"/>
      <c r="S952" s="9" t="str">
        <f>HYPERLINK("https://pbs.twimg.com/profile_images/1024404291229036544/8WsUiTf5.jpg","View")</f>
        <v>View</v>
      </c>
    </row>
    <row r="953" spans="1:19" ht="40">
      <c r="A953" s="8">
        <v>43369.364965277782</v>
      </c>
      <c r="B953" s="11" t="str">
        <f>HYPERLINK("https://twitter.com/ZahraKazemi1365","@ZahraKazemi1365")</f>
        <v>@ZahraKazemi1365</v>
      </c>
      <c r="C953" s="6" t="s">
        <v>1287</v>
      </c>
      <c r="D953" s="5" t="s">
        <v>756</v>
      </c>
      <c r="E953" s="9" t="str">
        <f>HYPERLINK("https://twitter.com/ZahraKazemi1365/status/1044817731638501376","1044817731638501376")</f>
        <v>1044817731638501376</v>
      </c>
      <c r="F953" s="4"/>
      <c r="G953" s="4"/>
      <c r="H953" s="4"/>
      <c r="I953" s="10" t="str">
        <f>HYPERLINK("http://twitter.com/download/android","Twitter for Android")</f>
        <v>Twitter for Android</v>
      </c>
      <c r="J953" s="2">
        <v>3595</v>
      </c>
      <c r="K953" s="2">
        <v>406</v>
      </c>
      <c r="L953" s="2">
        <v>18</v>
      </c>
      <c r="M953" s="2"/>
      <c r="N953" s="8">
        <v>42913.791145833333</v>
      </c>
      <c r="O953" s="4" t="s">
        <v>1286</v>
      </c>
      <c r="P953" s="3" t="s">
        <v>1285</v>
      </c>
      <c r="Q953" s="4"/>
      <c r="R953" s="4"/>
      <c r="S953" s="9" t="str">
        <f>HYPERLINK("https://pbs.twimg.com/profile_images/900065453527138304/gyq_soA_.jpg","View")</f>
        <v>View</v>
      </c>
    </row>
    <row r="954" spans="1:19" ht="20">
      <c r="A954" s="8">
        <v>43369.364629629628</v>
      </c>
      <c r="B954" s="11" t="str">
        <f>HYPERLINK("https://twitter.com/Ya_mahdi_94","@Ya_mahdi_94")</f>
        <v>@Ya_mahdi_94</v>
      </c>
      <c r="C954" s="6" t="s">
        <v>1390</v>
      </c>
      <c r="D954" s="5" t="s">
        <v>102</v>
      </c>
      <c r="E954" s="9" t="str">
        <f>HYPERLINK("https://twitter.com/Ya_mahdi_94/status/1044817609085145091","1044817609085145091")</f>
        <v>1044817609085145091</v>
      </c>
      <c r="F954" s="4"/>
      <c r="G954" s="4"/>
      <c r="H954" s="4"/>
      <c r="I954" s="10" t="str">
        <f>HYPERLINK("http://twitter.com/download/android","Twitter for Android")</f>
        <v>Twitter for Android</v>
      </c>
      <c r="J954" s="2">
        <v>2905</v>
      </c>
      <c r="K954" s="2">
        <v>1394</v>
      </c>
      <c r="L954" s="2">
        <v>8</v>
      </c>
      <c r="M954" s="2"/>
      <c r="N954" s="8">
        <v>43223.670694444445</v>
      </c>
      <c r="O954" s="4" t="s">
        <v>1389</v>
      </c>
      <c r="P954" s="3" t="s">
        <v>1388</v>
      </c>
      <c r="Q954" s="4"/>
      <c r="R954" s="4"/>
      <c r="S954" s="9" t="str">
        <f>HYPERLINK("https://pbs.twimg.com/profile_images/992020683319230466/wTGHQAPu.jpg","View")</f>
        <v>View</v>
      </c>
    </row>
    <row r="955" spans="1:19" ht="30">
      <c r="A955" s="8">
        <v>43369.364178240736</v>
      </c>
      <c r="B955" s="11" t="str">
        <f>HYPERLINK("https://twitter.com/seyed_vala","@seyed_vala")</f>
        <v>@seyed_vala</v>
      </c>
      <c r="C955" s="6" t="s">
        <v>1387</v>
      </c>
      <c r="D955" s="5" t="s">
        <v>1071</v>
      </c>
      <c r="E955" s="9" t="str">
        <f>HYPERLINK("https://twitter.com/seyed_vala/status/1044817445217857538","1044817445217857538")</f>
        <v>1044817445217857538</v>
      </c>
      <c r="F955" s="4"/>
      <c r="G955" s="4"/>
      <c r="H955" s="4"/>
      <c r="I955" s="10" t="str">
        <f>HYPERLINK("http://twitter.com/download/android","Twitter for Android")</f>
        <v>Twitter for Android</v>
      </c>
      <c r="J955" s="2">
        <v>27</v>
      </c>
      <c r="K955" s="2">
        <v>17</v>
      </c>
      <c r="L955" s="2">
        <v>0</v>
      </c>
      <c r="M955" s="2"/>
      <c r="N955" s="8">
        <v>43330.712407407409</v>
      </c>
      <c r="O955" s="4"/>
      <c r="P955" s="3"/>
      <c r="Q955" s="4"/>
      <c r="R955" s="4"/>
      <c r="S955" s="9" t="str">
        <f>HYPERLINK("https://pbs.twimg.com/profile_images/1043977518561275904/JwmfAEHv.jpg","View")</f>
        <v>View</v>
      </c>
    </row>
    <row r="956" spans="1:19" ht="30">
      <c r="A956" s="8">
        <v>43369.36409722222</v>
      </c>
      <c r="B956" s="11" t="str">
        <f>HYPERLINK("https://twitter.com/dadras_jalal","@dadras_jalal")</f>
        <v>@dadras_jalal</v>
      </c>
      <c r="C956" s="6" t="s">
        <v>1386</v>
      </c>
      <c r="D956" s="5" t="s">
        <v>49</v>
      </c>
      <c r="E956" s="9" t="str">
        <f>HYPERLINK("https://twitter.com/dadras_jalal/status/1044817415702548482","1044817415702548482")</f>
        <v>1044817415702548482</v>
      </c>
      <c r="F956" s="4"/>
      <c r="G956" s="4"/>
      <c r="H956" s="4"/>
      <c r="I956" s="10" t="str">
        <f>HYPERLINK("http://twitter.com/download/iphone","Twitter for iPhone")</f>
        <v>Twitter for iPhone</v>
      </c>
      <c r="J956" s="2">
        <v>6</v>
      </c>
      <c r="K956" s="2">
        <v>101</v>
      </c>
      <c r="L956" s="2">
        <v>0</v>
      </c>
      <c r="M956" s="2"/>
      <c r="N956" s="8">
        <v>43218.578564814816</v>
      </c>
      <c r="O956" s="4"/>
      <c r="P956" s="3"/>
      <c r="Q956" s="4"/>
      <c r="R956" s="4"/>
      <c r="S956" s="2" t="s">
        <v>21</v>
      </c>
    </row>
    <row r="957" spans="1:19" ht="40">
      <c r="A957" s="8">
        <v>43369.363981481481</v>
      </c>
      <c r="B957" s="11" t="str">
        <f>HYPERLINK("https://twitter.com/ZohrabiAli","@ZohrabiAli")</f>
        <v>@ZohrabiAli</v>
      </c>
      <c r="C957" s="6" t="s">
        <v>1385</v>
      </c>
      <c r="D957" s="5" t="s">
        <v>1384</v>
      </c>
      <c r="E957" s="9" t="str">
        <f>HYPERLINK("https://twitter.com/ZohrabiAli/status/1044817376053735426","1044817376053735426")</f>
        <v>1044817376053735426</v>
      </c>
      <c r="F957" s="4"/>
      <c r="G957" s="4"/>
      <c r="H957" s="4"/>
      <c r="I957" s="10" t="str">
        <f>HYPERLINK("http://twitter.com/download/android","Twitter for Android")</f>
        <v>Twitter for Android</v>
      </c>
      <c r="J957" s="2">
        <v>109</v>
      </c>
      <c r="K957" s="2">
        <v>784</v>
      </c>
      <c r="L957" s="2">
        <v>0</v>
      </c>
      <c r="M957" s="2"/>
      <c r="N957" s="8">
        <v>41130.91777777778</v>
      </c>
      <c r="O957" s="4"/>
      <c r="P957" s="3" t="s">
        <v>1383</v>
      </c>
      <c r="Q957" s="10" t="s">
        <v>1382</v>
      </c>
      <c r="R957" s="4"/>
      <c r="S957" s="9" t="str">
        <f>HYPERLINK("https://pbs.twimg.com/profile_images/865649923563307008/gOI8TkUW.jpg","View")</f>
        <v>View</v>
      </c>
    </row>
    <row r="958" spans="1:19" ht="30">
      <c r="A958" s="8">
        <v>43369.363692129627</v>
      </c>
      <c r="B958" s="11" t="str">
        <f>HYPERLINK("https://twitter.com/majidborjlo","@majidborjlo")</f>
        <v>@majidborjlo</v>
      </c>
      <c r="C958" s="6" t="s">
        <v>1381</v>
      </c>
      <c r="D958" s="5" t="s">
        <v>1380</v>
      </c>
      <c r="E958" s="9" t="str">
        <f>HYPERLINK("https://twitter.com/majidborjlo/status/1044817268071387137","1044817268071387137")</f>
        <v>1044817268071387137</v>
      </c>
      <c r="F958" s="4"/>
      <c r="G958" s="4"/>
      <c r="H958" s="4"/>
      <c r="I958" s="10" t="str">
        <f>HYPERLINK("http://twitter.com/download/android","Twitter for Android")</f>
        <v>Twitter for Android</v>
      </c>
      <c r="J958" s="2">
        <v>165</v>
      </c>
      <c r="K958" s="2">
        <v>320</v>
      </c>
      <c r="L958" s="2">
        <v>0</v>
      </c>
      <c r="M958" s="2"/>
      <c r="N958" s="8">
        <v>43070.892997685187</v>
      </c>
      <c r="O958" s="4"/>
      <c r="P958" s="3"/>
      <c r="Q958" s="4"/>
      <c r="R958" s="4"/>
      <c r="S958" s="9" t="str">
        <f>HYPERLINK("https://pbs.twimg.com/profile_images/1017657964096839680/jvxqTNak.jpg","View")</f>
        <v>View</v>
      </c>
    </row>
    <row r="959" spans="1:19" ht="40">
      <c r="A959" s="8">
        <v>43369.362800925926</v>
      </c>
      <c r="B959" s="11" t="str">
        <f>HYPERLINK("https://twitter.com/MhMirzahasan","@MhMirzahasan")</f>
        <v>@MhMirzahasan</v>
      </c>
      <c r="C959" s="6" t="s">
        <v>1379</v>
      </c>
      <c r="D959" s="5" t="s">
        <v>1190</v>
      </c>
      <c r="E959" s="9" t="str">
        <f>HYPERLINK("https://twitter.com/MhMirzahasan/status/1044816946733228034","1044816946733228034")</f>
        <v>1044816946733228034</v>
      </c>
      <c r="F959" s="4"/>
      <c r="G959" s="4"/>
      <c r="H959" s="4"/>
      <c r="I959" s="10" t="str">
        <f>HYPERLINK("https://mobile.twitter.com","Twitter Lite")</f>
        <v>Twitter Lite</v>
      </c>
      <c r="J959" s="2">
        <v>4843</v>
      </c>
      <c r="K959" s="2">
        <v>4542</v>
      </c>
      <c r="L959" s="2">
        <v>3</v>
      </c>
      <c r="M959" s="2"/>
      <c r="N959" s="8">
        <v>43240.666620370372</v>
      </c>
      <c r="O959" s="4" t="s">
        <v>7</v>
      </c>
      <c r="P959" s="3" t="s">
        <v>1378</v>
      </c>
      <c r="Q959" s="4"/>
      <c r="R959" s="4"/>
      <c r="S959" s="9" t="str">
        <f>HYPERLINK("https://pbs.twimg.com/profile_images/1000343440654290944/PxsRsLeU.jpg","View")</f>
        <v>View</v>
      </c>
    </row>
    <row r="960" spans="1:19" ht="30">
      <c r="A960" s="8">
        <v>43369.362604166672</v>
      </c>
      <c r="B960" s="11" t="str">
        <f>HYPERLINK("https://twitter.com/Matinyahsan160","@Matinyahsan160")</f>
        <v>@Matinyahsan160</v>
      </c>
      <c r="C960" s="6" t="s">
        <v>1377</v>
      </c>
      <c r="D960" s="5" t="s">
        <v>675</v>
      </c>
      <c r="E960" s="9" t="str">
        <f>HYPERLINK("https://twitter.com/Matinyahsan160/status/1044816875262291968","1044816875262291968")</f>
        <v>1044816875262291968</v>
      </c>
      <c r="F960" s="4"/>
      <c r="G960" s="4"/>
      <c r="H960" s="4"/>
      <c r="I960" s="10" t="str">
        <f>HYPERLINK("http://twitter.com/download/android","Twitter for Android")</f>
        <v>Twitter for Android</v>
      </c>
      <c r="J960" s="2">
        <v>8</v>
      </c>
      <c r="K960" s="2">
        <v>55</v>
      </c>
      <c r="L960" s="2">
        <v>0</v>
      </c>
      <c r="M960" s="2"/>
      <c r="N960" s="8">
        <v>43269.803738425922</v>
      </c>
      <c r="O960" s="4"/>
      <c r="P960" s="3"/>
      <c r="Q960" s="4"/>
      <c r="R960" s="4"/>
      <c r="S960" s="9" t="str">
        <f>HYPERLINK("https://pbs.twimg.com/profile_images/1018929418759294976/E_jviZeY.jpg","View")</f>
        <v>View</v>
      </c>
    </row>
    <row r="961" spans="1:19" ht="30">
      <c r="A961" s="8">
        <v>43369.362129629633</v>
      </c>
      <c r="B961" s="11" t="str">
        <f>HYPERLINK("https://twitter.com/Ali_Yari66","@Ali_Yari66")</f>
        <v>@Ali_Yari66</v>
      </c>
      <c r="C961" s="6" t="s">
        <v>1376</v>
      </c>
      <c r="D961" s="5" t="s">
        <v>1375</v>
      </c>
      <c r="E961" s="9" t="str">
        <f>HYPERLINK("https://twitter.com/Ali_Yari66/status/1044816703459389440","1044816703459389440")</f>
        <v>1044816703459389440</v>
      </c>
      <c r="F961" s="4"/>
      <c r="G961" s="4"/>
      <c r="H961" s="4"/>
      <c r="I961" s="10" t="str">
        <f>HYPERLINK("http://twitter.com","Twitter Web Client")</f>
        <v>Twitter Web Client</v>
      </c>
      <c r="J961" s="2">
        <v>812</v>
      </c>
      <c r="K961" s="2">
        <v>1089</v>
      </c>
      <c r="L961" s="2">
        <v>1</v>
      </c>
      <c r="M961" s="2"/>
      <c r="N961" s="8">
        <v>42946.549085648148</v>
      </c>
      <c r="O961" s="4" t="s">
        <v>1374</v>
      </c>
      <c r="P961" s="3" t="s">
        <v>1373</v>
      </c>
      <c r="Q961" s="10" t="s">
        <v>1372</v>
      </c>
      <c r="R961" s="4"/>
      <c r="S961" s="9" t="str">
        <f>HYPERLINK("https://pbs.twimg.com/profile_images/891587949854425089/MHYwSh85.jpg","View")</f>
        <v>View</v>
      </c>
    </row>
    <row r="962" spans="1:19" ht="40">
      <c r="A962" s="8">
        <v>43369.361793981487</v>
      </c>
      <c r="B962" s="11" t="str">
        <f>HYPERLINK("https://twitter.com/_MrPolitician","@_MrPolitician")</f>
        <v>@_MrPolitician</v>
      </c>
      <c r="C962" s="6" t="s">
        <v>1371</v>
      </c>
      <c r="D962" s="5" t="s">
        <v>28</v>
      </c>
      <c r="E962" s="9" t="str">
        <f>HYPERLINK("https://twitter.com/_MrPolitician/status/1044816583019950080","1044816583019950080")</f>
        <v>1044816583019950080</v>
      </c>
      <c r="F962" s="4"/>
      <c r="G962" s="4"/>
      <c r="H962" s="4"/>
      <c r="I962" s="10" t="str">
        <f>HYPERLINK("http://twitter.com/download/android","Twitter for Android")</f>
        <v>Twitter for Android</v>
      </c>
      <c r="J962" s="2">
        <v>996</v>
      </c>
      <c r="K962" s="2">
        <v>865</v>
      </c>
      <c r="L962" s="2">
        <v>5</v>
      </c>
      <c r="M962" s="2"/>
      <c r="N962" s="8">
        <v>42854.075011574074</v>
      </c>
      <c r="O962" s="4"/>
      <c r="P962" s="3" t="s">
        <v>1370</v>
      </c>
      <c r="Q962" s="4"/>
      <c r="R962" s="4"/>
      <c r="S962" s="9" t="str">
        <f>HYPERLINK("https://pbs.twimg.com/profile_images/1017839466084491265/IQBTCkTM.jpg","View")</f>
        <v>View</v>
      </c>
    </row>
    <row r="963" spans="1:19" ht="40">
      <c r="A963" s="8">
        <v>43369.361585648148</v>
      </c>
      <c r="B963" s="11" t="str">
        <f>HYPERLINK("https://twitter.com/sadeghiyan88","@sadeghiyan88")</f>
        <v>@sadeghiyan88</v>
      </c>
      <c r="C963" s="6" t="s">
        <v>139</v>
      </c>
      <c r="D963" s="5" t="s">
        <v>1366</v>
      </c>
      <c r="E963" s="9" t="str">
        <f>HYPERLINK("https://twitter.com/sadeghiyan88/status/1044816505739911168","1044816505739911168")</f>
        <v>1044816505739911168</v>
      </c>
      <c r="F963" s="4"/>
      <c r="G963" s="4"/>
      <c r="H963" s="4"/>
      <c r="I963" s="10" t="str">
        <f>HYPERLINK("http://twitter.com/download/android","Twitter for Android")</f>
        <v>Twitter for Android</v>
      </c>
      <c r="J963" s="2">
        <v>407</v>
      </c>
      <c r="K963" s="2">
        <v>375</v>
      </c>
      <c r="L963" s="2">
        <v>1</v>
      </c>
      <c r="M963" s="2"/>
      <c r="N963" s="8">
        <v>43105.975370370375</v>
      </c>
      <c r="O963" s="4"/>
      <c r="P963" s="3" t="s">
        <v>138</v>
      </c>
      <c r="Q963" s="4"/>
      <c r="R963" s="4"/>
      <c r="S963" s="9" t="str">
        <f>HYPERLINK("https://pbs.twimg.com/profile_images/1035243988645765120/0HG_Vr0V.jpg","View")</f>
        <v>View</v>
      </c>
    </row>
    <row r="964" spans="1:19" ht="30">
      <c r="A964" s="8">
        <v>43369.36146990741</v>
      </c>
      <c r="B964" s="11" t="str">
        <f>HYPERLINK("https://twitter.com/alirezakey1","@alirezakey1")</f>
        <v>@alirezakey1</v>
      </c>
      <c r="C964" s="6" t="s">
        <v>1369</v>
      </c>
      <c r="D964" s="5" t="s">
        <v>520</v>
      </c>
      <c r="E964" s="9" t="str">
        <f>HYPERLINK("https://twitter.com/alirezakey1/status/1044816464870608896","1044816464870608896")</f>
        <v>1044816464870608896</v>
      </c>
      <c r="F964" s="4"/>
      <c r="G964" s="4"/>
      <c r="H964" s="4"/>
      <c r="I964" s="10" t="str">
        <f>HYPERLINK("http://twitter.com/download/android","Twitter for Android")</f>
        <v>Twitter for Android</v>
      </c>
      <c r="J964" s="2">
        <v>1393</v>
      </c>
      <c r="K964" s="2">
        <v>1958</v>
      </c>
      <c r="L964" s="2">
        <v>0</v>
      </c>
      <c r="M964" s="2"/>
      <c r="N964" s="8">
        <v>42408.702175925922</v>
      </c>
      <c r="O964" s="4"/>
      <c r="P964" s="3" t="s">
        <v>1368</v>
      </c>
      <c r="Q964" s="4"/>
      <c r="R964" s="4"/>
      <c r="S964" s="9" t="str">
        <f>HYPERLINK("https://pbs.twimg.com/profile_images/862323835210739713/Nu5ofDZ-.jpg","View")</f>
        <v>View</v>
      </c>
    </row>
    <row r="965" spans="1:19" ht="40">
      <c r="A965" s="8">
        <v>43369.36</v>
      </c>
      <c r="B965" s="11" t="str">
        <f>HYPERLINK("https://twitter.com/negarsayeh","@negarsayeh")</f>
        <v>@negarsayeh</v>
      </c>
      <c r="C965" s="6" t="s">
        <v>1367</v>
      </c>
      <c r="D965" s="5" t="s">
        <v>1366</v>
      </c>
      <c r="E965" s="9" t="str">
        <f>HYPERLINK("https://twitter.com/negarsayeh/status/1044815933255168000","1044815933255168000")</f>
        <v>1044815933255168000</v>
      </c>
      <c r="F965" s="4"/>
      <c r="G965" s="4"/>
      <c r="H965" s="4"/>
      <c r="I965" s="10" t="str">
        <f>HYPERLINK("http://twitter.com/download/android","Twitter for Android")</f>
        <v>Twitter for Android</v>
      </c>
      <c r="J965" s="2">
        <v>74</v>
      </c>
      <c r="K965" s="2">
        <v>210</v>
      </c>
      <c r="L965" s="2">
        <v>0</v>
      </c>
      <c r="M965" s="2"/>
      <c r="N965" s="8">
        <v>43295.922337962962</v>
      </c>
      <c r="O965" s="4" t="s">
        <v>8</v>
      </c>
      <c r="P965" s="3" t="s">
        <v>1365</v>
      </c>
      <c r="Q965" s="4"/>
      <c r="R965" s="4"/>
      <c r="S965" s="9" t="str">
        <f>HYPERLINK("https://pbs.twimg.com/profile_images/1018197567866359815/sxRI1j-O.jpg","View")</f>
        <v>View</v>
      </c>
    </row>
    <row r="966" spans="1:19" ht="20">
      <c r="A966" s="8">
        <v>43369.359907407408</v>
      </c>
      <c r="B966" s="11" t="str">
        <f>HYPERLINK("https://twitter.com/sadeghiyan88","@sadeghiyan88")</f>
        <v>@sadeghiyan88</v>
      </c>
      <c r="C966" s="6" t="s">
        <v>139</v>
      </c>
      <c r="D966" s="5" t="s">
        <v>320</v>
      </c>
      <c r="E966" s="9" t="str">
        <f>HYPERLINK("https://twitter.com/sadeghiyan88/status/1044815897444196353","1044815897444196353")</f>
        <v>1044815897444196353</v>
      </c>
      <c r="F966" s="4"/>
      <c r="G966" s="4"/>
      <c r="H966" s="4"/>
      <c r="I966" s="10" t="str">
        <f>HYPERLINK("http://twitter.com/download/android","Twitter for Android")</f>
        <v>Twitter for Android</v>
      </c>
      <c r="J966" s="2">
        <v>407</v>
      </c>
      <c r="K966" s="2">
        <v>375</v>
      </c>
      <c r="L966" s="2">
        <v>1</v>
      </c>
      <c r="M966" s="2"/>
      <c r="N966" s="8">
        <v>43105.975370370375</v>
      </c>
      <c r="O966" s="4"/>
      <c r="P966" s="3" t="s">
        <v>138</v>
      </c>
      <c r="Q966" s="4"/>
      <c r="R966" s="4"/>
      <c r="S966" s="9" t="str">
        <f>HYPERLINK("https://pbs.twimg.com/profile_images/1035243988645765120/0HG_Vr0V.jpg","View")</f>
        <v>View</v>
      </c>
    </row>
    <row r="967" spans="1:19" ht="30">
      <c r="A967" s="8">
        <v>43369.359722222223</v>
      </c>
      <c r="B967" s="11" t="str">
        <f>HYPERLINK("https://twitter.com/u_rbuddy","@u_rbuddy")</f>
        <v>@u_rbuddy</v>
      </c>
      <c r="C967" s="6" t="s">
        <v>1364</v>
      </c>
      <c r="D967" s="5" t="s">
        <v>49</v>
      </c>
      <c r="E967" s="9" t="str">
        <f>HYPERLINK("https://twitter.com/u_rbuddy/status/1044815831761391617","1044815831761391617")</f>
        <v>1044815831761391617</v>
      </c>
      <c r="F967" s="4"/>
      <c r="G967" s="4"/>
      <c r="H967" s="4"/>
      <c r="I967" s="10" t="str">
        <f>HYPERLINK("http://twitter.com/download/android","Twitter for Android")</f>
        <v>Twitter for Android</v>
      </c>
      <c r="J967" s="2">
        <v>120</v>
      </c>
      <c r="K967" s="2">
        <v>232</v>
      </c>
      <c r="L967" s="2">
        <v>1</v>
      </c>
      <c r="M967" s="2"/>
      <c r="N967" s="8">
        <v>42732.924282407403</v>
      </c>
      <c r="O967" s="4" t="s">
        <v>33</v>
      </c>
      <c r="P967" s="3" t="s">
        <v>1363</v>
      </c>
      <c r="Q967" s="4"/>
      <c r="R967" s="4"/>
      <c r="S967" s="9" t="str">
        <f>HYPERLINK("https://pbs.twimg.com/profile_images/957449103092445184/v2aKUxb7.jpg","View")</f>
        <v>View</v>
      </c>
    </row>
    <row r="968" spans="1:19" ht="40">
      <c r="A968" s="8">
        <v>43369.359178240746</v>
      </c>
      <c r="B968" s="11" t="str">
        <f>HYPERLINK("https://twitter.com/ghasemhagizade","@ghasemhagizade")</f>
        <v>@ghasemhagizade</v>
      </c>
      <c r="C968" s="6" t="s">
        <v>1362</v>
      </c>
      <c r="D968" s="5" t="s">
        <v>58</v>
      </c>
      <c r="E968" s="9" t="str">
        <f>HYPERLINK("https://twitter.com/ghasemhagizade/status/1044815635501514752","1044815635501514752")</f>
        <v>1044815635501514752</v>
      </c>
      <c r="F968" s="4"/>
      <c r="G968" s="10" t="s">
        <v>57</v>
      </c>
      <c r="H968" s="4"/>
      <c r="I968" s="10" t="str">
        <f>HYPERLINK("http://twitter.com","Twitter Web Client")</f>
        <v>Twitter Web Client</v>
      </c>
      <c r="J968" s="2">
        <v>195</v>
      </c>
      <c r="K968" s="2">
        <v>279</v>
      </c>
      <c r="L968" s="2">
        <v>1</v>
      </c>
      <c r="M968" s="2"/>
      <c r="N968" s="8">
        <v>43285.55877314815</v>
      </c>
      <c r="O968" s="4" t="s">
        <v>152</v>
      </c>
      <c r="P968" s="3" t="s">
        <v>1361</v>
      </c>
      <c r="Q968" s="4"/>
      <c r="R968" s="4"/>
      <c r="S968" s="9" t="str">
        <f>HYPERLINK("https://pbs.twimg.com/profile_images/1014433555332698112/1dp7bOZB.jpg","View")</f>
        <v>View</v>
      </c>
    </row>
    <row r="969" spans="1:19" ht="20">
      <c r="A969" s="8">
        <v>43369.358923611115</v>
      </c>
      <c r="B969" s="11" t="str">
        <f>HYPERLINK("https://twitter.com/parvinfarazmand","@parvinfarazmand")</f>
        <v>@parvinfarazmand</v>
      </c>
      <c r="C969" s="6" t="s">
        <v>1360</v>
      </c>
      <c r="D969" s="5" t="s">
        <v>154</v>
      </c>
      <c r="E969" s="9" t="str">
        <f>HYPERLINK("https://twitter.com/parvinfarazmand/status/1044815543553994754","1044815543553994754")</f>
        <v>1044815543553994754</v>
      </c>
      <c r="F969" s="10" t="s">
        <v>153</v>
      </c>
      <c r="G969" s="4"/>
      <c r="H969" s="4"/>
      <c r="I969" s="10" t="str">
        <f>HYPERLINK("http://twitter.com/download/iphone","Twitter for iPhone")</f>
        <v>Twitter for iPhone</v>
      </c>
      <c r="J969" s="2">
        <v>586</v>
      </c>
      <c r="K969" s="2">
        <v>1077</v>
      </c>
      <c r="L969" s="2">
        <v>13</v>
      </c>
      <c r="M969" s="2"/>
      <c r="N969" s="8">
        <v>42167.407824074078</v>
      </c>
      <c r="O969" s="4" t="s">
        <v>152</v>
      </c>
      <c r="P969" s="3" t="s">
        <v>1359</v>
      </c>
      <c r="Q969" s="4"/>
      <c r="R969" s="4"/>
      <c r="S969" s="9" t="str">
        <f>HYPERLINK("https://pbs.twimg.com/profile_images/866095440927707137/otTNCGHI.jpg","View")</f>
        <v>View</v>
      </c>
    </row>
    <row r="970" spans="1:19" ht="40">
      <c r="A970" s="8">
        <v>43369.358414351853</v>
      </c>
      <c r="B970" s="11" t="str">
        <f>HYPERLINK("https://twitter.com/SoStarMusic","@SoStarMusic")</f>
        <v>@SoStarMusic</v>
      </c>
      <c r="C970" s="6" t="s">
        <v>1356</v>
      </c>
      <c r="D970" s="5" t="s">
        <v>1358</v>
      </c>
      <c r="E970" s="9" t="str">
        <f>HYPERLINK("https://twitter.com/SoStarMusic/status/1044815358606086149","1044815358606086149")</f>
        <v>1044815358606086149</v>
      </c>
      <c r="F970" s="4"/>
      <c r="G970" s="10" t="s">
        <v>1357</v>
      </c>
      <c r="H970" s="4"/>
      <c r="I970" s="10" t="str">
        <f>HYPERLINK("http://twitter.com","Twitter Web Client")</f>
        <v>Twitter Web Client</v>
      </c>
      <c r="J970" s="2">
        <v>244977</v>
      </c>
      <c r="K970" s="2">
        <v>128190</v>
      </c>
      <c r="L970" s="2">
        <v>1189</v>
      </c>
      <c r="M970" s="2"/>
      <c r="N970" s="8">
        <v>42562.282592592594</v>
      </c>
      <c r="O970" s="4" t="s">
        <v>1355</v>
      </c>
      <c r="P970" s="3" t="s">
        <v>1354</v>
      </c>
      <c r="Q970" s="10" t="s">
        <v>1353</v>
      </c>
      <c r="R970" s="4"/>
      <c r="S970" s="9" t="str">
        <f>HYPERLINK("https://pbs.twimg.com/profile_images/980006482933616640/sJnGDoqy.jpg","View")</f>
        <v>View</v>
      </c>
    </row>
    <row r="971" spans="1:19" ht="60">
      <c r="A971" s="8">
        <v>43369.357476851852</v>
      </c>
      <c r="B971" s="11" t="str">
        <f>HYPERLINK("https://twitter.com/sadeghiyan88","@sadeghiyan88")</f>
        <v>@sadeghiyan88</v>
      </c>
      <c r="C971" s="6" t="s">
        <v>139</v>
      </c>
      <c r="D971" s="5" t="s">
        <v>1323</v>
      </c>
      <c r="E971" s="9" t="str">
        <f>HYPERLINK("https://twitter.com/sadeghiyan88/status/1044815015335874560","1044815015335874560")</f>
        <v>1044815015335874560</v>
      </c>
      <c r="F971" s="10" t="s">
        <v>403</v>
      </c>
      <c r="G971" s="4"/>
      <c r="H971" s="4"/>
      <c r="I971" s="10" t="str">
        <f>HYPERLINK("http://twitter.com/download/android","Twitter for Android")</f>
        <v>Twitter for Android</v>
      </c>
      <c r="J971" s="2">
        <v>407</v>
      </c>
      <c r="K971" s="2">
        <v>375</v>
      </c>
      <c r="L971" s="2">
        <v>1</v>
      </c>
      <c r="M971" s="2"/>
      <c r="N971" s="8">
        <v>43105.975370370375</v>
      </c>
      <c r="O971" s="4"/>
      <c r="P971" s="3" t="s">
        <v>138</v>
      </c>
      <c r="Q971" s="4"/>
      <c r="R971" s="4"/>
      <c r="S971" s="9" t="str">
        <f>HYPERLINK("https://pbs.twimg.com/profile_images/1035243988645765120/0HG_Vr0V.jpg","View")</f>
        <v>View</v>
      </c>
    </row>
    <row r="972" spans="1:19" ht="40">
      <c r="A972" s="8">
        <v>43369.357060185182</v>
      </c>
      <c r="B972" s="11" t="str">
        <f>HYPERLINK("https://twitter.com/TabriziRassoul","@TabriziRassoul")</f>
        <v>@TabriziRassoul</v>
      </c>
      <c r="C972" s="6" t="s">
        <v>1336</v>
      </c>
      <c r="D972" s="5" t="s">
        <v>58</v>
      </c>
      <c r="E972" s="9" t="str">
        <f>HYPERLINK("https://twitter.com/TabriziRassoul/status/1044814864768733184","1044814864768733184")</f>
        <v>1044814864768733184</v>
      </c>
      <c r="F972" s="4"/>
      <c r="G972" s="10" t="s">
        <v>57</v>
      </c>
      <c r="H972" s="4"/>
      <c r="I972" s="10" t="str">
        <f>HYPERLINK("http://twitter.com/download/android","Twitter for Android")</f>
        <v>Twitter for Android</v>
      </c>
      <c r="J972" s="2">
        <v>14</v>
      </c>
      <c r="K972" s="2">
        <v>70</v>
      </c>
      <c r="L972" s="2">
        <v>0</v>
      </c>
      <c r="M972" s="2"/>
      <c r="N972" s="8">
        <v>43321.13559027778</v>
      </c>
      <c r="O972" s="4"/>
      <c r="P972" s="3"/>
      <c r="Q972" s="4"/>
      <c r="R972" s="4"/>
      <c r="S972" s="2" t="s">
        <v>21</v>
      </c>
    </row>
    <row r="973" spans="1:19" ht="30">
      <c r="A973" s="8">
        <v>43369.356481481482</v>
      </c>
      <c r="B973" s="11" t="str">
        <f>HYPERLINK("https://twitter.com/TabriziRassoul","@TabriziRassoul")</f>
        <v>@TabriziRassoul</v>
      </c>
      <c r="C973" s="6" t="s">
        <v>1336</v>
      </c>
      <c r="D973" s="5" t="s">
        <v>383</v>
      </c>
      <c r="E973" s="9" t="str">
        <f>HYPERLINK("https://twitter.com/TabriziRassoul/status/1044814655045214210","1044814655045214210")</f>
        <v>1044814655045214210</v>
      </c>
      <c r="F973" s="4"/>
      <c r="G973" s="10" t="s">
        <v>382</v>
      </c>
      <c r="H973" s="4"/>
      <c r="I973" s="10" t="str">
        <f>HYPERLINK("http://twitter.com/download/android","Twitter for Android")</f>
        <v>Twitter for Android</v>
      </c>
      <c r="J973" s="2">
        <v>14</v>
      </c>
      <c r="K973" s="2">
        <v>70</v>
      </c>
      <c r="L973" s="2">
        <v>0</v>
      </c>
      <c r="M973" s="2"/>
      <c r="N973" s="8">
        <v>43321.13559027778</v>
      </c>
      <c r="O973" s="4"/>
      <c r="P973" s="3"/>
      <c r="Q973" s="4"/>
      <c r="R973" s="4"/>
      <c r="S973" s="2" t="s">
        <v>21</v>
      </c>
    </row>
    <row r="974" spans="1:19" ht="50">
      <c r="A974" s="8">
        <v>43369.35533564815</v>
      </c>
      <c r="B974" s="11" t="str">
        <f>HYPERLINK("https://twitter.com/SoStarMusic","@SoStarMusic")</f>
        <v>@SoStarMusic</v>
      </c>
      <c r="C974" s="6" t="s">
        <v>1356</v>
      </c>
      <c r="D974" s="5" t="s">
        <v>210</v>
      </c>
      <c r="E974" s="9" t="str">
        <f>HYPERLINK("https://twitter.com/SoStarMusic/status/1044814242552205315","1044814242552205315")</f>
        <v>1044814242552205315</v>
      </c>
      <c r="F974" s="4"/>
      <c r="G974" s="4"/>
      <c r="H974" s="4"/>
      <c r="I974" s="10" t="str">
        <f>HYPERLINK("http://twitter.com","Twitter Web Client")</f>
        <v>Twitter Web Client</v>
      </c>
      <c r="J974" s="2">
        <v>244977</v>
      </c>
      <c r="K974" s="2">
        <v>128190</v>
      </c>
      <c r="L974" s="2">
        <v>1189</v>
      </c>
      <c r="M974" s="2"/>
      <c r="N974" s="8">
        <v>42562.282592592594</v>
      </c>
      <c r="O974" s="4" t="s">
        <v>1355</v>
      </c>
      <c r="P974" s="3" t="s">
        <v>1354</v>
      </c>
      <c r="Q974" s="10" t="s">
        <v>1353</v>
      </c>
      <c r="R974" s="4"/>
      <c r="S974" s="9" t="str">
        <f>HYPERLINK("https://pbs.twimg.com/profile_images/980006482933616640/sJnGDoqy.jpg","View")</f>
        <v>View</v>
      </c>
    </row>
    <row r="975" spans="1:19" ht="30">
      <c r="A975" s="8">
        <v>43369.355208333334</v>
      </c>
      <c r="B975" s="11" t="str">
        <f>HYPERLINK("https://twitter.com/rezafal49454757","@rezafal49454757")</f>
        <v>@rezafal49454757</v>
      </c>
      <c r="C975" s="6" t="s">
        <v>1352</v>
      </c>
      <c r="D975" s="5" t="s">
        <v>1071</v>
      </c>
      <c r="E975" s="9" t="str">
        <f>HYPERLINK("https://twitter.com/rezafal49454757/status/1044814196452589568","1044814196452589568")</f>
        <v>1044814196452589568</v>
      </c>
      <c r="F975" s="4"/>
      <c r="G975" s="4"/>
      <c r="H975" s="4"/>
      <c r="I975" s="10" t="str">
        <f>HYPERLINK("http://twitter.com","Twitter Web Client")</f>
        <v>Twitter Web Client</v>
      </c>
      <c r="J975" s="2">
        <v>4</v>
      </c>
      <c r="K975" s="2">
        <v>4</v>
      </c>
      <c r="L975" s="2">
        <v>0</v>
      </c>
      <c r="M975" s="2"/>
      <c r="N975" s="8">
        <v>43354.575520833328</v>
      </c>
      <c r="O975" s="4"/>
      <c r="P975" s="3"/>
      <c r="Q975" s="4"/>
      <c r="R975" s="4"/>
      <c r="S975" s="2" t="s">
        <v>21</v>
      </c>
    </row>
    <row r="976" spans="1:19" ht="20">
      <c r="A976" s="8">
        <v>43369.355069444442</v>
      </c>
      <c r="B976" s="11" t="str">
        <f>HYPERLINK("https://twitter.com/mojiahmadi_","@mojiahmadi_")</f>
        <v>@mojiahmadi_</v>
      </c>
      <c r="C976" s="6" t="s">
        <v>1351</v>
      </c>
      <c r="D976" s="5" t="s">
        <v>102</v>
      </c>
      <c r="E976" s="9" t="str">
        <f>HYPERLINK("https://twitter.com/mojiahmadi_/status/1044814144170610688","1044814144170610688")</f>
        <v>1044814144170610688</v>
      </c>
      <c r="F976" s="4"/>
      <c r="G976" s="4"/>
      <c r="H976" s="4"/>
      <c r="I976" s="10" t="str">
        <f>HYPERLINK("http://twitter.com/download/android","Twitter for Android")</f>
        <v>Twitter for Android</v>
      </c>
      <c r="J976" s="2">
        <v>1757</v>
      </c>
      <c r="K976" s="2">
        <v>955</v>
      </c>
      <c r="L976" s="2">
        <v>5</v>
      </c>
      <c r="M976" s="2"/>
      <c r="N976" s="8">
        <v>42878.472719907411</v>
      </c>
      <c r="O976" s="4" t="s">
        <v>1350</v>
      </c>
      <c r="P976" s="3" t="s">
        <v>1349</v>
      </c>
      <c r="Q976" s="10" t="s">
        <v>1348</v>
      </c>
      <c r="R976" s="4"/>
      <c r="S976" s="9" t="str">
        <f>HYPERLINK("https://pbs.twimg.com/profile_images/1044204396480016384/9RFuNrB3.jpg","View")</f>
        <v>View</v>
      </c>
    </row>
    <row r="977" spans="1:19" ht="30">
      <c r="A977" s="8">
        <v>43369.354641203703</v>
      </c>
      <c r="B977" s="11" t="str">
        <f>HYPERLINK("https://twitter.com/venomsnakeiran","@venomsnakeiran")</f>
        <v>@venomsnakeiran</v>
      </c>
      <c r="C977" s="6" t="s">
        <v>1347</v>
      </c>
      <c r="D977" s="5" t="s">
        <v>49</v>
      </c>
      <c r="E977" s="9" t="str">
        <f>HYPERLINK("https://twitter.com/venomsnakeiran/status/1044813988704464903","1044813988704464903")</f>
        <v>1044813988704464903</v>
      </c>
      <c r="F977" s="4"/>
      <c r="G977" s="4"/>
      <c r="H977" s="4"/>
      <c r="I977" s="10" t="str">
        <f>HYPERLINK("http://twitter.com/download/iphone","Twitter for iPhone")</f>
        <v>Twitter for iPhone</v>
      </c>
      <c r="J977" s="2">
        <v>389</v>
      </c>
      <c r="K977" s="2">
        <v>851</v>
      </c>
      <c r="L977" s="2">
        <v>0</v>
      </c>
      <c r="M977" s="2"/>
      <c r="N977" s="8">
        <v>40927.601157407407</v>
      </c>
      <c r="O977" s="4" t="s">
        <v>1346</v>
      </c>
      <c r="P977" s="3" t="s">
        <v>1345</v>
      </c>
      <c r="Q977" s="4"/>
      <c r="R977" s="4"/>
      <c r="S977" s="9" t="str">
        <f>HYPERLINK("https://pbs.twimg.com/profile_images/1037363967948201984/bwARhv1h.jpg","View")</f>
        <v>View</v>
      </c>
    </row>
    <row r="978" spans="1:19" ht="20">
      <c r="A978" s="8">
        <v>43369.354525462964</v>
      </c>
      <c r="B978" s="11" t="str">
        <f>HYPERLINK("https://twitter.com/sharghpress","@sharghpress")</f>
        <v>@sharghpress</v>
      </c>
      <c r="C978" s="6" t="s">
        <v>1344</v>
      </c>
      <c r="D978" s="5" t="s">
        <v>1343</v>
      </c>
      <c r="E978" s="9" t="str">
        <f>HYPERLINK("https://twitter.com/sharghpress/status/1044813948367884290","1044813948367884290")</f>
        <v>1044813948367884290</v>
      </c>
      <c r="F978" s="10" t="s">
        <v>1342</v>
      </c>
      <c r="G978" s="10" t="s">
        <v>1341</v>
      </c>
      <c r="H978" s="4"/>
      <c r="I978" s="10" t="str">
        <f>HYPERLINK("https://buffer.com","Buffer")</f>
        <v>Buffer</v>
      </c>
      <c r="J978" s="2">
        <v>40</v>
      </c>
      <c r="K978" s="2">
        <v>30</v>
      </c>
      <c r="L978" s="2">
        <v>0</v>
      </c>
      <c r="M978" s="2"/>
      <c r="N978" s="8">
        <v>43054.542013888888</v>
      </c>
      <c r="O978" s="4"/>
      <c r="P978" s="3"/>
      <c r="Q978" s="4"/>
      <c r="R978" s="4"/>
      <c r="S978" s="9" t="str">
        <f>HYPERLINK("https://pbs.twimg.com/profile_images/930732771219193856/OH5qBn7w.jpg","View")</f>
        <v>View</v>
      </c>
    </row>
    <row r="979" spans="1:19" ht="30">
      <c r="A979" s="8">
        <v>43369.353888888887</v>
      </c>
      <c r="B979" s="11" t="str">
        <f>HYPERLINK("https://twitter.com/SleepDealerr","@SleepDealerr")</f>
        <v>@SleepDealerr</v>
      </c>
      <c r="C979" s="6" t="s">
        <v>1340</v>
      </c>
      <c r="D979" s="5" t="s">
        <v>49</v>
      </c>
      <c r="E979" s="9" t="str">
        <f>HYPERLINK("https://twitter.com/SleepDealerr/status/1044813715743354882","1044813715743354882")</f>
        <v>1044813715743354882</v>
      </c>
      <c r="F979" s="4"/>
      <c r="G979" s="4"/>
      <c r="H979" s="4"/>
      <c r="I979" s="10" t="str">
        <f>HYPERLINK("http://twitter.com/download/android","Twitter for Android")</f>
        <v>Twitter for Android</v>
      </c>
      <c r="J979" s="2">
        <v>525</v>
      </c>
      <c r="K979" s="2">
        <v>904</v>
      </c>
      <c r="L979" s="2">
        <v>0</v>
      </c>
      <c r="M979" s="2"/>
      <c r="N979" s="8">
        <v>43191.692696759259</v>
      </c>
      <c r="O979" s="4"/>
      <c r="P979" s="3" t="s">
        <v>1339</v>
      </c>
      <c r="Q979" s="4"/>
      <c r="R979" s="4"/>
      <c r="S979" s="9" t="str">
        <f>HYPERLINK("https://pbs.twimg.com/profile_images/1042661607514550272/7eSW85Zk.jpg","View")</f>
        <v>View</v>
      </c>
    </row>
    <row r="980" spans="1:19" ht="50">
      <c r="A980" s="8">
        <v>43369.353425925925</v>
      </c>
      <c r="B980" s="11" t="str">
        <f>HYPERLINK("https://twitter.com/farzmale","@farzmale")</f>
        <v>@farzmale</v>
      </c>
      <c r="C980" s="6" t="s">
        <v>1338</v>
      </c>
      <c r="D980" s="5" t="s">
        <v>210</v>
      </c>
      <c r="E980" s="9" t="str">
        <f>HYPERLINK("https://twitter.com/farzmale/status/1044813547774128128","1044813547774128128")</f>
        <v>1044813547774128128</v>
      </c>
      <c r="F980" s="4"/>
      <c r="G980" s="4"/>
      <c r="H980" s="4"/>
      <c r="I980" s="10" t="str">
        <f>HYPERLINK("http://twitter.com/download/android","Twitter for Android")</f>
        <v>Twitter for Android</v>
      </c>
      <c r="J980" s="2">
        <v>1226</v>
      </c>
      <c r="K980" s="2">
        <v>1324</v>
      </c>
      <c r="L980" s="2">
        <v>0</v>
      </c>
      <c r="M980" s="2"/>
      <c r="N980" s="8">
        <v>43316.037303240737</v>
      </c>
      <c r="O980" s="4"/>
      <c r="P980" s="3" t="s">
        <v>1337</v>
      </c>
      <c r="Q980" s="4"/>
      <c r="R980" s="4"/>
      <c r="S980" s="9" t="str">
        <f>HYPERLINK("https://pbs.twimg.com/profile_images/1025486226936217605/sznE5D_X.jpg","View")</f>
        <v>View</v>
      </c>
    </row>
    <row r="981" spans="1:19" ht="30">
      <c r="A981" s="8">
        <v>43369.352870370371</v>
      </c>
      <c r="B981" s="11" t="str">
        <f>HYPERLINK("https://twitter.com/TabriziRassoul","@TabriziRassoul")</f>
        <v>@TabriziRassoul</v>
      </c>
      <c r="C981" s="6" t="s">
        <v>1336</v>
      </c>
      <c r="D981" s="5" t="s">
        <v>91</v>
      </c>
      <c r="E981" s="9" t="str">
        <f>HYPERLINK("https://twitter.com/TabriziRassoul/status/1044813348561448961","1044813348561448961")</f>
        <v>1044813348561448961</v>
      </c>
      <c r="F981" s="4"/>
      <c r="G981" s="10" t="s">
        <v>90</v>
      </c>
      <c r="H981" s="4"/>
      <c r="I981" s="10" t="str">
        <f>HYPERLINK("http://twitter.com/download/android","Twitter for Android")</f>
        <v>Twitter for Android</v>
      </c>
      <c r="J981" s="2">
        <v>14</v>
      </c>
      <c r="K981" s="2">
        <v>70</v>
      </c>
      <c r="L981" s="2">
        <v>0</v>
      </c>
      <c r="M981" s="2"/>
      <c r="N981" s="8">
        <v>43321.13559027778</v>
      </c>
      <c r="O981" s="4"/>
      <c r="P981" s="3"/>
      <c r="Q981" s="4"/>
      <c r="R981" s="4"/>
      <c r="S981" s="2" t="s">
        <v>21</v>
      </c>
    </row>
    <row r="982" spans="1:19" ht="20">
      <c r="A982" s="8">
        <v>43369.352511574078</v>
      </c>
      <c r="B982" s="11" t="str">
        <f>HYPERLINK("https://twitter.com/Amin81926896","@Amin81926896")</f>
        <v>@Amin81926896</v>
      </c>
      <c r="C982" s="6" t="s">
        <v>1335</v>
      </c>
      <c r="D982" s="5" t="s">
        <v>15</v>
      </c>
      <c r="E982" s="9" t="str">
        <f>HYPERLINK("https://twitter.com/Amin81926896/status/1044813217938239488","1044813217938239488")</f>
        <v>1044813217938239488</v>
      </c>
      <c r="F982" s="4"/>
      <c r="G982" s="4"/>
      <c r="H982" s="4"/>
      <c r="I982" s="10" t="str">
        <f>HYPERLINK("http://twitter.com/download/android","Twitter for Android")</f>
        <v>Twitter for Android</v>
      </c>
      <c r="J982" s="2">
        <v>18</v>
      </c>
      <c r="K982" s="2">
        <v>55</v>
      </c>
      <c r="L982" s="2">
        <v>0</v>
      </c>
      <c r="M982" s="2"/>
      <c r="N982" s="8">
        <v>43266.143113425926</v>
      </c>
      <c r="O982" s="4" t="s">
        <v>7</v>
      </c>
      <c r="P982" s="3" t="s">
        <v>1334</v>
      </c>
      <c r="Q982" s="4"/>
      <c r="R982" s="4"/>
      <c r="S982" s="9" t="str">
        <f>HYPERLINK("https://pbs.twimg.com/profile_images/1027665875476865025/ALWdDbiF.jpg","View")</f>
        <v>View</v>
      </c>
    </row>
    <row r="983" spans="1:19" ht="40">
      <c r="A983" s="8">
        <v>43369.352037037039</v>
      </c>
      <c r="B983" s="11" t="str">
        <f>HYPERLINK("https://twitter.com/Hamesoor2","@Hamesoor2")</f>
        <v>@Hamesoor2</v>
      </c>
      <c r="C983" s="6" t="s">
        <v>1333</v>
      </c>
      <c r="D983" s="5" t="s">
        <v>58</v>
      </c>
      <c r="E983" s="9" t="str">
        <f>HYPERLINK("https://twitter.com/Hamesoor2/status/1044813045812408321","1044813045812408321")</f>
        <v>1044813045812408321</v>
      </c>
      <c r="F983" s="4"/>
      <c r="G983" s="10" t="s">
        <v>57</v>
      </c>
      <c r="H983" s="4"/>
      <c r="I983" s="10" t="str">
        <f>HYPERLINK("http://twitter.com/download/android","Twitter for Android")</f>
        <v>Twitter for Android</v>
      </c>
      <c r="J983" s="2">
        <v>107</v>
      </c>
      <c r="K983" s="2">
        <v>421</v>
      </c>
      <c r="L983" s="2">
        <v>0</v>
      </c>
      <c r="M983" s="2"/>
      <c r="N983" s="8">
        <v>43286.815821759257</v>
      </c>
      <c r="O983" s="4"/>
      <c r="P983" s="3" t="s">
        <v>1332</v>
      </c>
      <c r="Q983" s="4"/>
      <c r="R983" s="4"/>
      <c r="S983" s="9" t="str">
        <f>HYPERLINK("https://pbs.twimg.com/profile_images/1035455360042233856/E4Jlbif4.jpg","View")</f>
        <v>View</v>
      </c>
    </row>
    <row r="984" spans="1:19" ht="50">
      <c r="A984" s="8">
        <v>43369.351851851854</v>
      </c>
      <c r="B984" s="11" t="str">
        <f>HYPERLINK("https://twitter.com/erfane_keyhani","@erfane_keyhani")</f>
        <v>@erfane_keyhani</v>
      </c>
      <c r="C984" s="6" t="s">
        <v>1331</v>
      </c>
      <c r="D984" s="5" t="s">
        <v>210</v>
      </c>
      <c r="E984" s="9" t="str">
        <f>HYPERLINK("https://twitter.com/erfane_keyhani/status/1044812977814339592","1044812977814339592")</f>
        <v>1044812977814339592</v>
      </c>
      <c r="F984" s="4"/>
      <c r="G984" s="4"/>
      <c r="H984" s="4"/>
      <c r="I984" s="10" t="str">
        <f>HYPERLINK("http://twitter.com/download/android","Twitter for Android")</f>
        <v>Twitter for Android</v>
      </c>
      <c r="J984" s="2">
        <v>5249</v>
      </c>
      <c r="K984" s="2">
        <v>5627</v>
      </c>
      <c r="L984" s="2">
        <v>11</v>
      </c>
      <c r="M984" s="2"/>
      <c r="N984" s="8">
        <v>42953.827418981484</v>
      </c>
      <c r="O984" s="4" t="s">
        <v>16</v>
      </c>
      <c r="P984" s="3" t="s">
        <v>1330</v>
      </c>
      <c r="Q984" s="4"/>
      <c r="R984" s="4"/>
      <c r="S984" s="9" t="str">
        <f>HYPERLINK("https://pbs.twimg.com/profile_images/1031129999896662016/MEltOOOJ.jpg","View")</f>
        <v>View</v>
      </c>
    </row>
    <row r="985" spans="1:19" ht="50">
      <c r="A985" s="8">
        <v>43369.349988425922</v>
      </c>
      <c r="B985" s="11" t="str">
        <f>HYPERLINK("https://twitter.com/Baran02465556","@Baran02465556")</f>
        <v>@Baran02465556</v>
      </c>
      <c r="C985" s="6" t="s">
        <v>1329</v>
      </c>
      <c r="D985" s="5" t="s">
        <v>1328</v>
      </c>
      <c r="E985" s="9" t="str">
        <f>HYPERLINK("https://twitter.com/Baran02465556/status/1044812304297205762","1044812304297205762")</f>
        <v>1044812304297205762</v>
      </c>
      <c r="F985" s="4"/>
      <c r="G985" s="4"/>
      <c r="H985" s="4"/>
      <c r="I985" s="10" t="str">
        <f>HYPERLINK("https://mobile.twitter.com","Twitter Lite")</f>
        <v>Twitter Lite</v>
      </c>
      <c r="J985" s="2">
        <v>5</v>
      </c>
      <c r="K985" s="2">
        <v>24</v>
      </c>
      <c r="L985" s="2">
        <v>0</v>
      </c>
      <c r="M985" s="2"/>
      <c r="N985" s="8">
        <v>43151.487893518519</v>
      </c>
      <c r="O985" s="4"/>
      <c r="P985" s="3"/>
      <c r="Q985" s="4"/>
      <c r="R985" s="4"/>
      <c r="S985" s="9" t="str">
        <f>HYPERLINK("https://pbs.twimg.com/profile_images/975469516435132417/Dh26qRn3.jpg","View")</f>
        <v>View</v>
      </c>
    </row>
    <row r="986" spans="1:19" ht="30">
      <c r="A986" s="8">
        <v>43369.345717592594</v>
      </c>
      <c r="B986" s="11" t="str">
        <f>HYPERLINK("https://twitter.com/abieasemani1","@abieasemani1")</f>
        <v>@abieasemani1</v>
      </c>
      <c r="C986" s="6" t="s">
        <v>1327</v>
      </c>
      <c r="D986" s="5" t="s">
        <v>1326</v>
      </c>
      <c r="E986" s="9" t="str">
        <f>HYPERLINK("https://twitter.com/abieasemani1/status/1044810754241777665","1044810754241777665")</f>
        <v>1044810754241777665</v>
      </c>
      <c r="F986" s="4"/>
      <c r="G986" s="4"/>
      <c r="H986" s="4"/>
      <c r="I986" s="10" t="str">
        <f>HYPERLINK("http://twitter.com/download/android","Twitter for Android")</f>
        <v>Twitter for Android</v>
      </c>
      <c r="J986" s="2">
        <v>337</v>
      </c>
      <c r="K986" s="2">
        <v>381</v>
      </c>
      <c r="L986" s="2">
        <v>0</v>
      </c>
      <c r="M986" s="2"/>
      <c r="N986" s="8">
        <v>43309.799270833333</v>
      </c>
      <c r="O986" s="4" t="s">
        <v>1</v>
      </c>
      <c r="P986" s="3" t="s">
        <v>1325</v>
      </c>
      <c r="Q986" s="4"/>
      <c r="R986" s="4"/>
      <c r="S986" s="9" t="str">
        <f>HYPERLINK("https://pbs.twimg.com/profile_images/1026087830848761857/PGvIXjme.jpg","View")</f>
        <v>View</v>
      </c>
    </row>
    <row r="987" spans="1:19" ht="60">
      <c r="A987" s="8">
        <v>43369.345011574071</v>
      </c>
      <c r="B987" s="11" t="str">
        <f>HYPERLINK("https://twitter.com/baharp1982","@baharp1982")</f>
        <v>@baharp1982</v>
      </c>
      <c r="C987" s="6" t="s">
        <v>1324</v>
      </c>
      <c r="D987" s="5" t="s">
        <v>1323</v>
      </c>
      <c r="E987" s="9" t="str">
        <f>HYPERLINK("https://twitter.com/baharp1982/status/1044810499483987970","1044810499483987970")</f>
        <v>1044810499483987970</v>
      </c>
      <c r="F987" s="10" t="s">
        <v>403</v>
      </c>
      <c r="G987" s="4"/>
      <c r="H987" s="4"/>
      <c r="I987" s="10" t="str">
        <f>HYPERLINK("http://twitter.com/download/android","Twitter for Android")</f>
        <v>Twitter for Android</v>
      </c>
      <c r="J987" s="2">
        <v>430</v>
      </c>
      <c r="K987" s="2">
        <v>1110</v>
      </c>
      <c r="L987" s="2">
        <v>0</v>
      </c>
      <c r="M987" s="2"/>
      <c r="N987" s="8">
        <v>42886.793460648143</v>
      </c>
      <c r="O987" s="4"/>
      <c r="P987" s="3"/>
      <c r="Q987" s="4"/>
      <c r="R987" s="4"/>
      <c r="S987" s="9" t="str">
        <f>HYPERLINK("https://pbs.twimg.com/profile_images/876138784433336321/6XoTzw4D.jpg","View")</f>
        <v>View</v>
      </c>
    </row>
    <row r="988" spans="1:19" ht="20">
      <c r="A988" s="8">
        <v>43369.34447916667</v>
      </c>
      <c r="B988" s="11" t="str">
        <f>HYPERLINK("https://twitter.com/Behnam13701122","@Behnam13701122")</f>
        <v>@Behnam13701122</v>
      </c>
      <c r="C988" s="6" t="s">
        <v>1322</v>
      </c>
      <c r="D988" s="5" t="s">
        <v>102</v>
      </c>
      <c r="E988" s="9" t="str">
        <f>HYPERLINK("https://twitter.com/Behnam13701122/status/1044810307477139456","1044810307477139456")</f>
        <v>1044810307477139456</v>
      </c>
      <c r="F988" s="4"/>
      <c r="G988" s="4"/>
      <c r="H988" s="4"/>
      <c r="I988" s="10" t="str">
        <f>HYPERLINK("http://twitter.com/download/android","Twitter for Android")</f>
        <v>Twitter for Android</v>
      </c>
      <c r="J988" s="2">
        <v>1218</v>
      </c>
      <c r="K988" s="2">
        <v>1719</v>
      </c>
      <c r="L988" s="2">
        <v>1</v>
      </c>
      <c r="M988" s="2"/>
      <c r="N988" s="8">
        <v>42954.079375000001</v>
      </c>
      <c r="O988" s="4" t="s">
        <v>1321</v>
      </c>
      <c r="P988" s="3" t="s">
        <v>1320</v>
      </c>
      <c r="Q988" s="4"/>
      <c r="R988" s="4"/>
      <c r="S988" s="9" t="str">
        <f>HYPERLINK("https://pbs.twimg.com/profile_images/952247742306406402/oJ7sk2dl.jpg","View")</f>
        <v>View</v>
      </c>
    </row>
    <row r="989" spans="1:19" ht="30">
      <c r="A989" s="8">
        <v>43369.344143518523</v>
      </c>
      <c r="B989" s="11" t="str">
        <f>HYPERLINK("https://twitter.com/fsmoghadam","@fsmoghadam")</f>
        <v>@fsmoghadam</v>
      </c>
      <c r="C989" s="6" t="s">
        <v>1319</v>
      </c>
      <c r="D989" s="5" t="s">
        <v>520</v>
      </c>
      <c r="E989" s="9" t="str">
        <f>HYPERLINK("https://twitter.com/fsmoghadam/status/1044810183438979073","1044810183438979073")</f>
        <v>1044810183438979073</v>
      </c>
      <c r="F989" s="4"/>
      <c r="G989" s="4"/>
      <c r="H989" s="4"/>
      <c r="I989" s="10" t="str">
        <f>HYPERLINK("http://twitter.com/download/android","Twitter for Android")</f>
        <v>Twitter for Android</v>
      </c>
      <c r="J989" s="2">
        <v>904</v>
      </c>
      <c r="K989" s="2">
        <v>2998</v>
      </c>
      <c r="L989" s="2">
        <v>4</v>
      </c>
      <c r="M989" s="2"/>
      <c r="N989" s="8">
        <v>42760.00712962963</v>
      </c>
      <c r="O989" s="4" t="s">
        <v>7</v>
      </c>
      <c r="P989" s="3" t="s">
        <v>1318</v>
      </c>
      <c r="Q989" s="10" t="s">
        <v>1317</v>
      </c>
      <c r="R989" s="4"/>
      <c r="S989" s="9" t="str">
        <f>HYPERLINK("https://pbs.twimg.com/profile_images/878430088764813312/t4flT2RQ.jpg","View")</f>
        <v>View</v>
      </c>
    </row>
    <row r="990" spans="1:19" ht="30">
      <c r="A990" s="8">
        <v>43369.3434375</v>
      </c>
      <c r="B990" s="11" t="str">
        <f>HYPERLINK("https://twitter.com/givenchiboy","@givenchiboy")</f>
        <v>@givenchiboy</v>
      </c>
      <c r="C990" s="6" t="s">
        <v>1316</v>
      </c>
      <c r="D990" s="5" t="s">
        <v>49</v>
      </c>
      <c r="E990" s="9" t="str">
        <f>HYPERLINK("https://twitter.com/givenchiboy/status/1044809930308554753","1044809930308554753")</f>
        <v>1044809930308554753</v>
      </c>
      <c r="F990" s="4"/>
      <c r="G990" s="4"/>
      <c r="H990" s="4"/>
      <c r="I990" s="10" t="str">
        <f>HYPERLINK("http://twitter.com/download/iphone","Twitter for iPhone")</f>
        <v>Twitter for iPhone</v>
      </c>
      <c r="J990" s="2">
        <v>29</v>
      </c>
      <c r="K990" s="2">
        <v>136</v>
      </c>
      <c r="L990" s="2">
        <v>0</v>
      </c>
      <c r="M990" s="2"/>
      <c r="N990" s="8">
        <v>43347.971863425926</v>
      </c>
      <c r="O990" s="4" t="s">
        <v>1315</v>
      </c>
      <c r="P990" s="3" t="s">
        <v>1314</v>
      </c>
      <c r="Q990" s="4"/>
      <c r="R990" s="4"/>
      <c r="S990" s="9" t="str">
        <f>HYPERLINK("https://pbs.twimg.com/profile_images/1037062785476308992/L147G8VO.jpg","View")</f>
        <v>View</v>
      </c>
    </row>
    <row r="991" spans="1:19" ht="50">
      <c r="A991" s="8">
        <v>43369.342465277776</v>
      </c>
      <c r="B991" s="11" t="str">
        <f>HYPERLINK("https://twitter.com/gorgzakhmi2017","@gorgzakhmi2017")</f>
        <v>@gorgzakhmi2017</v>
      </c>
      <c r="C991" s="6" t="s">
        <v>1313</v>
      </c>
      <c r="D991" s="5" t="s">
        <v>202</v>
      </c>
      <c r="E991" s="9" t="str">
        <f>HYPERLINK("https://twitter.com/gorgzakhmi2017/status/1044809577055875075","1044809577055875075")</f>
        <v>1044809577055875075</v>
      </c>
      <c r="F991" s="4"/>
      <c r="G991" s="4"/>
      <c r="H991" s="4"/>
      <c r="I991" s="10" t="str">
        <f>HYPERLINK("http://twitter.com","Twitter Web Client")</f>
        <v>Twitter Web Client</v>
      </c>
      <c r="J991" s="2">
        <v>997</v>
      </c>
      <c r="K991" s="2">
        <v>534</v>
      </c>
      <c r="L991" s="2">
        <v>4</v>
      </c>
      <c r="M991" s="2"/>
      <c r="N991" s="8">
        <v>42863.568113425921</v>
      </c>
      <c r="O991" s="4" t="s">
        <v>73</v>
      </c>
      <c r="P991" s="3" t="s">
        <v>1312</v>
      </c>
      <c r="Q991" s="4"/>
      <c r="R991" s="4"/>
      <c r="S991" s="9" t="str">
        <f>HYPERLINK("https://pbs.twimg.com/profile_images/989889456718086144/wqerP45o.jpg","View")</f>
        <v>View</v>
      </c>
    </row>
    <row r="992" spans="1:19" ht="12.5">
      <c r="A992" s="8">
        <v>43369.341354166667</v>
      </c>
      <c r="B992" s="11" t="str">
        <f>HYPERLINK("https://twitter.com/rasoooool","@rasoooool")</f>
        <v>@rasoooool</v>
      </c>
      <c r="C992" s="6" t="s">
        <v>1311</v>
      </c>
      <c r="D992" s="5" t="s">
        <v>1310</v>
      </c>
      <c r="E992" s="9" t="str">
        <f>HYPERLINK("https://twitter.com/rasoooool/status/1044809174851506176","1044809174851506176")</f>
        <v>1044809174851506176</v>
      </c>
      <c r="F992" s="4"/>
      <c r="G992" s="10" t="s">
        <v>1309</v>
      </c>
      <c r="H992" s="4"/>
      <c r="I992" s="10" t="str">
        <f>HYPERLINK("http://twitter.com/download/android","Twitter for Android")</f>
        <v>Twitter for Android</v>
      </c>
      <c r="J992" s="2">
        <v>205</v>
      </c>
      <c r="K992" s="2">
        <v>897</v>
      </c>
      <c r="L992" s="2">
        <v>1</v>
      </c>
      <c r="M992" s="2"/>
      <c r="N992" s="8">
        <v>39981.985636574071</v>
      </c>
      <c r="O992" s="4" t="s">
        <v>7</v>
      </c>
      <c r="P992" s="3" t="s">
        <v>1308</v>
      </c>
      <c r="Q992" s="4"/>
      <c r="R992" s="4"/>
      <c r="S992" s="9" t="str">
        <f>HYPERLINK("https://pbs.twimg.com/profile_images/794064895968997376/7425F9OZ.jpg","View")</f>
        <v>View</v>
      </c>
    </row>
    <row r="993" spans="1:19" ht="30">
      <c r="A993" s="8">
        <v>43369.340671296297</v>
      </c>
      <c r="B993" s="11" t="str">
        <f>HYPERLINK("https://twitter.com/afshar110","@afshar110")</f>
        <v>@afshar110</v>
      </c>
      <c r="C993" s="6" t="s">
        <v>1307</v>
      </c>
      <c r="D993" s="5" t="s">
        <v>1306</v>
      </c>
      <c r="E993" s="9" t="str">
        <f>HYPERLINK("https://twitter.com/afshar110/status/1044808925344927750","1044808925344927750")</f>
        <v>1044808925344927750</v>
      </c>
      <c r="F993" s="4"/>
      <c r="G993" s="4"/>
      <c r="H993" s="4"/>
      <c r="I993" s="10" t="str">
        <f>HYPERLINK("http://twitter.com/download/android","Twitter for Android")</f>
        <v>Twitter for Android</v>
      </c>
      <c r="J993" s="2">
        <v>461</v>
      </c>
      <c r="K993" s="2">
        <v>773</v>
      </c>
      <c r="L993" s="2">
        <v>1</v>
      </c>
      <c r="M993" s="2"/>
      <c r="N993" s="8">
        <v>41995.939606481479</v>
      </c>
      <c r="O993" s="4"/>
      <c r="P993" s="3" t="s">
        <v>1305</v>
      </c>
      <c r="Q993" s="10" t="s">
        <v>1304</v>
      </c>
      <c r="R993" s="4"/>
      <c r="S993" s="9" t="str">
        <f>HYPERLINK("https://pbs.twimg.com/profile_images/1009691854944776192/w3PlalBv.jpg","View")</f>
        <v>View</v>
      </c>
    </row>
    <row r="994" spans="1:19" ht="50">
      <c r="A994" s="8">
        <v>43369.340648148151</v>
      </c>
      <c r="B994" s="11" t="str">
        <f>HYPERLINK("https://twitter.com/sourena231","@sourena231")</f>
        <v>@sourena231</v>
      </c>
      <c r="C994" s="6" t="s">
        <v>1303</v>
      </c>
      <c r="D994" s="5" t="s">
        <v>917</v>
      </c>
      <c r="E994" s="9" t="str">
        <f>HYPERLINK("https://twitter.com/sourena231/status/1044808918239727621","1044808918239727621")</f>
        <v>1044808918239727621</v>
      </c>
      <c r="F994" s="4"/>
      <c r="G994" s="4"/>
      <c r="H994" s="4"/>
      <c r="I994" s="10" t="str">
        <f>HYPERLINK("http://twitter.com/download/android","Twitter for Android")</f>
        <v>Twitter for Android</v>
      </c>
      <c r="J994" s="2">
        <v>196</v>
      </c>
      <c r="K994" s="2">
        <v>170</v>
      </c>
      <c r="L994" s="2">
        <v>0</v>
      </c>
      <c r="M994" s="2"/>
      <c r="N994" s="8">
        <v>42661.715532407412</v>
      </c>
      <c r="O994" s="4" t="s">
        <v>1</v>
      </c>
      <c r="P994" s="3" t="s">
        <v>1302</v>
      </c>
      <c r="Q994" s="10" t="s">
        <v>1301</v>
      </c>
      <c r="R994" s="4"/>
      <c r="S994" s="9" t="str">
        <f>HYPERLINK("https://pbs.twimg.com/profile_images/994100967674204160/P8clhCNo.jpg","View")</f>
        <v>View</v>
      </c>
    </row>
    <row r="995" spans="1:19" ht="40">
      <c r="A995" s="8">
        <v>43369.340509259258</v>
      </c>
      <c r="B995" s="11" t="str">
        <f>HYPERLINK("https://twitter.com/mgh75596918","@mgh75596918")</f>
        <v>@mgh75596918</v>
      </c>
      <c r="C995" s="6" t="s">
        <v>1300</v>
      </c>
      <c r="D995" s="5" t="s">
        <v>75</v>
      </c>
      <c r="E995" s="9" t="str">
        <f>HYPERLINK("https://twitter.com/mgh75596918/status/1044808870118531072","1044808870118531072")</f>
        <v>1044808870118531072</v>
      </c>
      <c r="F995" s="4"/>
      <c r="G995" s="4"/>
      <c r="H995" s="4"/>
      <c r="I995" s="10" t="str">
        <f>HYPERLINK("http://twitter.com/download/android","Twitter for Android")</f>
        <v>Twitter for Android</v>
      </c>
      <c r="J995" s="2">
        <v>2201</v>
      </c>
      <c r="K995" s="2">
        <v>2714</v>
      </c>
      <c r="L995" s="2">
        <v>1</v>
      </c>
      <c r="M995" s="2"/>
      <c r="N995" s="8">
        <v>42754.983159722222</v>
      </c>
      <c r="O995" s="4"/>
      <c r="P995" s="3" t="s">
        <v>1299</v>
      </c>
      <c r="Q995" s="4"/>
      <c r="R995" s="4"/>
      <c r="S995" s="9" t="str">
        <f>HYPERLINK("https://pbs.twimg.com/profile_images/1044681107810263042/b-JKWHxy.jpg","View")</f>
        <v>View</v>
      </c>
    </row>
    <row r="996" spans="1:19" ht="20">
      <c r="A996" s="8">
        <v>43369.340335648143</v>
      </c>
      <c r="B996" s="11" t="str">
        <f>HYPERLINK("https://twitter.com/sobhe_no","@sobhe_no")</f>
        <v>@sobhe_no</v>
      </c>
      <c r="C996" s="6" t="s">
        <v>1298</v>
      </c>
      <c r="D996" s="5" t="s">
        <v>1297</v>
      </c>
      <c r="E996" s="9" t="str">
        <f>HYPERLINK("https://twitter.com/sobhe_no/status/1044808804272164864","1044808804272164864")</f>
        <v>1044808804272164864</v>
      </c>
      <c r="F996" s="4"/>
      <c r="G996" s="10" t="s">
        <v>1296</v>
      </c>
      <c r="H996" s="4"/>
      <c r="I996" s="10" t="str">
        <f>HYPERLINK("http://twitter.com/download/iphone","Twitter for iPhone")</f>
        <v>Twitter for iPhone</v>
      </c>
      <c r="J996" s="2">
        <v>10922</v>
      </c>
      <c r="K996" s="2">
        <v>31</v>
      </c>
      <c r="L996" s="2">
        <v>79</v>
      </c>
      <c r="M996" s="2"/>
      <c r="N996" s="8">
        <v>42471.601400462961</v>
      </c>
      <c r="O996" s="4" t="s">
        <v>7</v>
      </c>
      <c r="P996" s="3" t="s">
        <v>1295</v>
      </c>
      <c r="Q996" s="10" t="s">
        <v>1294</v>
      </c>
      <c r="R996" s="4"/>
      <c r="S996" s="9" t="str">
        <f>HYPERLINK("https://pbs.twimg.com/profile_images/1044092579162333184/G5jVX3GM.jpg","View")</f>
        <v>View</v>
      </c>
    </row>
    <row r="997" spans="1:19" ht="20">
      <c r="A997" s="8">
        <v>43369.339768518519</v>
      </c>
      <c r="B997" s="11" t="str">
        <f>HYPERLINK("https://twitter.com/javane_enqelabi","@javane_enqelabi")</f>
        <v>@javane_enqelabi</v>
      </c>
      <c r="C997" s="6" t="s">
        <v>1293</v>
      </c>
      <c r="D997" s="5" t="s">
        <v>1292</v>
      </c>
      <c r="E997" s="9" t="str">
        <f>HYPERLINK("https://twitter.com/javane_enqelabi/status/1044808599866929152","1044808599866929152")</f>
        <v>1044808599866929152</v>
      </c>
      <c r="F997" s="4"/>
      <c r="G997" s="4"/>
      <c r="H997" s="4"/>
      <c r="I997" s="10" t="str">
        <f>HYPERLINK("http://twitter.com/download/android","Twitter for Android")</f>
        <v>Twitter for Android</v>
      </c>
      <c r="J997" s="2">
        <v>3125</v>
      </c>
      <c r="K997" s="2">
        <v>2863</v>
      </c>
      <c r="L997" s="2">
        <v>10</v>
      </c>
      <c r="M997" s="2"/>
      <c r="N997" s="8">
        <v>42615.09002314815</v>
      </c>
      <c r="O997" s="4" t="s">
        <v>47</v>
      </c>
      <c r="P997" s="3" t="s">
        <v>1291</v>
      </c>
      <c r="Q997" s="4"/>
      <c r="R997" s="4"/>
      <c r="S997" s="9" t="str">
        <f>HYPERLINK("https://pbs.twimg.com/profile_images/1044215134539960320/mBwBa5aZ.jpg","View")</f>
        <v>View</v>
      </c>
    </row>
    <row r="998" spans="1:19" ht="30">
      <c r="A998" s="8">
        <v>43369.339224537034</v>
      </c>
      <c r="B998" s="11" t="str">
        <f>HYPERLINK("https://twitter.com/Sushi89080126","@Sushi89080126")</f>
        <v>@Sushi89080126</v>
      </c>
      <c r="C998" s="6" t="s">
        <v>1290</v>
      </c>
      <c r="D998" s="5" t="s">
        <v>1289</v>
      </c>
      <c r="E998" s="9" t="str">
        <f>HYPERLINK("https://twitter.com/Sushi89080126/status/1044808402113888257","1044808402113888257")</f>
        <v>1044808402113888257</v>
      </c>
      <c r="F998" s="4"/>
      <c r="G998" s="4"/>
      <c r="H998" s="4"/>
      <c r="I998" s="10" t="str">
        <f>HYPERLINK("http://twitter.com/download/android","Twitter for Android")</f>
        <v>Twitter for Android</v>
      </c>
      <c r="J998" s="2">
        <v>57</v>
      </c>
      <c r="K998" s="2">
        <v>39</v>
      </c>
      <c r="L998" s="2">
        <v>1</v>
      </c>
      <c r="M998" s="2"/>
      <c r="N998" s="8">
        <v>42812.134710648148</v>
      </c>
      <c r="O998" s="4" t="s">
        <v>25</v>
      </c>
      <c r="P998" s="3" t="s">
        <v>1288</v>
      </c>
      <c r="Q998" s="4"/>
      <c r="R998" s="4"/>
      <c r="S998" s="9" t="str">
        <f>HYPERLINK("https://pbs.twimg.com/profile_images/1031584164703809536/5LEi-R8b.jpg","View")</f>
        <v>View</v>
      </c>
    </row>
    <row r="999" spans="1:19" ht="40">
      <c r="A999" s="8">
        <v>43369.338495370372</v>
      </c>
      <c r="B999" s="11" t="str">
        <f>HYPERLINK("https://twitter.com/ZahraKazemi1365","@ZahraKazemi1365")</f>
        <v>@ZahraKazemi1365</v>
      </c>
      <c r="C999" s="6" t="s">
        <v>1287</v>
      </c>
      <c r="D999" s="5" t="s">
        <v>174</v>
      </c>
      <c r="E999" s="9" t="str">
        <f>HYPERLINK("https://twitter.com/ZahraKazemi1365/status/1044808137025499136","1044808137025499136")</f>
        <v>1044808137025499136</v>
      </c>
      <c r="F999" s="4"/>
      <c r="G999" s="4"/>
      <c r="H999" s="4"/>
      <c r="I999" s="10" t="str">
        <f>HYPERLINK("http://twitter.com/download/android","Twitter for Android")</f>
        <v>Twitter for Android</v>
      </c>
      <c r="J999" s="2">
        <v>3594</v>
      </c>
      <c r="K999" s="2">
        <v>406</v>
      </c>
      <c r="L999" s="2">
        <v>18</v>
      </c>
      <c r="M999" s="2"/>
      <c r="N999" s="8">
        <v>42913.791145833333</v>
      </c>
      <c r="O999" s="4" t="s">
        <v>1286</v>
      </c>
      <c r="P999" s="3" t="s">
        <v>1285</v>
      </c>
      <c r="Q999" s="4"/>
      <c r="R999" s="4"/>
      <c r="S999" s="9" t="str">
        <f>HYPERLINK("https://pbs.twimg.com/profile_images/900065453527138304/gyq_soA_.jpg","View")</f>
        <v>View</v>
      </c>
    </row>
    <row r="1000" spans="1:19" ht="30">
      <c r="A1000" s="8">
        <v>43369.337766203702</v>
      </c>
      <c r="B1000" s="11" t="str">
        <f>HYPERLINK("https://twitter.com/Saeed_Bahariam","@Saeed_Bahariam")</f>
        <v>@Saeed_Bahariam</v>
      </c>
      <c r="C1000" s="6" t="s">
        <v>1156</v>
      </c>
      <c r="D1000" s="5" t="s">
        <v>1284</v>
      </c>
      <c r="E1000" s="9" t="str">
        <f>HYPERLINK("https://twitter.com/Saeed_Bahariam/status/1044807872482365440","1044807872482365440")</f>
        <v>1044807872482365440</v>
      </c>
      <c r="F1000" s="4"/>
      <c r="G1000" s="4"/>
      <c r="H1000" s="4"/>
      <c r="I1000" s="10" t="str">
        <f>HYPERLINK("http://twitter.com/download/android","Twitter for Android")</f>
        <v>Twitter for Android</v>
      </c>
      <c r="J1000" s="2">
        <v>963</v>
      </c>
      <c r="K1000" s="2">
        <v>1246</v>
      </c>
      <c r="L1000" s="2">
        <v>0</v>
      </c>
      <c r="M1000" s="2"/>
      <c r="N1000" s="8">
        <v>43100.649108796293</v>
      </c>
      <c r="O1000" s="4" t="s">
        <v>1154</v>
      </c>
      <c r="P1000" s="3" t="s">
        <v>1153</v>
      </c>
      <c r="Q1000" s="4"/>
      <c r="R1000" s="4"/>
      <c r="S1000" s="9" t="str">
        <f>HYPERLINK("https://pbs.twimg.com/profile_images/994988869769625601/FrkUKAFM.jpg","View")</f>
        <v>View</v>
      </c>
    </row>
    <row r="1001" spans="1:19" ht="30">
      <c r="A1001" s="8">
        <v>43369.336273148147</v>
      </c>
      <c r="B1001" s="11" t="str">
        <f>HYPERLINK("https://twitter.com/Mina75773454","@Mina75773454")</f>
        <v>@Mina75773454</v>
      </c>
      <c r="C1001" s="6" t="s">
        <v>1283</v>
      </c>
      <c r="D1001" s="5" t="s">
        <v>520</v>
      </c>
      <c r="E1001" s="9" t="str">
        <f>HYPERLINK("https://twitter.com/Mina75773454/status/1044807335187804162","1044807335187804162")</f>
        <v>1044807335187804162</v>
      </c>
      <c r="F1001" s="4"/>
      <c r="G1001" s="4"/>
      <c r="H1001" s="4"/>
      <c r="I1001" s="10" t="str">
        <f>HYPERLINK("http://twitter.com/download/android","Twitter for Android")</f>
        <v>Twitter for Android</v>
      </c>
      <c r="J1001" s="2">
        <v>8</v>
      </c>
      <c r="K1001" s="2">
        <v>15</v>
      </c>
      <c r="L1001" s="2">
        <v>0</v>
      </c>
      <c r="M1001" s="2"/>
      <c r="N1001" s="8">
        <v>43220.913645833338</v>
      </c>
      <c r="O1001" s="4"/>
      <c r="P1001" s="3"/>
      <c r="Q1001" s="4"/>
      <c r="R1001" s="4"/>
      <c r="S1001" s="2" t="s">
        <v>21</v>
      </c>
    </row>
    <row r="1002" spans="1:19" ht="40">
      <c r="A1002" s="8">
        <v>43369.335891203707</v>
      </c>
      <c r="B1002" s="11" t="str">
        <f>HYPERLINK("https://twitter.com/Hamidre04098227","@Hamidre04098227")</f>
        <v>@Hamidre04098227</v>
      </c>
      <c r="C1002" s="6" t="s">
        <v>1282</v>
      </c>
      <c r="D1002" s="5" t="s">
        <v>128</v>
      </c>
      <c r="E1002" s="9" t="str">
        <f>HYPERLINK("https://twitter.com/Hamidre04098227/status/1044807196595425281","1044807196595425281")</f>
        <v>1044807196595425281</v>
      </c>
      <c r="F1002" s="4"/>
      <c r="G1002" s="4"/>
      <c r="H1002" s="4"/>
      <c r="I1002" s="10" t="str">
        <f>HYPERLINK("http://twitter.com/download/android","Twitter for Android")</f>
        <v>Twitter for Android</v>
      </c>
      <c r="J1002" s="2">
        <v>118</v>
      </c>
      <c r="K1002" s="2">
        <v>766</v>
      </c>
      <c r="L1002" s="2">
        <v>0</v>
      </c>
      <c r="M1002" s="2"/>
      <c r="N1002" s="8">
        <v>42194.245162037041</v>
      </c>
      <c r="O1002" s="4" t="s">
        <v>1281</v>
      </c>
      <c r="P1002" s="3"/>
      <c r="Q1002" s="4"/>
      <c r="R1002" s="4"/>
      <c r="S1002" s="9" t="str">
        <f>HYPERLINK("https://pbs.twimg.com/profile_images/1039550049582284801/BlDSDa4n.jpg","View")</f>
        <v>View</v>
      </c>
    </row>
    <row r="1003" spans="1:19" ht="20">
      <c r="A1003" s="8">
        <v>43369.335833333331</v>
      </c>
      <c r="B1003" s="11" t="str">
        <f>HYPERLINK("https://twitter.com/StoryUnity","@StoryUnity")</f>
        <v>@StoryUnity</v>
      </c>
      <c r="C1003" s="6" t="s">
        <v>1280</v>
      </c>
      <c r="D1003" s="5" t="s">
        <v>15</v>
      </c>
      <c r="E1003" s="9" t="str">
        <f>HYPERLINK("https://twitter.com/StoryUnity/status/1044807172796960768","1044807172796960768")</f>
        <v>1044807172796960768</v>
      </c>
      <c r="F1003" s="4"/>
      <c r="G1003" s="4"/>
      <c r="H1003" s="4"/>
      <c r="I1003" s="10" t="str">
        <f>HYPERLINK("http://twitter.com/download/android","Twitter for Android")</f>
        <v>Twitter for Android</v>
      </c>
      <c r="J1003" s="2">
        <v>436</v>
      </c>
      <c r="K1003" s="2">
        <v>714</v>
      </c>
      <c r="L1003" s="2">
        <v>0</v>
      </c>
      <c r="M1003" s="2"/>
      <c r="N1003" s="8">
        <v>43244.802395833336</v>
      </c>
      <c r="O1003" s="4"/>
      <c r="P1003" s="3" t="s">
        <v>1279</v>
      </c>
      <c r="Q1003" s="4"/>
      <c r="R1003" s="4"/>
      <c r="S1003" s="9" t="str">
        <f>HYPERLINK("https://pbs.twimg.com/profile_images/1041389823716716545/q7F1p4OR.jpg","View")</f>
        <v>View</v>
      </c>
    </row>
    <row r="1004" spans="1:19" ht="20">
      <c r="A1004" s="8">
        <v>43369.335497685184</v>
      </c>
      <c r="B1004" s="11" t="str">
        <f>HYPERLINK("https://twitter.com/jalali_ma","@jalali_ma")</f>
        <v>@jalali_ma</v>
      </c>
      <c r="C1004" s="6" t="s">
        <v>1278</v>
      </c>
      <c r="D1004" s="5" t="s">
        <v>97</v>
      </c>
      <c r="E1004" s="9" t="str">
        <f>HYPERLINK("https://twitter.com/jalali_ma/status/1044807053351505922","1044807053351505922")</f>
        <v>1044807053351505922</v>
      </c>
      <c r="F1004" s="4"/>
      <c r="G1004" s="4"/>
      <c r="H1004" s="4"/>
      <c r="I1004" s="10" t="str">
        <f>HYPERLINK("http://twitter.com/download/iphone","Twitter for iPhone")</f>
        <v>Twitter for iPhone</v>
      </c>
      <c r="J1004" s="2">
        <v>145</v>
      </c>
      <c r="K1004" s="2">
        <v>131</v>
      </c>
      <c r="L1004" s="2">
        <v>0</v>
      </c>
      <c r="M1004" s="2"/>
      <c r="N1004" s="8">
        <v>42717.296006944445</v>
      </c>
      <c r="O1004" s="4" t="s">
        <v>1277</v>
      </c>
      <c r="P1004" s="3" t="s">
        <v>1276</v>
      </c>
      <c r="Q1004" s="4"/>
      <c r="R1004" s="4"/>
      <c r="S1004" s="9" t="str">
        <f>HYPERLINK("https://pbs.twimg.com/profile_images/988107766333104129/teAoNGUS.jpg","View")</f>
        <v>View</v>
      </c>
    </row>
    <row r="1005" spans="1:19" ht="30">
      <c r="A1005" s="8">
        <v>43369.335057870368</v>
      </c>
      <c r="B1005" s="11" t="str">
        <f>HYPERLINK("https://twitter.com/Ab_Abroshan","@Ab_Abroshan")</f>
        <v>@Ab_Abroshan</v>
      </c>
      <c r="C1005" s="6" t="s">
        <v>1275</v>
      </c>
      <c r="D1005" s="5" t="s">
        <v>85</v>
      </c>
      <c r="E1005" s="9" t="str">
        <f>HYPERLINK("https://twitter.com/Ab_Abroshan/status/1044806893376614408","1044806893376614408")</f>
        <v>1044806893376614408</v>
      </c>
      <c r="F1005" s="4"/>
      <c r="G1005" s="4"/>
      <c r="H1005" s="4"/>
      <c r="I1005" s="10" t="str">
        <f>HYPERLINK("http://twitter.com/download/android","Twitter for Android")</f>
        <v>Twitter for Android</v>
      </c>
      <c r="J1005" s="2">
        <v>55</v>
      </c>
      <c r="K1005" s="2">
        <v>27</v>
      </c>
      <c r="L1005" s="2">
        <v>0</v>
      </c>
      <c r="M1005" s="2"/>
      <c r="N1005" s="8">
        <v>43276.177881944444</v>
      </c>
      <c r="O1005" s="4"/>
      <c r="P1005" s="3" t="s">
        <v>1274</v>
      </c>
      <c r="Q1005" s="4"/>
      <c r="R1005" s="4"/>
      <c r="S1005" s="9" t="str">
        <f>HYPERLINK("https://pbs.twimg.com/profile_images/1011035945393631232/x__w0hw2.jpg","View")</f>
        <v>View</v>
      </c>
    </row>
    <row r="1006" spans="1:19" ht="40">
      <c r="A1006" s="8">
        <v>43369.334733796291</v>
      </c>
      <c r="B1006" s="11" t="str">
        <f>HYPERLINK("https://twitter.com/m2bmmb","@m2bmmb")</f>
        <v>@m2bmmb</v>
      </c>
      <c r="C1006" s="6" t="s">
        <v>1273</v>
      </c>
      <c r="D1006" s="5" t="s">
        <v>72</v>
      </c>
      <c r="E1006" s="9" t="str">
        <f>HYPERLINK("https://twitter.com/m2bmmb/status/1044806776238018560","1044806776238018560")</f>
        <v>1044806776238018560</v>
      </c>
      <c r="F1006" s="4"/>
      <c r="G1006" s="4"/>
      <c r="H1006" s="4"/>
      <c r="I1006" s="10" t="str">
        <f>HYPERLINK("http://twitter.com/download/android","Twitter for Android")</f>
        <v>Twitter for Android</v>
      </c>
      <c r="J1006" s="2">
        <v>247</v>
      </c>
      <c r="K1006" s="2">
        <v>286</v>
      </c>
      <c r="L1006" s="2">
        <v>0</v>
      </c>
      <c r="M1006" s="2"/>
      <c r="N1006" s="8">
        <v>43028.019224537042</v>
      </c>
      <c r="O1006" s="4" t="s">
        <v>1272</v>
      </c>
      <c r="P1006" s="3" t="s">
        <v>1271</v>
      </c>
      <c r="Q1006" s="4"/>
      <c r="R1006" s="4"/>
      <c r="S1006" s="9" t="str">
        <f>HYPERLINK("https://pbs.twimg.com/profile_images/963365418273517568/hGTzmEU0.jpg","View")</f>
        <v>View</v>
      </c>
    </row>
    <row r="1007" spans="1:19" ht="30">
      <c r="A1007" s="8">
        <v>43369.334641203706</v>
      </c>
      <c r="B1007" s="11" t="str">
        <f>HYPERLINK("https://twitter.com/hadispanahi","@hadispanahi")</f>
        <v>@hadispanahi</v>
      </c>
      <c r="C1007" s="6" t="s">
        <v>1270</v>
      </c>
      <c r="D1007" s="5" t="s">
        <v>675</v>
      </c>
      <c r="E1007" s="9" t="str">
        <f>HYPERLINK("https://twitter.com/hadispanahi/status/1044806744000671745","1044806744000671745")</f>
        <v>1044806744000671745</v>
      </c>
      <c r="F1007" s="4"/>
      <c r="G1007" s="4"/>
      <c r="H1007" s="4"/>
      <c r="I1007" s="10" t="str">
        <f>HYPERLINK("http://twitter.com/download/android","Twitter for Android")</f>
        <v>Twitter for Android</v>
      </c>
      <c r="J1007" s="2">
        <v>89</v>
      </c>
      <c r="K1007" s="2">
        <v>68</v>
      </c>
      <c r="L1007" s="2">
        <v>0</v>
      </c>
      <c r="M1007" s="2"/>
      <c r="N1007" s="8">
        <v>43220.514363425929</v>
      </c>
      <c r="O1007" s="4"/>
      <c r="P1007" s="3" t="s">
        <v>1269</v>
      </c>
      <c r="Q1007" s="4"/>
      <c r="R1007" s="4"/>
      <c r="S1007" s="9" t="str">
        <f>HYPERLINK("https://pbs.twimg.com/profile_images/1016373445242675201/CLK4y41H.jpg","View")</f>
        <v>View</v>
      </c>
    </row>
    <row r="1008" spans="1:19" ht="30">
      <c r="A1008" s="8">
        <v>43369.334502314814</v>
      </c>
      <c r="B1008" s="11" t="str">
        <f>HYPERLINK("https://twitter.com/asdola_mirza","@asdola_mirza")</f>
        <v>@asdola_mirza</v>
      </c>
      <c r="C1008" s="6" t="s">
        <v>1268</v>
      </c>
      <c r="D1008" s="5" t="s">
        <v>1267</v>
      </c>
      <c r="E1008" s="9" t="str">
        <f>HYPERLINK("https://twitter.com/asdola_mirza/status/1044806692381360128","1044806692381360128")</f>
        <v>1044806692381360128</v>
      </c>
      <c r="F1008" s="4"/>
      <c r="G1008" s="4"/>
      <c r="H1008" s="4"/>
      <c r="I1008" s="10" t="str">
        <f>HYPERLINK("http://twitter.com","Twitter Web Client")</f>
        <v>Twitter Web Client</v>
      </c>
      <c r="J1008" s="2">
        <v>1615</v>
      </c>
      <c r="K1008" s="2">
        <v>2483</v>
      </c>
      <c r="L1008" s="2">
        <v>0</v>
      </c>
      <c r="M1008" s="2"/>
      <c r="N1008" s="8">
        <v>39977.88899305556</v>
      </c>
      <c r="O1008" s="4" t="s">
        <v>101</v>
      </c>
      <c r="P1008" s="3" t="s">
        <v>1266</v>
      </c>
      <c r="Q1008" s="4"/>
      <c r="R1008" s="4"/>
      <c r="S1008" s="9" t="str">
        <f>HYPERLINK("https://pbs.twimg.com/profile_images/965154724235436032/lB53uPUT.jpg","View")</f>
        <v>View</v>
      </c>
    </row>
    <row r="1009" spans="1:19" ht="20">
      <c r="A1009" s="8">
        <v>43369.333923611106</v>
      </c>
      <c r="B1009" s="11" t="str">
        <f>HYPERLINK("https://twitter.com/smohsenkhademii","@smohsenkhademii")</f>
        <v>@smohsenkhademii</v>
      </c>
      <c r="C1009" s="6" t="s">
        <v>1265</v>
      </c>
      <c r="D1009" s="5" t="s">
        <v>1264</v>
      </c>
      <c r="E1009" s="9" t="str">
        <f>HYPERLINK("https://twitter.com/smohsenkhademii/status/1044806483098161152","1044806483098161152")</f>
        <v>1044806483098161152</v>
      </c>
      <c r="F1009" s="4"/>
      <c r="G1009" s="4"/>
      <c r="H1009" s="4"/>
      <c r="I1009" s="10" t="str">
        <f>HYPERLINK("http://twitter.com/download/android","Twitter for Android")</f>
        <v>Twitter for Android</v>
      </c>
      <c r="J1009" s="2">
        <v>104</v>
      </c>
      <c r="K1009" s="2">
        <v>118</v>
      </c>
      <c r="L1009" s="2">
        <v>1</v>
      </c>
      <c r="M1009" s="2"/>
      <c r="N1009" s="8">
        <v>43178.974212962959</v>
      </c>
      <c r="O1009" s="4" t="s">
        <v>1</v>
      </c>
      <c r="P1009" s="3" t="s">
        <v>1263</v>
      </c>
      <c r="Q1009" s="4"/>
      <c r="R1009" s="4"/>
      <c r="S1009" s="9" t="str">
        <f>HYPERLINK("https://pbs.twimg.com/profile_images/977043311725817857/CBVOFNpr.jpg","View")</f>
        <v>View</v>
      </c>
    </row>
    <row r="1010" spans="1:19" ht="40">
      <c r="A1010" s="8">
        <v>43369.333703703705</v>
      </c>
      <c r="B1010" s="11" t="str">
        <f>HYPERLINK("https://twitter.com/kamalhoseini1","@kamalhoseini1")</f>
        <v>@kamalhoseini1</v>
      </c>
      <c r="C1010" s="6" t="s">
        <v>1262</v>
      </c>
      <c r="D1010" s="5" t="s">
        <v>1261</v>
      </c>
      <c r="E1010" s="9" t="str">
        <f>HYPERLINK("https://twitter.com/kamalhoseini1/status/1044806403418980353","1044806403418980353")</f>
        <v>1044806403418980353</v>
      </c>
      <c r="F1010" s="4"/>
      <c r="G1010" s="10" t="s">
        <v>1260</v>
      </c>
      <c r="H1010" s="4"/>
      <c r="I1010" s="10" t="str">
        <f>HYPERLINK("http://twitter.com/download/iphone","Twitter for iPhone")</f>
        <v>Twitter for iPhone</v>
      </c>
      <c r="J1010" s="2">
        <v>1634</v>
      </c>
      <c r="K1010" s="2">
        <v>2699</v>
      </c>
      <c r="L1010" s="2">
        <v>8</v>
      </c>
      <c r="M1010" s="2"/>
      <c r="N1010" s="8">
        <v>41419.660219907411</v>
      </c>
      <c r="O1010" s="4"/>
      <c r="P1010" s="3" t="s">
        <v>1259</v>
      </c>
      <c r="Q1010" s="4"/>
      <c r="R1010" s="4"/>
      <c r="S1010" s="9" t="str">
        <f>HYPERLINK("https://pbs.twimg.com/profile_images/998082287332876288/pPcP7rXM.jpg","View")</f>
        <v>View</v>
      </c>
    </row>
    <row r="1011" spans="1:19" ht="30">
      <c r="A1011" s="8">
        <v>43369.332812499997</v>
      </c>
      <c r="B1011" s="11" t="str">
        <f>HYPERLINK("https://twitter.com/mahbobdj2","@mahbobdj2")</f>
        <v>@mahbobdj2</v>
      </c>
      <c r="C1011" s="6" t="s">
        <v>129</v>
      </c>
      <c r="D1011" s="5" t="s">
        <v>520</v>
      </c>
      <c r="E1011" s="9" t="str">
        <f>HYPERLINK("https://twitter.com/mahbobdj2/status/1044806078393962496","1044806078393962496")</f>
        <v>1044806078393962496</v>
      </c>
      <c r="F1011" s="4"/>
      <c r="G1011" s="4"/>
      <c r="H1011" s="4"/>
      <c r="I1011" s="10" t="str">
        <f>HYPERLINK("http://twitter.com/download/android","Twitter for Android")</f>
        <v>Twitter for Android</v>
      </c>
      <c r="J1011" s="2">
        <v>140</v>
      </c>
      <c r="K1011" s="2">
        <v>361</v>
      </c>
      <c r="L1011" s="2">
        <v>0</v>
      </c>
      <c r="M1011" s="2"/>
      <c r="N1011" s="8">
        <v>43144.900960648149</v>
      </c>
      <c r="O1011" s="4" t="s">
        <v>127</v>
      </c>
      <c r="P1011" s="3" t="s">
        <v>126</v>
      </c>
      <c r="Q1011" s="4"/>
      <c r="R1011" s="4"/>
      <c r="S1011" s="9" t="str">
        <f>HYPERLINK("https://pbs.twimg.com/profile_images/1042306212853940224/UWqknsAv.jpg","View")</f>
        <v>View</v>
      </c>
    </row>
    <row r="1012" spans="1:19" ht="30">
      <c r="A1012" s="8">
        <v>43369.332743055551</v>
      </c>
      <c r="B1012" s="11" t="str">
        <f>HYPERLINK("https://twitter.com/AlamAlhoda4","@AlamAlhoda4")</f>
        <v>@AlamAlhoda4</v>
      </c>
      <c r="C1012" s="6" t="s">
        <v>1258</v>
      </c>
      <c r="D1012" s="5" t="s">
        <v>1257</v>
      </c>
      <c r="E1012" s="9" t="str">
        <f>HYPERLINK("https://twitter.com/AlamAlhoda4/status/1044806056080289792","1044806056080289792")</f>
        <v>1044806056080289792</v>
      </c>
      <c r="F1012" s="4"/>
      <c r="G1012" s="4"/>
      <c r="H1012" s="4"/>
      <c r="I1012" s="10" t="str">
        <f>HYPERLINK("http://twitter.com/download/android","Twitter for Android")</f>
        <v>Twitter for Android</v>
      </c>
      <c r="J1012" s="2">
        <v>152</v>
      </c>
      <c r="K1012" s="2">
        <v>56</v>
      </c>
      <c r="L1012" s="2">
        <v>0</v>
      </c>
      <c r="M1012" s="2"/>
      <c r="N1012" s="8">
        <v>43302.741759259261</v>
      </c>
      <c r="O1012" s="4" t="s">
        <v>1256</v>
      </c>
      <c r="P1012" s="3" t="s">
        <v>1255</v>
      </c>
      <c r="Q1012" s="4"/>
      <c r="R1012" s="4"/>
      <c r="S1012" s="9" t="str">
        <f>HYPERLINK("https://pbs.twimg.com/profile_images/1020663339914072069/iUOWrnzs.jpg","View")</f>
        <v>View</v>
      </c>
    </row>
    <row r="1013" spans="1:19" ht="40">
      <c r="A1013" s="8">
        <v>43369.332361111112</v>
      </c>
      <c r="B1013" s="11" t="str">
        <f>HYPERLINK("https://twitter.com/bad6an3","@bad6an3")</f>
        <v>@bad6an3</v>
      </c>
      <c r="C1013" s="6" t="s">
        <v>1254</v>
      </c>
      <c r="D1013" s="5" t="s">
        <v>1200</v>
      </c>
      <c r="E1013" s="9" t="str">
        <f>HYPERLINK("https://twitter.com/bad6an3/status/1044805916615471105","1044805916615471105")</f>
        <v>1044805916615471105</v>
      </c>
      <c r="F1013" s="4"/>
      <c r="G1013" s="10" t="s">
        <v>1076</v>
      </c>
      <c r="H1013" s="4"/>
      <c r="I1013" s="10" t="str">
        <f>HYPERLINK("http://twitter.com/download/iphone","Twitter for iPhone")</f>
        <v>Twitter for iPhone</v>
      </c>
      <c r="J1013" s="2">
        <v>329</v>
      </c>
      <c r="K1013" s="2">
        <v>228</v>
      </c>
      <c r="L1013" s="2">
        <v>3</v>
      </c>
      <c r="M1013" s="2"/>
      <c r="N1013" s="8">
        <v>43155.527673611112</v>
      </c>
      <c r="O1013" s="4" t="s">
        <v>25</v>
      </c>
      <c r="P1013" s="3" t="s">
        <v>1253</v>
      </c>
      <c r="Q1013" s="4"/>
      <c r="R1013" s="4"/>
      <c r="S1013" s="9" t="str">
        <f>HYPERLINK("https://pbs.twimg.com/profile_images/967327270800158720/te-ppfOD.jpg","View")</f>
        <v>View</v>
      </c>
    </row>
    <row r="1014" spans="1:19" ht="20">
      <c r="A1014" s="8">
        <v>43369.331446759257</v>
      </c>
      <c r="B1014" s="11" t="str">
        <f>HYPERLINK("https://twitter.com/gomnam0313","@gomnam0313")</f>
        <v>@gomnam0313</v>
      </c>
      <c r="C1014" s="6" t="s">
        <v>1252</v>
      </c>
      <c r="D1014" s="5" t="s">
        <v>15</v>
      </c>
      <c r="E1014" s="9" t="str">
        <f>HYPERLINK("https://twitter.com/gomnam0313/status/1044805584913133570","1044805584913133570")</f>
        <v>1044805584913133570</v>
      </c>
      <c r="F1014" s="4"/>
      <c r="G1014" s="4"/>
      <c r="H1014" s="4"/>
      <c r="I1014" s="10" t="str">
        <f>HYPERLINK("http://twitter.com/download/android","Twitter for Android")</f>
        <v>Twitter for Android</v>
      </c>
      <c r="J1014" s="2">
        <v>848</v>
      </c>
      <c r="K1014" s="2">
        <v>2219</v>
      </c>
      <c r="L1014" s="2">
        <v>0</v>
      </c>
      <c r="M1014" s="2"/>
      <c r="N1014" s="8">
        <v>43313.306516203702</v>
      </c>
      <c r="O1014" s="4"/>
      <c r="P1014" s="3" t="s">
        <v>1251</v>
      </c>
      <c r="Q1014" s="4"/>
      <c r="R1014" s="4"/>
      <c r="S1014" s="9" t="str">
        <f>HYPERLINK("https://pbs.twimg.com/profile_images/1024499743635001344/E73Vo2sU.jpg","View")</f>
        <v>View</v>
      </c>
    </row>
    <row r="1015" spans="1:19" ht="40">
      <c r="A1015" s="8">
        <v>43369.331261574072</v>
      </c>
      <c r="B1015" s="11" t="str">
        <f>HYPERLINK("https://twitter.com/Mahdi1980Tehran","@Mahdi1980Tehran")</f>
        <v>@Mahdi1980Tehran</v>
      </c>
      <c r="C1015" s="6" t="s">
        <v>1250</v>
      </c>
      <c r="D1015" s="5" t="s">
        <v>72</v>
      </c>
      <c r="E1015" s="9" t="str">
        <f>HYPERLINK("https://twitter.com/Mahdi1980Tehran/status/1044805519033143297","1044805519033143297")</f>
        <v>1044805519033143297</v>
      </c>
      <c r="F1015" s="4"/>
      <c r="G1015" s="4"/>
      <c r="H1015" s="4"/>
      <c r="I1015" s="10" t="str">
        <f>HYPERLINK("http://twitter.com/download/android","Twitter for Android")</f>
        <v>Twitter for Android</v>
      </c>
      <c r="J1015" s="2">
        <v>107</v>
      </c>
      <c r="K1015" s="2">
        <v>497</v>
      </c>
      <c r="L1015" s="2">
        <v>0</v>
      </c>
      <c r="M1015" s="2"/>
      <c r="N1015" s="8">
        <v>42705.129710648151</v>
      </c>
      <c r="O1015" s="4" t="s">
        <v>1249</v>
      </c>
      <c r="P1015" s="3" t="s">
        <v>1248</v>
      </c>
      <c r="Q1015" s="4"/>
      <c r="R1015" s="4"/>
      <c r="S1015" s="9" t="str">
        <f>HYPERLINK("https://pbs.twimg.com/profile_images/1043704792370036737/cprDonpL.jpg","View")</f>
        <v>View</v>
      </c>
    </row>
    <row r="1016" spans="1:19" ht="30">
      <c r="A1016" s="8">
        <v>43369.33121527778</v>
      </c>
      <c r="B1016" s="11" t="str">
        <f>HYPERLINK("https://twitter.com/kian_liam_nis","@kian_liam_nis")</f>
        <v>@kian_liam_nis</v>
      </c>
      <c r="C1016" s="6" t="s">
        <v>42</v>
      </c>
      <c r="D1016" s="5" t="s">
        <v>200</v>
      </c>
      <c r="E1016" s="9" t="str">
        <f>HYPERLINK("https://twitter.com/kian_liam_nis/status/1044805502423769089","1044805502423769089")</f>
        <v>1044805502423769089</v>
      </c>
      <c r="F1016" s="4"/>
      <c r="G1016" s="4"/>
      <c r="H1016" s="4"/>
      <c r="I1016" s="10" t="str">
        <f>HYPERLINK("http://twitter.com/download/android","Twitter for Android")</f>
        <v>Twitter for Android</v>
      </c>
      <c r="J1016" s="2">
        <v>6141</v>
      </c>
      <c r="K1016" s="2">
        <v>4483</v>
      </c>
      <c r="L1016" s="2">
        <v>9</v>
      </c>
      <c r="M1016" s="2"/>
      <c r="N1016" s="8">
        <v>43165.672905092593</v>
      </c>
      <c r="O1016" s="4" t="s">
        <v>41</v>
      </c>
      <c r="P1016" s="3" t="s">
        <v>40</v>
      </c>
      <c r="Q1016" s="4"/>
      <c r="R1016" s="4"/>
      <c r="S1016" s="9" t="str">
        <f>HYPERLINK("https://pbs.twimg.com/profile_images/1022087257262620672/sOF6u-WV.jpg","View")</f>
        <v>View</v>
      </c>
    </row>
    <row r="1017" spans="1:19" ht="20">
      <c r="A1017" s="8">
        <v>43369.330266203702</v>
      </c>
      <c r="B1017" s="11" t="str">
        <f>HYPERLINK("https://twitter.com/zohoor313","@zohoor313")</f>
        <v>@zohoor313</v>
      </c>
      <c r="C1017" s="6" t="s">
        <v>1247</v>
      </c>
      <c r="D1017" s="5" t="s">
        <v>100</v>
      </c>
      <c r="E1017" s="9" t="str">
        <f>HYPERLINK("https://twitter.com/zohoor313/status/1044805155928117253","1044805155928117253")</f>
        <v>1044805155928117253</v>
      </c>
      <c r="F1017" s="4"/>
      <c r="G1017" s="4"/>
      <c r="H1017" s="4"/>
      <c r="I1017" s="10" t="str">
        <f>HYPERLINK("http://twitter.com/download/android","Twitter for Android")</f>
        <v>Twitter for Android</v>
      </c>
      <c r="J1017" s="2">
        <v>3063</v>
      </c>
      <c r="K1017" s="2">
        <v>3071</v>
      </c>
      <c r="L1017" s="2">
        <v>2</v>
      </c>
      <c r="M1017" s="2"/>
      <c r="N1017" s="8">
        <v>42494.411608796298</v>
      </c>
      <c r="O1017" s="4" t="s">
        <v>7</v>
      </c>
      <c r="P1017" s="3" t="s">
        <v>1246</v>
      </c>
      <c r="Q1017" s="4"/>
      <c r="R1017" s="4"/>
      <c r="S1017" s="9" t="str">
        <f>HYPERLINK("https://pbs.twimg.com/profile_images/1043160551940141059/pdDADPlw.jpg","View")</f>
        <v>View</v>
      </c>
    </row>
    <row r="1018" spans="1:19" ht="30">
      <c r="A1018" s="8">
        <v>43369.329953703702</v>
      </c>
      <c r="B1018" s="11" t="str">
        <f>HYPERLINK("https://twitter.com/mardemashreghi","@mardemashreghi")</f>
        <v>@mardemashreghi</v>
      </c>
      <c r="C1018" s="6" t="s">
        <v>20</v>
      </c>
      <c r="D1018" s="5" t="s">
        <v>520</v>
      </c>
      <c r="E1018" s="9" t="str">
        <f>HYPERLINK("https://twitter.com/mardemashreghi/status/1044805043961122816","1044805043961122816")</f>
        <v>1044805043961122816</v>
      </c>
      <c r="F1018" s="4"/>
      <c r="G1018" s="4"/>
      <c r="H1018" s="4"/>
      <c r="I1018" s="10" t="str">
        <f>HYPERLINK("http://twitter.com/download/iphone","Twitter for iPhone")</f>
        <v>Twitter for iPhone</v>
      </c>
      <c r="J1018" s="2">
        <v>610</v>
      </c>
      <c r="K1018" s="2">
        <v>4035</v>
      </c>
      <c r="L1018" s="2">
        <v>1</v>
      </c>
      <c r="M1018" s="2"/>
      <c r="N1018" s="8">
        <v>39982.329837962963</v>
      </c>
      <c r="O1018" s="4" t="s">
        <v>7</v>
      </c>
      <c r="P1018" s="3" t="s">
        <v>19</v>
      </c>
      <c r="Q1018" s="4"/>
      <c r="R1018" s="4"/>
      <c r="S1018" s="9" t="str">
        <f>HYPERLINK("https://pbs.twimg.com/profile_images/421372784803987457/3ar7vgL2.jpeg","View")</f>
        <v>View</v>
      </c>
    </row>
    <row r="1019" spans="1:19" ht="30">
      <c r="A1019" s="8">
        <v>43369.328692129631</v>
      </c>
      <c r="B1019" s="11" t="str">
        <f>HYPERLINK("https://twitter.com/leilishams7","@leilishams7")</f>
        <v>@leilishams7</v>
      </c>
      <c r="C1019" s="6" t="s">
        <v>1245</v>
      </c>
      <c r="D1019" s="5" t="s">
        <v>181</v>
      </c>
      <c r="E1019" s="9" t="str">
        <f>HYPERLINK("https://twitter.com/leilishams7/status/1044804585435615232","1044804585435615232")</f>
        <v>1044804585435615232</v>
      </c>
      <c r="F1019" s="4"/>
      <c r="G1019" s="10" t="s">
        <v>180</v>
      </c>
      <c r="H1019" s="4"/>
      <c r="I1019" s="10" t="str">
        <f>HYPERLINK("http://twitter.com/download/iphone","Twitter for iPhone")</f>
        <v>Twitter for iPhone</v>
      </c>
      <c r="J1019" s="2">
        <v>160</v>
      </c>
      <c r="K1019" s="2">
        <v>242</v>
      </c>
      <c r="L1019" s="2">
        <v>0</v>
      </c>
      <c r="M1019" s="2"/>
      <c r="N1019" s="8">
        <v>43113.023981481485</v>
      </c>
      <c r="O1019" s="4" t="s">
        <v>1244</v>
      </c>
      <c r="P1019" s="3"/>
      <c r="Q1019" s="4"/>
      <c r="R1019" s="4"/>
      <c r="S1019" s="9" t="str">
        <f>HYPERLINK("https://pbs.twimg.com/profile_images/951925535931846656/cOYSFVHd.jpg","View")</f>
        <v>View</v>
      </c>
    </row>
    <row r="1020" spans="1:19" ht="40">
      <c r="A1020" s="8">
        <v>43369.328634259262</v>
      </c>
      <c r="B1020" s="11" t="str">
        <f>HYPERLINK("https://twitter.com/_ashoori","@_ashoori")</f>
        <v>@_ashoori</v>
      </c>
      <c r="C1020" s="6" t="s">
        <v>1243</v>
      </c>
      <c r="D1020" s="5" t="s">
        <v>1242</v>
      </c>
      <c r="E1020" s="9" t="str">
        <f>HYPERLINK("https://twitter.com/_ashoori/status/1044804563491049473","1044804563491049473")</f>
        <v>1044804563491049473</v>
      </c>
      <c r="F1020" s="4"/>
      <c r="G1020" s="4"/>
      <c r="H1020" s="4"/>
      <c r="I1020" s="10" t="str">
        <f>HYPERLINK("http://twitter.com/download/android","Twitter for Android")</f>
        <v>Twitter for Android</v>
      </c>
      <c r="J1020" s="2">
        <v>305</v>
      </c>
      <c r="K1020" s="2">
        <v>70</v>
      </c>
      <c r="L1020" s="2">
        <v>1</v>
      </c>
      <c r="M1020" s="2"/>
      <c r="N1020" s="8">
        <v>42889.576145833329</v>
      </c>
      <c r="O1020" s="4"/>
      <c r="P1020" s="3" t="s">
        <v>1241</v>
      </c>
      <c r="Q1020" s="4"/>
      <c r="R1020" s="4"/>
      <c r="S1020" s="9" t="str">
        <f>HYPERLINK("https://pbs.twimg.com/profile_images/915216677645766658/K8nlXqNq.jpg","View")</f>
        <v>View</v>
      </c>
    </row>
    <row r="1021" spans="1:19" ht="40">
      <c r="A1021" s="8">
        <v>43369.327372685184</v>
      </c>
      <c r="B1021" s="11" t="str">
        <f>HYPERLINK("https://twitter.com/roshan75619727","@roshan75619727")</f>
        <v>@roshan75619727</v>
      </c>
      <c r="C1021" s="6" t="s">
        <v>1240</v>
      </c>
      <c r="D1021" s="5" t="s">
        <v>1239</v>
      </c>
      <c r="E1021" s="9" t="str">
        <f>HYPERLINK("https://twitter.com/roshan75619727/status/1044804108815912961","1044804108815912961")</f>
        <v>1044804108815912961</v>
      </c>
      <c r="F1021" s="4"/>
      <c r="G1021" s="4"/>
      <c r="H1021" s="4"/>
      <c r="I1021" s="10" t="str">
        <f>HYPERLINK("http://twitter.com/download/iphone","Twitter for iPhone")</f>
        <v>Twitter for iPhone</v>
      </c>
      <c r="J1021" s="2">
        <v>39</v>
      </c>
      <c r="K1021" s="2">
        <v>153</v>
      </c>
      <c r="L1021" s="2">
        <v>0</v>
      </c>
      <c r="M1021" s="2"/>
      <c r="N1021" s="8">
        <v>43365.726099537038</v>
      </c>
      <c r="O1021" s="4"/>
      <c r="P1021" s="3"/>
      <c r="Q1021" s="4"/>
      <c r="R1021" s="4"/>
      <c r="S1021" s="2" t="s">
        <v>21</v>
      </c>
    </row>
    <row r="1022" spans="1:19" ht="30">
      <c r="A1022" s="8">
        <v>43369.327372685184</v>
      </c>
      <c r="B1022" s="11" t="str">
        <f>HYPERLINK("https://twitter.com/41PVNgkzZnC1bM4","@41PVNgkzZnC1bM4")</f>
        <v>@41PVNgkzZnC1bM4</v>
      </c>
      <c r="C1022" s="6" t="s">
        <v>1169</v>
      </c>
      <c r="D1022" s="5" t="s">
        <v>1238</v>
      </c>
      <c r="E1022" s="9" t="str">
        <f>HYPERLINK("https://twitter.com/41PVNgkzZnC1bM4/status/1044804106056028160","1044804106056028160")</f>
        <v>1044804106056028160</v>
      </c>
      <c r="F1022" s="4"/>
      <c r="G1022" s="4"/>
      <c r="H1022" s="4"/>
      <c r="I1022" s="10" t="str">
        <f>HYPERLINK("http://twitter.com/download/android","Twitter for Android")</f>
        <v>Twitter for Android</v>
      </c>
      <c r="J1022" s="2">
        <v>0</v>
      </c>
      <c r="K1022" s="2">
        <v>0</v>
      </c>
      <c r="L1022" s="2">
        <v>0</v>
      </c>
      <c r="M1022" s="2"/>
      <c r="N1022" s="8">
        <v>43369.291909722218</v>
      </c>
      <c r="O1022" s="4" t="s">
        <v>25</v>
      </c>
      <c r="P1022" s="3" t="s">
        <v>1167</v>
      </c>
      <c r="Q1022" s="4"/>
      <c r="R1022" s="4"/>
      <c r="S1022" s="9" t="str">
        <f>HYPERLINK("https://pbs.twimg.com/profile_images/1044796130519855104/Tqe0Yvnm.jpg","View")</f>
        <v>View</v>
      </c>
    </row>
    <row r="1023" spans="1:19" ht="30">
      <c r="A1023" s="8">
        <v>43369.326828703706</v>
      </c>
      <c r="B1023" s="11" t="str">
        <f>HYPERLINK("https://twitter.com/mardazadiran","@mardazadiran")</f>
        <v>@mardazadiran</v>
      </c>
      <c r="C1023" s="6" t="s">
        <v>1237</v>
      </c>
      <c r="D1023" s="5" t="s">
        <v>1236</v>
      </c>
      <c r="E1023" s="9" t="str">
        <f>HYPERLINK("https://twitter.com/mardazadiran/status/1044803911587188736","1044803911587188736")</f>
        <v>1044803911587188736</v>
      </c>
      <c r="F1023" s="4"/>
      <c r="G1023" s="4"/>
      <c r="H1023" s="4"/>
      <c r="I1023" s="10" t="str">
        <f>HYPERLINK("http://twitter.com","Twitter Web Client")</f>
        <v>Twitter Web Client</v>
      </c>
      <c r="J1023" s="2">
        <v>239</v>
      </c>
      <c r="K1023" s="2">
        <v>132</v>
      </c>
      <c r="L1023" s="2">
        <v>1</v>
      </c>
      <c r="M1023" s="2"/>
      <c r="N1023" s="8">
        <v>43138.455138888894</v>
      </c>
      <c r="O1023" s="4"/>
      <c r="P1023" s="3"/>
      <c r="Q1023" s="4"/>
      <c r="R1023" s="4"/>
      <c r="S1023" s="9" t="str">
        <f>HYPERLINK("https://pbs.twimg.com/profile_images/1001316953166770176/q6vOraQU.jpg","View")</f>
        <v>View</v>
      </c>
    </row>
    <row r="1024" spans="1:19" ht="30">
      <c r="A1024" s="8">
        <v>43369.326643518521</v>
      </c>
      <c r="B1024" s="11" t="str">
        <f>HYPERLINK("https://twitter.com/AmIrR29293701","@AmIrR29293701")</f>
        <v>@AmIrR29293701</v>
      </c>
      <c r="C1024" s="6" t="s">
        <v>1235</v>
      </c>
      <c r="D1024" s="5" t="s">
        <v>675</v>
      </c>
      <c r="E1024" s="9" t="str">
        <f>HYPERLINK("https://twitter.com/AmIrR29293701/status/1044803845216448512","1044803845216448512")</f>
        <v>1044803845216448512</v>
      </c>
      <c r="F1024" s="4"/>
      <c r="G1024" s="4"/>
      <c r="H1024" s="4"/>
      <c r="I1024" s="10" t="str">
        <f>HYPERLINK("http://twitter.com/download/android","Twitter for Android")</f>
        <v>Twitter for Android</v>
      </c>
      <c r="J1024" s="2">
        <v>70</v>
      </c>
      <c r="K1024" s="2">
        <v>44</v>
      </c>
      <c r="L1024" s="2">
        <v>0</v>
      </c>
      <c r="M1024" s="2"/>
      <c r="N1024" s="8">
        <v>43347.520648148144</v>
      </c>
      <c r="O1024" s="4" t="s">
        <v>1234</v>
      </c>
      <c r="P1024" s="3" t="s">
        <v>1233</v>
      </c>
      <c r="Q1024" s="4"/>
      <c r="R1024" s="4"/>
      <c r="S1024" s="9" t="str">
        <f>HYPERLINK("https://pbs.twimg.com/profile_images/1044497900200505344/F-q03Xy8.jpg","View")</f>
        <v>View</v>
      </c>
    </row>
    <row r="1025" spans="1:19" ht="40">
      <c r="A1025" s="8">
        <v>43369.326087962967</v>
      </c>
      <c r="B1025" s="11" t="str">
        <f>HYPERLINK("https://twitter.com/hatamiAbbas","@hatamiAbbas")</f>
        <v>@hatamiAbbas</v>
      </c>
      <c r="C1025" s="6" t="s">
        <v>1232</v>
      </c>
      <c r="D1025" s="5" t="s">
        <v>756</v>
      </c>
      <c r="E1025" s="9" t="str">
        <f>HYPERLINK("https://twitter.com/hatamiAbbas/status/1044803643860557824","1044803643860557824")</f>
        <v>1044803643860557824</v>
      </c>
      <c r="F1025" s="4"/>
      <c r="G1025" s="4"/>
      <c r="H1025" s="4"/>
      <c r="I1025" s="10" t="str">
        <f>HYPERLINK("http://twitter.com/download/iphone","Twitter for iPhone")</f>
        <v>Twitter for iPhone</v>
      </c>
      <c r="J1025" s="2">
        <v>248</v>
      </c>
      <c r="K1025" s="2">
        <v>186</v>
      </c>
      <c r="L1025" s="2">
        <v>0</v>
      </c>
      <c r="M1025" s="2"/>
      <c r="N1025" s="8">
        <v>42927.608749999999</v>
      </c>
      <c r="O1025" s="4" t="s">
        <v>1231</v>
      </c>
      <c r="P1025" s="3" t="s">
        <v>1230</v>
      </c>
      <c r="Q1025" s="10" t="s">
        <v>1229</v>
      </c>
      <c r="R1025" s="4"/>
      <c r="S1025" s="9" t="str">
        <f>HYPERLINK("https://pbs.twimg.com/profile_images/887775264901648384/GuyvY9eM.jpg","View")</f>
        <v>View</v>
      </c>
    </row>
    <row r="1026" spans="1:19" ht="30">
      <c r="A1026" s="8">
        <v>43369.325949074075</v>
      </c>
      <c r="B1026" s="11" t="str">
        <f>HYPERLINK("https://twitter.com/H_Bojnordi","@H_Bojnordi")</f>
        <v>@H_Bojnordi</v>
      </c>
      <c r="C1026" s="6" t="s">
        <v>1228</v>
      </c>
      <c r="D1026" s="5" t="s">
        <v>1227</v>
      </c>
      <c r="E1026" s="9" t="str">
        <f>HYPERLINK("https://twitter.com/H_Bojnordi/status/1044803589900816384","1044803589900816384")</f>
        <v>1044803589900816384</v>
      </c>
      <c r="F1026" s="4"/>
      <c r="G1026" s="4"/>
      <c r="H1026" s="4"/>
      <c r="I1026" s="10" t="str">
        <f>HYPERLINK("http://twitter.com/download/android","Twitter for Android")</f>
        <v>Twitter for Android</v>
      </c>
      <c r="J1026" s="2">
        <v>32</v>
      </c>
      <c r="K1026" s="2">
        <v>84</v>
      </c>
      <c r="L1026" s="2">
        <v>0</v>
      </c>
      <c r="M1026" s="2"/>
      <c r="N1026" s="8">
        <v>42803.87699074074</v>
      </c>
      <c r="O1026" s="4" t="s">
        <v>1226</v>
      </c>
      <c r="P1026" s="3" t="s">
        <v>1225</v>
      </c>
      <c r="Q1026" s="10" t="s">
        <v>1224</v>
      </c>
      <c r="R1026" s="4"/>
      <c r="S1026" s="9" t="str">
        <f>HYPERLINK("https://pbs.twimg.com/profile_images/1010228317432279041/dXEfyGT8.jpg","View")</f>
        <v>View</v>
      </c>
    </row>
    <row r="1027" spans="1:19" ht="50">
      <c r="A1027" s="8">
        <v>43369.325138888889</v>
      </c>
      <c r="B1027" s="11" t="str">
        <f>HYPERLINK("https://twitter.com/ahmadvarnik","@ahmadvarnik")</f>
        <v>@ahmadvarnik</v>
      </c>
      <c r="C1027" s="6" t="s">
        <v>1223</v>
      </c>
      <c r="D1027" s="5" t="s">
        <v>202</v>
      </c>
      <c r="E1027" s="9" t="str">
        <f>HYPERLINK("https://twitter.com/ahmadvarnik/status/1044803296819597312","1044803296819597312")</f>
        <v>1044803296819597312</v>
      </c>
      <c r="F1027" s="4"/>
      <c r="G1027" s="4"/>
      <c r="H1027" s="4"/>
      <c r="I1027" s="10" t="str">
        <f>HYPERLINK("http://twitter.com/download/iphone","Twitter for iPhone")</f>
        <v>Twitter for iPhone</v>
      </c>
      <c r="J1027" s="2">
        <v>32</v>
      </c>
      <c r="K1027" s="2">
        <v>82</v>
      </c>
      <c r="L1027" s="2">
        <v>0</v>
      </c>
      <c r="M1027" s="2"/>
      <c r="N1027" s="8">
        <v>43310.545289351852</v>
      </c>
      <c r="O1027" s="4"/>
      <c r="P1027" s="3" t="s">
        <v>1222</v>
      </c>
      <c r="Q1027" s="4"/>
      <c r="R1027" s="4"/>
      <c r="S1027" s="9" t="str">
        <f>HYPERLINK("https://pbs.twimg.com/profile_images/1024007733153079296/yy45fwhu.jpg","View")</f>
        <v>View</v>
      </c>
    </row>
    <row r="1028" spans="1:19" ht="40">
      <c r="A1028" s="8">
        <v>43369.324456018519</v>
      </c>
      <c r="B1028" s="11" t="str">
        <f>HYPERLINK("https://twitter.com/mardemashreghi","@mardemashreghi")</f>
        <v>@mardemashreghi</v>
      </c>
      <c r="C1028" s="6" t="s">
        <v>20</v>
      </c>
      <c r="D1028" s="5" t="s">
        <v>128</v>
      </c>
      <c r="E1028" s="9" t="str">
        <f>HYPERLINK("https://twitter.com/mardemashreghi/status/1044803050521731073","1044803050521731073")</f>
        <v>1044803050521731073</v>
      </c>
      <c r="F1028" s="4"/>
      <c r="G1028" s="4"/>
      <c r="H1028" s="4"/>
      <c r="I1028" s="10" t="str">
        <f>HYPERLINK("http://twitter.com/download/iphone","Twitter for iPhone")</f>
        <v>Twitter for iPhone</v>
      </c>
      <c r="J1028" s="2">
        <v>610</v>
      </c>
      <c r="K1028" s="2">
        <v>4035</v>
      </c>
      <c r="L1028" s="2">
        <v>1</v>
      </c>
      <c r="M1028" s="2"/>
      <c r="N1028" s="8">
        <v>39982.329837962963</v>
      </c>
      <c r="O1028" s="4" t="s">
        <v>7</v>
      </c>
      <c r="P1028" s="3" t="s">
        <v>19</v>
      </c>
      <c r="Q1028" s="4"/>
      <c r="R1028" s="4"/>
      <c r="S1028" s="9" t="str">
        <f>HYPERLINK("https://pbs.twimg.com/profile_images/421372784803987457/3ar7vgL2.jpeg","View")</f>
        <v>View</v>
      </c>
    </row>
    <row r="1029" spans="1:19" ht="40">
      <c r="A1029" s="8">
        <v>43369.323425925926</v>
      </c>
      <c r="B1029" s="11" t="str">
        <f>HYPERLINK("https://twitter.com/SalarVandayi","@SalarVandayi")</f>
        <v>@SalarVandayi</v>
      </c>
      <c r="C1029" s="6" t="s">
        <v>1221</v>
      </c>
      <c r="D1029" s="5" t="s">
        <v>1190</v>
      </c>
      <c r="E1029" s="9" t="str">
        <f>HYPERLINK("https://twitter.com/SalarVandayi/status/1044802679397068800","1044802679397068800")</f>
        <v>1044802679397068800</v>
      </c>
      <c r="F1029" s="4"/>
      <c r="G1029" s="4"/>
      <c r="H1029" s="4"/>
      <c r="I1029" s="10" t="str">
        <f>HYPERLINK("http://twitter.com","Twitter Web Client")</f>
        <v>Twitter Web Client</v>
      </c>
      <c r="J1029" s="2">
        <v>5323</v>
      </c>
      <c r="K1029" s="2">
        <v>5822</v>
      </c>
      <c r="L1029" s="2">
        <v>1</v>
      </c>
      <c r="M1029" s="2"/>
      <c r="N1029" s="8">
        <v>42829.636724537035</v>
      </c>
      <c r="O1029" s="4" t="s">
        <v>5</v>
      </c>
      <c r="P1029" s="3" t="s">
        <v>1220</v>
      </c>
      <c r="Q1029" s="10" t="s">
        <v>1219</v>
      </c>
      <c r="R1029" s="4"/>
      <c r="S1029" s="9" t="str">
        <f>HYPERLINK("https://pbs.twimg.com/profile_images/1033639111582773248/AqtL-Ce3.jpg","View")</f>
        <v>View</v>
      </c>
    </row>
    <row r="1030" spans="1:19" ht="40">
      <c r="A1030" s="8">
        <v>43369.32166666667</v>
      </c>
      <c r="B1030" s="11" t="str">
        <f>HYPERLINK("https://twitter.com/MohsenFerdowsi1","@MohsenFerdowsi1")</f>
        <v>@MohsenFerdowsi1</v>
      </c>
      <c r="C1030" s="6" t="s">
        <v>541</v>
      </c>
      <c r="D1030" s="5" t="s">
        <v>58</v>
      </c>
      <c r="E1030" s="9" t="str">
        <f>HYPERLINK("https://twitter.com/MohsenFerdowsi1/status/1044802038985453568","1044802038985453568")</f>
        <v>1044802038985453568</v>
      </c>
      <c r="F1030" s="4"/>
      <c r="G1030" s="10" t="s">
        <v>57</v>
      </c>
      <c r="H1030" s="4"/>
      <c r="I1030" s="10" t="str">
        <f>HYPERLINK("http://twitter.com/download/iphone","Twitter for iPhone")</f>
        <v>Twitter for iPhone</v>
      </c>
      <c r="J1030" s="2">
        <v>1100</v>
      </c>
      <c r="K1030" s="2">
        <v>2321</v>
      </c>
      <c r="L1030" s="2">
        <v>2</v>
      </c>
      <c r="M1030" s="2"/>
      <c r="N1030" s="8">
        <v>43102.400856481487</v>
      </c>
      <c r="O1030" s="4" t="s">
        <v>152</v>
      </c>
      <c r="P1030" s="3"/>
      <c r="Q1030" s="4"/>
      <c r="R1030" s="4"/>
      <c r="S1030" s="9" t="str">
        <f>HYPERLINK("https://pbs.twimg.com/profile_images/998670242413883392/qu1ruRMj.jpg","View")</f>
        <v>View</v>
      </c>
    </row>
    <row r="1031" spans="1:19" ht="40">
      <c r="A1031" s="8">
        <v>43369.320798611108</v>
      </c>
      <c r="B1031" s="11" t="str">
        <f>HYPERLINK("https://twitter.com/41PVNgkzZnC1bM4","@41PVNgkzZnC1bM4")</f>
        <v>@41PVNgkzZnC1bM4</v>
      </c>
      <c r="C1031" s="6" t="s">
        <v>1169</v>
      </c>
      <c r="D1031" s="5" t="s">
        <v>1218</v>
      </c>
      <c r="E1031" s="9" t="str">
        <f>HYPERLINK("https://twitter.com/41PVNgkzZnC1bM4/status/1044801727466283009","1044801727466283009")</f>
        <v>1044801727466283009</v>
      </c>
      <c r="F1031" s="4"/>
      <c r="G1031" s="4"/>
      <c r="H1031" s="4"/>
      <c r="I1031" s="10" t="str">
        <f>HYPERLINK("http://twitter.com/download/android","Twitter for Android")</f>
        <v>Twitter for Android</v>
      </c>
      <c r="J1031" s="2">
        <v>0</v>
      </c>
      <c r="K1031" s="2">
        <v>0</v>
      </c>
      <c r="L1031" s="2">
        <v>0</v>
      </c>
      <c r="M1031" s="2"/>
      <c r="N1031" s="8">
        <v>43369.291909722218</v>
      </c>
      <c r="O1031" s="4" t="s">
        <v>25</v>
      </c>
      <c r="P1031" s="3" t="s">
        <v>1167</v>
      </c>
      <c r="Q1031" s="4"/>
      <c r="R1031" s="4"/>
      <c r="S1031" s="9" t="str">
        <f>HYPERLINK("https://pbs.twimg.com/profile_images/1044796130519855104/Tqe0Yvnm.jpg","View")</f>
        <v>View</v>
      </c>
    </row>
    <row r="1032" spans="1:19" ht="40">
      <c r="A1032" s="8">
        <v>43369.319988425923</v>
      </c>
      <c r="B1032" s="11" t="str">
        <f>HYPERLINK("https://twitter.com/smhsayadi","@smhsayadi")</f>
        <v>@smhsayadi</v>
      </c>
      <c r="C1032" s="6" t="s">
        <v>1217</v>
      </c>
      <c r="D1032" s="5" t="s">
        <v>72</v>
      </c>
      <c r="E1032" s="9" t="str">
        <f>HYPERLINK("https://twitter.com/smhsayadi/status/1044801431042232320","1044801431042232320")</f>
        <v>1044801431042232320</v>
      </c>
      <c r="F1032" s="4"/>
      <c r="G1032" s="4"/>
      <c r="H1032" s="4"/>
      <c r="I1032" s="10" t="str">
        <f>HYPERLINK("http://twitter.com/download/android","Twitter for Android")</f>
        <v>Twitter for Android</v>
      </c>
      <c r="J1032" s="2">
        <v>106</v>
      </c>
      <c r="K1032" s="2">
        <v>56</v>
      </c>
      <c r="L1032" s="2">
        <v>1</v>
      </c>
      <c r="M1032" s="2"/>
      <c r="N1032" s="8">
        <v>42981.042384259257</v>
      </c>
      <c r="O1032" s="4"/>
      <c r="P1032" s="3" t="s">
        <v>1216</v>
      </c>
      <c r="Q1032" s="4"/>
      <c r="R1032" s="4"/>
      <c r="S1032" s="9" t="str">
        <f>HYPERLINK("https://pbs.twimg.com/profile_images/935826378414592002/WTebl4u3.jpg","View")</f>
        <v>View</v>
      </c>
    </row>
    <row r="1033" spans="1:19" ht="12.5">
      <c r="A1033" s="8">
        <v>43369.319918981477</v>
      </c>
      <c r="B1033" s="11" t="str">
        <f>HYPERLINK("https://twitter.com/Pitpitak1","@Pitpitak1")</f>
        <v>@Pitpitak1</v>
      </c>
      <c r="C1033" s="6" t="s">
        <v>1215</v>
      </c>
      <c r="D1033" s="5" t="s">
        <v>1214</v>
      </c>
      <c r="E1033" s="9" t="str">
        <f>HYPERLINK("https://twitter.com/Pitpitak1/status/1044801406144827393","1044801406144827393")</f>
        <v>1044801406144827393</v>
      </c>
      <c r="F1033" s="4"/>
      <c r="G1033" s="4"/>
      <c r="H1033" s="4"/>
      <c r="I1033" s="10" t="str">
        <f>HYPERLINK("http://twitter.com/download/iphone","Twitter for iPhone")</f>
        <v>Twitter for iPhone</v>
      </c>
      <c r="J1033" s="2">
        <v>60</v>
      </c>
      <c r="K1033" s="2">
        <v>229</v>
      </c>
      <c r="L1033" s="2">
        <v>1</v>
      </c>
      <c r="M1033" s="2"/>
      <c r="N1033" s="8">
        <v>38995.965601851851</v>
      </c>
      <c r="O1033" s="4"/>
      <c r="P1033" s="3" t="s">
        <v>1213</v>
      </c>
      <c r="Q1033" s="4"/>
      <c r="R1033" s="4"/>
      <c r="S1033" s="9" t="str">
        <f>HYPERLINK("https://pbs.twimg.com/profile_images/1011196687896006656/YqWXZdT4.jpg","View")</f>
        <v>View</v>
      </c>
    </row>
    <row r="1034" spans="1:19" ht="40">
      <c r="A1034" s="8">
        <v>43369.31931712963</v>
      </c>
      <c r="B1034" s="11" t="str">
        <f>HYPERLINK("https://twitter.com/farzin_zandi","@farzin_zandi")</f>
        <v>@farzin_zandi</v>
      </c>
      <c r="C1034" s="6" t="s">
        <v>1212</v>
      </c>
      <c r="D1034" s="5" t="s">
        <v>128</v>
      </c>
      <c r="E1034" s="9" t="str">
        <f>HYPERLINK("https://twitter.com/farzin_zandi/status/1044801189186031617","1044801189186031617")</f>
        <v>1044801189186031617</v>
      </c>
      <c r="F1034" s="4"/>
      <c r="G1034" s="4"/>
      <c r="H1034" s="4"/>
      <c r="I1034" s="10" t="str">
        <f>HYPERLINK("http://twitter.com/download/android","Twitter for Android")</f>
        <v>Twitter for Android</v>
      </c>
      <c r="J1034" s="2">
        <v>136</v>
      </c>
      <c r="K1034" s="2">
        <v>376</v>
      </c>
      <c r="L1034" s="2">
        <v>0</v>
      </c>
      <c r="M1034" s="2"/>
      <c r="N1034" s="8">
        <v>40563.814976851849</v>
      </c>
      <c r="O1034" s="4"/>
      <c r="P1034" s="3" t="s">
        <v>1211</v>
      </c>
      <c r="Q1034" s="4"/>
      <c r="R1034" s="4"/>
      <c r="S1034" s="9" t="str">
        <f>HYPERLINK("https://pbs.twimg.com/profile_images/821119905428865024/NdGOV9iy.jpg","View")</f>
        <v>View</v>
      </c>
    </row>
    <row r="1035" spans="1:19" ht="30">
      <c r="A1035" s="8">
        <v>43369.319120370375</v>
      </c>
      <c r="B1035" s="11" t="str">
        <f>HYPERLINK("https://twitter.com/AspirinGhiasab1","@AspirinGhiasab1")</f>
        <v>@AspirinGhiasab1</v>
      </c>
      <c r="C1035" s="6" t="s">
        <v>1210</v>
      </c>
      <c r="D1035" s="5" t="s">
        <v>49</v>
      </c>
      <c r="E1035" s="9" t="str">
        <f>HYPERLINK("https://twitter.com/AspirinGhiasab1/status/1044801116012142593","1044801116012142593")</f>
        <v>1044801116012142593</v>
      </c>
      <c r="F1035" s="4"/>
      <c r="G1035" s="4"/>
      <c r="H1035" s="4"/>
      <c r="I1035" s="10" t="str">
        <f>HYPERLINK("http://twitter.com/download/android","Twitter for Android")</f>
        <v>Twitter for Android</v>
      </c>
      <c r="J1035" s="2">
        <v>129</v>
      </c>
      <c r="K1035" s="2">
        <v>234</v>
      </c>
      <c r="L1035" s="2">
        <v>0</v>
      </c>
      <c r="M1035" s="2"/>
      <c r="N1035" s="8">
        <v>43299.90253472222</v>
      </c>
      <c r="O1035" s="4" t="s">
        <v>1209</v>
      </c>
      <c r="P1035" s="3" t="s">
        <v>1208</v>
      </c>
      <c r="Q1035" s="4"/>
      <c r="R1035" s="4"/>
      <c r="S1035" s="9" t="str">
        <f>HYPERLINK("https://pbs.twimg.com/profile_images/1021148841624535046/vHDxXnpL.jpg","View")</f>
        <v>View</v>
      </c>
    </row>
    <row r="1036" spans="1:19" ht="20">
      <c r="A1036" s="8">
        <v>43369.318402777775</v>
      </c>
      <c r="B1036" s="11" t="str">
        <f>HYPERLINK("https://twitter.com/Mazolesenegal","@Mazolesenegal")</f>
        <v>@Mazolesenegal</v>
      </c>
      <c r="C1036" s="6" t="s">
        <v>948</v>
      </c>
      <c r="D1036" s="5" t="s">
        <v>1207</v>
      </c>
      <c r="E1036" s="9" t="str">
        <f>HYPERLINK("https://twitter.com/Mazolesenegal/status/1044800856481304577","1044800856481304577")</f>
        <v>1044800856481304577</v>
      </c>
      <c r="F1036" s="4"/>
      <c r="G1036" s="10" t="s">
        <v>1206</v>
      </c>
      <c r="H1036" s="4"/>
      <c r="I1036" s="10" t="str">
        <f>HYPERLINK("http://twitter.com/download/android","Twitter for Android")</f>
        <v>Twitter for Android</v>
      </c>
      <c r="J1036" s="2">
        <v>701</v>
      </c>
      <c r="K1036" s="2">
        <v>908</v>
      </c>
      <c r="L1036" s="2">
        <v>2</v>
      </c>
      <c r="M1036" s="2"/>
      <c r="N1036" s="8">
        <v>42911.623182870375</v>
      </c>
      <c r="O1036" s="4" t="s">
        <v>7</v>
      </c>
      <c r="P1036" s="3" t="s">
        <v>947</v>
      </c>
      <c r="Q1036" s="4"/>
      <c r="R1036" s="4"/>
      <c r="S1036" s="9" t="str">
        <f>HYPERLINK("https://pbs.twimg.com/profile_images/1010728675350806530/m7k72KPX.jpg","View")</f>
        <v>View</v>
      </c>
    </row>
    <row r="1037" spans="1:19" ht="50">
      <c r="A1037" s="8">
        <v>43369.318275462967</v>
      </c>
      <c r="B1037" s="11" t="str">
        <f>HYPERLINK("https://twitter.com/MohammadPourha4","@MohammadPourha4")</f>
        <v>@MohammadPourha4</v>
      </c>
      <c r="C1037" s="6" t="s">
        <v>1205</v>
      </c>
      <c r="D1037" s="5" t="s">
        <v>109</v>
      </c>
      <c r="E1037" s="9" t="str">
        <f>HYPERLINK("https://twitter.com/MohammadPourha4/status/1044800809354100736","1044800809354100736")</f>
        <v>1044800809354100736</v>
      </c>
      <c r="F1037" s="4"/>
      <c r="G1037" s="4"/>
      <c r="H1037" s="4"/>
      <c r="I1037" s="10" t="str">
        <f>HYPERLINK("http://twitter.com/download/iphone","Twitter for iPhone")</f>
        <v>Twitter for iPhone</v>
      </c>
      <c r="J1037" s="2">
        <v>13</v>
      </c>
      <c r="K1037" s="2">
        <v>20</v>
      </c>
      <c r="L1037" s="2">
        <v>0</v>
      </c>
      <c r="M1037" s="2"/>
      <c r="N1037" s="8">
        <v>43219.596006944441</v>
      </c>
      <c r="O1037" s="4" t="s">
        <v>1204</v>
      </c>
      <c r="P1037" s="3" t="s">
        <v>1203</v>
      </c>
      <c r="Q1037" s="4"/>
      <c r="R1037" s="4"/>
      <c r="S1037" s="9" t="str">
        <f>HYPERLINK("https://pbs.twimg.com/profile_images/1021342665806417920/kkVJoKmD.jpg","View")</f>
        <v>View</v>
      </c>
    </row>
    <row r="1038" spans="1:19" ht="20">
      <c r="A1038" s="8">
        <v>43369.318009259259</v>
      </c>
      <c r="B1038" s="11" t="str">
        <f>HYPERLINK("https://twitter.com/Hamed__Rezaie","@Hamed__Rezaie")</f>
        <v>@Hamed__Rezaie</v>
      </c>
      <c r="C1038" s="6" t="s">
        <v>1202</v>
      </c>
      <c r="D1038" s="5" t="s">
        <v>15</v>
      </c>
      <c r="E1038" s="9" t="str">
        <f>HYPERLINK("https://twitter.com/Hamed__Rezaie/status/1044800715724660737","1044800715724660737")</f>
        <v>1044800715724660737</v>
      </c>
      <c r="F1038" s="4"/>
      <c r="G1038" s="4"/>
      <c r="H1038" s="4"/>
      <c r="I1038" s="10" t="str">
        <f>HYPERLINK("http://twitter.com/download/android","Twitter for Android")</f>
        <v>Twitter for Android</v>
      </c>
      <c r="J1038" s="2">
        <v>968</v>
      </c>
      <c r="K1038" s="2">
        <v>1751</v>
      </c>
      <c r="L1038" s="2">
        <v>2</v>
      </c>
      <c r="M1038" s="2"/>
      <c r="N1038" s="8">
        <v>43292.780868055561</v>
      </c>
      <c r="O1038" s="4" t="s">
        <v>1</v>
      </c>
      <c r="P1038" s="3" t="s">
        <v>1201</v>
      </c>
      <c r="Q1038" s="4"/>
      <c r="R1038" s="4"/>
      <c r="S1038" s="9" t="str">
        <f>HYPERLINK("https://pbs.twimg.com/profile_images/1017051530153914369/_NE8kwf8.jpg","View")</f>
        <v>View</v>
      </c>
    </row>
    <row r="1039" spans="1:19" ht="40">
      <c r="A1039" s="8">
        <v>43369.317835648151</v>
      </c>
      <c r="B1039" s="11" t="str">
        <f>HYPERLINK("https://twitter.com/IRConfederation","@IRConfederation")</f>
        <v>@IRConfederation</v>
      </c>
      <c r="C1039" s="6" t="s">
        <v>864</v>
      </c>
      <c r="D1039" s="5" t="s">
        <v>1200</v>
      </c>
      <c r="E1039" s="9" t="str">
        <f>HYPERLINK("https://twitter.com/IRConfederation/status/1044800649932754946","1044800649932754946")</f>
        <v>1044800649932754946</v>
      </c>
      <c r="F1039" s="4"/>
      <c r="G1039" s="10" t="s">
        <v>1076</v>
      </c>
      <c r="H1039" s="4"/>
      <c r="I1039" s="10" t="str">
        <f>HYPERLINK("https://plus.google.com","IRConfederation3999999999999999")</f>
        <v>IRConfederation3999999999999999</v>
      </c>
      <c r="J1039" s="2">
        <v>6726</v>
      </c>
      <c r="K1039" s="2">
        <v>5999</v>
      </c>
      <c r="L1039" s="2">
        <v>5</v>
      </c>
      <c r="M1039" s="2"/>
      <c r="N1039" s="8">
        <v>43120.991851851853</v>
      </c>
      <c r="O1039" s="4"/>
      <c r="P1039" s="3" t="s">
        <v>862</v>
      </c>
      <c r="Q1039" s="4"/>
      <c r="R1039" s="4"/>
      <c r="S1039" s="9" t="str">
        <f>HYPERLINK("https://pbs.twimg.com/profile_images/974628375183679495/98Dg7qxB.jpg","View")</f>
        <v>View</v>
      </c>
    </row>
    <row r="1040" spans="1:19" ht="20">
      <c r="A1040" s="8">
        <v>43369.317372685182</v>
      </c>
      <c r="B1040" s="11" t="str">
        <f>HYPERLINK("https://twitter.com/M_gh_z","@M_gh_z")</f>
        <v>@M_gh_z</v>
      </c>
      <c r="C1040" s="11" t="s">
        <v>1199</v>
      </c>
      <c r="D1040" s="5" t="s">
        <v>1198</v>
      </c>
      <c r="E1040" s="9" t="str">
        <f>HYPERLINK("https://twitter.com/M_gh_z/status/1044800484144553984","1044800484144553984")</f>
        <v>1044800484144553984</v>
      </c>
      <c r="F1040" s="4"/>
      <c r="G1040" s="4"/>
      <c r="H1040" s="4"/>
      <c r="I1040" s="10" t="str">
        <f>HYPERLINK("http://twitter.com/download/android","Twitter for Android")</f>
        <v>Twitter for Android</v>
      </c>
      <c r="J1040" s="2">
        <v>129</v>
      </c>
      <c r="K1040" s="2">
        <v>94</v>
      </c>
      <c r="L1040" s="2">
        <v>1</v>
      </c>
      <c r="M1040" s="2"/>
      <c r="N1040" s="8">
        <v>43318.3903125</v>
      </c>
      <c r="O1040" s="4" t="s">
        <v>1</v>
      </c>
      <c r="P1040" s="3" t="s">
        <v>1197</v>
      </c>
      <c r="Q1040" s="4"/>
      <c r="R1040" s="4"/>
      <c r="S1040" s="9" t="str">
        <f>HYPERLINK("https://pbs.twimg.com/profile_images/1026337971367239680/sAi7k4n6.jpg","View")</f>
        <v>View</v>
      </c>
    </row>
    <row r="1041" spans="1:19" ht="30">
      <c r="A1041" s="8">
        <v>43369.316921296297</v>
      </c>
      <c r="B1041" s="11" t="str">
        <f>HYPERLINK("https://twitter.com/HosinS2","@HosinS2")</f>
        <v>@HosinS2</v>
      </c>
      <c r="C1041" s="6" t="s">
        <v>1196</v>
      </c>
      <c r="D1041" s="5" t="s">
        <v>49</v>
      </c>
      <c r="E1041" s="9" t="str">
        <f>HYPERLINK("https://twitter.com/HosinS2/status/1044800319719378944","1044800319719378944")</f>
        <v>1044800319719378944</v>
      </c>
      <c r="F1041" s="4"/>
      <c r="G1041" s="4"/>
      <c r="H1041" s="4"/>
      <c r="I1041" s="10" t="str">
        <f>HYPERLINK("http://twitter.com/download/android","Twitter for Android")</f>
        <v>Twitter for Android</v>
      </c>
      <c r="J1041" s="2">
        <v>27</v>
      </c>
      <c r="K1041" s="2">
        <v>217</v>
      </c>
      <c r="L1041" s="2">
        <v>0</v>
      </c>
      <c r="M1041" s="2"/>
      <c r="N1041" s="8">
        <v>43102.61555555556</v>
      </c>
      <c r="O1041" s="4"/>
      <c r="P1041" s="3"/>
      <c r="Q1041" s="4"/>
      <c r="R1041" s="4"/>
      <c r="S1041" s="2" t="s">
        <v>21</v>
      </c>
    </row>
    <row r="1042" spans="1:19" ht="20">
      <c r="A1042" s="8">
        <v>43369.316793981481</v>
      </c>
      <c r="B1042" s="11" t="str">
        <f>HYPERLINK("https://twitter.com/f_bahramian","@f_bahramian")</f>
        <v>@f_bahramian</v>
      </c>
      <c r="C1042" s="6" t="s">
        <v>1195</v>
      </c>
      <c r="D1042" s="5" t="s">
        <v>15</v>
      </c>
      <c r="E1042" s="9" t="str">
        <f>HYPERLINK("https://twitter.com/f_bahramian/status/1044800275691819010","1044800275691819010")</f>
        <v>1044800275691819010</v>
      </c>
      <c r="F1042" s="4"/>
      <c r="G1042" s="4"/>
      <c r="H1042" s="4"/>
      <c r="I1042" s="10" t="str">
        <f>HYPERLINK("http://twitter.com/download/android","Twitter for Android")</f>
        <v>Twitter for Android</v>
      </c>
      <c r="J1042" s="2">
        <v>24</v>
      </c>
      <c r="K1042" s="2">
        <v>18</v>
      </c>
      <c r="L1042" s="2">
        <v>0</v>
      </c>
      <c r="M1042" s="2"/>
      <c r="N1042" s="8">
        <v>43315.720972222218</v>
      </c>
      <c r="O1042" s="4" t="s">
        <v>1</v>
      </c>
      <c r="P1042" s="3"/>
      <c r="Q1042" s="4"/>
      <c r="R1042" s="4"/>
      <c r="S1042" s="9" t="str">
        <f>HYPERLINK("https://pbs.twimg.com/profile_images/1039052406603042816/GwG0AprF.jpg","View")</f>
        <v>View</v>
      </c>
    </row>
    <row r="1043" spans="1:19" ht="40">
      <c r="A1043" s="8">
        <v>43369.316759259258</v>
      </c>
      <c r="B1043" s="11" t="str">
        <f>HYPERLINK("https://twitter.com/lasttanzania","@lasttanzania")</f>
        <v>@lasttanzania</v>
      </c>
      <c r="C1043" s="6" t="s">
        <v>1194</v>
      </c>
      <c r="D1043" s="5" t="s">
        <v>531</v>
      </c>
      <c r="E1043" s="9" t="str">
        <f>HYPERLINK("https://twitter.com/lasttanzania/status/1044800261036879879","1044800261036879879")</f>
        <v>1044800261036879879</v>
      </c>
      <c r="F1043" s="4"/>
      <c r="G1043" s="4"/>
      <c r="H1043" s="4"/>
      <c r="I1043" s="10" t="str">
        <f>HYPERLINK("http://twitter.com/download/android","Twitter for Android")</f>
        <v>Twitter for Android</v>
      </c>
      <c r="J1043" s="2">
        <v>8041</v>
      </c>
      <c r="K1043" s="2">
        <v>1456</v>
      </c>
      <c r="L1043" s="2">
        <v>39</v>
      </c>
      <c r="M1043" s="2"/>
      <c r="N1043" s="8">
        <v>39934.578333333331</v>
      </c>
      <c r="O1043" s="4" t="s">
        <v>1193</v>
      </c>
      <c r="P1043" s="3" t="s">
        <v>1192</v>
      </c>
      <c r="Q1043" s="4"/>
      <c r="R1043" s="4"/>
      <c r="S1043" s="9" t="str">
        <f>HYPERLINK("https://pbs.twimg.com/profile_images/1043413158071820288/124deZAh.jpg","View")</f>
        <v>View</v>
      </c>
    </row>
    <row r="1044" spans="1:19" ht="40">
      <c r="A1044" s="8">
        <v>43369.314641203702</v>
      </c>
      <c r="B1044" s="11" t="str">
        <f>HYPERLINK("https://twitter.com/rasoulsadeghi4","@rasoulsadeghi4")</f>
        <v>@rasoulsadeghi4</v>
      </c>
      <c r="C1044" s="6" t="s">
        <v>1191</v>
      </c>
      <c r="D1044" s="5" t="s">
        <v>1190</v>
      </c>
      <c r="E1044" s="9" t="str">
        <f>HYPERLINK("https://twitter.com/rasoulsadeghi4/status/1044799492913090560","1044799492913090560")</f>
        <v>1044799492913090560</v>
      </c>
      <c r="F1044" s="4"/>
      <c r="G1044" s="4"/>
      <c r="H1044" s="4"/>
      <c r="I1044" s="10" t="str">
        <f>HYPERLINK("https://mobile.twitter.com","Twitter Lite")</f>
        <v>Twitter Lite</v>
      </c>
      <c r="J1044" s="2">
        <v>2522</v>
      </c>
      <c r="K1044" s="2">
        <v>5000</v>
      </c>
      <c r="L1044" s="2">
        <v>1</v>
      </c>
      <c r="M1044" s="2"/>
      <c r="N1044" s="8">
        <v>43012.569131944445</v>
      </c>
      <c r="O1044" s="4"/>
      <c r="P1044" s="3" t="s">
        <v>1189</v>
      </c>
      <c r="Q1044" s="4"/>
      <c r="R1044" s="4"/>
      <c r="S1044" s="9" t="str">
        <f>HYPERLINK("https://pbs.twimg.com/profile_images/955146680986353665/VjtSU25r.jpg","View")</f>
        <v>View</v>
      </c>
    </row>
    <row r="1045" spans="1:19" ht="20">
      <c r="A1045" s="8">
        <v>43369.314421296294</v>
      </c>
      <c r="B1045" s="11" t="str">
        <f>HYPERLINK("https://twitter.com/jazire20","@jazire20")</f>
        <v>@jazire20</v>
      </c>
      <c r="C1045" s="6" t="s">
        <v>1188</v>
      </c>
      <c r="D1045" s="5" t="s">
        <v>15</v>
      </c>
      <c r="E1045" s="9" t="str">
        <f>HYPERLINK("https://twitter.com/jazire20/status/1044799414861271040","1044799414861271040")</f>
        <v>1044799414861271040</v>
      </c>
      <c r="F1045" s="4"/>
      <c r="G1045" s="4"/>
      <c r="H1045" s="4"/>
      <c r="I1045" s="10" t="str">
        <f>HYPERLINK("http://twitter.com/download/android","Twitter for Android")</f>
        <v>Twitter for Android</v>
      </c>
      <c r="J1045" s="2">
        <v>11</v>
      </c>
      <c r="K1045" s="2">
        <v>34</v>
      </c>
      <c r="L1045" s="2">
        <v>0</v>
      </c>
      <c r="M1045" s="2"/>
      <c r="N1045" s="8">
        <v>43353.457106481481</v>
      </c>
      <c r="O1045" s="4"/>
      <c r="P1045" s="3"/>
      <c r="Q1045" s="4"/>
      <c r="R1045" s="4"/>
      <c r="S1045" s="2" t="s">
        <v>21</v>
      </c>
    </row>
    <row r="1046" spans="1:19" ht="30">
      <c r="A1046" s="8">
        <v>43369.313750000001</v>
      </c>
      <c r="B1046" s="11" t="str">
        <f>HYPERLINK("https://twitter.com/Moghaddadipour","@Moghaddadipour")</f>
        <v>@Moghaddadipour</v>
      </c>
      <c r="C1046" s="6" t="s">
        <v>1187</v>
      </c>
      <c r="D1046" s="5" t="s">
        <v>1071</v>
      </c>
      <c r="E1046" s="9" t="str">
        <f>HYPERLINK("https://twitter.com/Moghaddadipour/status/1044799169762856962","1044799169762856962")</f>
        <v>1044799169762856962</v>
      </c>
      <c r="F1046" s="4"/>
      <c r="G1046" s="4"/>
      <c r="H1046" s="4"/>
      <c r="I1046" s="10" t="str">
        <f>HYPERLINK("https://mobile.twitter.com","Twitter Lite")</f>
        <v>Twitter Lite</v>
      </c>
      <c r="J1046" s="2">
        <v>28</v>
      </c>
      <c r="K1046" s="2">
        <v>10</v>
      </c>
      <c r="L1046" s="2">
        <v>0</v>
      </c>
      <c r="M1046" s="2"/>
      <c r="N1046" s="8">
        <v>43327.769479166665</v>
      </c>
      <c r="O1046" s="4"/>
      <c r="P1046" s="3"/>
      <c r="Q1046" s="10" t="s">
        <v>1186</v>
      </c>
      <c r="R1046" s="4"/>
      <c r="S1046" s="2" t="s">
        <v>21</v>
      </c>
    </row>
    <row r="1047" spans="1:19" ht="20">
      <c r="A1047" s="8">
        <v>43369.313206018516</v>
      </c>
      <c r="B1047" s="11" t="str">
        <f>HYPERLINK("https://twitter.com/ahakamian","@ahakamian")</f>
        <v>@ahakamian</v>
      </c>
      <c r="C1047" s="6" t="s">
        <v>1185</v>
      </c>
      <c r="D1047" s="5" t="s">
        <v>63</v>
      </c>
      <c r="E1047" s="9" t="str">
        <f>HYPERLINK("https://twitter.com/ahakamian/status/1044798975482769408","1044798975482769408")</f>
        <v>1044798975482769408</v>
      </c>
      <c r="F1047" s="4"/>
      <c r="G1047" s="4"/>
      <c r="H1047" s="4"/>
      <c r="I1047" s="10" t="str">
        <f>HYPERLINK("http://twitter.com/download/android","Twitter for Android")</f>
        <v>Twitter for Android</v>
      </c>
      <c r="J1047" s="2">
        <v>375</v>
      </c>
      <c r="K1047" s="2">
        <v>472</v>
      </c>
      <c r="L1047" s="2">
        <v>1</v>
      </c>
      <c r="M1047" s="2"/>
      <c r="N1047" s="8">
        <v>42836.399895833332</v>
      </c>
      <c r="O1047" s="4"/>
      <c r="P1047" s="3" t="s">
        <v>1184</v>
      </c>
      <c r="Q1047" s="4"/>
      <c r="R1047" s="4"/>
      <c r="S1047" s="9" t="str">
        <f>HYPERLINK("https://pbs.twimg.com/profile_images/866732446657675264/hWarOT4v.jpg","View")</f>
        <v>View</v>
      </c>
    </row>
    <row r="1048" spans="1:19" ht="40">
      <c r="A1048" s="8">
        <v>43369.3125</v>
      </c>
      <c r="B1048" s="11" t="str">
        <f>HYPERLINK("https://twitter.com/ucRMPkSS9etIEE4","@ucRMPkSS9etIEE4")</f>
        <v>@ucRMPkSS9etIEE4</v>
      </c>
      <c r="C1048" s="6" t="s">
        <v>1183</v>
      </c>
      <c r="D1048" s="5" t="s">
        <v>28</v>
      </c>
      <c r="E1048" s="9" t="str">
        <f>HYPERLINK("https://twitter.com/ucRMPkSS9etIEE4/status/1044798718392840192","1044798718392840192")</f>
        <v>1044798718392840192</v>
      </c>
      <c r="F1048" s="4"/>
      <c r="G1048" s="4"/>
      <c r="H1048" s="4"/>
      <c r="I1048" s="10" t="str">
        <f>HYPERLINK("http://twitter.com/download/android","Twitter for Android")</f>
        <v>Twitter for Android</v>
      </c>
      <c r="J1048" s="2">
        <v>100</v>
      </c>
      <c r="K1048" s="2">
        <v>189</v>
      </c>
      <c r="L1048" s="2">
        <v>0</v>
      </c>
      <c r="M1048" s="2"/>
      <c r="N1048" s="8">
        <v>43302.621863425928</v>
      </c>
      <c r="O1048" s="4" t="s">
        <v>1182</v>
      </c>
      <c r="P1048" s="3" t="s">
        <v>1181</v>
      </c>
      <c r="Q1048" s="4"/>
      <c r="R1048" s="4"/>
      <c r="S1048" s="9" t="str">
        <f>HYPERLINK("https://pbs.twimg.com/profile_images/1021955469575958529/ZhopqJVA.jpg","View")</f>
        <v>View</v>
      </c>
    </row>
    <row r="1049" spans="1:19" ht="20">
      <c r="A1049" s="8">
        <v>43369.310763888891</v>
      </c>
      <c r="B1049" s="11" t="str">
        <f>HYPERLINK("https://twitter.com/SadegKing","@SadegKing")</f>
        <v>@SadegKing</v>
      </c>
      <c r="C1049" s="6" t="s">
        <v>1180</v>
      </c>
      <c r="D1049" s="5" t="s">
        <v>102</v>
      </c>
      <c r="E1049" s="9" t="str">
        <f>HYPERLINK("https://twitter.com/SadegKing/status/1044798088907554816","1044798088907554816")</f>
        <v>1044798088907554816</v>
      </c>
      <c r="F1049" s="4"/>
      <c r="G1049" s="4"/>
      <c r="H1049" s="4"/>
      <c r="I1049" s="10" t="str">
        <f>HYPERLINK("http://twitter.com/download/android","Twitter for Android")</f>
        <v>Twitter for Android</v>
      </c>
      <c r="J1049" s="2">
        <v>431</v>
      </c>
      <c r="K1049" s="2">
        <v>867</v>
      </c>
      <c r="L1049" s="2">
        <v>0</v>
      </c>
      <c r="M1049" s="2"/>
      <c r="N1049" s="8">
        <v>43304.730243055557</v>
      </c>
      <c r="O1049" s="4" t="s">
        <v>1179</v>
      </c>
      <c r="P1049" s="3" t="s">
        <v>1178</v>
      </c>
      <c r="Q1049" s="4"/>
      <c r="R1049" s="4"/>
      <c r="S1049" s="9" t="str">
        <f>HYPERLINK("https://pbs.twimg.com/profile_images/1031848929284055040/PuLOBypK.jpg","View")</f>
        <v>View</v>
      </c>
    </row>
    <row r="1050" spans="1:19" ht="50">
      <c r="A1050" s="8">
        <v>43369.310289351852</v>
      </c>
      <c r="B1050" s="11" t="str">
        <f>HYPERLINK("https://twitter.com/sana_seifi","@sana_seifi")</f>
        <v>@sana_seifi</v>
      </c>
      <c r="C1050" s="6" t="s">
        <v>1177</v>
      </c>
      <c r="D1050" s="5" t="s">
        <v>1176</v>
      </c>
      <c r="E1050" s="9" t="str">
        <f>HYPERLINK("https://twitter.com/sana_seifi/status/1044797918266429440","1044797918266429440")</f>
        <v>1044797918266429440</v>
      </c>
      <c r="F1050" s="4"/>
      <c r="G1050" s="4"/>
      <c r="H1050" s="4"/>
      <c r="I1050" s="10" t="str">
        <f>HYPERLINK("http://twitter.com/download/android","Twitter for Android")</f>
        <v>Twitter for Android</v>
      </c>
      <c r="J1050" s="2">
        <v>182</v>
      </c>
      <c r="K1050" s="2">
        <v>119</v>
      </c>
      <c r="L1050" s="2">
        <v>0</v>
      </c>
      <c r="M1050" s="2"/>
      <c r="N1050" s="8">
        <v>41997.451504629629</v>
      </c>
      <c r="O1050" s="4"/>
      <c r="P1050" s="3" t="s">
        <v>1175</v>
      </c>
      <c r="Q1050" s="4"/>
      <c r="R1050" s="4"/>
      <c r="S1050" s="9" t="str">
        <f>HYPERLINK("https://pbs.twimg.com/profile_images/1042435970430316544/AR2CR21D.jpg","View")</f>
        <v>View</v>
      </c>
    </row>
    <row r="1051" spans="1:19" ht="40">
      <c r="A1051" s="8">
        <v>43369.309363425928</v>
      </c>
      <c r="B1051" s="11" t="str">
        <f>HYPERLINK("https://twitter.com/uways_iran","@uways_iran")</f>
        <v>@uways_iran</v>
      </c>
      <c r="C1051" s="6" t="s">
        <v>1174</v>
      </c>
      <c r="D1051" s="5" t="s">
        <v>75</v>
      </c>
      <c r="E1051" s="9" t="str">
        <f>HYPERLINK("https://twitter.com/uways_iran/status/1044797580562108416","1044797580562108416")</f>
        <v>1044797580562108416</v>
      </c>
      <c r="F1051" s="4"/>
      <c r="G1051" s="4"/>
      <c r="H1051" s="4"/>
      <c r="I1051" s="10" t="str">
        <f>HYPERLINK("http://twitter.com/download/android","Twitter for Android")</f>
        <v>Twitter for Android</v>
      </c>
      <c r="J1051" s="2">
        <v>2684</v>
      </c>
      <c r="K1051" s="2">
        <v>310</v>
      </c>
      <c r="L1051" s="2">
        <v>15</v>
      </c>
      <c r="M1051" s="2"/>
      <c r="N1051" s="8">
        <v>41722.355324074073</v>
      </c>
      <c r="O1051" s="4" t="s">
        <v>1173</v>
      </c>
      <c r="P1051" s="3" t="s">
        <v>1172</v>
      </c>
      <c r="Q1051" s="10" t="s">
        <v>1171</v>
      </c>
      <c r="R1051" s="4"/>
      <c r="S1051" s="9" t="str">
        <f>HYPERLINK("https://pbs.twimg.com/profile_images/1038669857628274689/INJfuRcb.jpg","View")</f>
        <v>View</v>
      </c>
    </row>
    <row r="1052" spans="1:19" ht="40">
      <c r="A1052" s="8">
        <v>43369.308657407411</v>
      </c>
      <c r="B1052" s="11" t="str">
        <f>HYPERLINK("https://twitter.com/aboofazel110","@aboofazel110")</f>
        <v>@aboofazel110</v>
      </c>
      <c r="C1052" s="6" t="s">
        <v>1170</v>
      </c>
      <c r="D1052" s="5" t="s">
        <v>72</v>
      </c>
      <c r="E1052" s="9" t="str">
        <f>HYPERLINK("https://twitter.com/aboofazel110/status/1044797327167369217","1044797327167369217")</f>
        <v>1044797327167369217</v>
      </c>
      <c r="F1052" s="4"/>
      <c r="G1052" s="4"/>
      <c r="H1052" s="4"/>
      <c r="I1052" s="10" t="str">
        <f>HYPERLINK("http://twitter.com","Twitter Web Client")</f>
        <v>Twitter Web Client</v>
      </c>
      <c r="J1052" s="2">
        <v>323</v>
      </c>
      <c r="K1052" s="2">
        <v>546</v>
      </c>
      <c r="L1052" s="2">
        <v>0</v>
      </c>
      <c r="M1052" s="2"/>
      <c r="N1052" s="8">
        <v>42769.818437499998</v>
      </c>
      <c r="O1052" s="4"/>
      <c r="P1052" s="3"/>
      <c r="Q1052" s="4"/>
      <c r="R1052" s="4"/>
      <c r="S1052" s="9" t="str">
        <f>HYPERLINK("https://pbs.twimg.com/profile_images/996886477404561410/H7LcLgfy.jpg","View")</f>
        <v>View</v>
      </c>
    </row>
    <row r="1053" spans="1:19" ht="20">
      <c r="A1053" s="8">
        <v>43369.308263888888</v>
      </c>
      <c r="B1053" s="11" t="str">
        <f>HYPERLINK("https://twitter.com/41PVNgkzZnC1bM4","@41PVNgkzZnC1bM4")</f>
        <v>@41PVNgkzZnC1bM4</v>
      </c>
      <c r="C1053" s="6" t="s">
        <v>1169</v>
      </c>
      <c r="D1053" s="5" t="s">
        <v>1168</v>
      </c>
      <c r="E1053" s="9" t="str">
        <f>HYPERLINK("https://twitter.com/41PVNgkzZnC1bM4/status/1044797182744973313","1044797182744973313")</f>
        <v>1044797182744973313</v>
      </c>
      <c r="F1053" s="4"/>
      <c r="G1053" s="4"/>
      <c r="H1053" s="4"/>
      <c r="I1053" s="10" t="str">
        <f>HYPERLINK("http://twitter.com/download/android","Twitter for Android")</f>
        <v>Twitter for Android</v>
      </c>
      <c r="J1053" s="2">
        <v>0</v>
      </c>
      <c r="K1053" s="2">
        <v>0</v>
      </c>
      <c r="L1053" s="2">
        <v>0</v>
      </c>
      <c r="M1053" s="2"/>
      <c r="N1053" s="8">
        <v>43369.291909722218</v>
      </c>
      <c r="O1053" s="4" t="s">
        <v>25</v>
      </c>
      <c r="P1053" s="3" t="s">
        <v>1167</v>
      </c>
      <c r="Q1053" s="4"/>
      <c r="R1053" s="4"/>
      <c r="S1053" s="9" t="str">
        <f>HYPERLINK("https://pbs.twimg.com/profile_images/1044796130519855104/Tqe0Yvnm.jpg","View")</f>
        <v>View</v>
      </c>
    </row>
    <row r="1054" spans="1:19" ht="40">
      <c r="A1054" s="8">
        <v>43369.308182870373</v>
      </c>
      <c r="B1054" s="11" t="str">
        <f>HYPERLINK("https://twitter.com/mmonfared3","@mmonfared3")</f>
        <v>@mmonfared3</v>
      </c>
      <c r="C1054" s="6" t="s">
        <v>1166</v>
      </c>
      <c r="D1054" s="5" t="s">
        <v>1165</v>
      </c>
      <c r="E1054" s="9" t="str">
        <f>HYPERLINK("https://twitter.com/mmonfared3/status/1044797151841275906","1044797151841275906")</f>
        <v>1044797151841275906</v>
      </c>
      <c r="F1054" s="4"/>
      <c r="G1054" s="10" t="s">
        <v>663</v>
      </c>
      <c r="H1054" s="4"/>
      <c r="I1054" s="10" t="str">
        <f>HYPERLINK("https://mobile.twitter.com","Twitter Lite")</f>
        <v>Twitter Lite</v>
      </c>
      <c r="J1054" s="2">
        <v>1249</v>
      </c>
      <c r="K1054" s="2">
        <v>1224</v>
      </c>
      <c r="L1054" s="2">
        <v>3</v>
      </c>
      <c r="M1054" s="2"/>
      <c r="N1054" s="8">
        <v>42740.169988425929</v>
      </c>
      <c r="O1054" s="4" t="s">
        <v>1</v>
      </c>
      <c r="P1054" s="3" t="s">
        <v>1164</v>
      </c>
      <c r="Q1054" s="4"/>
      <c r="R1054" s="4"/>
      <c r="S1054" s="9" t="str">
        <f>HYPERLINK("https://pbs.twimg.com/profile_images/1015289090931978240/xnrPp3rK.jpg","View")</f>
        <v>View</v>
      </c>
    </row>
    <row r="1055" spans="1:19" ht="20">
      <c r="A1055" s="8">
        <v>43369.30736111111</v>
      </c>
      <c r="B1055" s="11" t="str">
        <f>HYPERLINK("https://twitter.com/Ttohidi71","@Ttohidi71")</f>
        <v>@Ttohidi71</v>
      </c>
      <c r="C1055" s="6" t="s">
        <v>1163</v>
      </c>
      <c r="D1055" s="5" t="s">
        <v>320</v>
      </c>
      <c r="E1055" s="9" t="str">
        <f>HYPERLINK("https://twitter.com/Ttohidi71/status/1044796854997839873","1044796854997839873")</f>
        <v>1044796854997839873</v>
      </c>
      <c r="F1055" s="4"/>
      <c r="G1055" s="4"/>
      <c r="H1055" s="4"/>
      <c r="I1055" s="10" t="str">
        <f>HYPERLINK("http://twitter.com/download/android","Twitter for Android")</f>
        <v>Twitter for Android</v>
      </c>
      <c r="J1055" s="2">
        <v>71</v>
      </c>
      <c r="K1055" s="2">
        <v>38</v>
      </c>
      <c r="L1055" s="2">
        <v>0</v>
      </c>
      <c r="M1055" s="2"/>
      <c r="N1055" s="8">
        <v>42909.978865740741</v>
      </c>
      <c r="O1055" s="4"/>
      <c r="P1055" s="3" t="s">
        <v>1162</v>
      </c>
      <c r="Q1055" s="4"/>
      <c r="R1055" s="4"/>
      <c r="S1055" s="9" t="str">
        <f>HYPERLINK("https://pbs.twimg.com/profile_images/966350138414456837/Z732Jnl6.jpg","View")</f>
        <v>View</v>
      </c>
    </row>
    <row r="1056" spans="1:19" ht="40">
      <c r="A1056" s="8">
        <v>43369.307303240741</v>
      </c>
      <c r="B1056" s="11" t="str">
        <f>HYPERLINK("https://twitter.com/Ttohidi71","@Ttohidi71")</f>
        <v>@Ttohidi71</v>
      </c>
      <c r="C1056" s="6" t="s">
        <v>1163</v>
      </c>
      <c r="D1056" s="5" t="s">
        <v>207</v>
      </c>
      <c r="E1056" s="9" t="str">
        <f>HYPERLINK("https://twitter.com/Ttohidi71/status/1044796833636192256","1044796833636192256")</f>
        <v>1044796833636192256</v>
      </c>
      <c r="F1056" s="4"/>
      <c r="G1056" s="10" t="s">
        <v>206</v>
      </c>
      <c r="H1056" s="4"/>
      <c r="I1056" s="10" t="str">
        <f>HYPERLINK("http://twitter.com/download/android","Twitter for Android")</f>
        <v>Twitter for Android</v>
      </c>
      <c r="J1056" s="2">
        <v>71</v>
      </c>
      <c r="K1056" s="2">
        <v>38</v>
      </c>
      <c r="L1056" s="2">
        <v>0</v>
      </c>
      <c r="M1056" s="2"/>
      <c r="N1056" s="8">
        <v>42909.978865740741</v>
      </c>
      <c r="O1056" s="4"/>
      <c r="P1056" s="3" t="s">
        <v>1162</v>
      </c>
      <c r="Q1056" s="4"/>
      <c r="R1056" s="4"/>
      <c r="S1056" s="9" t="str">
        <f>HYPERLINK("https://pbs.twimg.com/profile_images/966350138414456837/Z732Jnl6.jpg","View")</f>
        <v>View</v>
      </c>
    </row>
    <row r="1057" spans="1:19" ht="20">
      <c r="A1057" s="8">
        <v>43369.306817129633</v>
      </c>
      <c r="B1057" s="11" t="str">
        <f>HYPERLINK("https://twitter.com/kamran52804","@kamran52804")</f>
        <v>@kamran52804</v>
      </c>
      <c r="C1057" s="6" t="s">
        <v>922</v>
      </c>
      <c r="D1057" s="5" t="s">
        <v>172</v>
      </c>
      <c r="E1057" s="9" t="str">
        <f>HYPERLINK("https://twitter.com/kamran52804/status/1044796656913444864","1044796656913444864")</f>
        <v>1044796656913444864</v>
      </c>
      <c r="F1057" s="10" t="s">
        <v>171</v>
      </c>
      <c r="G1057" s="4"/>
      <c r="H1057" s="4"/>
      <c r="I1057" s="10" t="str">
        <f>HYPERLINK("http://twitter.com/download/android","Twitter for Android")</f>
        <v>Twitter for Android</v>
      </c>
      <c r="J1057" s="2">
        <v>380</v>
      </c>
      <c r="K1057" s="2">
        <v>1221</v>
      </c>
      <c r="L1057" s="2">
        <v>0</v>
      </c>
      <c r="M1057" s="2"/>
      <c r="N1057" s="8">
        <v>43024.394756944443</v>
      </c>
      <c r="O1057" s="4"/>
      <c r="P1057" s="3" t="s">
        <v>921</v>
      </c>
      <c r="Q1057" s="4"/>
      <c r="R1057" s="4"/>
      <c r="S1057" s="9" t="str">
        <f>HYPERLINK("https://pbs.twimg.com/profile_images/1039505158307110914/crm5JnrA.jpg","View")</f>
        <v>View</v>
      </c>
    </row>
    <row r="1058" spans="1:19" ht="40">
      <c r="A1058" s="8">
        <v>43369.306273148148</v>
      </c>
      <c r="B1058" s="11" t="str">
        <f>HYPERLINK("https://twitter.com/gffgf544564","@gffgf544564")</f>
        <v>@gffgf544564</v>
      </c>
      <c r="C1058" s="6" t="s">
        <v>1161</v>
      </c>
      <c r="D1058" s="5" t="s">
        <v>756</v>
      </c>
      <c r="E1058" s="9" t="str">
        <f>HYPERLINK("https://twitter.com/gffgf544564/status/1044796463585415168","1044796463585415168")</f>
        <v>1044796463585415168</v>
      </c>
      <c r="F1058" s="4"/>
      <c r="G1058" s="4"/>
      <c r="H1058" s="4"/>
      <c r="I1058" s="10" t="str">
        <f>HYPERLINK("http://twitter.com/download/android","Twitter for Android")</f>
        <v>Twitter for Android</v>
      </c>
      <c r="J1058" s="2">
        <v>1810</v>
      </c>
      <c r="K1058" s="2">
        <v>2591</v>
      </c>
      <c r="L1058" s="2">
        <v>1</v>
      </c>
      <c r="M1058" s="2"/>
      <c r="N1058" s="8">
        <v>43104.420613425929</v>
      </c>
      <c r="O1058" s="4"/>
      <c r="P1058" s="3" t="s">
        <v>1160</v>
      </c>
      <c r="Q1058" s="4"/>
      <c r="R1058" s="4"/>
      <c r="S1058" s="9" t="str">
        <f>HYPERLINK("https://pbs.twimg.com/profile_images/1037286890657992704/52XEanzo.jpg","View")</f>
        <v>View</v>
      </c>
    </row>
    <row r="1059" spans="1:19" ht="20">
      <c r="A1059" s="8">
        <v>43369.306238425925</v>
      </c>
      <c r="B1059" s="11" t="str">
        <f>HYPERLINK("https://twitter.com/dv4VNCsJtLgvrwe","@dv4VNCsJtLgvrwe")</f>
        <v>@dv4VNCsJtLgvrwe</v>
      </c>
      <c r="C1059" s="6" t="s">
        <v>1159</v>
      </c>
      <c r="D1059" s="5" t="s">
        <v>15</v>
      </c>
      <c r="E1059" s="9" t="str">
        <f>HYPERLINK("https://twitter.com/dv4VNCsJtLgvrwe/status/1044796450478133248","1044796450478133248")</f>
        <v>1044796450478133248</v>
      </c>
      <c r="F1059" s="4"/>
      <c r="G1059" s="4"/>
      <c r="H1059" s="4"/>
      <c r="I1059" s="10" t="str">
        <f>HYPERLINK("http://twitter.com/download/android","Twitter for Android")</f>
        <v>Twitter for Android</v>
      </c>
      <c r="J1059" s="2">
        <v>13</v>
      </c>
      <c r="K1059" s="2">
        <v>10</v>
      </c>
      <c r="L1059" s="2">
        <v>0</v>
      </c>
      <c r="M1059" s="2"/>
      <c r="N1059" s="8">
        <v>43356.544745370367</v>
      </c>
      <c r="O1059" s="4" t="s">
        <v>1</v>
      </c>
      <c r="P1059" s="3" t="s">
        <v>1158</v>
      </c>
      <c r="Q1059" s="10" t="s">
        <v>1157</v>
      </c>
      <c r="R1059" s="4"/>
      <c r="S1059" s="9" t="str">
        <f>HYPERLINK("https://pbs.twimg.com/profile_images/1040160287578640384/gvUh6a4_.jpg","View")</f>
        <v>View</v>
      </c>
    </row>
    <row r="1060" spans="1:19" ht="50">
      <c r="A1060" s="8">
        <v>43369.305706018524</v>
      </c>
      <c r="B1060" s="11" t="str">
        <f>HYPERLINK("https://twitter.com/Saeed_Bahariam","@Saeed_Bahariam")</f>
        <v>@Saeed_Bahariam</v>
      </c>
      <c r="C1060" s="6" t="s">
        <v>1156</v>
      </c>
      <c r="D1060" s="5" t="s">
        <v>1155</v>
      </c>
      <c r="E1060" s="9" t="str">
        <f>HYPERLINK("https://twitter.com/Saeed_Bahariam/status/1044796258060308481","1044796258060308481")</f>
        <v>1044796258060308481</v>
      </c>
      <c r="F1060" s="4"/>
      <c r="G1060" s="4"/>
      <c r="H1060" s="4"/>
      <c r="I1060" s="10" t="str">
        <f>HYPERLINK("http://twitter.com/download/android","Twitter for Android")</f>
        <v>Twitter for Android</v>
      </c>
      <c r="J1060" s="2">
        <v>963</v>
      </c>
      <c r="K1060" s="2">
        <v>1246</v>
      </c>
      <c r="L1060" s="2">
        <v>0</v>
      </c>
      <c r="M1060" s="2"/>
      <c r="N1060" s="8">
        <v>43100.649108796293</v>
      </c>
      <c r="O1060" s="4" t="s">
        <v>1154</v>
      </c>
      <c r="P1060" s="3" t="s">
        <v>1153</v>
      </c>
      <c r="Q1060" s="4"/>
      <c r="R1060" s="4"/>
      <c r="S1060" s="9" t="str">
        <f>HYPERLINK("https://pbs.twimg.com/profile_images/994988869769625601/FrkUKAFM.jpg","View")</f>
        <v>View</v>
      </c>
    </row>
    <row r="1061" spans="1:19" ht="30">
      <c r="A1061" s="8">
        <v>43369.305578703701</v>
      </c>
      <c r="B1061" s="11" t="str">
        <f>HYPERLINK("https://twitter.com/Sam01486045","@Sam01486045")</f>
        <v>@Sam01486045</v>
      </c>
      <c r="C1061" s="6" t="s">
        <v>1152</v>
      </c>
      <c r="D1061" s="5" t="s">
        <v>49</v>
      </c>
      <c r="E1061" s="9" t="str">
        <f>HYPERLINK("https://twitter.com/Sam01486045/status/1044796210064887808","1044796210064887808")</f>
        <v>1044796210064887808</v>
      </c>
      <c r="F1061" s="4"/>
      <c r="G1061" s="4"/>
      <c r="H1061" s="4"/>
      <c r="I1061" s="10" t="str">
        <f>HYPERLINK("http://twitter.com/download/android","Twitter for Android")</f>
        <v>Twitter for Android</v>
      </c>
      <c r="J1061" s="2">
        <v>311</v>
      </c>
      <c r="K1061" s="2">
        <v>391</v>
      </c>
      <c r="L1061" s="2">
        <v>0</v>
      </c>
      <c r="M1061" s="2"/>
      <c r="N1061" s="8">
        <v>43309.349444444444</v>
      </c>
      <c r="O1061" s="4" t="s">
        <v>1151</v>
      </c>
      <c r="P1061" s="3" t="s">
        <v>1150</v>
      </c>
      <c r="Q1061" s="4"/>
      <c r="R1061" s="4"/>
      <c r="S1061" s="9" t="str">
        <f>HYPERLINK("https://pbs.twimg.com/profile_images/1023055519953629184/buoOWwU-.jpg","View")</f>
        <v>View</v>
      </c>
    </row>
    <row r="1062" spans="1:19" ht="20">
      <c r="A1062" s="8">
        <v>43369.305543981478</v>
      </c>
      <c r="B1062" s="11" t="str">
        <f>HYPERLINK("https://twitter.com/taheresh4539","@taheresh4539")</f>
        <v>@taheresh4539</v>
      </c>
      <c r="C1062" s="6" t="s">
        <v>1149</v>
      </c>
      <c r="D1062" s="5" t="s">
        <v>102</v>
      </c>
      <c r="E1062" s="9" t="str">
        <f>HYPERLINK("https://twitter.com/taheresh4539/status/1044796197599350784","1044796197599350784")</f>
        <v>1044796197599350784</v>
      </c>
      <c r="F1062" s="4"/>
      <c r="G1062" s="4"/>
      <c r="H1062" s="4"/>
      <c r="I1062" s="10" t="str">
        <f>HYPERLINK("http://twitter.com/download/android","Twitter for Android")</f>
        <v>Twitter for Android</v>
      </c>
      <c r="J1062" s="2">
        <v>659</v>
      </c>
      <c r="K1062" s="2">
        <v>685</v>
      </c>
      <c r="L1062" s="2">
        <v>0</v>
      </c>
      <c r="M1062" s="2"/>
      <c r="N1062" s="8">
        <v>43267.986435185187</v>
      </c>
      <c r="O1062" s="4"/>
      <c r="P1062" s="3" t="s">
        <v>1148</v>
      </c>
      <c r="Q1062" s="4"/>
      <c r="R1062" s="4"/>
      <c r="S1062" s="9" t="str">
        <f>HYPERLINK("https://pbs.twimg.com/profile_images/1039212787216654336/GHJ1PiJ3.jpg","View")</f>
        <v>View</v>
      </c>
    </row>
    <row r="1063" spans="1:19" ht="40">
      <c r="A1063" s="8">
        <v>43369.303946759261</v>
      </c>
      <c r="B1063" s="11" t="str">
        <f>HYPERLINK("https://twitter.com/mjr_eng","@mjr_eng")</f>
        <v>@mjr_eng</v>
      </c>
      <c r="C1063" s="6" t="s">
        <v>1121</v>
      </c>
      <c r="D1063" s="5" t="s">
        <v>28</v>
      </c>
      <c r="E1063" s="9" t="str">
        <f>HYPERLINK("https://twitter.com/mjr_eng/status/1044795619863195648","1044795619863195648")</f>
        <v>1044795619863195648</v>
      </c>
      <c r="F1063" s="4"/>
      <c r="G1063" s="4"/>
      <c r="H1063" s="4"/>
      <c r="I1063" s="10" t="str">
        <f>HYPERLINK("http://twitter.com/download/android","Twitter for Android")</f>
        <v>Twitter for Android</v>
      </c>
      <c r="J1063" s="2">
        <v>948</v>
      </c>
      <c r="K1063" s="2">
        <v>1044</v>
      </c>
      <c r="L1063" s="2">
        <v>2</v>
      </c>
      <c r="M1063" s="2"/>
      <c r="N1063" s="8">
        <v>42918.520115740743</v>
      </c>
      <c r="O1063" s="4" t="s">
        <v>1120</v>
      </c>
      <c r="P1063" s="3" t="s">
        <v>1119</v>
      </c>
      <c r="Q1063" s="4"/>
      <c r="R1063" s="4"/>
      <c r="S1063" s="9" t="str">
        <f>HYPERLINK("https://pbs.twimg.com/profile_images/950332830181142528/lHUrPslD.jpg","View")</f>
        <v>View</v>
      </c>
    </row>
    <row r="1064" spans="1:19" ht="20">
      <c r="A1064" s="8">
        <v>43369.303587962961</v>
      </c>
      <c r="B1064" s="11" t="str">
        <f>HYPERLINK("https://twitter.com/ja_mozafari","@ja_mozafari")</f>
        <v>@ja_mozafari</v>
      </c>
      <c r="C1064" s="6" t="s">
        <v>1140</v>
      </c>
      <c r="D1064" s="5" t="s">
        <v>1147</v>
      </c>
      <c r="E1064" s="9" t="str">
        <f>HYPERLINK("https://twitter.com/ja_mozafari/status/1044795489378619392","1044795489378619392")</f>
        <v>1044795489378619392</v>
      </c>
      <c r="F1064" s="4"/>
      <c r="G1064" s="10" t="s">
        <v>1146</v>
      </c>
      <c r="H1064" s="4"/>
      <c r="I1064" s="10" t="str">
        <f>HYPERLINK("http://twitter.com/download/android","Twitter for Android")</f>
        <v>Twitter for Android</v>
      </c>
      <c r="J1064" s="2">
        <v>829</v>
      </c>
      <c r="K1064" s="2">
        <v>773</v>
      </c>
      <c r="L1064" s="2">
        <v>6</v>
      </c>
      <c r="M1064" s="2"/>
      <c r="N1064" s="8">
        <v>43121.338402777779</v>
      </c>
      <c r="O1064" s="4" t="s">
        <v>1</v>
      </c>
      <c r="P1064" s="3" t="s">
        <v>1139</v>
      </c>
      <c r="Q1064" s="4"/>
      <c r="R1064" s="4"/>
      <c r="S1064" s="9" t="str">
        <f>HYPERLINK("https://pbs.twimg.com/profile_images/997677808884297728/bid6yyOT.jpg","View")</f>
        <v>View</v>
      </c>
    </row>
    <row r="1065" spans="1:19" ht="40">
      <c r="A1065" s="8">
        <v>43369.303402777776</v>
      </c>
      <c r="B1065" s="11" t="str">
        <f>HYPERLINK("https://twitter.com/MoshtaghBahar","@MoshtaghBahar")</f>
        <v>@MoshtaghBahar</v>
      </c>
      <c r="C1065" s="6" t="s">
        <v>1145</v>
      </c>
      <c r="D1065" s="5" t="s">
        <v>756</v>
      </c>
      <c r="E1065" s="9" t="str">
        <f>HYPERLINK("https://twitter.com/MoshtaghBahar/status/1044795419769868290","1044795419769868290")</f>
        <v>1044795419769868290</v>
      </c>
      <c r="F1065" s="4"/>
      <c r="G1065" s="4"/>
      <c r="H1065" s="4"/>
      <c r="I1065" s="10" t="str">
        <f>HYPERLINK("https://mobile.twitter.com","Twitter Lite")</f>
        <v>Twitter Lite</v>
      </c>
      <c r="J1065" s="2">
        <v>66</v>
      </c>
      <c r="K1065" s="2">
        <v>112</v>
      </c>
      <c r="L1065" s="2">
        <v>0</v>
      </c>
      <c r="M1065" s="2"/>
      <c r="N1065" s="8">
        <v>42842.37127314815</v>
      </c>
      <c r="O1065" s="4"/>
      <c r="P1065" s="3" t="s">
        <v>1144</v>
      </c>
      <c r="Q1065" s="4"/>
      <c r="R1065" s="4"/>
      <c r="S1065" s="2" t="s">
        <v>21</v>
      </c>
    </row>
    <row r="1066" spans="1:19" ht="20">
      <c r="A1066" s="8">
        <v>43369.303124999999</v>
      </c>
      <c r="B1066" s="11" t="str">
        <f>HYPERLINK("https://twitter.com/mjr_eng","@mjr_eng")</f>
        <v>@mjr_eng</v>
      </c>
      <c r="C1066" s="6" t="s">
        <v>1121</v>
      </c>
      <c r="D1066" s="5" t="s">
        <v>102</v>
      </c>
      <c r="E1066" s="9" t="str">
        <f>HYPERLINK("https://twitter.com/mjr_eng/status/1044795321144897536","1044795321144897536")</f>
        <v>1044795321144897536</v>
      </c>
      <c r="F1066" s="4"/>
      <c r="G1066" s="4"/>
      <c r="H1066" s="4"/>
      <c r="I1066" s="10" t="str">
        <f>HYPERLINK("http://twitter.com/download/android","Twitter for Android")</f>
        <v>Twitter for Android</v>
      </c>
      <c r="J1066" s="2">
        <v>948</v>
      </c>
      <c r="K1066" s="2">
        <v>1044</v>
      </c>
      <c r="L1066" s="2">
        <v>2</v>
      </c>
      <c r="M1066" s="2"/>
      <c r="N1066" s="8">
        <v>42918.520115740743</v>
      </c>
      <c r="O1066" s="4" t="s">
        <v>1120</v>
      </c>
      <c r="P1066" s="3" t="s">
        <v>1119</v>
      </c>
      <c r="Q1066" s="4"/>
      <c r="R1066" s="4"/>
      <c r="S1066" s="9" t="str">
        <f>HYPERLINK("https://pbs.twimg.com/profile_images/950332830181142528/lHUrPslD.jpg","View")</f>
        <v>View</v>
      </c>
    </row>
    <row r="1067" spans="1:19" ht="40">
      <c r="A1067" s="8">
        <v>43369.302766203706</v>
      </c>
      <c r="B1067" s="11" t="str">
        <f>HYPERLINK("https://twitter.com/brave_heart1989","@brave_heart1989")</f>
        <v>@brave_heart1989</v>
      </c>
      <c r="C1067" s="6" t="s">
        <v>1143</v>
      </c>
      <c r="D1067" s="5" t="s">
        <v>1061</v>
      </c>
      <c r="E1067" s="9" t="str">
        <f>HYPERLINK("https://twitter.com/brave_heart1989/status/1044795190136000512","1044795190136000512")</f>
        <v>1044795190136000512</v>
      </c>
      <c r="F1067" s="4"/>
      <c r="G1067" s="4"/>
      <c r="H1067" s="4"/>
      <c r="I1067" s="10" t="str">
        <f>HYPERLINK("http://twitter.com/download/iphone","Twitter for iPhone")</f>
        <v>Twitter for iPhone</v>
      </c>
      <c r="J1067" s="2">
        <v>974</v>
      </c>
      <c r="K1067" s="2">
        <v>744</v>
      </c>
      <c r="L1067" s="2">
        <v>1</v>
      </c>
      <c r="M1067" s="2"/>
      <c r="N1067" s="8">
        <v>42753.575972222221</v>
      </c>
      <c r="O1067" s="4" t="s">
        <v>1142</v>
      </c>
      <c r="P1067" s="3" t="s">
        <v>1141</v>
      </c>
      <c r="Q1067" s="4"/>
      <c r="R1067" s="4"/>
      <c r="S1067" s="9" t="str">
        <f>HYPERLINK("https://pbs.twimg.com/profile_images/1003991753790193664/LCeHsHCg.jpg","View")</f>
        <v>View</v>
      </c>
    </row>
    <row r="1068" spans="1:19" ht="40">
      <c r="A1068" s="8">
        <v>43369.302500000005</v>
      </c>
      <c r="B1068" s="11" t="str">
        <f>HYPERLINK("https://twitter.com/ja_mozafari","@ja_mozafari")</f>
        <v>@ja_mozafari</v>
      </c>
      <c r="C1068" s="6" t="s">
        <v>1140</v>
      </c>
      <c r="D1068" s="5" t="s">
        <v>756</v>
      </c>
      <c r="E1068" s="9" t="str">
        <f>HYPERLINK("https://twitter.com/ja_mozafari/status/1044795092379336704","1044795092379336704")</f>
        <v>1044795092379336704</v>
      </c>
      <c r="F1068" s="4"/>
      <c r="G1068" s="4"/>
      <c r="H1068" s="4"/>
      <c r="I1068" s="10" t="str">
        <f>HYPERLINK("http://twitter.com/download/android","Twitter for Android")</f>
        <v>Twitter for Android</v>
      </c>
      <c r="J1068" s="2">
        <v>829</v>
      </c>
      <c r="K1068" s="2">
        <v>773</v>
      </c>
      <c r="L1068" s="2">
        <v>6</v>
      </c>
      <c r="M1068" s="2"/>
      <c r="N1068" s="8">
        <v>43121.338402777779</v>
      </c>
      <c r="O1068" s="4" t="s">
        <v>1</v>
      </c>
      <c r="P1068" s="3" t="s">
        <v>1139</v>
      </c>
      <c r="Q1068" s="4"/>
      <c r="R1068" s="4"/>
      <c r="S1068" s="9" t="str">
        <f>HYPERLINK("https://pbs.twimg.com/profile_images/997677808884297728/bid6yyOT.jpg","View")</f>
        <v>View</v>
      </c>
    </row>
    <row r="1069" spans="1:19" ht="30">
      <c r="A1069" s="8">
        <v>43369.302418981482</v>
      </c>
      <c r="B1069" s="11" t="str">
        <f>HYPERLINK("https://twitter.com/abva141","@abva141")</f>
        <v>@abva141</v>
      </c>
      <c r="C1069" s="6" t="s">
        <v>1130</v>
      </c>
      <c r="D1069" s="5" t="s">
        <v>1138</v>
      </c>
      <c r="E1069" s="9" t="str">
        <f>HYPERLINK("https://twitter.com/abva141/status/1044795064134889472","1044795064134889472")</f>
        <v>1044795064134889472</v>
      </c>
      <c r="F1069" s="4"/>
      <c r="G1069" s="4"/>
      <c r="H1069" s="4"/>
      <c r="I1069" s="10" t="str">
        <f>HYPERLINK("http://twitter.com/download/android","Twitter for Android")</f>
        <v>Twitter for Android</v>
      </c>
      <c r="J1069" s="2">
        <v>871</v>
      </c>
      <c r="K1069" s="2">
        <v>838</v>
      </c>
      <c r="L1069" s="2">
        <v>4</v>
      </c>
      <c r="M1069" s="2"/>
      <c r="N1069" s="8">
        <v>42776.801539351851</v>
      </c>
      <c r="O1069" s="4" t="s">
        <v>1129</v>
      </c>
      <c r="P1069" s="3" t="s">
        <v>1128</v>
      </c>
      <c r="Q1069" s="4"/>
      <c r="R1069" s="4"/>
      <c r="S1069" s="9" t="str">
        <f>HYPERLINK("https://pbs.twimg.com/profile_images/974982418657677314/GFwrbKLO.jpg","View")</f>
        <v>View</v>
      </c>
    </row>
    <row r="1070" spans="1:19" ht="20">
      <c r="A1070" s="8">
        <v>43369.302291666667</v>
      </c>
      <c r="B1070" s="11" t="str">
        <f>HYPERLINK("https://twitter.com/saryra12","@saryra12")</f>
        <v>@saryra12</v>
      </c>
      <c r="C1070" s="6" t="s">
        <v>1137</v>
      </c>
      <c r="D1070" s="5" t="s">
        <v>736</v>
      </c>
      <c r="E1070" s="9" t="str">
        <f>HYPERLINK("https://twitter.com/saryra12/status/1044795020627386368","1044795020627386368")</f>
        <v>1044795020627386368</v>
      </c>
      <c r="F1070" s="4"/>
      <c r="G1070" s="10" t="s">
        <v>732</v>
      </c>
      <c r="H1070" s="4"/>
      <c r="I1070" s="10" t="str">
        <f>HYPERLINK("http://twitter.com/download/android","Twitter for Android")</f>
        <v>Twitter for Android</v>
      </c>
      <c r="J1070" s="2">
        <v>1093</v>
      </c>
      <c r="K1070" s="2">
        <v>574</v>
      </c>
      <c r="L1070" s="2">
        <v>1</v>
      </c>
      <c r="M1070" s="2"/>
      <c r="N1070" s="8">
        <v>42939.141400462962</v>
      </c>
      <c r="O1070" s="4"/>
      <c r="P1070" s="3" t="s">
        <v>1136</v>
      </c>
      <c r="Q1070" s="10" t="s">
        <v>1135</v>
      </c>
      <c r="R1070" s="4"/>
      <c r="S1070" s="9" t="str">
        <f>HYPERLINK("https://pbs.twimg.com/profile_images/1040431432664006657/-_g7CxQ0.jpg","View")</f>
        <v>View</v>
      </c>
    </row>
    <row r="1071" spans="1:19" ht="20">
      <c r="A1071" s="8">
        <v>43369.302129629628</v>
      </c>
      <c r="B1071" s="11" t="str">
        <f>HYPERLINK("https://twitter.com/sedmasoud","@sedmasoud")</f>
        <v>@sedmasoud</v>
      </c>
      <c r="C1071" s="6" t="s">
        <v>1134</v>
      </c>
      <c r="D1071" s="5" t="s">
        <v>1133</v>
      </c>
      <c r="E1071" s="9" t="str">
        <f>HYPERLINK("https://twitter.com/sedmasoud/status/1044794960694964227","1044794960694964227")</f>
        <v>1044794960694964227</v>
      </c>
      <c r="F1071" s="4"/>
      <c r="G1071" s="4"/>
      <c r="H1071" s="4"/>
      <c r="I1071" s="10" t="str">
        <f>HYPERLINK("http://twitter.com/download/android","Twitter for Android")</f>
        <v>Twitter for Android</v>
      </c>
      <c r="J1071" s="2">
        <v>133</v>
      </c>
      <c r="K1071" s="2">
        <v>153</v>
      </c>
      <c r="L1071" s="2">
        <v>1</v>
      </c>
      <c r="M1071" s="2"/>
      <c r="N1071" s="8">
        <v>41569.51425925926</v>
      </c>
      <c r="O1071" s="4"/>
      <c r="P1071" s="3" t="s">
        <v>1132</v>
      </c>
      <c r="Q1071" s="10" t="s">
        <v>1131</v>
      </c>
      <c r="R1071" s="4"/>
      <c r="S1071" s="9" t="str">
        <f>HYPERLINK("https://pbs.twimg.com/profile_images/906930855012167681/0X_bnYYH.jpg","View")</f>
        <v>View</v>
      </c>
    </row>
    <row r="1072" spans="1:19" ht="40">
      <c r="A1072" s="8">
        <v>43369.302002314813</v>
      </c>
      <c r="B1072" s="11" t="str">
        <f>HYPERLINK("https://twitter.com/abva141","@abva141")</f>
        <v>@abva141</v>
      </c>
      <c r="C1072" s="6" t="s">
        <v>1130</v>
      </c>
      <c r="D1072" s="5" t="s">
        <v>756</v>
      </c>
      <c r="E1072" s="9" t="str">
        <f>HYPERLINK("https://twitter.com/abva141/status/1044794912078811137","1044794912078811137")</f>
        <v>1044794912078811137</v>
      </c>
      <c r="F1072" s="4"/>
      <c r="G1072" s="4"/>
      <c r="H1072" s="4"/>
      <c r="I1072" s="10" t="str">
        <f>HYPERLINK("http://twitter.com/download/android","Twitter for Android")</f>
        <v>Twitter for Android</v>
      </c>
      <c r="J1072" s="2">
        <v>871</v>
      </c>
      <c r="K1072" s="2">
        <v>838</v>
      </c>
      <c r="L1072" s="2">
        <v>4</v>
      </c>
      <c r="M1072" s="2"/>
      <c r="N1072" s="8">
        <v>42776.801539351851</v>
      </c>
      <c r="O1072" s="4" t="s">
        <v>1129</v>
      </c>
      <c r="P1072" s="3" t="s">
        <v>1128</v>
      </c>
      <c r="Q1072" s="4"/>
      <c r="R1072" s="4"/>
      <c r="S1072" s="9" t="str">
        <f>HYPERLINK("https://pbs.twimg.com/profile_images/974982418657677314/GFwrbKLO.jpg","View")</f>
        <v>View</v>
      </c>
    </row>
    <row r="1073" spans="1:19" ht="40">
      <c r="A1073" s="8">
        <v>43369.30164351852</v>
      </c>
      <c r="B1073" s="11" t="str">
        <f>HYPERLINK("https://twitter.com/rezasedaghattt","@rezasedaghattt")</f>
        <v>@rezasedaghattt</v>
      </c>
      <c r="C1073" s="6" t="s">
        <v>1127</v>
      </c>
      <c r="D1073" s="5" t="s">
        <v>174</v>
      </c>
      <c r="E1073" s="9" t="str">
        <f>HYPERLINK("https://twitter.com/rezasedaghattt/status/1044794785821851648","1044794785821851648")</f>
        <v>1044794785821851648</v>
      </c>
      <c r="F1073" s="4"/>
      <c r="G1073" s="4"/>
      <c r="H1073" s="4"/>
      <c r="I1073" s="10" t="str">
        <f>HYPERLINK("http://twitter.com/download/android","Twitter for Android")</f>
        <v>Twitter for Android</v>
      </c>
      <c r="J1073" s="2">
        <v>5565</v>
      </c>
      <c r="K1073" s="2">
        <v>5597</v>
      </c>
      <c r="L1073" s="2">
        <v>8</v>
      </c>
      <c r="M1073" s="2"/>
      <c r="N1073" s="8">
        <v>42760.839872685188</v>
      </c>
      <c r="O1073" s="4" t="s">
        <v>1126</v>
      </c>
      <c r="P1073" s="3" t="s">
        <v>1125</v>
      </c>
      <c r="Q1073" s="4"/>
      <c r="R1073" s="4"/>
      <c r="S1073" s="9" t="str">
        <f>HYPERLINK("https://pbs.twimg.com/profile_images/1024155447622811653/9VEvRfFL.jpg","View")</f>
        <v>View</v>
      </c>
    </row>
    <row r="1074" spans="1:19" ht="20">
      <c r="A1074" s="8">
        <v>43369.301585648151</v>
      </c>
      <c r="B1074" s="11" t="str">
        <f>HYPERLINK("https://twitter.com/mjr_eng","@mjr_eng")</f>
        <v>@mjr_eng</v>
      </c>
      <c r="C1074" s="6" t="s">
        <v>1121</v>
      </c>
      <c r="D1074" s="5" t="s">
        <v>15</v>
      </c>
      <c r="E1074" s="9" t="str">
        <f>HYPERLINK("https://twitter.com/mjr_eng/status/1044794764367810560","1044794764367810560")</f>
        <v>1044794764367810560</v>
      </c>
      <c r="F1074" s="4"/>
      <c r="G1074" s="4"/>
      <c r="H1074" s="4"/>
      <c r="I1074" s="10" t="str">
        <f>HYPERLINK("http://twitter.com/download/android","Twitter for Android")</f>
        <v>Twitter for Android</v>
      </c>
      <c r="J1074" s="2">
        <v>948</v>
      </c>
      <c r="K1074" s="2">
        <v>1044</v>
      </c>
      <c r="L1074" s="2">
        <v>2</v>
      </c>
      <c r="M1074" s="2"/>
      <c r="N1074" s="8">
        <v>42918.520115740743</v>
      </c>
      <c r="O1074" s="4" t="s">
        <v>1120</v>
      </c>
      <c r="P1074" s="3" t="s">
        <v>1119</v>
      </c>
      <c r="Q1074" s="4"/>
      <c r="R1074" s="4"/>
      <c r="S1074" s="9" t="str">
        <f>HYPERLINK("https://pbs.twimg.com/profile_images/950332830181142528/lHUrPslD.jpg","View")</f>
        <v>View</v>
      </c>
    </row>
    <row r="1075" spans="1:19" ht="40">
      <c r="A1075" s="8">
        <v>43369.301458333328</v>
      </c>
      <c r="B1075" s="11" t="str">
        <f>HYPERLINK("https://twitter.com/mariasm96194536","@mariasm96194536")</f>
        <v>@mariasm96194536</v>
      </c>
      <c r="C1075" s="6" t="s">
        <v>1124</v>
      </c>
      <c r="D1075" s="5" t="s">
        <v>1123</v>
      </c>
      <c r="E1075" s="9" t="str">
        <f>HYPERLINK("https://twitter.com/mariasm96194536/status/1044794717978775552","1044794717978775552")</f>
        <v>1044794717978775552</v>
      </c>
      <c r="F1075" s="4"/>
      <c r="G1075" s="4"/>
      <c r="H1075" s="4"/>
      <c r="I1075" s="10" t="str">
        <f>HYPERLINK("http://twitter.com/download/iphone","Twitter for iPhone")</f>
        <v>Twitter for iPhone</v>
      </c>
      <c r="J1075" s="2">
        <v>9</v>
      </c>
      <c r="K1075" s="2">
        <v>69</v>
      </c>
      <c r="L1075" s="2">
        <v>0</v>
      </c>
      <c r="M1075" s="2"/>
      <c r="N1075" s="8">
        <v>43097.481261574074</v>
      </c>
      <c r="O1075" s="4" t="s">
        <v>428</v>
      </c>
      <c r="P1075" s="3" t="s">
        <v>1122</v>
      </c>
      <c r="Q1075" s="4"/>
      <c r="R1075" s="4"/>
      <c r="S1075" s="2" t="s">
        <v>21</v>
      </c>
    </row>
    <row r="1076" spans="1:19" ht="40">
      <c r="A1076" s="8">
        <v>43369.301273148143</v>
      </c>
      <c r="B1076" s="11" t="str">
        <f>HYPERLINK("https://twitter.com/mjr_eng","@mjr_eng")</f>
        <v>@mjr_eng</v>
      </c>
      <c r="C1076" s="6" t="s">
        <v>1121</v>
      </c>
      <c r="D1076" s="5" t="s">
        <v>72</v>
      </c>
      <c r="E1076" s="9" t="str">
        <f>HYPERLINK("https://twitter.com/mjr_eng/status/1044794651142631425","1044794651142631425")</f>
        <v>1044794651142631425</v>
      </c>
      <c r="F1076" s="4"/>
      <c r="G1076" s="4"/>
      <c r="H1076" s="4"/>
      <c r="I1076" s="10" t="str">
        <f>HYPERLINK("http://twitter.com/download/android","Twitter for Android")</f>
        <v>Twitter for Android</v>
      </c>
      <c r="J1076" s="2">
        <v>948</v>
      </c>
      <c r="K1076" s="2">
        <v>1044</v>
      </c>
      <c r="L1076" s="2">
        <v>2</v>
      </c>
      <c r="M1076" s="2"/>
      <c r="N1076" s="8">
        <v>42918.520115740743</v>
      </c>
      <c r="O1076" s="4" t="s">
        <v>1120</v>
      </c>
      <c r="P1076" s="3" t="s">
        <v>1119</v>
      </c>
      <c r="Q1076" s="4"/>
      <c r="R1076" s="4"/>
      <c r="S1076" s="9" t="str">
        <f>HYPERLINK("https://pbs.twimg.com/profile_images/950332830181142528/lHUrPslD.jpg","View")</f>
        <v>View</v>
      </c>
    </row>
    <row r="1077" spans="1:19" ht="30">
      <c r="A1077" s="8">
        <v>43369.300717592589</v>
      </c>
      <c r="B1077" s="11" t="str">
        <f>HYPERLINK("https://twitter.com/SajadKhoshrou","@SajadKhoshrou")</f>
        <v>@SajadKhoshrou</v>
      </c>
      <c r="C1077" s="6" t="s">
        <v>1118</v>
      </c>
      <c r="D1077" s="5" t="s">
        <v>520</v>
      </c>
      <c r="E1077" s="9" t="str">
        <f>HYPERLINK("https://twitter.com/SajadKhoshrou/status/1044794447945502721","1044794447945502721")</f>
        <v>1044794447945502721</v>
      </c>
      <c r="F1077" s="4"/>
      <c r="G1077" s="4"/>
      <c r="H1077" s="4"/>
      <c r="I1077" s="10" t="str">
        <f>HYPERLINK("http://twitter.com/download/iphone","Twitter for iPhone")</f>
        <v>Twitter for iPhone</v>
      </c>
      <c r="J1077" s="2">
        <v>219</v>
      </c>
      <c r="K1077" s="2">
        <v>341</v>
      </c>
      <c r="L1077" s="2">
        <v>0</v>
      </c>
      <c r="M1077" s="2"/>
      <c r="N1077" s="8">
        <v>42346.799270833333</v>
      </c>
      <c r="O1077" s="4" t="s">
        <v>7</v>
      </c>
      <c r="P1077" s="3" t="s">
        <v>1117</v>
      </c>
      <c r="Q1077" s="4"/>
      <c r="R1077" s="4"/>
      <c r="S1077" s="9" t="str">
        <f>HYPERLINK("https://pbs.twimg.com/profile_images/969882246437105665/T5eyZbq0.jpg","View")</f>
        <v>View</v>
      </c>
    </row>
    <row r="1078" spans="1:19" ht="20">
      <c r="A1078" s="8">
        <v>43369.300636574073</v>
      </c>
      <c r="B1078" s="11" t="str">
        <f>HYPERLINK("https://twitter.com/sangarban_","@sangarban_")</f>
        <v>@sangarban_</v>
      </c>
      <c r="C1078" s="6" t="s">
        <v>1065</v>
      </c>
      <c r="D1078" s="5" t="s">
        <v>102</v>
      </c>
      <c r="E1078" s="9" t="str">
        <f>HYPERLINK("https://twitter.com/sangarban_/status/1044794418958671872","1044794418958671872")</f>
        <v>1044794418958671872</v>
      </c>
      <c r="F1078" s="4"/>
      <c r="G1078" s="4"/>
      <c r="H1078" s="4"/>
      <c r="I1078" s="10" t="str">
        <f>HYPERLINK("http://twitter.com/download/android","Twitter for Android")</f>
        <v>Twitter for Android</v>
      </c>
      <c r="J1078" s="2">
        <v>360</v>
      </c>
      <c r="K1078" s="2">
        <v>235</v>
      </c>
      <c r="L1078" s="2">
        <v>0</v>
      </c>
      <c r="M1078" s="2"/>
      <c r="N1078" s="8">
        <v>43353.486296296294</v>
      </c>
      <c r="O1078" s="4" t="s">
        <v>1064</v>
      </c>
      <c r="P1078" s="3" t="s">
        <v>1063</v>
      </c>
      <c r="Q1078" s="4"/>
      <c r="R1078" s="4"/>
      <c r="S1078" s="9" t="str">
        <f>HYPERLINK("https://pbs.twimg.com/profile_images/1043700545658195968/uG3nzf3b.jpg","View")</f>
        <v>View</v>
      </c>
    </row>
    <row r="1079" spans="1:19" ht="20">
      <c r="A1079" s="8">
        <v>43369.300219907411</v>
      </c>
      <c r="B1079" s="11" t="str">
        <f>HYPERLINK("https://twitter.com/negarafzali1","@negarafzali1")</f>
        <v>@negarafzali1</v>
      </c>
      <c r="C1079" s="6" t="s">
        <v>1116</v>
      </c>
      <c r="D1079" s="5" t="s">
        <v>15</v>
      </c>
      <c r="E1079" s="9" t="str">
        <f>HYPERLINK("https://twitter.com/negarafzali1/status/1044794266000584704","1044794266000584704")</f>
        <v>1044794266000584704</v>
      </c>
      <c r="F1079" s="4"/>
      <c r="G1079" s="4"/>
      <c r="H1079" s="4"/>
      <c r="I1079" s="10" t="str">
        <f>HYPERLINK("http://twitter.com/download/iphone","Twitter for iPhone")</f>
        <v>Twitter for iPhone</v>
      </c>
      <c r="J1079" s="2">
        <v>23</v>
      </c>
      <c r="K1079" s="2">
        <v>36</v>
      </c>
      <c r="L1079" s="2">
        <v>0</v>
      </c>
      <c r="M1079" s="2"/>
      <c r="N1079" s="8">
        <v>43361.825995370367</v>
      </c>
      <c r="O1079" s="4"/>
      <c r="P1079" s="3" t="s">
        <v>1115</v>
      </c>
      <c r="Q1079" s="4"/>
      <c r="R1079" s="4"/>
      <c r="S1079" s="9" t="str">
        <f>HYPERLINK("https://pbs.twimg.com/profile_images/1042071040648601600/lfFkKps3.jpg","View")</f>
        <v>View</v>
      </c>
    </row>
    <row r="1080" spans="1:19" ht="40">
      <c r="A1080" s="8">
        <v>43369.299212962964</v>
      </c>
      <c r="B1080" s="11" t="str">
        <f>HYPERLINK("https://twitter.com/Mubahisalar","@Mubahisalar")</f>
        <v>@Mubahisalar</v>
      </c>
      <c r="C1080" s="6" t="s">
        <v>1114</v>
      </c>
      <c r="D1080" s="5" t="s">
        <v>174</v>
      </c>
      <c r="E1080" s="9" t="str">
        <f>HYPERLINK("https://twitter.com/Mubahisalar/status/1044793902308511744","1044793902308511744")</f>
        <v>1044793902308511744</v>
      </c>
      <c r="F1080" s="4"/>
      <c r="G1080" s="4"/>
      <c r="H1080" s="4"/>
      <c r="I1080" s="10" t="str">
        <f>HYPERLINK("http://twitter.com/download/android","Twitter for Android")</f>
        <v>Twitter for Android</v>
      </c>
      <c r="J1080" s="2">
        <v>428</v>
      </c>
      <c r="K1080" s="2">
        <v>463</v>
      </c>
      <c r="L1080" s="2">
        <v>1</v>
      </c>
      <c r="M1080" s="2"/>
      <c r="N1080" s="8">
        <v>43304.704953703702</v>
      </c>
      <c r="O1080" s="4" t="s">
        <v>1113</v>
      </c>
      <c r="P1080" s="3" t="s">
        <v>1112</v>
      </c>
      <c r="Q1080" s="4"/>
      <c r="R1080" s="4"/>
      <c r="S1080" s="9" t="str">
        <f>HYPERLINK("https://pbs.twimg.com/profile_images/1040153298609823744/87J1m2xH.jpg","View")</f>
        <v>View</v>
      </c>
    </row>
    <row r="1081" spans="1:19" ht="20">
      <c r="A1081" s="8">
        <v>43369.298460648148</v>
      </c>
      <c r="B1081" s="11" t="str">
        <f>HYPERLINK("https://twitter.com/Milad_Karami866","@Milad_Karami866")</f>
        <v>@Milad_Karami866</v>
      </c>
      <c r="C1081" s="6" t="s">
        <v>1111</v>
      </c>
      <c r="D1081" s="5" t="s">
        <v>102</v>
      </c>
      <c r="E1081" s="9" t="str">
        <f>HYPERLINK("https://twitter.com/Milad_Karami866/status/1044793629523480576","1044793629523480576")</f>
        <v>1044793629523480576</v>
      </c>
      <c r="F1081" s="4"/>
      <c r="G1081" s="4"/>
      <c r="H1081" s="4"/>
      <c r="I1081" s="10" t="str">
        <f>HYPERLINK("http://twitter.com/download/android","Twitter for Android")</f>
        <v>Twitter for Android</v>
      </c>
      <c r="J1081" s="2">
        <v>466</v>
      </c>
      <c r="K1081" s="2">
        <v>328</v>
      </c>
      <c r="L1081" s="2">
        <v>5</v>
      </c>
      <c r="M1081" s="2"/>
      <c r="N1081" s="8">
        <v>43085.566400462965</v>
      </c>
      <c r="O1081" s="4" t="s">
        <v>1110</v>
      </c>
      <c r="P1081" s="3" t="s">
        <v>1109</v>
      </c>
      <c r="Q1081" s="4"/>
      <c r="R1081" s="4"/>
      <c r="S1081" s="9" t="str">
        <f>HYPERLINK("https://pbs.twimg.com/profile_images/970963593549303808/rzIRB8G2.jpg","View")</f>
        <v>View</v>
      </c>
    </row>
    <row r="1082" spans="1:19" ht="30">
      <c r="A1082" s="8">
        <v>43369.298344907409</v>
      </c>
      <c r="B1082" s="11" t="str">
        <f>HYPERLINK("https://twitter.com/fazanavard1359","@fazanavard1359")</f>
        <v>@fazanavard1359</v>
      </c>
      <c r="C1082" s="6" t="s">
        <v>1108</v>
      </c>
      <c r="D1082" s="5" t="s">
        <v>1050</v>
      </c>
      <c r="E1082" s="9" t="str">
        <f>HYPERLINK("https://twitter.com/fazanavard1359/status/1044793590633902080","1044793590633902080")</f>
        <v>1044793590633902080</v>
      </c>
      <c r="F1082" s="4"/>
      <c r="G1082" s="4"/>
      <c r="H1082" s="4"/>
      <c r="I1082" s="10" t="str">
        <f>HYPERLINK("http://twitter.com/download/android","Twitter for Android")</f>
        <v>Twitter for Android</v>
      </c>
      <c r="J1082" s="2">
        <v>2254</v>
      </c>
      <c r="K1082" s="2">
        <v>985</v>
      </c>
      <c r="L1082" s="2">
        <v>4</v>
      </c>
      <c r="M1082" s="2"/>
      <c r="N1082" s="8">
        <v>43231.561956018515</v>
      </c>
      <c r="O1082" s="4" t="s">
        <v>1107</v>
      </c>
      <c r="P1082" s="3" t="s">
        <v>1106</v>
      </c>
      <c r="Q1082" s="10" t="s">
        <v>1105</v>
      </c>
      <c r="R1082" s="4"/>
      <c r="S1082" s="9" t="str">
        <f>HYPERLINK("https://pbs.twimg.com/profile_images/1038991954187571201/ZHy9MKc8.jpg","View")</f>
        <v>View</v>
      </c>
    </row>
    <row r="1083" spans="1:19" ht="30">
      <c r="A1083" s="8">
        <v>43369.297731481478</v>
      </c>
      <c r="B1083" s="11" t="str">
        <f>HYPERLINK("https://twitter.com/Realmhmdali","@Realmhmdali")</f>
        <v>@Realmhmdali</v>
      </c>
      <c r="C1083" s="6" t="s">
        <v>1104</v>
      </c>
      <c r="D1083" s="5" t="s">
        <v>1103</v>
      </c>
      <c r="E1083" s="9" t="str">
        <f>HYPERLINK("https://twitter.com/Realmhmdali/status/1044793366775558145","1044793366775558145")</f>
        <v>1044793366775558145</v>
      </c>
      <c r="F1083" s="4"/>
      <c r="G1083" s="4"/>
      <c r="H1083" s="4"/>
      <c r="I1083" s="10" t="str">
        <f>HYPERLINK("http://twitter.com/download/android","Twitter for Android")</f>
        <v>Twitter for Android</v>
      </c>
      <c r="J1083" s="2">
        <v>1786</v>
      </c>
      <c r="K1083" s="2">
        <v>878</v>
      </c>
      <c r="L1083" s="2">
        <v>3</v>
      </c>
      <c r="M1083" s="2"/>
      <c r="N1083" s="8">
        <v>42797.485694444447</v>
      </c>
      <c r="O1083" s="4" t="s">
        <v>16</v>
      </c>
      <c r="P1083" s="3" t="s">
        <v>1102</v>
      </c>
      <c r="Q1083" s="4"/>
      <c r="R1083" s="4"/>
      <c r="S1083" s="9" t="str">
        <f>HYPERLINK("https://pbs.twimg.com/profile_images/1042508285088292865/A4sXKJx5.jpg","View")</f>
        <v>View</v>
      </c>
    </row>
    <row r="1084" spans="1:19" ht="40">
      <c r="A1084" s="8">
        <v>43369.297337962962</v>
      </c>
      <c r="B1084" s="11" t="str">
        <f>HYPERLINK("https://twitter.com/s_omidvar","@s_omidvar")</f>
        <v>@s_omidvar</v>
      </c>
      <c r="C1084" s="6" t="s">
        <v>1101</v>
      </c>
      <c r="D1084" s="5" t="s">
        <v>28</v>
      </c>
      <c r="E1084" s="9" t="str">
        <f>HYPERLINK("https://twitter.com/s_omidvar/status/1044793222499893248","1044793222499893248")</f>
        <v>1044793222499893248</v>
      </c>
      <c r="F1084" s="4"/>
      <c r="G1084" s="4"/>
      <c r="H1084" s="4"/>
      <c r="I1084" s="10" t="str">
        <f>HYPERLINK("http://twitter.com/download/android","Twitter for Android")</f>
        <v>Twitter for Android</v>
      </c>
      <c r="J1084" s="2">
        <v>33</v>
      </c>
      <c r="K1084" s="2">
        <v>46</v>
      </c>
      <c r="L1084" s="2">
        <v>0</v>
      </c>
      <c r="M1084" s="2"/>
      <c r="N1084" s="8">
        <v>43337.927569444444</v>
      </c>
      <c r="O1084" s="4"/>
      <c r="P1084" s="3"/>
      <c r="Q1084" s="4"/>
      <c r="R1084" s="4"/>
      <c r="S1084" s="2" t="s">
        <v>21</v>
      </c>
    </row>
    <row r="1085" spans="1:19" ht="20">
      <c r="A1085" s="8">
        <v>43369.296377314815</v>
      </c>
      <c r="B1085" s="11" t="str">
        <f>HYPERLINK("https://twitter.com/godthegrey","@godthegrey")</f>
        <v>@godthegrey</v>
      </c>
      <c r="C1085" s="6" t="s">
        <v>1100</v>
      </c>
      <c r="D1085" s="5" t="s">
        <v>1099</v>
      </c>
      <c r="E1085" s="9" t="str">
        <f>HYPERLINK("https://twitter.com/godthegrey/status/1044792874355703809","1044792874355703809")</f>
        <v>1044792874355703809</v>
      </c>
      <c r="F1085" s="4"/>
      <c r="G1085" s="10" t="s">
        <v>1098</v>
      </c>
      <c r="H1085" s="4"/>
      <c r="I1085" s="10" t="str">
        <f>HYPERLINK("http://twitter.com","Twitter Web Client")</f>
        <v>Twitter Web Client</v>
      </c>
      <c r="J1085" s="2">
        <v>44</v>
      </c>
      <c r="K1085" s="2">
        <v>381</v>
      </c>
      <c r="L1085" s="2">
        <v>0</v>
      </c>
      <c r="M1085" s="2"/>
      <c r="N1085" s="8">
        <v>43350.482511574075</v>
      </c>
      <c r="O1085" s="4" t="s">
        <v>1097</v>
      </c>
      <c r="P1085" s="3" t="s">
        <v>1096</v>
      </c>
      <c r="Q1085" s="4"/>
      <c r="R1085" s="4"/>
      <c r="S1085" s="9" t="str">
        <f>HYPERLINK("https://pbs.twimg.com/profile_images/1037961661326352384/L9r_-Gaj.jpg","View")</f>
        <v>View</v>
      </c>
    </row>
    <row r="1086" spans="1:19" ht="40">
      <c r="A1086" s="8">
        <v>43369.295844907407</v>
      </c>
      <c r="B1086" s="11" t="str">
        <f>HYPERLINK("https://twitter.com/oVFzpDTiiJuK6Vb","@oVFzpDTiiJuK6Vb")</f>
        <v>@oVFzpDTiiJuK6Vb</v>
      </c>
      <c r="C1086" s="6" t="s">
        <v>1095</v>
      </c>
      <c r="D1086" s="5" t="s">
        <v>1061</v>
      </c>
      <c r="E1086" s="9" t="str">
        <f>HYPERLINK("https://twitter.com/oVFzpDTiiJuK6Vb/status/1044792681417887744","1044792681417887744")</f>
        <v>1044792681417887744</v>
      </c>
      <c r="F1086" s="4"/>
      <c r="G1086" s="4"/>
      <c r="H1086" s="4"/>
      <c r="I1086" s="10" t="str">
        <f>HYPERLINK("http://twitter.com/download/android","Twitter for Android")</f>
        <v>Twitter for Android</v>
      </c>
      <c r="J1086" s="2">
        <v>509</v>
      </c>
      <c r="K1086" s="2">
        <v>516</v>
      </c>
      <c r="L1086" s="2">
        <v>0</v>
      </c>
      <c r="M1086" s="2"/>
      <c r="N1086" s="8">
        <v>43223.486238425925</v>
      </c>
      <c r="O1086" s="4" t="s">
        <v>1094</v>
      </c>
      <c r="P1086" s="3" t="s">
        <v>1093</v>
      </c>
      <c r="Q1086" s="4"/>
      <c r="R1086" s="4"/>
      <c r="S1086" s="9" t="str">
        <f>HYPERLINK("https://pbs.twimg.com/profile_images/1030715357798051840/Pptbzt1T.jpg","View")</f>
        <v>View</v>
      </c>
    </row>
    <row r="1087" spans="1:19" ht="20">
      <c r="A1087" s="8">
        <v>43369.294444444444</v>
      </c>
      <c r="B1087" s="11" t="str">
        <f>HYPERLINK("https://twitter.com/ohm_ghanoon","@ohm_ghanoon")</f>
        <v>@ohm_ghanoon</v>
      </c>
      <c r="C1087" s="6" t="s">
        <v>1092</v>
      </c>
      <c r="D1087" s="5" t="s">
        <v>1091</v>
      </c>
      <c r="E1087" s="9" t="str">
        <f>HYPERLINK("https://twitter.com/ohm_ghanoon/status/1044792173353488384","1044792173353488384")</f>
        <v>1044792173353488384</v>
      </c>
      <c r="F1087" s="4"/>
      <c r="G1087" s="4"/>
      <c r="H1087" s="4"/>
      <c r="I1087" s="10" t="str">
        <f>HYPERLINK("https://mobile.twitter.com","Twitter Lite")</f>
        <v>Twitter Lite</v>
      </c>
      <c r="J1087" s="2">
        <v>122</v>
      </c>
      <c r="K1087" s="2">
        <v>190</v>
      </c>
      <c r="L1087" s="2">
        <v>0</v>
      </c>
      <c r="M1087" s="2"/>
      <c r="N1087" s="8">
        <v>42632.084224537037</v>
      </c>
      <c r="O1087" s="4"/>
      <c r="P1087" s="3" t="s">
        <v>1090</v>
      </c>
      <c r="Q1087" s="4"/>
      <c r="R1087" s="4"/>
      <c r="S1087" s="9" t="str">
        <f>HYPERLINK("https://pbs.twimg.com/profile_images/959262628320129024/lpXLvWYK.jpg","View")</f>
        <v>View</v>
      </c>
    </row>
    <row r="1088" spans="1:19" ht="40">
      <c r="A1088" s="8">
        <v>43369.294259259259</v>
      </c>
      <c r="B1088" s="11" t="str">
        <f>HYPERLINK("https://twitter.com/NematianPayam","@NematianPayam")</f>
        <v>@NematianPayam</v>
      </c>
      <c r="C1088" s="6" t="s">
        <v>1089</v>
      </c>
      <c r="D1088" s="5" t="s">
        <v>174</v>
      </c>
      <c r="E1088" s="9" t="str">
        <f>HYPERLINK("https://twitter.com/NematianPayam/status/1044792108547280897","1044792108547280897")</f>
        <v>1044792108547280897</v>
      </c>
      <c r="F1088" s="4"/>
      <c r="G1088" s="4"/>
      <c r="H1088" s="4"/>
      <c r="I1088" s="10" t="str">
        <f>HYPERLINK("http://twitter.com/download/android","Twitter for Android")</f>
        <v>Twitter for Android</v>
      </c>
      <c r="J1088" s="2">
        <v>973</v>
      </c>
      <c r="K1088" s="2">
        <v>891</v>
      </c>
      <c r="L1088" s="2">
        <v>4</v>
      </c>
      <c r="M1088" s="2"/>
      <c r="N1088" s="8">
        <v>42133.770300925928</v>
      </c>
      <c r="O1088" s="4" t="s">
        <v>1</v>
      </c>
      <c r="P1088" s="3" t="s">
        <v>1088</v>
      </c>
      <c r="Q1088" s="4"/>
      <c r="R1088" s="4"/>
      <c r="S1088" s="9" t="str">
        <f>HYPERLINK("https://pbs.twimg.com/profile_images/1039403574302846977/5XsbvKdd.jpg","View")</f>
        <v>View</v>
      </c>
    </row>
    <row r="1089" spans="1:19" ht="12.5">
      <c r="A1089" s="8">
        <v>43369.29420138889</v>
      </c>
      <c r="B1089" s="11" t="str">
        <f>HYPERLINK("https://twitter.com/MSiamak","@MSiamak")</f>
        <v>@MSiamak</v>
      </c>
      <c r="C1089" s="6" t="s">
        <v>1087</v>
      </c>
      <c r="D1089" s="5" t="s">
        <v>1086</v>
      </c>
      <c r="E1089" s="9" t="str">
        <f>HYPERLINK("https://twitter.com/MSiamak/status/1044792088028762112","1044792088028762112")</f>
        <v>1044792088028762112</v>
      </c>
      <c r="F1089" s="4"/>
      <c r="G1089" s="4"/>
      <c r="H1089" s="4"/>
      <c r="I1089" s="10" t="str">
        <f>HYPERLINK("https://mobile.twitter.com","Twitter Lite")</f>
        <v>Twitter Lite</v>
      </c>
      <c r="J1089" s="2">
        <v>2124</v>
      </c>
      <c r="K1089" s="2">
        <v>1628</v>
      </c>
      <c r="L1089" s="2">
        <v>8</v>
      </c>
      <c r="M1089" s="2"/>
      <c r="N1089" s="8">
        <v>40869.14644675926</v>
      </c>
      <c r="O1089" s="4" t="s">
        <v>1085</v>
      </c>
      <c r="P1089" s="3" t="s">
        <v>1084</v>
      </c>
      <c r="Q1089" s="4"/>
      <c r="R1089" s="4"/>
      <c r="S1089" s="9" t="str">
        <f>HYPERLINK("https://pbs.twimg.com/profile_images/1038445846482886659/lh8j0ZeD.jpg","View")</f>
        <v>View</v>
      </c>
    </row>
    <row r="1090" spans="1:19" ht="30">
      <c r="A1090" s="8">
        <v>43369.294120370367</v>
      </c>
      <c r="B1090" s="11" t="str">
        <f>HYPERLINK("https://twitter.com/mehrad389","@mehrad389")</f>
        <v>@mehrad389</v>
      </c>
      <c r="C1090" s="6" t="s">
        <v>1083</v>
      </c>
      <c r="D1090" s="5" t="s">
        <v>49</v>
      </c>
      <c r="E1090" s="9" t="str">
        <f>HYPERLINK("https://twitter.com/mehrad389/status/1044792056323944448","1044792056323944448")</f>
        <v>1044792056323944448</v>
      </c>
      <c r="F1090" s="4"/>
      <c r="G1090" s="4"/>
      <c r="H1090" s="4"/>
      <c r="I1090" s="10" t="str">
        <f>HYPERLINK("http://twitter.com/download/android","Twitter for Android")</f>
        <v>Twitter for Android</v>
      </c>
      <c r="J1090" s="2">
        <v>404</v>
      </c>
      <c r="K1090" s="2">
        <v>577</v>
      </c>
      <c r="L1090" s="2">
        <v>1</v>
      </c>
      <c r="M1090" s="2"/>
      <c r="N1090" s="8">
        <v>42096.905208333337</v>
      </c>
      <c r="O1090" s="4"/>
      <c r="P1090" s="3" t="s">
        <v>1082</v>
      </c>
      <c r="Q1090" s="4"/>
      <c r="R1090" s="4"/>
      <c r="S1090" s="9" t="str">
        <f>HYPERLINK("https://pbs.twimg.com/profile_images/1016601906767106051/JqXxrAdx.jpg","View")</f>
        <v>View</v>
      </c>
    </row>
    <row r="1091" spans="1:19" ht="40">
      <c r="A1091" s="8">
        <v>43369.293935185182</v>
      </c>
      <c r="B1091" s="11" t="str">
        <f>HYPERLINK("https://twitter.com/biiigharar","@biiigharar")</f>
        <v>@biiigharar</v>
      </c>
      <c r="C1091" s="6" t="s">
        <v>1081</v>
      </c>
      <c r="D1091" s="5" t="s">
        <v>174</v>
      </c>
      <c r="E1091" s="9" t="str">
        <f>HYPERLINK("https://twitter.com/biiigharar/status/1044791992574779392","1044791992574779392")</f>
        <v>1044791992574779392</v>
      </c>
      <c r="F1091" s="4"/>
      <c r="G1091" s="4"/>
      <c r="H1091" s="4"/>
      <c r="I1091" s="10" t="str">
        <f>HYPERLINK("http://twitter.com/download/android","Twitter for Android")</f>
        <v>Twitter for Android</v>
      </c>
      <c r="J1091" s="2">
        <v>1741</v>
      </c>
      <c r="K1091" s="2">
        <v>641</v>
      </c>
      <c r="L1091" s="2">
        <v>4</v>
      </c>
      <c r="M1091" s="2"/>
      <c r="N1091" s="8">
        <v>43104.549085648148</v>
      </c>
      <c r="O1091" s="4"/>
      <c r="P1091" s="3" t="s">
        <v>1080</v>
      </c>
      <c r="Q1091" s="10" t="s">
        <v>1079</v>
      </c>
      <c r="R1091" s="4"/>
      <c r="S1091" s="9" t="str">
        <f>HYPERLINK("https://pbs.twimg.com/profile_images/1017370287313227776/UaBtgY8j.jpg","View")</f>
        <v>View</v>
      </c>
    </row>
    <row r="1092" spans="1:19" ht="20">
      <c r="A1092" s="8">
        <v>43369.293807870374</v>
      </c>
      <c r="B1092" s="11" t="str">
        <f>HYPERLINK("https://twitter.com/biiigharar","@biiigharar")</f>
        <v>@biiigharar</v>
      </c>
      <c r="C1092" s="6" t="s">
        <v>1081</v>
      </c>
      <c r="D1092" s="5" t="s">
        <v>102</v>
      </c>
      <c r="E1092" s="9" t="str">
        <f>HYPERLINK("https://twitter.com/biiigharar/status/1044791944348659715","1044791944348659715")</f>
        <v>1044791944348659715</v>
      </c>
      <c r="F1092" s="4"/>
      <c r="G1092" s="4"/>
      <c r="H1092" s="4"/>
      <c r="I1092" s="10" t="str">
        <f>HYPERLINK("http://twitter.com/download/android","Twitter for Android")</f>
        <v>Twitter for Android</v>
      </c>
      <c r="J1092" s="2">
        <v>1741</v>
      </c>
      <c r="K1092" s="2">
        <v>641</v>
      </c>
      <c r="L1092" s="2">
        <v>4</v>
      </c>
      <c r="M1092" s="2"/>
      <c r="N1092" s="8">
        <v>43104.549085648148</v>
      </c>
      <c r="O1092" s="4"/>
      <c r="P1092" s="3" t="s">
        <v>1080</v>
      </c>
      <c r="Q1092" s="10" t="s">
        <v>1079</v>
      </c>
      <c r="R1092" s="4"/>
      <c r="S1092" s="9" t="str">
        <f>HYPERLINK("https://pbs.twimg.com/profile_images/1017370287313227776/UaBtgY8j.jpg","View")</f>
        <v>View</v>
      </c>
    </row>
    <row r="1093" spans="1:19" ht="40">
      <c r="A1093" s="8">
        <v>43369.293425925927</v>
      </c>
      <c r="B1093" s="11" t="str">
        <f>HYPERLINK("https://twitter.com/SaharFatemi","@SaharFatemi")</f>
        <v>@SaharFatemi</v>
      </c>
      <c r="C1093" s="6" t="s">
        <v>1078</v>
      </c>
      <c r="D1093" s="5" t="s">
        <v>1077</v>
      </c>
      <c r="E1093" s="9" t="str">
        <f>HYPERLINK("https://twitter.com/SaharFatemi/status/1044791804237950979","1044791804237950979")</f>
        <v>1044791804237950979</v>
      </c>
      <c r="F1093" s="4"/>
      <c r="G1093" s="10" t="s">
        <v>1076</v>
      </c>
      <c r="H1093" s="4"/>
      <c r="I1093" s="10" t="str">
        <f>HYPERLINK("http://twitter.com","Twitter Web Client")</f>
        <v>Twitter Web Client</v>
      </c>
      <c r="J1093" s="2">
        <v>2788</v>
      </c>
      <c r="K1093" s="2">
        <v>2443</v>
      </c>
      <c r="L1093" s="2">
        <v>43</v>
      </c>
      <c r="M1093" s="2"/>
      <c r="N1093" s="8">
        <v>41065.028796296298</v>
      </c>
      <c r="O1093" s="4" t="s">
        <v>493</v>
      </c>
      <c r="P1093" s="3"/>
      <c r="Q1093" s="4"/>
      <c r="R1093" s="4"/>
      <c r="S1093" s="9" t="str">
        <f>HYPERLINK("https://pbs.twimg.com/profile_images/957085377722044416/xADZX7Wf.jpg","View")</f>
        <v>View</v>
      </c>
    </row>
    <row r="1094" spans="1:19" ht="30">
      <c r="A1094" s="8">
        <v>43369.293368055558</v>
      </c>
      <c r="B1094" s="11" t="str">
        <f>HYPERLINK("https://twitter.com/MNafchi","@MNafchi")</f>
        <v>@MNafchi</v>
      </c>
      <c r="C1094" s="6" t="s">
        <v>1075</v>
      </c>
      <c r="D1094" s="5" t="s">
        <v>1074</v>
      </c>
      <c r="E1094" s="9" t="str">
        <f>HYPERLINK("https://twitter.com/MNafchi/status/1044791786680602625","1044791786680602625")</f>
        <v>1044791786680602625</v>
      </c>
      <c r="F1094" s="4"/>
      <c r="G1094" s="4"/>
      <c r="H1094" s="4"/>
      <c r="I1094" s="10" t="str">
        <f>HYPERLINK("http://twitter.com/download/android","Twitter for Android")</f>
        <v>Twitter for Android</v>
      </c>
      <c r="J1094" s="2">
        <v>4087</v>
      </c>
      <c r="K1094" s="2">
        <v>3928</v>
      </c>
      <c r="L1094" s="2">
        <v>2</v>
      </c>
      <c r="M1094" s="2"/>
      <c r="N1094" s="8">
        <v>42999.2653125</v>
      </c>
      <c r="O1094" s="4" t="s">
        <v>7</v>
      </c>
      <c r="P1094" s="3" t="s">
        <v>1073</v>
      </c>
      <c r="Q1094" s="4"/>
      <c r="R1094" s="4"/>
      <c r="S1094" s="9" t="str">
        <f>HYPERLINK("https://pbs.twimg.com/profile_images/950958160717799425/oVzNIBhc.jpg","View")</f>
        <v>View</v>
      </c>
    </row>
    <row r="1095" spans="1:19" ht="30">
      <c r="A1095" s="8">
        <v>43369.293229166666</v>
      </c>
      <c r="B1095" s="11" t="str">
        <f>HYPERLINK("https://twitter.com/zanjani2018","@zanjani2018")</f>
        <v>@zanjani2018</v>
      </c>
      <c r="C1095" s="6" t="s">
        <v>1072</v>
      </c>
      <c r="D1095" s="5" t="s">
        <v>1071</v>
      </c>
      <c r="E1095" s="9" t="str">
        <f>HYPERLINK("https://twitter.com/zanjani2018/status/1044791734042079232","1044791734042079232")</f>
        <v>1044791734042079232</v>
      </c>
      <c r="F1095" s="4"/>
      <c r="G1095" s="4"/>
      <c r="H1095" s="4"/>
      <c r="I1095" s="10" t="str">
        <f>HYPERLINK("http://twitter.com/download/android","Twitter for Android")</f>
        <v>Twitter for Android</v>
      </c>
      <c r="J1095" s="2">
        <v>40</v>
      </c>
      <c r="K1095" s="2">
        <v>123</v>
      </c>
      <c r="L1095" s="2">
        <v>0</v>
      </c>
      <c r="M1095" s="2"/>
      <c r="N1095" s="8">
        <v>43330.738750000004</v>
      </c>
      <c r="O1095" s="4"/>
      <c r="P1095" s="3" t="s">
        <v>1070</v>
      </c>
      <c r="Q1095" s="4"/>
      <c r="R1095" s="4"/>
      <c r="S1095" s="9" t="str">
        <f>HYPERLINK("https://pbs.twimg.com/profile_images/1036605109021696000/p-ZbkSn5.jpg","View")</f>
        <v>View</v>
      </c>
    </row>
    <row r="1096" spans="1:19" ht="40">
      <c r="A1096" s="8">
        <v>43369.29315972222</v>
      </c>
      <c r="B1096" s="11" t="str">
        <f>HYPERLINK("https://twitter.com/sangarban_","@sangarban_")</f>
        <v>@sangarban_</v>
      </c>
      <c r="C1096" s="6" t="s">
        <v>1065</v>
      </c>
      <c r="D1096" s="5" t="s">
        <v>686</v>
      </c>
      <c r="E1096" s="9" t="str">
        <f>HYPERLINK("https://twitter.com/sangarban_/status/1044791710914674689","1044791710914674689")</f>
        <v>1044791710914674689</v>
      </c>
      <c r="F1096" s="4"/>
      <c r="G1096" s="4"/>
      <c r="H1096" s="4"/>
      <c r="I1096" s="10" t="str">
        <f>HYPERLINK("http://twitter.com/download/android","Twitter for Android")</f>
        <v>Twitter for Android</v>
      </c>
      <c r="J1096" s="2">
        <v>360</v>
      </c>
      <c r="K1096" s="2">
        <v>235</v>
      </c>
      <c r="L1096" s="2">
        <v>0</v>
      </c>
      <c r="M1096" s="2"/>
      <c r="N1096" s="8">
        <v>43353.486296296294</v>
      </c>
      <c r="O1096" s="4" t="s">
        <v>1064</v>
      </c>
      <c r="P1096" s="3" t="s">
        <v>1063</v>
      </c>
      <c r="Q1096" s="4"/>
      <c r="R1096" s="4"/>
      <c r="S1096" s="9" t="str">
        <f>HYPERLINK("https://pbs.twimg.com/profile_images/1043700545658195968/uG3nzf3b.jpg","View")</f>
        <v>View</v>
      </c>
    </row>
    <row r="1097" spans="1:19" ht="20">
      <c r="A1097" s="8">
        <v>43369.293020833335</v>
      </c>
      <c r="B1097" s="11" t="str">
        <f>HYPERLINK("https://twitter.com/Arash57228","@Arash57228")</f>
        <v>@Arash57228</v>
      </c>
      <c r="C1097" s="6" t="s">
        <v>1054</v>
      </c>
      <c r="D1097" s="5" t="s">
        <v>1069</v>
      </c>
      <c r="E1097" s="9" t="str">
        <f>HYPERLINK("https://twitter.com/Arash57228/status/1044791660755013632","1044791660755013632")</f>
        <v>1044791660755013632</v>
      </c>
      <c r="F1097" s="4"/>
      <c r="G1097" s="10" t="s">
        <v>1068</v>
      </c>
      <c r="H1097" s="4"/>
      <c r="I1097" s="10" t="str">
        <f>HYPERLINK("http://twitter.com/download/android","Twitter for Android")</f>
        <v>Twitter for Android</v>
      </c>
      <c r="J1097" s="2">
        <v>28</v>
      </c>
      <c r="K1097" s="2">
        <v>34</v>
      </c>
      <c r="L1097" s="2">
        <v>0</v>
      </c>
      <c r="M1097" s="2"/>
      <c r="N1097" s="8">
        <v>41713.961018518516</v>
      </c>
      <c r="O1097" s="4"/>
      <c r="P1097" s="3"/>
      <c r="Q1097" s="4"/>
      <c r="R1097" s="4"/>
      <c r="S1097" s="9" t="str">
        <f>HYPERLINK("https://pbs.twimg.com/profile_images/904642440362999808/Tvzy4Kdl.jpg","View")</f>
        <v>View</v>
      </c>
    </row>
    <row r="1098" spans="1:19" ht="40">
      <c r="A1098" s="8">
        <v>43369.292858796296</v>
      </c>
      <c r="B1098" s="11" t="str">
        <f>HYPERLINK("https://twitter.com/shahinshayea","@shahinshayea")</f>
        <v>@shahinshayea</v>
      </c>
      <c r="C1098" s="6" t="s">
        <v>1067</v>
      </c>
      <c r="D1098" s="5" t="s">
        <v>1061</v>
      </c>
      <c r="E1098" s="9" t="str">
        <f>HYPERLINK("https://twitter.com/shahinshayea/status/1044791601854263296","1044791601854263296")</f>
        <v>1044791601854263296</v>
      </c>
      <c r="F1098" s="4"/>
      <c r="G1098" s="4"/>
      <c r="H1098" s="4"/>
      <c r="I1098" s="10" t="str">
        <f>HYPERLINK("http://twitter.com/download/android","Twitter for Android")</f>
        <v>Twitter for Android</v>
      </c>
      <c r="J1098" s="2">
        <v>3346</v>
      </c>
      <c r="K1098" s="2">
        <v>3930</v>
      </c>
      <c r="L1098" s="2">
        <v>1</v>
      </c>
      <c r="M1098" s="2"/>
      <c r="N1098" s="8">
        <v>43305.017557870371</v>
      </c>
      <c r="O1098" s="4"/>
      <c r="P1098" s="3" t="s">
        <v>1066</v>
      </c>
      <c r="Q1098" s="4"/>
      <c r="R1098" s="4"/>
      <c r="S1098" s="9" t="str">
        <f>HYPERLINK("https://pbs.twimg.com/profile_images/1041855773054328835/Ie6gv1P7.jpg","View")</f>
        <v>View</v>
      </c>
    </row>
    <row r="1099" spans="1:19" ht="40">
      <c r="A1099" s="8">
        <v>43369.292800925927</v>
      </c>
      <c r="B1099" s="11" t="str">
        <f>HYPERLINK("https://twitter.com/IRConfederation","@IRConfederation")</f>
        <v>@IRConfederation</v>
      </c>
      <c r="C1099" s="6" t="s">
        <v>864</v>
      </c>
      <c r="D1099" s="5" t="s">
        <v>1061</v>
      </c>
      <c r="E1099" s="9" t="str">
        <f>HYPERLINK("https://twitter.com/IRConfederation/status/1044791580845121536","1044791580845121536")</f>
        <v>1044791580845121536</v>
      </c>
      <c r="F1099" s="4"/>
      <c r="G1099" s="4"/>
      <c r="H1099" s="4"/>
      <c r="I1099" s="10" t="str">
        <f>HYPERLINK("https://plus.google.com","IRConfederation3999999999999999")</f>
        <v>IRConfederation3999999999999999</v>
      </c>
      <c r="J1099" s="2">
        <v>6727</v>
      </c>
      <c r="K1099" s="2">
        <v>6000</v>
      </c>
      <c r="L1099" s="2">
        <v>5</v>
      </c>
      <c r="M1099" s="2"/>
      <c r="N1099" s="8">
        <v>43120.991851851853</v>
      </c>
      <c r="O1099" s="4"/>
      <c r="P1099" s="3" t="s">
        <v>862</v>
      </c>
      <c r="Q1099" s="4"/>
      <c r="R1099" s="4"/>
      <c r="S1099" s="9" t="str">
        <f>HYPERLINK("https://pbs.twimg.com/profile_images/974628375183679495/98Dg7qxB.jpg","View")</f>
        <v>View</v>
      </c>
    </row>
    <row r="1100" spans="1:19" ht="30">
      <c r="A1100" s="8">
        <v>43369.291886574079</v>
      </c>
      <c r="B1100" s="11" t="str">
        <f>HYPERLINK("https://twitter.com/sangarban_","@sangarban_")</f>
        <v>@sangarban_</v>
      </c>
      <c r="C1100" s="6" t="s">
        <v>1065</v>
      </c>
      <c r="D1100" s="5" t="s">
        <v>675</v>
      </c>
      <c r="E1100" s="9" t="str">
        <f>HYPERLINK("https://twitter.com/sangarban_/status/1044791248228429825","1044791248228429825")</f>
        <v>1044791248228429825</v>
      </c>
      <c r="F1100" s="4"/>
      <c r="G1100" s="4"/>
      <c r="H1100" s="4"/>
      <c r="I1100" s="10" t="str">
        <f>HYPERLINK("http://twitter.com/download/android","Twitter for Android")</f>
        <v>Twitter for Android</v>
      </c>
      <c r="J1100" s="2">
        <v>360</v>
      </c>
      <c r="K1100" s="2">
        <v>235</v>
      </c>
      <c r="L1100" s="2">
        <v>0</v>
      </c>
      <c r="M1100" s="2"/>
      <c r="N1100" s="8">
        <v>43353.486296296294</v>
      </c>
      <c r="O1100" s="4" t="s">
        <v>1064</v>
      </c>
      <c r="P1100" s="3" t="s">
        <v>1063</v>
      </c>
      <c r="Q1100" s="4"/>
      <c r="R1100" s="4"/>
      <c r="S1100" s="9" t="str">
        <f>HYPERLINK("https://pbs.twimg.com/profile_images/1043700545658195968/uG3nzf3b.jpg","View")</f>
        <v>View</v>
      </c>
    </row>
    <row r="1101" spans="1:19" ht="40">
      <c r="A1101" s="8">
        <v>43369.291550925926</v>
      </c>
      <c r="B1101" s="11" t="str">
        <f>HYPERLINK("https://twitter.com/Hm5154H","@Hm5154H")</f>
        <v>@Hm5154H</v>
      </c>
      <c r="C1101" s="6" t="s">
        <v>1062</v>
      </c>
      <c r="D1101" s="5" t="s">
        <v>1061</v>
      </c>
      <c r="E1101" s="9" t="str">
        <f>HYPERLINK("https://twitter.com/Hm5154H/status/1044791127390519297","1044791127390519297")</f>
        <v>1044791127390519297</v>
      </c>
      <c r="F1101" s="4"/>
      <c r="G1101" s="4"/>
      <c r="H1101" s="4"/>
      <c r="I1101" s="10" t="str">
        <f>HYPERLINK("http://twitter.com/download/android","Twitter for Android")</f>
        <v>Twitter for Android</v>
      </c>
      <c r="J1101" s="2">
        <v>1801</v>
      </c>
      <c r="K1101" s="2">
        <v>1870</v>
      </c>
      <c r="L1101" s="2">
        <v>0</v>
      </c>
      <c r="M1101" s="2"/>
      <c r="N1101" s="8">
        <v>43210.42863425926</v>
      </c>
      <c r="O1101" s="4"/>
      <c r="P1101" s="3" t="s">
        <v>1060</v>
      </c>
      <c r="Q1101" s="4"/>
      <c r="R1101" s="4"/>
      <c r="S1101" s="9" t="str">
        <f>HYPERLINK("https://pbs.twimg.com/profile_images/1001150890596646912/HgyzLBF6.jpg","View")</f>
        <v>View</v>
      </c>
    </row>
    <row r="1102" spans="1:19" ht="50">
      <c r="A1102" s="8">
        <v>43369.290729166663</v>
      </c>
      <c r="B1102" s="11" t="str">
        <f>HYPERLINK("https://twitter.com/imani_kamran","@imani_kamran")</f>
        <v>@imani_kamran</v>
      </c>
      <c r="C1102" s="6" t="s">
        <v>1059</v>
      </c>
      <c r="D1102" s="5" t="s">
        <v>917</v>
      </c>
      <c r="E1102" s="9" t="str">
        <f>HYPERLINK("https://twitter.com/imani_kamran/status/1044790829452328960","1044790829452328960")</f>
        <v>1044790829452328960</v>
      </c>
      <c r="F1102" s="4"/>
      <c r="G1102" s="4"/>
      <c r="H1102" s="4"/>
      <c r="I1102" s="10" t="str">
        <f>HYPERLINK("http://twitter.com/download/iphone","Twitter for iPhone")</f>
        <v>Twitter for iPhone</v>
      </c>
      <c r="J1102" s="2">
        <v>54</v>
      </c>
      <c r="K1102" s="2">
        <v>56</v>
      </c>
      <c r="L1102" s="2">
        <v>0</v>
      </c>
      <c r="M1102" s="2"/>
      <c r="N1102" s="8">
        <v>39819.946458333332</v>
      </c>
      <c r="O1102" s="4" t="s">
        <v>7</v>
      </c>
      <c r="P1102" s="3"/>
      <c r="Q1102" s="4"/>
      <c r="R1102" s="4"/>
      <c r="S1102" s="9" t="str">
        <f>HYPERLINK("https://pbs.twimg.com/profile_images/498852382265315328/l2VJd-K1.jpeg","View")</f>
        <v>View</v>
      </c>
    </row>
    <row r="1103" spans="1:19" ht="30">
      <c r="A1103" s="8">
        <v>43369.290659722217</v>
      </c>
      <c r="B1103" s="11" t="str">
        <f>HYPERLINK("https://twitter.com/Ahmad1818316366","@Ahmad1818316366")</f>
        <v>@Ahmad1818316366</v>
      </c>
      <c r="C1103" s="6" t="s">
        <v>1058</v>
      </c>
      <c r="D1103" s="5" t="s">
        <v>106</v>
      </c>
      <c r="E1103" s="9" t="str">
        <f>HYPERLINK("https://twitter.com/Ahmad1818316366/status/1044790801841221632","1044790801841221632")</f>
        <v>1044790801841221632</v>
      </c>
      <c r="F1103" s="4"/>
      <c r="G1103" s="10" t="s">
        <v>105</v>
      </c>
      <c r="H1103" s="4"/>
      <c r="I1103" s="10" t="str">
        <f>HYPERLINK("http://twitter.com/download/android","Twitter for Android")</f>
        <v>Twitter for Android</v>
      </c>
      <c r="J1103" s="2">
        <v>373</v>
      </c>
      <c r="K1103" s="2">
        <v>4828</v>
      </c>
      <c r="L1103" s="2">
        <v>0</v>
      </c>
      <c r="M1103" s="2"/>
      <c r="N1103" s="8">
        <v>43187.329618055555</v>
      </c>
      <c r="O1103" s="4" t="s">
        <v>16</v>
      </c>
      <c r="P1103" s="3" t="s">
        <v>1057</v>
      </c>
      <c r="Q1103" s="4"/>
      <c r="R1103" s="4"/>
      <c r="S1103" s="9" t="str">
        <f>HYPERLINK("https://pbs.twimg.com/profile_images/1028815789724454914/QBeu8HAY.jpg","View")</f>
        <v>View</v>
      </c>
    </row>
    <row r="1104" spans="1:19" ht="40">
      <c r="A1104" s="8">
        <v>43369.290543981479</v>
      </c>
      <c r="B1104" s="11" t="str">
        <f>HYPERLINK("https://twitter.com/Hanie_jazzab","@Hanie_jazzab")</f>
        <v>@Hanie_jazzab</v>
      </c>
      <c r="C1104" s="6" t="s">
        <v>1056</v>
      </c>
      <c r="D1104" s="5" t="s">
        <v>28</v>
      </c>
      <c r="E1104" s="9" t="str">
        <f>HYPERLINK("https://twitter.com/Hanie_jazzab/status/1044790762741944321","1044790762741944321")</f>
        <v>1044790762741944321</v>
      </c>
      <c r="F1104" s="4"/>
      <c r="G1104" s="4"/>
      <c r="H1104" s="4"/>
      <c r="I1104" s="10" t="str">
        <f>HYPERLINK("https://mobile.twitter.com","Twitter Lite")</f>
        <v>Twitter Lite</v>
      </c>
      <c r="J1104" s="2">
        <v>36</v>
      </c>
      <c r="K1104" s="2">
        <v>58</v>
      </c>
      <c r="L1104" s="2">
        <v>0</v>
      </c>
      <c r="M1104" s="2"/>
      <c r="N1104" s="8">
        <v>43354.437916666662</v>
      </c>
      <c r="O1104" s="4"/>
      <c r="P1104" s="3" t="s">
        <v>1055</v>
      </c>
      <c r="Q1104" s="4"/>
      <c r="R1104" s="4"/>
      <c r="S1104" s="9" t="str">
        <f>HYPERLINK("https://pbs.twimg.com/profile_images/1043054615846170625/H8qcUbND.jpg","View")</f>
        <v>View</v>
      </c>
    </row>
    <row r="1105" spans="1:19" ht="20">
      <c r="A1105" s="8">
        <v>43369.290196759262</v>
      </c>
      <c r="B1105" s="11" t="str">
        <f>HYPERLINK("https://twitter.com/Arash57228","@Arash57228")</f>
        <v>@Arash57228</v>
      </c>
      <c r="C1105" s="6" t="s">
        <v>1054</v>
      </c>
      <c r="D1105" s="5" t="s">
        <v>1053</v>
      </c>
      <c r="E1105" s="9" t="str">
        <f>HYPERLINK("https://twitter.com/Arash57228/status/1044790635994251264","1044790635994251264")</f>
        <v>1044790635994251264</v>
      </c>
      <c r="F1105" s="4"/>
      <c r="G1105" s="10" t="s">
        <v>1052</v>
      </c>
      <c r="H1105" s="4"/>
      <c r="I1105" s="10" t="str">
        <f>HYPERLINK("http://twitter.com/download/android","Twitter for Android")</f>
        <v>Twitter for Android</v>
      </c>
      <c r="J1105" s="2">
        <v>28</v>
      </c>
      <c r="K1105" s="2">
        <v>34</v>
      </c>
      <c r="L1105" s="2">
        <v>0</v>
      </c>
      <c r="M1105" s="2"/>
      <c r="N1105" s="8">
        <v>41713.961018518516</v>
      </c>
      <c r="O1105" s="4"/>
      <c r="P1105" s="3"/>
      <c r="Q1105" s="4"/>
      <c r="R1105" s="4"/>
      <c r="S1105" s="9" t="str">
        <f>HYPERLINK("https://pbs.twimg.com/profile_images/904642440362999808/Tvzy4Kdl.jpg","View")</f>
        <v>View</v>
      </c>
    </row>
    <row r="1106" spans="1:19" ht="40">
      <c r="A1106" s="8">
        <v>43369.288958333331</v>
      </c>
      <c r="B1106" s="11" t="str">
        <f>HYPERLINK("https://twitter.com/sb__says","@sb__says")</f>
        <v>@sb__says</v>
      </c>
      <c r="C1106" s="6" t="s">
        <v>1048</v>
      </c>
      <c r="D1106" s="5" t="s">
        <v>72</v>
      </c>
      <c r="E1106" s="9" t="str">
        <f>HYPERLINK("https://twitter.com/sb__says/status/1044790188956938240","1044790188956938240")</f>
        <v>1044790188956938240</v>
      </c>
      <c r="F1106" s="4"/>
      <c r="G1106" s="4"/>
      <c r="H1106" s="4"/>
      <c r="I1106" s="10" t="str">
        <f>HYPERLINK("http://twitter.com/download/android","Twitter for Android")</f>
        <v>Twitter for Android</v>
      </c>
      <c r="J1106" s="2">
        <v>678</v>
      </c>
      <c r="K1106" s="2">
        <v>190</v>
      </c>
      <c r="L1106" s="2">
        <v>3</v>
      </c>
      <c r="M1106" s="2"/>
      <c r="N1106" s="8">
        <v>42843.719652777778</v>
      </c>
      <c r="O1106" s="4"/>
      <c r="P1106" s="3" t="s">
        <v>1047</v>
      </c>
      <c r="Q1106" s="10" t="s">
        <v>1046</v>
      </c>
      <c r="R1106" s="4"/>
      <c r="S1106" s="9" t="str">
        <f>HYPERLINK("https://pbs.twimg.com/profile_images/1039543405209108480/83_2-_pw.jpg","View")</f>
        <v>View</v>
      </c>
    </row>
    <row r="1107" spans="1:19" ht="30">
      <c r="A1107" s="8">
        <v>43369.288171296299</v>
      </c>
      <c r="B1107" s="11" t="str">
        <f>HYPERLINK("https://twitter.com/setila290","@setila290")</f>
        <v>@setila290</v>
      </c>
      <c r="C1107" s="6" t="s">
        <v>1051</v>
      </c>
      <c r="D1107" s="5" t="s">
        <v>1050</v>
      </c>
      <c r="E1107" s="9" t="str">
        <f>HYPERLINK("https://twitter.com/setila290/status/1044789903836553216","1044789903836553216")</f>
        <v>1044789903836553216</v>
      </c>
      <c r="F1107" s="4"/>
      <c r="G1107" s="4"/>
      <c r="H1107" s="4"/>
      <c r="I1107" s="10" t="str">
        <f>HYPERLINK("http://twitter.com/download/android","Twitter for Android")</f>
        <v>Twitter for Android</v>
      </c>
      <c r="J1107" s="2">
        <v>3469</v>
      </c>
      <c r="K1107" s="2">
        <v>3829</v>
      </c>
      <c r="L1107" s="2">
        <v>7</v>
      </c>
      <c r="M1107" s="2"/>
      <c r="N1107" s="8">
        <v>43075.566770833335</v>
      </c>
      <c r="O1107" s="4" t="s">
        <v>101</v>
      </c>
      <c r="P1107" s="3" t="s">
        <v>1049</v>
      </c>
      <c r="Q1107" s="4"/>
      <c r="R1107" s="4"/>
      <c r="S1107" s="9" t="str">
        <f>HYPERLINK("https://pbs.twimg.com/profile_images/1038509182280978432/htTchfmh.jpg","View")</f>
        <v>View</v>
      </c>
    </row>
    <row r="1108" spans="1:19" ht="40">
      <c r="A1108" s="8">
        <v>43369.287789351853</v>
      </c>
      <c r="B1108" s="11" t="str">
        <f>HYPERLINK("https://twitter.com/PersianPride59","@PersianPride59")</f>
        <v>@PersianPride59</v>
      </c>
      <c r="C1108" s="6" t="s">
        <v>644</v>
      </c>
      <c r="D1108" s="5" t="s">
        <v>986</v>
      </c>
      <c r="E1108" s="9" t="str">
        <f>HYPERLINK("https://twitter.com/PersianPride59/status/1044789762870013952","1044789762870013952")</f>
        <v>1044789762870013952</v>
      </c>
      <c r="F1108" s="4"/>
      <c r="G1108" s="4"/>
      <c r="H1108" s="4"/>
      <c r="I1108" s="10" t="str">
        <f>HYPERLINK("http://twitter.com/download/android","Twitter for Android")</f>
        <v>Twitter for Android</v>
      </c>
      <c r="J1108" s="2">
        <v>274</v>
      </c>
      <c r="K1108" s="2">
        <v>280</v>
      </c>
      <c r="L1108" s="2">
        <v>0</v>
      </c>
      <c r="M1108" s="2"/>
      <c r="N1108" s="8">
        <v>43120.423912037033</v>
      </c>
      <c r="O1108" s="4" t="s">
        <v>641</v>
      </c>
      <c r="P1108" s="3" t="s">
        <v>640</v>
      </c>
      <c r="Q1108" s="4"/>
      <c r="R1108" s="4"/>
      <c r="S1108" s="9" t="str">
        <f>HYPERLINK("https://pbs.twimg.com/profile_images/955622458253455361/AoDN9FXx.jpg","View")</f>
        <v>View</v>
      </c>
    </row>
    <row r="1109" spans="1:19" ht="40">
      <c r="A1109" s="8">
        <v>43369.287210648152</v>
      </c>
      <c r="B1109" s="11" t="str">
        <f>HYPERLINK("https://twitter.com/sb__says","@sb__says")</f>
        <v>@sb__says</v>
      </c>
      <c r="C1109" s="6" t="s">
        <v>1048</v>
      </c>
      <c r="D1109" s="5" t="s">
        <v>28</v>
      </c>
      <c r="E1109" s="9" t="str">
        <f>HYPERLINK("https://twitter.com/sb__says/status/1044789555562520580","1044789555562520580")</f>
        <v>1044789555562520580</v>
      </c>
      <c r="F1109" s="4"/>
      <c r="G1109" s="4"/>
      <c r="H1109" s="4"/>
      <c r="I1109" s="10" t="str">
        <f>HYPERLINK("http://twitter.com/download/android","Twitter for Android")</f>
        <v>Twitter for Android</v>
      </c>
      <c r="J1109" s="2">
        <v>678</v>
      </c>
      <c r="K1109" s="2">
        <v>190</v>
      </c>
      <c r="L1109" s="2">
        <v>3</v>
      </c>
      <c r="M1109" s="2"/>
      <c r="N1109" s="8">
        <v>42843.719652777778</v>
      </c>
      <c r="O1109" s="4"/>
      <c r="P1109" s="3" t="s">
        <v>1047</v>
      </c>
      <c r="Q1109" s="10" t="s">
        <v>1046</v>
      </c>
      <c r="R1109" s="4"/>
      <c r="S1109" s="9" t="str">
        <f>HYPERLINK("https://pbs.twimg.com/profile_images/1039543405209108480/83_2-_pw.jpg","View")</f>
        <v>View</v>
      </c>
    </row>
    <row r="1110" spans="1:19" ht="40">
      <c r="A1110" s="8">
        <v>43369.287175925929</v>
      </c>
      <c r="B1110" s="11" t="str">
        <f>HYPERLINK("https://twitter.com/arashghomeishi","@arashghomeishi")</f>
        <v>@arashghomeishi</v>
      </c>
      <c r="C1110" s="6" t="s">
        <v>1045</v>
      </c>
      <c r="D1110" s="5" t="s">
        <v>1044</v>
      </c>
      <c r="E1110" s="9" t="str">
        <f>HYPERLINK("https://twitter.com/arashghomeishi/status/1044789541616312320","1044789541616312320")</f>
        <v>1044789541616312320</v>
      </c>
      <c r="F1110" s="4"/>
      <c r="G1110" s="4"/>
      <c r="H1110" s="4"/>
      <c r="I1110" s="10" t="str">
        <f>HYPERLINK("http://twitter.com","Twitter Web Client")</f>
        <v>Twitter Web Client</v>
      </c>
      <c r="J1110" s="2">
        <v>117</v>
      </c>
      <c r="K1110" s="2">
        <v>130</v>
      </c>
      <c r="L1110" s="2">
        <v>0</v>
      </c>
      <c r="M1110" s="2"/>
      <c r="N1110" s="8">
        <v>41635.393518518518</v>
      </c>
      <c r="O1110" s="4" t="s">
        <v>1043</v>
      </c>
      <c r="P1110" s="3" t="s">
        <v>1042</v>
      </c>
      <c r="Q1110" s="10" t="s">
        <v>1041</v>
      </c>
      <c r="R1110" s="4"/>
      <c r="S1110" s="9" t="str">
        <f>HYPERLINK("https://pbs.twimg.com/profile_images/1038611810092376064/3ht1Pxrl.jpg","View")</f>
        <v>View</v>
      </c>
    </row>
    <row r="1111" spans="1:19" ht="30">
      <c r="A1111" s="8">
        <v>43369.286990740744</v>
      </c>
      <c r="B1111" s="11" t="str">
        <f>HYPERLINK("https://twitter.com/homiopatti","@homiopatti")</f>
        <v>@homiopatti</v>
      </c>
      <c r="C1111" s="6" t="s">
        <v>1040</v>
      </c>
      <c r="D1111" s="5" t="s">
        <v>1039</v>
      </c>
      <c r="E1111" s="9" t="str">
        <f>HYPERLINK("https://twitter.com/homiopatti/status/1044789473404506112","1044789473404506112")</f>
        <v>1044789473404506112</v>
      </c>
      <c r="F1111" s="4"/>
      <c r="G1111" s="4"/>
      <c r="H1111" s="4"/>
      <c r="I1111" s="10" t="str">
        <f>HYPERLINK("http://twitter.com/download/android","Twitter for Android")</f>
        <v>Twitter for Android</v>
      </c>
      <c r="J1111" s="2">
        <v>5</v>
      </c>
      <c r="K1111" s="2">
        <v>45</v>
      </c>
      <c r="L1111" s="2">
        <v>0</v>
      </c>
      <c r="M1111" s="2"/>
      <c r="N1111" s="8">
        <v>43101.015671296293</v>
      </c>
      <c r="O1111" s="4" t="s">
        <v>1038</v>
      </c>
      <c r="P1111" s="3" t="s">
        <v>1037</v>
      </c>
      <c r="Q1111" s="4"/>
      <c r="R1111" s="4"/>
      <c r="S1111" s="9" t="str">
        <f>HYPERLINK("https://pbs.twimg.com/profile_images/991220333746245632/RfuYGlJ0.jpg","View")</f>
        <v>View</v>
      </c>
    </row>
    <row r="1112" spans="1:19" ht="40">
      <c r="A1112" s="8">
        <v>43369.286932870367</v>
      </c>
      <c r="B1112" s="11" t="str">
        <f>HYPERLINK("https://twitter.com/alirezamajidi66","@alirezamajidi66")</f>
        <v>@alirezamajidi66</v>
      </c>
      <c r="C1112" s="6" t="s">
        <v>1036</v>
      </c>
      <c r="D1112" s="5" t="s">
        <v>1035</v>
      </c>
      <c r="E1112" s="9" t="str">
        <f>HYPERLINK("https://twitter.com/alirezamajidi66/status/1044789454798553090","1044789454798553090")</f>
        <v>1044789454798553090</v>
      </c>
      <c r="F1112" s="4"/>
      <c r="G1112" s="4"/>
      <c r="H1112" s="4"/>
      <c r="I1112" s="10" t="str">
        <f>HYPERLINK("http://twitter.com","Twitter Web Client")</f>
        <v>Twitter Web Client</v>
      </c>
      <c r="J1112" s="2">
        <v>623</v>
      </c>
      <c r="K1112" s="2">
        <v>80</v>
      </c>
      <c r="L1112" s="2">
        <v>6</v>
      </c>
      <c r="M1112" s="2"/>
      <c r="N1112" s="8">
        <v>43229.0778125</v>
      </c>
      <c r="O1112" s="4" t="s">
        <v>25</v>
      </c>
      <c r="P1112" s="3" t="s">
        <v>1034</v>
      </c>
      <c r="Q1112" s="4"/>
      <c r="R1112" s="4"/>
      <c r="S1112" s="9" t="str">
        <f>HYPERLINK("https://pbs.twimg.com/profile_images/993965479424282624/TXUWmS_G.jpg","View")</f>
        <v>View</v>
      </c>
    </row>
    <row r="1113" spans="1:19" ht="30">
      <c r="A1113" s="8">
        <v>43369.286458333328</v>
      </c>
      <c r="B1113" s="11" t="str">
        <f>HYPERLINK("https://twitter.com/Shahram58181753","@Shahram58181753")</f>
        <v>@Shahram58181753</v>
      </c>
      <c r="C1113" s="6" t="s">
        <v>1033</v>
      </c>
      <c r="D1113" s="5" t="s">
        <v>1032</v>
      </c>
      <c r="E1113" s="9" t="str">
        <f>HYPERLINK("https://twitter.com/Shahram58181753/status/1044789281674457088","1044789281674457088")</f>
        <v>1044789281674457088</v>
      </c>
      <c r="F1113" s="4"/>
      <c r="G1113" s="4"/>
      <c r="H1113" s="4"/>
      <c r="I1113" s="10" t="str">
        <f>HYPERLINK("http://twitter.com/download/android","Twitter for Android")</f>
        <v>Twitter for Android</v>
      </c>
      <c r="J1113" s="2">
        <v>81</v>
      </c>
      <c r="K1113" s="2">
        <v>226</v>
      </c>
      <c r="L1113" s="2">
        <v>0</v>
      </c>
      <c r="M1113" s="2"/>
      <c r="N1113" s="8">
        <v>43153.585416666669</v>
      </c>
      <c r="O1113" s="4"/>
      <c r="P1113" s="3"/>
      <c r="Q1113" s="4"/>
      <c r="R1113" s="4"/>
      <c r="S1113" s="9" t="str">
        <f>HYPERLINK("https://pbs.twimg.com/profile_images/966981010297708545/GuqMKav0.jpg","View")</f>
        <v>View</v>
      </c>
    </row>
    <row r="1114" spans="1:19" ht="30">
      <c r="A1114" s="8">
        <v>43369.286365740743</v>
      </c>
      <c r="B1114" s="11" t="str">
        <f>HYPERLINK("https://twitter.com/tsargazi1","@tsargazi1")</f>
        <v>@tsargazi1</v>
      </c>
      <c r="C1114" s="6" t="s">
        <v>1021</v>
      </c>
      <c r="D1114" s="5" t="s">
        <v>1031</v>
      </c>
      <c r="E1114" s="9" t="str">
        <f>HYPERLINK("https://twitter.com/tsargazi1/status/1044789248640135168","1044789248640135168")</f>
        <v>1044789248640135168</v>
      </c>
      <c r="F1114" s="4"/>
      <c r="G1114" s="4"/>
      <c r="H1114" s="4"/>
      <c r="I1114" s="10" t="str">
        <f>HYPERLINK("http://twitter.com/download/android","Twitter for Android")</f>
        <v>Twitter for Android</v>
      </c>
      <c r="J1114" s="2">
        <v>381</v>
      </c>
      <c r="K1114" s="2">
        <v>209</v>
      </c>
      <c r="L1114" s="2">
        <v>0</v>
      </c>
      <c r="M1114" s="2"/>
      <c r="N1114" s="8">
        <v>43310.838009259256</v>
      </c>
      <c r="O1114" s="4"/>
      <c r="P1114" s="3"/>
      <c r="Q1114" s="4"/>
      <c r="R1114" s="4"/>
      <c r="S1114" s="9" t="str">
        <f>HYPERLINK("https://pbs.twimg.com/profile_images/1024359169187557376/549d8Xus.jpg","View")</f>
        <v>View</v>
      </c>
    </row>
    <row r="1115" spans="1:19" ht="40">
      <c r="A1115" s="8">
        <v>43369.285821759258</v>
      </c>
      <c r="B1115" s="11" t="str">
        <f>HYPERLINK("https://twitter.com/AsedMostafa1014","@AsedMostafa1014")</f>
        <v>@AsedMostafa1014</v>
      </c>
      <c r="C1115" s="6" t="s">
        <v>1030</v>
      </c>
      <c r="D1115" s="5" t="s">
        <v>756</v>
      </c>
      <c r="E1115" s="9" t="str">
        <f>HYPERLINK("https://twitter.com/AsedMostafa1014/status/1044789048479494144","1044789048479494144")</f>
        <v>1044789048479494144</v>
      </c>
      <c r="F1115" s="4"/>
      <c r="G1115" s="4"/>
      <c r="H1115" s="4"/>
      <c r="I1115" s="10" t="str">
        <f>HYPERLINK("http://twitter.com/download/android","Twitter for Android")</f>
        <v>Twitter for Android</v>
      </c>
      <c r="J1115" s="2">
        <v>1848</v>
      </c>
      <c r="K1115" s="2">
        <v>2956</v>
      </c>
      <c r="L1115" s="2">
        <v>1</v>
      </c>
      <c r="M1115" s="2"/>
      <c r="N1115" s="8">
        <v>43107.326562499999</v>
      </c>
      <c r="O1115" s="4"/>
      <c r="P1115" s="3" t="s">
        <v>1029</v>
      </c>
      <c r="Q1115" s="4"/>
      <c r="R1115" s="4"/>
      <c r="S1115" s="9" t="str">
        <f>HYPERLINK("https://pbs.twimg.com/profile_images/1022813394200608768/qLhChEHy.jpg","View")</f>
        <v>View</v>
      </c>
    </row>
    <row r="1116" spans="1:19" ht="20">
      <c r="A1116" s="8">
        <v>43369.285798611112</v>
      </c>
      <c r="B1116" s="11" t="str">
        <f>HYPERLINK("https://twitter.com/nedahami","@nedahami")</f>
        <v>@nedahami</v>
      </c>
      <c r="C1116" s="6" t="s">
        <v>1028</v>
      </c>
      <c r="D1116" s="5" t="s">
        <v>102</v>
      </c>
      <c r="E1116" s="9" t="str">
        <f>HYPERLINK("https://twitter.com/nedahami/status/1044789041688829952","1044789041688829952")</f>
        <v>1044789041688829952</v>
      </c>
      <c r="F1116" s="4"/>
      <c r="G1116" s="4"/>
      <c r="H1116" s="4"/>
      <c r="I1116" s="10" t="str">
        <f>HYPERLINK("http://twitter.com/#!/download/ipad","Twitter for iPad")</f>
        <v>Twitter for iPad</v>
      </c>
      <c r="J1116" s="2">
        <v>3170</v>
      </c>
      <c r="K1116" s="2">
        <v>239</v>
      </c>
      <c r="L1116" s="2">
        <v>30</v>
      </c>
      <c r="M1116" s="2"/>
      <c r="N1116" s="8">
        <v>42658.412037037036</v>
      </c>
      <c r="O1116" s="4" t="s">
        <v>1027</v>
      </c>
      <c r="P1116" s="3" t="s">
        <v>1026</v>
      </c>
      <c r="Q1116" s="10" t="s">
        <v>1025</v>
      </c>
      <c r="R1116" s="4"/>
      <c r="S1116" s="9" t="str">
        <f>HYPERLINK("https://pbs.twimg.com/profile_images/1042774513690324992/YgA-x9nm.jpg","View")</f>
        <v>View</v>
      </c>
    </row>
    <row r="1117" spans="1:19" ht="30">
      <c r="A1117" s="8">
        <v>43369.284363425926</v>
      </c>
      <c r="B1117" s="11" t="str">
        <f>HYPERLINK("https://twitter.com/Yashar72526579","@Yashar72526579")</f>
        <v>@Yashar72526579</v>
      </c>
      <c r="C1117" s="6" t="s">
        <v>1024</v>
      </c>
      <c r="D1117" s="5" t="s">
        <v>1023</v>
      </c>
      <c r="E1117" s="9" t="str">
        <f>HYPERLINK("https://twitter.com/Yashar72526579/status/1044788521150697472","1044788521150697472")</f>
        <v>1044788521150697472</v>
      </c>
      <c r="F1117" s="4"/>
      <c r="G1117" s="4"/>
      <c r="H1117" s="4"/>
      <c r="I1117" s="10" t="str">
        <f>HYPERLINK("http://twitter.com/download/iphone","Twitter for iPhone")</f>
        <v>Twitter for iPhone</v>
      </c>
      <c r="J1117" s="2">
        <v>24</v>
      </c>
      <c r="K1117" s="2">
        <v>158</v>
      </c>
      <c r="L1117" s="2">
        <v>0</v>
      </c>
      <c r="M1117" s="2"/>
      <c r="N1117" s="8">
        <v>42867.717199074075</v>
      </c>
      <c r="O1117" s="4"/>
      <c r="P1117" s="3"/>
      <c r="Q1117" s="4"/>
      <c r="R1117" s="4"/>
      <c r="S1117" s="9" t="str">
        <f>HYPERLINK("https://pbs.twimg.com/profile_images/863012423531474945/HhclLH6B.jpg","View")</f>
        <v>View</v>
      </c>
    </row>
    <row r="1118" spans="1:19" ht="20">
      <c r="A1118" s="8">
        <v>43369.284259259264</v>
      </c>
      <c r="B1118" s="11" t="str">
        <f>HYPERLINK("https://twitter.com/ghalam313","@ghalam313")</f>
        <v>@ghalam313</v>
      </c>
      <c r="C1118" s="6" t="s">
        <v>649</v>
      </c>
      <c r="D1118" s="5" t="s">
        <v>599</v>
      </c>
      <c r="E1118" s="9" t="str">
        <f>HYPERLINK("https://twitter.com/ghalam313/status/1044788483724857344","1044788483724857344")</f>
        <v>1044788483724857344</v>
      </c>
      <c r="F1118" s="4"/>
      <c r="G1118" s="4"/>
      <c r="H1118" s="4"/>
      <c r="I1118" s="10" t="str">
        <f>HYPERLINK("http://twitter.com/download/android","Twitter for Android")</f>
        <v>Twitter for Android</v>
      </c>
      <c r="J1118" s="2">
        <v>149</v>
      </c>
      <c r="K1118" s="2">
        <v>13</v>
      </c>
      <c r="L1118" s="2">
        <v>0</v>
      </c>
      <c r="M1118" s="2"/>
      <c r="N1118" s="8">
        <v>43360.238379629634</v>
      </c>
      <c r="O1118" s="4"/>
      <c r="P1118" s="3" t="s">
        <v>648</v>
      </c>
      <c r="Q1118" s="4"/>
      <c r="R1118" s="4"/>
      <c r="S1118" s="9" t="str">
        <f>HYPERLINK("https://pbs.twimg.com/profile_images/1041500924324311040/PShkM2SO.jpg","View")</f>
        <v>View</v>
      </c>
    </row>
    <row r="1119" spans="1:19" ht="20">
      <c r="A1119" s="8">
        <v>43369.283900462964</v>
      </c>
      <c r="B1119" s="11" t="str">
        <f>HYPERLINK("https://twitter.com/vvhly","@vvhly")</f>
        <v>@vvhly</v>
      </c>
      <c r="C1119" s="6" t="s">
        <v>950</v>
      </c>
      <c r="D1119" s="5" t="s">
        <v>15</v>
      </c>
      <c r="E1119" s="9" t="str">
        <f>HYPERLINK("https://twitter.com/vvhly/status/1044788352552235008","1044788352552235008")</f>
        <v>1044788352552235008</v>
      </c>
      <c r="F1119" s="4"/>
      <c r="G1119" s="4"/>
      <c r="H1119" s="4"/>
      <c r="I1119" s="10" t="str">
        <f>HYPERLINK("http://twitter.com/download/iphone","Twitter for iPhone")</f>
        <v>Twitter for iPhone</v>
      </c>
      <c r="J1119" s="2">
        <v>453</v>
      </c>
      <c r="K1119" s="2">
        <v>380</v>
      </c>
      <c r="L1119" s="2">
        <v>2</v>
      </c>
      <c r="M1119" s="2"/>
      <c r="N1119" s="8">
        <v>41317.006527777776</v>
      </c>
      <c r="O1119" s="4" t="s">
        <v>33</v>
      </c>
      <c r="P1119" s="3" t="s">
        <v>949</v>
      </c>
      <c r="Q1119" s="4"/>
      <c r="R1119" s="4"/>
      <c r="S1119" s="9" t="str">
        <f>HYPERLINK("https://pbs.twimg.com/profile_images/918880113814589440/D1aYk2kc.jpg","View")</f>
        <v>View</v>
      </c>
    </row>
    <row r="1120" spans="1:19" ht="30">
      <c r="A1120" s="8">
        <v>43369.283761574072</v>
      </c>
      <c r="B1120" s="11" t="str">
        <f>HYPERLINK("https://twitter.com/booyezohoor","@booyezohoor")</f>
        <v>@booyezohoor</v>
      </c>
      <c r="C1120" s="6" t="s">
        <v>408</v>
      </c>
      <c r="D1120" s="5" t="s">
        <v>1022</v>
      </c>
      <c r="E1120" s="9" t="str">
        <f>HYPERLINK("https://twitter.com/booyezohoor/status/1044788303747330048","1044788303747330048")</f>
        <v>1044788303747330048</v>
      </c>
      <c r="F1120" s="4"/>
      <c r="G1120" s="4"/>
      <c r="H1120" s="4"/>
      <c r="I1120" s="10" t="str">
        <f>HYPERLINK("http://twitter.com/download/android","Twitter for Android")</f>
        <v>Twitter for Android</v>
      </c>
      <c r="J1120" s="2">
        <v>214</v>
      </c>
      <c r="K1120" s="2">
        <v>215</v>
      </c>
      <c r="L1120" s="2">
        <v>0</v>
      </c>
      <c r="M1120" s="2"/>
      <c r="N1120" s="8">
        <v>42765.670115740737</v>
      </c>
      <c r="O1120" s="4" t="s">
        <v>1</v>
      </c>
      <c r="P1120" s="3" t="s">
        <v>1019</v>
      </c>
      <c r="Q1120" s="10" t="s">
        <v>1018</v>
      </c>
      <c r="R1120" s="4"/>
      <c r="S1120" s="9" t="str">
        <f>HYPERLINK("https://pbs.twimg.com/profile_images/826768194056683521/rqYeWDQ3.jpg","View")</f>
        <v>View</v>
      </c>
    </row>
    <row r="1121" spans="1:19" ht="20">
      <c r="A1121" s="8">
        <v>43369.283750000002</v>
      </c>
      <c r="B1121" s="11" t="str">
        <f>HYPERLINK("https://twitter.com/tsargazi1","@tsargazi1")</f>
        <v>@tsargazi1</v>
      </c>
      <c r="C1121" s="6" t="s">
        <v>1021</v>
      </c>
      <c r="D1121" s="5" t="s">
        <v>79</v>
      </c>
      <c r="E1121" s="9" t="str">
        <f>HYPERLINK("https://twitter.com/tsargazi1/status/1044788298437324801","1044788298437324801")</f>
        <v>1044788298437324801</v>
      </c>
      <c r="F1121" s="4"/>
      <c r="G1121" s="4"/>
      <c r="H1121" s="4"/>
      <c r="I1121" s="10" t="str">
        <f>HYPERLINK("http://twitter.com/download/android","Twitter for Android")</f>
        <v>Twitter for Android</v>
      </c>
      <c r="J1121" s="2">
        <v>381</v>
      </c>
      <c r="K1121" s="2">
        <v>209</v>
      </c>
      <c r="L1121" s="2">
        <v>0</v>
      </c>
      <c r="M1121" s="2"/>
      <c r="N1121" s="8">
        <v>43310.838009259256</v>
      </c>
      <c r="O1121" s="4"/>
      <c r="P1121" s="3"/>
      <c r="Q1121" s="4"/>
      <c r="R1121" s="4"/>
      <c r="S1121" s="9" t="str">
        <f>HYPERLINK("https://pbs.twimg.com/profile_images/1024359169187557376/549d8Xus.jpg","View")</f>
        <v>View</v>
      </c>
    </row>
    <row r="1122" spans="1:19" ht="40">
      <c r="A1122" s="8">
        <v>43369.283668981487</v>
      </c>
      <c r="B1122" s="11" t="str">
        <f>HYPERLINK("https://twitter.com/booyezohoor","@booyezohoor")</f>
        <v>@booyezohoor</v>
      </c>
      <c r="C1122" s="6" t="s">
        <v>408</v>
      </c>
      <c r="D1122" s="5" t="s">
        <v>1020</v>
      </c>
      <c r="E1122" s="9" t="str">
        <f>HYPERLINK("https://twitter.com/booyezohoor/status/1044788268523560960","1044788268523560960")</f>
        <v>1044788268523560960</v>
      </c>
      <c r="F1122" s="4"/>
      <c r="G1122" s="4"/>
      <c r="H1122" s="4"/>
      <c r="I1122" s="10" t="str">
        <f>HYPERLINK("http://twitter.com/download/android","Twitter for Android")</f>
        <v>Twitter for Android</v>
      </c>
      <c r="J1122" s="2">
        <v>214</v>
      </c>
      <c r="K1122" s="2">
        <v>215</v>
      </c>
      <c r="L1122" s="2">
        <v>0</v>
      </c>
      <c r="M1122" s="2"/>
      <c r="N1122" s="8">
        <v>42765.670115740737</v>
      </c>
      <c r="O1122" s="4" t="s">
        <v>1</v>
      </c>
      <c r="P1122" s="3" t="s">
        <v>1019</v>
      </c>
      <c r="Q1122" s="10" t="s">
        <v>1018</v>
      </c>
      <c r="R1122" s="4"/>
      <c r="S1122" s="9" t="str">
        <f>HYPERLINK("https://pbs.twimg.com/profile_images/826768194056683521/rqYeWDQ3.jpg","View")</f>
        <v>View</v>
      </c>
    </row>
    <row r="1123" spans="1:19" ht="40">
      <c r="A1123" s="8">
        <v>43369.283113425925</v>
      </c>
      <c r="B1123" s="11" t="str">
        <f>HYPERLINK("https://twitter.com/a_sedhasan","@a_sedhasan")</f>
        <v>@a_sedhasan</v>
      </c>
      <c r="C1123" s="6" t="s">
        <v>1017</v>
      </c>
      <c r="D1123" s="5" t="s">
        <v>72</v>
      </c>
      <c r="E1123" s="9" t="str">
        <f>HYPERLINK("https://twitter.com/a_sedhasan/status/1044788070791479297","1044788070791479297")</f>
        <v>1044788070791479297</v>
      </c>
      <c r="F1123" s="4"/>
      <c r="G1123" s="4"/>
      <c r="H1123" s="4"/>
      <c r="I1123" s="10" t="str">
        <f>HYPERLINK("https://mobile.twitter.com","Twitter Lite")</f>
        <v>Twitter Lite</v>
      </c>
      <c r="J1123" s="2">
        <v>9</v>
      </c>
      <c r="K1123" s="2">
        <v>14</v>
      </c>
      <c r="L1123" s="2">
        <v>0</v>
      </c>
      <c r="M1123" s="2"/>
      <c r="N1123" s="8">
        <v>43346.456134259264</v>
      </c>
      <c r="O1123" s="4"/>
      <c r="P1123" s="3"/>
      <c r="Q1123" s="4"/>
      <c r="R1123" s="4"/>
      <c r="S1123" s="9" t="str">
        <f>HYPERLINK("https://pbs.twimg.com/profile_images/1036506926492868608/DeI9RBHI.jpg","View")</f>
        <v>View</v>
      </c>
    </row>
    <row r="1124" spans="1:19" ht="40">
      <c r="A1124" s="8">
        <v>43369.2808912037</v>
      </c>
      <c r="B1124" s="11" t="str">
        <f>HYPERLINK("https://twitter.com/shutterakas","@shutterakas")</f>
        <v>@shutterakas</v>
      </c>
      <c r="C1124" s="6" t="s">
        <v>1016</v>
      </c>
      <c r="D1124" s="5" t="s">
        <v>986</v>
      </c>
      <c r="E1124" s="9" t="str">
        <f>HYPERLINK("https://twitter.com/shutterakas/status/1044787265271156736","1044787265271156736")</f>
        <v>1044787265271156736</v>
      </c>
      <c r="F1124" s="4"/>
      <c r="G1124" s="4"/>
      <c r="H1124" s="4"/>
      <c r="I1124" s="10" t="str">
        <f>HYPERLINK("http://twitter.com/download/android","Twitter for Android")</f>
        <v>Twitter for Android</v>
      </c>
      <c r="J1124" s="2">
        <v>288</v>
      </c>
      <c r="K1124" s="2">
        <v>613</v>
      </c>
      <c r="L1124" s="2">
        <v>0</v>
      </c>
      <c r="M1124" s="2"/>
      <c r="N1124" s="8">
        <v>42086.932175925926</v>
      </c>
      <c r="O1124" s="4"/>
      <c r="P1124" s="3" t="s">
        <v>1015</v>
      </c>
      <c r="Q1124" s="4"/>
      <c r="R1124" s="4"/>
      <c r="S1124" s="9" t="str">
        <f>HYPERLINK("https://pbs.twimg.com/profile_images/996396456360595456/wLflRaMq.jpg","View")</f>
        <v>View</v>
      </c>
    </row>
    <row r="1125" spans="1:19" ht="40">
      <c r="A1125" s="8">
        <v>43369.27988425926</v>
      </c>
      <c r="B1125" s="11" t="str">
        <f>HYPERLINK("https://twitter.com/zagrozz3","@zagrozz3")</f>
        <v>@zagrozz3</v>
      </c>
      <c r="C1125" s="6" t="s">
        <v>1012</v>
      </c>
      <c r="D1125" s="5" t="s">
        <v>209</v>
      </c>
      <c r="E1125" s="9" t="str">
        <f>HYPERLINK("https://twitter.com/zagrozz3/status/1044786897061650432","1044786897061650432")</f>
        <v>1044786897061650432</v>
      </c>
      <c r="F1125" s="4"/>
      <c r="G1125" s="10" t="s">
        <v>208</v>
      </c>
      <c r="H1125" s="4"/>
      <c r="I1125" s="10" t="str">
        <f>HYPERLINK("http://twitter.com/download/android","Twitter for Android")</f>
        <v>Twitter for Android</v>
      </c>
      <c r="J1125" s="2">
        <v>84</v>
      </c>
      <c r="K1125" s="2">
        <v>63</v>
      </c>
      <c r="L1125" s="2">
        <v>0</v>
      </c>
      <c r="M1125" s="2"/>
      <c r="N1125" s="8">
        <v>43308.311898148153</v>
      </c>
      <c r="O1125" s="4" t="s">
        <v>152</v>
      </c>
      <c r="P1125" s="3"/>
      <c r="Q1125" s="4"/>
      <c r="R1125" s="4"/>
      <c r="S1125" s="9" t="str">
        <f>HYPERLINK("https://pbs.twimg.com/profile_images/1022688586464804865/UTm8H3pd.jpg","View")</f>
        <v>View</v>
      </c>
    </row>
    <row r="1126" spans="1:19" ht="40">
      <c r="A1126" s="8">
        <v>43369.279317129629</v>
      </c>
      <c r="B1126" s="11" t="str">
        <f>HYPERLINK("https://twitter.com/drhuffmann","@drhuffmann")</f>
        <v>@drhuffmann</v>
      </c>
      <c r="C1126" s="6" t="s">
        <v>1014</v>
      </c>
      <c r="D1126" s="5" t="s">
        <v>986</v>
      </c>
      <c r="E1126" s="9" t="str">
        <f>HYPERLINK("https://twitter.com/drhuffmann/status/1044786694652858368","1044786694652858368")</f>
        <v>1044786694652858368</v>
      </c>
      <c r="F1126" s="4"/>
      <c r="G1126" s="4"/>
      <c r="H1126" s="4"/>
      <c r="I1126" s="10" t="str">
        <f>HYPERLINK("http://twitter.com/download/android","Twitter for Android")</f>
        <v>Twitter for Android</v>
      </c>
      <c r="J1126" s="2">
        <v>52</v>
      </c>
      <c r="K1126" s="2">
        <v>320</v>
      </c>
      <c r="L1126" s="2">
        <v>0</v>
      </c>
      <c r="M1126" s="2"/>
      <c r="N1126" s="8">
        <v>42380.222256944442</v>
      </c>
      <c r="O1126" s="4"/>
      <c r="P1126" s="3"/>
      <c r="Q1126" s="4"/>
      <c r="R1126" s="4"/>
      <c r="S1126" s="9" t="str">
        <f>HYPERLINK("https://pbs.twimg.com/profile_images/991255935376150528/u2ysCLYo.jpg","View")</f>
        <v>View</v>
      </c>
    </row>
    <row r="1127" spans="1:19" ht="40">
      <c r="A1127" s="8">
        <v>43369.279236111106</v>
      </c>
      <c r="B1127" s="11" t="str">
        <f>HYPERLINK("https://twitter.com/shiny_banoo","@shiny_banoo")</f>
        <v>@shiny_banoo</v>
      </c>
      <c r="C1127" s="6" t="s">
        <v>1013</v>
      </c>
      <c r="D1127" s="5" t="s">
        <v>986</v>
      </c>
      <c r="E1127" s="9" t="str">
        <f>HYPERLINK("https://twitter.com/shiny_banoo/status/1044786663803695104","1044786663803695104")</f>
        <v>1044786663803695104</v>
      </c>
      <c r="F1127" s="4"/>
      <c r="G1127" s="4"/>
      <c r="H1127" s="4"/>
      <c r="I1127" s="10" t="str">
        <f>HYPERLINK("http://twitter.com/download/iphone","Twitter for iPhone")</f>
        <v>Twitter for iPhone</v>
      </c>
      <c r="J1127" s="2">
        <v>84</v>
      </c>
      <c r="K1127" s="2">
        <v>116</v>
      </c>
      <c r="L1127" s="2">
        <v>0</v>
      </c>
      <c r="M1127" s="2"/>
      <c r="N1127" s="8">
        <v>42567.488275462965</v>
      </c>
      <c r="O1127" s="4"/>
      <c r="P1127" s="3"/>
      <c r="Q1127" s="4"/>
      <c r="R1127" s="4"/>
      <c r="S1127" s="9" t="str">
        <f>HYPERLINK("https://pbs.twimg.com/profile_images/1021105063194898432/6WqoHwBh.jpg","View")</f>
        <v>View</v>
      </c>
    </row>
    <row r="1128" spans="1:19" ht="50">
      <c r="A1128" s="8">
        <v>43369.27915509259</v>
      </c>
      <c r="B1128" s="11" t="str">
        <f>HYPERLINK("https://twitter.com/zagrozz3","@zagrozz3")</f>
        <v>@zagrozz3</v>
      </c>
      <c r="C1128" s="6" t="s">
        <v>1012</v>
      </c>
      <c r="D1128" s="5" t="s">
        <v>278</v>
      </c>
      <c r="E1128" s="9" t="str">
        <f>HYPERLINK("https://twitter.com/zagrozz3/status/1044786632560451584","1044786632560451584")</f>
        <v>1044786632560451584</v>
      </c>
      <c r="F1128" s="4"/>
      <c r="G1128" s="10" t="s">
        <v>196</v>
      </c>
      <c r="H1128" s="4"/>
      <c r="I1128" s="10" t="str">
        <f>HYPERLINK("http://twitter.com/download/android","Twitter for Android")</f>
        <v>Twitter for Android</v>
      </c>
      <c r="J1128" s="2">
        <v>84</v>
      </c>
      <c r="K1128" s="2">
        <v>63</v>
      </c>
      <c r="L1128" s="2">
        <v>0</v>
      </c>
      <c r="M1128" s="2"/>
      <c r="N1128" s="8">
        <v>43308.311898148153</v>
      </c>
      <c r="O1128" s="4" t="s">
        <v>152</v>
      </c>
      <c r="P1128" s="3"/>
      <c r="Q1128" s="4"/>
      <c r="R1128" s="4"/>
      <c r="S1128" s="9" t="str">
        <f>HYPERLINK("https://pbs.twimg.com/profile_images/1022688586464804865/UTm8H3pd.jpg","View")</f>
        <v>View</v>
      </c>
    </row>
    <row r="1129" spans="1:19" ht="30">
      <c r="A1129" s="8">
        <v>43369.278912037036</v>
      </c>
      <c r="B1129" s="11" t="str">
        <f>HYPERLINK("https://twitter.com/shahram4321","@shahram4321")</f>
        <v>@shahram4321</v>
      </c>
      <c r="C1129" s="6" t="s">
        <v>1011</v>
      </c>
      <c r="D1129" s="5" t="s">
        <v>1010</v>
      </c>
      <c r="E1129" s="9" t="str">
        <f>HYPERLINK("https://twitter.com/shahram4321/status/1044786547420086272","1044786547420086272")</f>
        <v>1044786547420086272</v>
      </c>
      <c r="F1129" s="10" t="s">
        <v>955</v>
      </c>
      <c r="G1129" s="10" t="s">
        <v>954</v>
      </c>
      <c r="H1129" s="4"/>
      <c r="I1129" s="10" t="str">
        <f>HYPERLINK("http://twitter.com/download/iphone","Twitter for iPhone")</f>
        <v>Twitter for iPhone</v>
      </c>
      <c r="J1129" s="2">
        <v>75</v>
      </c>
      <c r="K1129" s="2">
        <v>216</v>
      </c>
      <c r="L1129" s="2">
        <v>0</v>
      </c>
      <c r="M1129" s="2"/>
      <c r="N1129" s="8">
        <v>40729.515057870369</v>
      </c>
      <c r="O1129" s="4" t="s">
        <v>513</v>
      </c>
      <c r="P1129" s="3"/>
      <c r="Q1129" s="4"/>
      <c r="R1129" s="4"/>
      <c r="S1129" s="9" t="str">
        <f>HYPERLINK("https://pbs.twimg.com/profile_images/860779882405437440/EvgoiNux.jpg","View")</f>
        <v>View</v>
      </c>
    </row>
    <row r="1130" spans="1:19" ht="30">
      <c r="A1130" s="8">
        <v>43369.278668981482</v>
      </c>
      <c r="B1130" s="11" t="str">
        <f>HYPERLINK("https://twitter.com/seculariraniran","@seculariraniran")</f>
        <v>@seculariraniran</v>
      </c>
      <c r="C1130" s="6" t="s">
        <v>1009</v>
      </c>
      <c r="D1130" s="5" t="s">
        <v>49</v>
      </c>
      <c r="E1130" s="9" t="str">
        <f>HYPERLINK("https://twitter.com/seculariraniran/status/1044786457192345600","1044786457192345600")</f>
        <v>1044786457192345600</v>
      </c>
      <c r="F1130" s="4"/>
      <c r="G1130" s="4"/>
      <c r="H1130" s="4"/>
      <c r="I1130" s="10" t="str">
        <f>HYPERLINK("http://twitter.com/download/android","Twitter for Android")</f>
        <v>Twitter for Android</v>
      </c>
      <c r="J1130" s="2">
        <v>23</v>
      </c>
      <c r="K1130" s="2">
        <v>100</v>
      </c>
      <c r="L1130" s="2">
        <v>0</v>
      </c>
      <c r="M1130" s="2"/>
      <c r="N1130" s="8">
        <v>43365.322743055556</v>
      </c>
      <c r="O1130" s="4"/>
      <c r="P1130" s="3"/>
      <c r="Q1130" s="4"/>
      <c r="R1130" s="4"/>
      <c r="S1130" s="9" t="str">
        <f>HYPERLINK("https://pbs.twimg.com/profile_images/1043614756299591684/vE9EED5l.jpg","View")</f>
        <v>View</v>
      </c>
    </row>
    <row r="1131" spans="1:19" ht="40">
      <c r="A1131" s="8">
        <v>43369.277881944443</v>
      </c>
      <c r="B1131" s="11" t="str">
        <f>HYPERLINK("https://twitter.com/MirSpreader","@MirSpreader")</f>
        <v>@MirSpreader</v>
      </c>
      <c r="C1131" s="6" t="s">
        <v>1008</v>
      </c>
      <c r="D1131" s="5" t="s">
        <v>1007</v>
      </c>
      <c r="E1131" s="9" t="str">
        <f>HYPERLINK("https://twitter.com/MirSpreader/status/1044786173577711627","1044786173577711627")</f>
        <v>1044786173577711627</v>
      </c>
      <c r="F1131" s="4"/>
      <c r="G1131" s="4"/>
      <c r="H1131" s="4"/>
      <c r="I1131" s="10" t="str">
        <f>HYPERLINK("https://gitlab.com/danialbehzadi/mirspreader","MirSpreader")</f>
        <v>MirSpreader</v>
      </c>
      <c r="J1131" s="2">
        <v>687</v>
      </c>
      <c r="K1131" s="2">
        <v>226</v>
      </c>
      <c r="L1131" s="2">
        <v>4</v>
      </c>
      <c r="M1131" s="2"/>
      <c r="N1131" s="8">
        <v>41500.165601851855</v>
      </c>
      <c r="O1131" s="4" t="s">
        <v>1006</v>
      </c>
      <c r="P1131" s="3" t="s">
        <v>1005</v>
      </c>
      <c r="Q1131" s="10" t="s">
        <v>1004</v>
      </c>
      <c r="R1131" s="4"/>
      <c r="S1131" s="9" t="str">
        <f>HYPERLINK("https://pbs.twimg.com/profile_images/967183999465529344/pxrXyOL2.jpg","View")</f>
        <v>View</v>
      </c>
    </row>
    <row r="1132" spans="1:19" ht="40">
      <c r="A1132" s="8">
        <v>43369.27752314815</v>
      </c>
      <c r="B1132" s="11" t="str">
        <f>HYPERLINK("https://twitter.com/mahan85s","@mahan85s")</f>
        <v>@mahan85s</v>
      </c>
      <c r="C1132" s="6" t="s">
        <v>959</v>
      </c>
      <c r="D1132" s="5" t="s">
        <v>1003</v>
      </c>
      <c r="E1132" s="9" t="str">
        <f>HYPERLINK("https://twitter.com/mahan85s/status/1044786044703580160","1044786044703580160")</f>
        <v>1044786044703580160</v>
      </c>
      <c r="F1132" s="4"/>
      <c r="G1132" s="4"/>
      <c r="H1132" s="4"/>
      <c r="I1132" s="10" t="str">
        <f>HYPERLINK("http://twitter.com/download/android","Twitter for Android")</f>
        <v>Twitter for Android</v>
      </c>
      <c r="J1132" s="2">
        <v>59</v>
      </c>
      <c r="K1132" s="2">
        <v>82</v>
      </c>
      <c r="L1132" s="2">
        <v>0</v>
      </c>
      <c r="M1132" s="2"/>
      <c r="N1132" s="8">
        <v>43081.503981481481</v>
      </c>
      <c r="O1132" s="4"/>
      <c r="P1132" s="3"/>
      <c r="Q1132" s="4"/>
      <c r="R1132" s="4"/>
      <c r="S1132" s="9" t="str">
        <f>HYPERLINK("https://pbs.twimg.com/profile_images/1036232156752822273/VeNSVT9J.jpg","View")</f>
        <v>View</v>
      </c>
    </row>
    <row r="1133" spans="1:19" ht="30">
      <c r="A1133" s="8">
        <v>43369.27542824074</v>
      </c>
      <c r="B1133" s="11" t="str">
        <f>HYPERLINK("https://twitter.com/rahahhosseini","@rahahhosseini")</f>
        <v>@rahahhosseini</v>
      </c>
      <c r="C1133" s="6" t="s">
        <v>1002</v>
      </c>
      <c r="D1133" s="5" t="s">
        <v>49</v>
      </c>
      <c r="E1133" s="9" t="str">
        <f>HYPERLINK("https://twitter.com/rahahhosseini/status/1044785283739373569","1044785283739373569")</f>
        <v>1044785283739373569</v>
      </c>
      <c r="F1133" s="4"/>
      <c r="G1133" s="4"/>
      <c r="H1133" s="4"/>
      <c r="I1133" s="10" t="str">
        <f>HYPERLINK("http://twitter.com/download/iphone","Twitter for iPhone")</f>
        <v>Twitter for iPhone</v>
      </c>
      <c r="J1133" s="2">
        <v>879</v>
      </c>
      <c r="K1133" s="2">
        <v>1339</v>
      </c>
      <c r="L1133" s="2">
        <v>1</v>
      </c>
      <c r="M1133" s="2"/>
      <c r="N1133" s="8">
        <v>43035.567199074074</v>
      </c>
      <c r="O1133" s="4" t="s">
        <v>1001</v>
      </c>
      <c r="P1133" s="3" t="s">
        <v>1000</v>
      </c>
      <c r="Q1133" s="4"/>
      <c r="R1133" s="4"/>
      <c r="S1133" s="9" t="str">
        <f>HYPERLINK("https://pbs.twimg.com/profile_images/1032506941996761088/PrXWkaUy.jpg","View")</f>
        <v>View</v>
      </c>
    </row>
    <row r="1134" spans="1:19" ht="40">
      <c r="A1134" s="8">
        <v>43369.275277777779</v>
      </c>
      <c r="B1134" s="11" t="str">
        <f>HYPERLINK("https://twitter.com/mohammad708491","@mohammad708491")</f>
        <v>@mohammad708491</v>
      </c>
      <c r="C1134" s="6" t="s">
        <v>999</v>
      </c>
      <c r="D1134" s="5" t="s">
        <v>72</v>
      </c>
      <c r="E1134" s="9" t="str">
        <f>HYPERLINK("https://twitter.com/mohammad708491/status/1044785227598639106","1044785227598639106")</f>
        <v>1044785227598639106</v>
      </c>
      <c r="F1134" s="4"/>
      <c r="G1134" s="4"/>
      <c r="H1134" s="4"/>
      <c r="I1134" s="10" t="str">
        <f>HYPERLINK("http://twitter.com/download/android","Twitter for Android")</f>
        <v>Twitter for Android</v>
      </c>
      <c r="J1134" s="2">
        <v>101</v>
      </c>
      <c r="K1134" s="2">
        <v>147</v>
      </c>
      <c r="L1134" s="2">
        <v>0</v>
      </c>
      <c r="M1134" s="2"/>
      <c r="N1134" s="8">
        <v>43019.924768518518</v>
      </c>
      <c r="O1134" s="4"/>
      <c r="P1134" s="3" t="s">
        <v>998</v>
      </c>
      <c r="Q1134" s="4"/>
      <c r="R1134" s="4"/>
      <c r="S1134" s="9" t="str">
        <f>HYPERLINK("https://pbs.twimg.com/profile_images/946227407513583616/6U3v0OKL.jpg","View")</f>
        <v>View</v>
      </c>
    </row>
    <row r="1135" spans="1:19" ht="50">
      <c r="A1135" s="8">
        <v>43369.274849537032</v>
      </c>
      <c r="B1135" s="11" t="str">
        <f>HYPERLINK("https://twitter.com/mf_arshi","@mf_arshi")</f>
        <v>@mf_arshi</v>
      </c>
      <c r="C1135" s="6" t="s">
        <v>997</v>
      </c>
      <c r="D1135" s="5" t="s">
        <v>202</v>
      </c>
      <c r="E1135" s="9" t="str">
        <f>HYPERLINK("https://twitter.com/mf_arshi/status/1044785073785065472","1044785073785065472")</f>
        <v>1044785073785065472</v>
      </c>
      <c r="F1135" s="4"/>
      <c r="G1135" s="4"/>
      <c r="H1135" s="4"/>
      <c r="I1135" s="10" t="str">
        <f>HYPERLINK("http://twitter.com/download/iphone","Twitter for iPhone")</f>
        <v>Twitter for iPhone</v>
      </c>
      <c r="J1135" s="2">
        <v>209</v>
      </c>
      <c r="K1135" s="2">
        <v>1159</v>
      </c>
      <c r="L1135" s="2">
        <v>1</v>
      </c>
      <c r="M1135" s="2"/>
      <c r="N1135" s="8">
        <v>42026.089780092589</v>
      </c>
      <c r="O1135" s="4"/>
      <c r="P1135" s="3"/>
      <c r="Q1135" s="4"/>
      <c r="R1135" s="4"/>
      <c r="S1135" s="9" t="str">
        <f>HYPERLINK("https://pbs.twimg.com/profile_images/1000062051614588928/y6agGpR8.jpg","View")</f>
        <v>View</v>
      </c>
    </row>
    <row r="1136" spans="1:19" ht="40">
      <c r="A1136" s="8">
        <v>43369.274733796294</v>
      </c>
      <c r="B1136" s="11" t="str">
        <f>HYPERLINK("https://twitter.com/_shahabi_","@_shahabi_")</f>
        <v>@_shahabi_</v>
      </c>
      <c r="C1136" s="6" t="s">
        <v>996</v>
      </c>
      <c r="D1136" s="5" t="s">
        <v>128</v>
      </c>
      <c r="E1136" s="9" t="str">
        <f>HYPERLINK("https://twitter.com/_shahabi_/status/1044785033746292738","1044785033746292738")</f>
        <v>1044785033746292738</v>
      </c>
      <c r="F1136" s="4"/>
      <c r="G1136" s="4"/>
      <c r="H1136" s="4"/>
      <c r="I1136" s="10" t="str">
        <f>HYPERLINK("http://twitter.com/download/android","Twitter for Android")</f>
        <v>Twitter for Android</v>
      </c>
      <c r="J1136" s="2">
        <v>3244</v>
      </c>
      <c r="K1136" s="2">
        <v>1674</v>
      </c>
      <c r="L1136" s="2">
        <v>16</v>
      </c>
      <c r="M1136" s="2"/>
      <c r="N1136" s="8">
        <v>41955.63762731482</v>
      </c>
      <c r="O1136" s="4" t="s">
        <v>995</v>
      </c>
      <c r="P1136" s="3" t="s">
        <v>994</v>
      </c>
      <c r="Q1136" s="4"/>
      <c r="R1136" s="4"/>
      <c r="S1136" s="9" t="str">
        <f>HYPERLINK("https://pbs.twimg.com/profile_images/1043334636494102529/hqYug7pN.jpg","View")</f>
        <v>View</v>
      </c>
    </row>
    <row r="1137" spans="1:19" ht="30">
      <c r="A1137" s="8">
        <v>43369.274479166663</v>
      </c>
      <c r="B1137" s="11" t="str">
        <f>HYPERLINK("https://twitter.com/r_ghasemzadeh","@r_ghasemzadeh")</f>
        <v>@r_ghasemzadeh</v>
      </c>
      <c r="C1137" s="6" t="s">
        <v>993</v>
      </c>
      <c r="D1137" s="5" t="s">
        <v>992</v>
      </c>
      <c r="E1137" s="9" t="str">
        <f>HYPERLINK("https://twitter.com/r_ghasemzadeh/status/1044784941500960768","1044784941500960768")</f>
        <v>1044784941500960768</v>
      </c>
      <c r="F1137" s="4"/>
      <c r="G1137" s="4"/>
      <c r="H1137" s="4"/>
      <c r="I1137" s="10" t="str">
        <f>HYPERLINK("http://twitter.com/download/android","Twitter for Android")</f>
        <v>Twitter for Android</v>
      </c>
      <c r="J1137" s="2">
        <v>66</v>
      </c>
      <c r="K1137" s="2">
        <v>180</v>
      </c>
      <c r="L1137" s="2">
        <v>0</v>
      </c>
      <c r="M1137" s="2"/>
      <c r="N1137" s="8">
        <v>43343.732303240744</v>
      </c>
      <c r="O1137" s="4"/>
      <c r="P1137" s="3" t="s">
        <v>991</v>
      </c>
      <c r="Q1137" s="4"/>
      <c r="R1137" s="4"/>
      <c r="S1137" s="9" t="str">
        <f>HYPERLINK("https://pbs.twimg.com/profile_images/1035760123094941697/mRgxaCs1.jpg","View")</f>
        <v>View</v>
      </c>
    </row>
    <row r="1138" spans="1:19" ht="30">
      <c r="A1138" s="8">
        <v>43369.274409722224</v>
      </c>
      <c r="B1138" s="11" t="str">
        <f>HYPERLINK("https://twitter.com/amehghazi","@amehghazi")</f>
        <v>@amehghazi</v>
      </c>
      <c r="C1138" s="6" t="s">
        <v>990</v>
      </c>
      <c r="D1138" s="5" t="s">
        <v>989</v>
      </c>
      <c r="E1138" s="9" t="str">
        <f>HYPERLINK("https://twitter.com/amehghazi/status/1044784912908382208","1044784912908382208")</f>
        <v>1044784912908382208</v>
      </c>
      <c r="F1138" s="4"/>
      <c r="G1138" s="4"/>
      <c r="H1138" s="4"/>
      <c r="I1138" s="10" t="str">
        <f>HYPERLINK("http://twitter.com","Twitter Web Client")</f>
        <v>Twitter Web Client</v>
      </c>
      <c r="J1138" s="2">
        <v>580</v>
      </c>
      <c r="K1138" s="2">
        <v>885</v>
      </c>
      <c r="L1138" s="2">
        <v>2</v>
      </c>
      <c r="M1138" s="2"/>
      <c r="N1138" s="8">
        <v>43139.56554398148</v>
      </c>
      <c r="O1138" s="4"/>
      <c r="P1138" s="3" t="s">
        <v>988</v>
      </c>
      <c r="Q1138" s="4"/>
      <c r="R1138" s="4"/>
      <c r="S1138" s="9" t="str">
        <f>HYPERLINK("https://pbs.twimg.com/profile_images/961542843583156224/z_PqLFbu.jpg","View")</f>
        <v>View</v>
      </c>
    </row>
    <row r="1139" spans="1:19" ht="40">
      <c r="A1139" s="8">
        <v>43369.273530092592</v>
      </c>
      <c r="B1139" s="11" t="str">
        <f>HYPERLINK("https://twitter.com/captain_cga","@captain_cga")</f>
        <v>@captain_cga</v>
      </c>
      <c r="C1139" s="6" t="s">
        <v>987</v>
      </c>
      <c r="D1139" s="5" t="s">
        <v>986</v>
      </c>
      <c r="E1139" s="9" t="str">
        <f>HYPERLINK("https://twitter.com/captain_cga/status/1044784597287010304","1044784597287010304")</f>
        <v>1044784597287010304</v>
      </c>
      <c r="F1139" s="4"/>
      <c r="G1139" s="4"/>
      <c r="H1139" s="4"/>
      <c r="I1139" s="10" t="str">
        <f>HYPERLINK("http://twitter.com/download/android","Twitter for Android")</f>
        <v>Twitter for Android</v>
      </c>
      <c r="J1139" s="2">
        <v>157</v>
      </c>
      <c r="K1139" s="2">
        <v>91</v>
      </c>
      <c r="L1139" s="2">
        <v>0</v>
      </c>
      <c r="M1139" s="2"/>
      <c r="N1139" s="8">
        <v>43100.014664351853</v>
      </c>
      <c r="O1139" s="4" t="s">
        <v>985</v>
      </c>
      <c r="P1139" s="3" t="s">
        <v>984</v>
      </c>
      <c r="Q1139" s="4"/>
      <c r="R1139" s="4"/>
      <c r="S1139" s="9" t="str">
        <f>HYPERLINK("https://pbs.twimg.com/profile_images/1035910889860460545/y7XsIiEa.jpg","View")</f>
        <v>View</v>
      </c>
    </row>
    <row r="1140" spans="1:19" ht="30">
      <c r="A1140" s="8">
        <v>43369.272499999999</v>
      </c>
      <c r="B1140" s="11" t="str">
        <f>HYPERLINK("https://twitter.com/Farhad_SD","@Farhad_SD")</f>
        <v>@Farhad_SD</v>
      </c>
      <c r="C1140" s="6" t="s">
        <v>983</v>
      </c>
      <c r="D1140" s="5" t="s">
        <v>982</v>
      </c>
      <c r="E1140" s="9" t="str">
        <f>HYPERLINK("https://twitter.com/Farhad_SD/status/1044784222957789185","1044784222957789185")</f>
        <v>1044784222957789185</v>
      </c>
      <c r="F1140" s="4"/>
      <c r="G1140" s="4"/>
      <c r="H1140" s="4"/>
      <c r="I1140" s="10" t="str">
        <f>HYPERLINK("http://twitter.com/download/android","Twitter for Android")</f>
        <v>Twitter for Android</v>
      </c>
      <c r="J1140" s="2">
        <v>120</v>
      </c>
      <c r="K1140" s="2">
        <v>112</v>
      </c>
      <c r="L1140" s="2">
        <v>0</v>
      </c>
      <c r="M1140" s="2"/>
      <c r="N1140" s="8">
        <v>42834.226168981477</v>
      </c>
      <c r="O1140" s="4" t="s">
        <v>981</v>
      </c>
      <c r="P1140" s="3" t="s">
        <v>980</v>
      </c>
      <c r="Q1140" s="4"/>
      <c r="R1140" s="4"/>
      <c r="S1140" s="9" t="str">
        <f>HYPERLINK("https://pbs.twimg.com/profile_images/1041812275886080000/FqVW9ttu.jpg","View")</f>
        <v>View</v>
      </c>
    </row>
    <row r="1141" spans="1:19" ht="40">
      <c r="A1141" s="8">
        <v>43369.27243055556</v>
      </c>
      <c r="B1141" s="11" t="str">
        <f>HYPERLINK("https://twitter.com/mahan85s","@mahan85s")</f>
        <v>@mahan85s</v>
      </c>
      <c r="C1141" s="6" t="s">
        <v>959</v>
      </c>
      <c r="D1141" s="5" t="s">
        <v>979</v>
      </c>
      <c r="E1141" s="9" t="str">
        <f>HYPERLINK("https://twitter.com/mahan85s/status/1044784198727479297","1044784198727479297")</f>
        <v>1044784198727479297</v>
      </c>
      <c r="F1141" s="4"/>
      <c r="G1141" s="4"/>
      <c r="H1141" s="4"/>
      <c r="I1141" s="10" t="str">
        <f>HYPERLINK("http://twitter.com/download/android","Twitter for Android")</f>
        <v>Twitter for Android</v>
      </c>
      <c r="J1141" s="2">
        <v>59</v>
      </c>
      <c r="K1141" s="2">
        <v>82</v>
      </c>
      <c r="L1141" s="2">
        <v>0</v>
      </c>
      <c r="M1141" s="2"/>
      <c r="N1141" s="8">
        <v>43081.503981481481</v>
      </c>
      <c r="O1141" s="4"/>
      <c r="P1141" s="3"/>
      <c r="Q1141" s="4"/>
      <c r="R1141" s="4"/>
      <c r="S1141" s="9" t="str">
        <f>HYPERLINK("https://pbs.twimg.com/profile_images/1036232156752822273/VeNSVT9J.jpg","View")</f>
        <v>View</v>
      </c>
    </row>
    <row r="1142" spans="1:19" ht="30">
      <c r="A1142" s="8">
        <v>43369.271736111114</v>
      </c>
      <c r="B1142" s="11" t="str">
        <f>HYPERLINK("https://twitter.com/baharka7","@baharka7")</f>
        <v>@baharka7</v>
      </c>
      <c r="C1142" s="6" t="s">
        <v>978</v>
      </c>
      <c r="D1142" s="5" t="s">
        <v>49</v>
      </c>
      <c r="E1142" s="9" t="str">
        <f>HYPERLINK("https://twitter.com/baharka7/status/1044783947144720385","1044783947144720385")</f>
        <v>1044783947144720385</v>
      </c>
      <c r="F1142" s="4"/>
      <c r="G1142" s="4"/>
      <c r="H1142" s="4"/>
      <c r="I1142" s="10" t="str">
        <f>HYPERLINK("http://twitter.com/download/iphone","Twitter for iPhone")</f>
        <v>Twitter for iPhone</v>
      </c>
      <c r="J1142" s="2">
        <v>350</v>
      </c>
      <c r="K1142" s="2">
        <v>514</v>
      </c>
      <c r="L1142" s="2">
        <v>0</v>
      </c>
      <c r="M1142" s="2"/>
      <c r="N1142" s="8">
        <v>43224.936481481476</v>
      </c>
      <c r="O1142" s="4"/>
      <c r="P1142" s="3" t="s">
        <v>977</v>
      </c>
      <c r="Q1142" s="4"/>
      <c r="R1142" s="4"/>
      <c r="S1142" s="9" t="str">
        <f>HYPERLINK("https://pbs.twimg.com/profile_images/1043560563895410690/AWm8QbRD.jpg","View")</f>
        <v>View</v>
      </c>
    </row>
    <row r="1143" spans="1:19" ht="20">
      <c r="A1143" s="8">
        <v>43369.271087962959</v>
      </c>
      <c r="B1143" s="11" t="str">
        <f>HYPERLINK("https://twitter.com/masoodmasooti","@masoodmasooti")</f>
        <v>@masoodmasooti</v>
      </c>
      <c r="C1143" s="6" t="s">
        <v>976</v>
      </c>
      <c r="D1143" s="5" t="s">
        <v>102</v>
      </c>
      <c r="E1143" s="9" t="str">
        <f>HYPERLINK("https://twitter.com/masoodmasooti/status/1044783712754438145","1044783712754438145")</f>
        <v>1044783712754438145</v>
      </c>
      <c r="F1143" s="4"/>
      <c r="G1143" s="4"/>
      <c r="H1143" s="4"/>
      <c r="I1143" s="10" t="str">
        <f>HYPERLINK("http://twitter.com/download/android","Twitter for Android")</f>
        <v>Twitter for Android</v>
      </c>
      <c r="J1143" s="2">
        <v>1545</v>
      </c>
      <c r="K1143" s="2">
        <v>2375</v>
      </c>
      <c r="L1143" s="2">
        <v>6</v>
      </c>
      <c r="M1143" s="2"/>
      <c r="N1143" s="8">
        <v>42944.525891203702</v>
      </c>
      <c r="O1143" s="4" t="s">
        <v>975</v>
      </c>
      <c r="P1143" s="3" t="s">
        <v>974</v>
      </c>
      <c r="Q1143" s="10" t="s">
        <v>973</v>
      </c>
      <c r="R1143" s="4"/>
      <c r="S1143" s="9" t="str">
        <f>HYPERLINK("https://pbs.twimg.com/profile_images/1014977860740747269/LRcluIjb.jpg","View")</f>
        <v>View</v>
      </c>
    </row>
    <row r="1144" spans="1:19" ht="20">
      <c r="A1144" s="8">
        <v>43369.270891203705</v>
      </c>
      <c r="B1144" s="11" t="str">
        <f>HYPERLINK("https://twitter.com/Mahs761897","@Mahs761897")</f>
        <v>@Mahs761897</v>
      </c>
      <c r="C1144" s="6" t="s">
        <v>972</v>
      </c>
      <c r="D1144" s="5" t="s">
        <v>102</v>
      </c>
      <c r="E1144" s="9" t="str">
        <f>HYPERLINK("https://twitter.com/Mahs761897/status/1044783639417016320","1044783639417016320")</f>
        <v>1044783639417016320</v>
      </c>
      <c r="F1144" s="4"/>
      <c r="G1144" s="4"/>
      <c r="H1144" s="4"/>
      <c r="I1144" s="10" t="str">
        <f>HYPERLINK("http://twitter.com/download/android","Twitter for Android")</f>
        <v>Twitter for Android</v>
      </c>
      <c r="J1144" s="2">
        <v>234</v>
      </c>
      <c r="K1144" s="2">
        <v>27</v>
      </c>
      <c r="L1144" s="2">
        <v>1</v>
      </c>
      <c r="M1144" s="2"/>
      <c r="N1144" s="8">
        <v>42918.056909722218</v>
      </c>
      <c r="O1144" s="4"/>
      <c r="P1144" s="3" t="s">
        <v>971</v>
      </c>
      <c r="Q1144" s="4"/>
      <c r="R1144" s="4"/>
      <c r="S1144" s="9" t="str">
        <f>HYPERLINK("https://pbs.twimg.com/profile_images/979282583140872192/YW6Ittik.jpg","View")</f>
        <v>View</v>
      </c>
    </row>
    <row r="1145" spans="1:19" ht="40">
      <c r="A1145" s="8">
        <v>43369.268032407403</v>
      </c>
      <c r="B1145" s="11" t="str">
        <f>HYPERLINK("https://twitter.com/MMasoodi1","@MMasoodi1")</f>
        <v>@MMasoodi1</v>
      </c>
      <c r="C1145" s="6" t="s">
        <v>130</v>
      </c>
      <c r="D1145" s="5" t="s">
        <v>174</v>
      </c>
      <c r="E1145" s="9" t="str">
        <f>HYPERLINK("https://twitter.com/MMasoodi1/status/1044782605336543232","1044782605336543232")</f>
        <v>1044782605336543232</v>
      </c>
      <c r="F1145" s="4"/>
      <c r="G1145" s="4"/>
      <c r="H1145" s="4"/>
      <c r="I1145" s="10" t="str">
        <f>HYPERLINK("http://twitter.com/download/android","Twitter for Android")</f>
        <v>Twitter for Android</v>
      </c>
      <c r="J1145" s="2">
        <v>215</v>
      </c>
      <c r="K1145" s="2">
        <v>284</v>
      </c>
      <c r="L1145" s="2">
        <v>0</v>
      </c>
      <c r="M1145" s="2"/>
      <c r="N1145" s="8">
        <v>43305.619224537033</v>
      </c>
      <c r="O1145" s="4" t="s">
        <v>7</v>
      </c>
      <c r="P1145" s="3"/>
      <c r="Q1145" s="4"/>
      <c r="R1145" s="4"/>
      <c r="S1145" s="9" t="str">
        <f>HYPERLINK("https://pbs.twimg.com/profile_images/1021705431754960897/IkBHQizK.jpg","View")</f>
        <v>View</v>
      </c>
    </row>
    <row r="1146" spans="1:19" ht="40">
      <c r="A1146" s="8">
        <v>43369.266724537039</v>
      </c>
      <c r="B1146" s="11" t="str">
        <f>HYPERLINK("https://twitter.com/abdolaaaliii","@abdolaaaliii")</f>
        <v>@abdolaaaliii</v>
      </c>
      <c r="C1146" s="6" t="s">
        <v>970</v>
      </c>
      <c r="D1146" s="5" t="s">
        <v>72</v>
      </c>
      <c r="E1146" s="9" t="str">
        <f>HYPERLINK("https://twitter.com/abdolaaaliii/status/1044782130600038401","1044782130600038401")</f>
        <v>1044782130600038401</v>
      </c>
      <c r="F1146" s="4"/>
      <c r="G1146" s="4"/>
      <c r="H1146" s="4"/>
      <c r="I1146" s="10" t="str">
        <f>HYPERLINK("http://twitter.com/download/android","Twitter for Android")</f>
        <v>Twitter for Android</v>
      </c>
      <c r="J1146" s="2">
        <v>2000</v>
      </c>
      <c r="K1146" s="2">
        <v>1108</v>
      </c>
      <c r="L1146" s="2">
        <v>7</v>
      </c>
      <c r="M1146" s="2"/>
      <c r="N1146" s="8">
        <v>42963.676608796297</v>
      </c>
      <c r="O1146" s="4" t="s">
        <v>1</v>
      </c>
      <c r="P1146" s="3" t="s">
        <v>969</v>
      </c>
      <c r="Q1146" s="4"/>
      <c r="R1146" s="4"/>
      <c r="S1146" s="9" t="str">
        <f>HYPERLINK("https://pbs.twimg.com/profile_images/1010966952448323584/InCpbXXi.jpg","View")</f>
        <v>View</v>
      </c>
    </row>
    <row r="1147" spans="1:19" ht="20">
      <c r="A1147" s="8">
        <v>43369.266712962963</v>
      </c>
      <c r="B1147" s="11" t="str">
        <f>HYPERLINK("https://twitter.com/Mahak_sd96","@Mahak_sd96")</f>
        <v>@Mahak_sd96</v>
      </c>
      <c r="C1147" s="6" t="s">
        <v>968</v>
      </c>
      <c r="D1147" s="5" t="s">
        <v>15</v>
      </c>
      <c r="E1147" s="9" t="str">
        <f>HYPERLINK("https://twitter.com/Mahak_sd96/status/1044782126913212416","1044782126913212416")</f>
        <v>1044782126913212416</v>
      </c>
      <c r="F1147" s="4"/>
      <c r="G1147" s="4"/>
      <c r="H1147" s="4"/>
      <c r="I1147" s="10" t="str">
        <f>HYPERLINK("http://twitter.com/download/android","Twitter for Android")</f>
        <v>Twitter for Android</v>
      </c>
      <c r="J1147" s="2">
        <v>531</v>
      </c>
      <c r="K1147" s="2">
        <v>557</v>
      </c>
      <c r="L1147" s="2">
        <v>1</v>
      </c>
      <c r="M1147" s="2"/>
      <c r="N1147" s="8">
        <v>43245.007719907408</v>
      </c>
      <c r="O1147" s="4" t="s">
        <v>967</v>
      </c>
      <c r="P1147" s="3" t="s">
        <v>966</v>
      </c>
      <c r="Q1147" s="4"/>
      <c r="R1147" s="4"/>
      <c r="S1147" s="9" t="str">
        <f>HYPERLINK("https://pbs.twimg.com/profile_images/999742698495070208/lzsDQ13y.jpg","View")</f>
        <v>View</v>
      </c>
    </row>
    <row r="1148" spans="1:19" ht="20">
      <c r="A1148" s="8">
        <v>43369.266469907408</v>
      </c>
      <c r="B1148" s="11" t="str">
        <f>HYPERLINK("https://twitter.com/smodari3","@smodari3")</f>
        <v>@smodari3</v>
      </c>
      <c r="C1148" s="6" t="s">
        <v>965</v>
      </c>
      <c r="D1148" s="5" t="s">
        <v>102</v>
      </c>
      <c r="E1148" s="9" t="str">
        <f>HYPERLINK("https://twitter.com/smodari3/status/1044782035527761920","1044782035527761920")</f>
        <v>1044782035527761920</v>
      </c>
      <c r="F1148" s="4"/>
      <c r="G1148" s="4"/>
      <c r="H1148" s="4"/>
      <c r="I1148" s="10" t="str">
        <f>HYPERLINK("http://twitter.com/download/android","Twitter for Android")</f>
        <v>Twitter for Android</v>
      </c>
      <c r="J1148" s="2">
        <v>3327</v>
      </c>
      <c r="K1148" s="2">
        <v>4872</v>
      </c>
      <c r="L1148" s="2">
        <v>4</v>
      </c>
      <c r="M1148" s="2"/>
      <c r="N1148" s="8">
        <v>43127.877476851849</v>
      </c>
      <c r="O1148" s="4"/>
      <c r="P1148" s="3" t="s">
        <v>964</v>
      </c>
      <c r="Q1148" s="4"/>
      <c r="R1148" s="4"/>
      <c r="S1148" s="9" t="str">
        <f>HYPERLINK("https://pbs.twimg.com/profile_images/1002145320493498371/booOF8BZ.jpg","View")</f>
        <v>View</v>
      </c>
    </row>
    <row r="1149" spans="1:19" ht="40">
      <c r="A1149" s="8">
        <v>43369.265798611115</v>
      </c>
      <c r="B1149" s="11" t="str">
        <f>HYPERLINK("https://twitter.com/mitrafarsi","@mitrafarsi")</f>
        <v>@mitrafarsi</v>
      </c>
      <c r="C1149" s="6" t="s">
        <v>963</v>
      </c>
      <c r="D1149" s="5" t="s">
        <v>163</v>
      </c>
      <c r="E1149" s="9" t="str">
        <f>HYPERLINK("https://twitter.com/mitrafarsi/status/1044781794904682498","1044781794904682498")</f>
        <v>1044781794904682498</v>
      </c>
      <c r="F1149" s="4"/>
      <c r="G1149" s="10" t="s">
        <v>162</v>
      </c>
      <c r="H1149" s="4"/>
      <c r="I1149" s="10" t="str">
        <f>HYPERLINK("http://twitter.com/download/android","Twitter for Android")</f>
        <v>Twitter for Android</v>
      </c>
      <c r="J1149" s="2">
        <v>251</v>
      </c>
      <c r="K1149" s="2">
        <v>426</v>
      </c>
      <c r="L1149" s="2">
        <v>0</v>
      </c>
      <c r="M1149" s="2"/>
      <c r="N1149" s="8">
        <v>43160.371238425927</v>
      </c>
      <c r="O1149" s="4" t="s">
        <v>962</v>
      </c>
      <c r="P1149" s="3"/>
      <c r="Q1149" s="4"/>
      <c r="R1149" s="4"/>
      <c r="S1149" s="9" t="str">
        <f>HYPERLINK("https://pbs.twimg.com/profile_images/977073025232330752/9kwzjzqV.jpg","View")</f>
        <v>View</v>
      </c>
    </row>
    <row r="1150" spans="1:19" ht="30">
      <c r="A1150" s="8">
        <v>43369.262870370367</v>
      </c>
      <c r="B1150" s="11" t="str">
        <f>HYPERLINK("https://twitter.com/ABALFAZLLL","@ABALFAZLLL")</f>
        <v>@ABALFAZLLL</v>
      </c>
      <c r="C1150" s="6" t="s">
        <v>961</v>
      </c>
      <c r="D1150" s="5" t="s">
        <v>102</v>
      </c>
      <c r="E1150" s="9" t="str">
        <f>HYPERLINK("https://twitter.com/ABALFAZLLL/status/1044780732542066688","1044780732542066688")</f>
        <v>1044780732542066688</v>
      </c>
      <c r="F1150" s="4"/>
      <c r="G1150" s="4"/>
      <c r="H1150" s="4"/>
      <c r="I1150" s="10" t="str">
        <f>HYPERLINK("http://twitter.com/download/android","Twitter for Android")</f>
        <v>Twitter for Android</v>
      </c>
      <c r="J1150" s="2">
        <v>475</v>
      </c>
      <c r="K1150" s="2">
        <v>200</v>
      </c>
      <c r="L1150" s="2">
        <v>1</v>
      </c>
      <c r="M1150" s="2"/>
      <c r="N1150" s="8">
        <v>42129.583506944444</v>
      </c>
      <c r="O1150" s="4" t="s">
        <v>1</v>
      </c>
      <c r="P1150" s="3" t="s">
        <v>960</v>
      </c>
      <c r="Q1150" s="4"/>
      <c r="R1150" s="4"/>
      <c r="S1150" s="9" t="str">
        <f>HYPERLINK("https://pbs.twimg.com/profile_images/1038986075669188608/jeY3qSDl.jpg","View")</f>
        <v>View</v>
      </c>
    </row>
    <row r="1151" spans="1:19" ht="40">
      <c r="A1151" s="8">
        <v>43369.261435185181</v>
      </c>
      <c r="B1151" s="11" t="str">
        <f>HYPERLINK("https://twitter.com/mahan85s","@mahan85s")</f>
        <v>@mahan85s</v>
      </c>
      <c r="C1151" s="6" t="s">
        <v>959</v>
      </c>
      <c r="D1151" s="5" t="s">
        <v>958</v>
      </c>
      <c r="E1151" s="9" t="str">
        <f>HYPERLINK("https://twitter.com/mahan85s/status/1044780214222565376","1044780214222565376")</f>
        <v>1044780214222565376</v>
      </c>
      <c r="F1151" s="4"/>
      <c r="G1151" s="4"/>
      <c r="H1151" s="4"/>
      <c r="I1151" s="10" t="str">
        <f>HYPERLINK("http://twitter.com/download/android","Twitter for Android")</f>
        <v>Twitter for Android</v>
      </c>
      <c r="J1151" s="2">
        <v>59</v>
      </c>
      <c r="K1151" s="2">
        <v>83</v>
      </c>
      <c r="L1151" s="2">
        <v>0</v>
      </c>
      <c r="M1151" s="2"/>
      <c r="N1151" s="8">
        <v>43081.503981481481</v>
      </c>
      <c r="O1151" s="4"/>
      <c r="P1151" s="3"/>
      <c r="Q1151" s="4"/>
      <c r="R1151" s="4"/>
      <c r="S1151" s="9" t="str">
        <f>HYPERLINK("https://pbs.twimg.com/profile_images/1036232156752822273/VeNSVT9J.jpg","View")</f>
        <v>View</v>
      </c>
    </row>
    <row r="1152" spans="1:19" ht="30">
      <c r="A1152" s="8">
        <v>43369.26085648148</v>
      </c>
      <c r="B1152" s="11" t="str">
        <f>HYPERLINK("https://twitter.com/radiozamaneh","@radiozamaneh")</f>
        <v>@radiozamaneh</v>
      </c>
      <c r="C1152" s="6" t="s">
        <v>957</v>
      </c>
      <c r="D1152" s="5" t="s">
        <v>956</v>
      </c>
      <c r="E1152" s="9" t="str">
        <f>HYPERLINK("https://twitter.com/radiozamaneh/status/1044780005174255618","1044780005174255618")</f>
        <v>1044780005174255618</v>
      </c>
      <c r="F1152" s="10" t="s">
        <v>955</v>
      </c>
      <c r="G1152" s="10" t="s">
        <v>954</v>
      </c>
      <c r="H1152" s="4"/>
      <c r="I1152" s="10" t="str">
        <f>HYPERLINK("https://zapier.com/","Zapier.com")</f>
        <v>Zapier.com</v>
      </c>
      <c r="J1152" s="2">
        <v>111764</v>
      </c>
      <c r="K1152" s="2">
        <v>844</v>
      </c>
      <c r="L1152" s="2">
        <v>390</v>
      </c>
      <c r="M1152" s="2" t="s">
        <v>26</v>
      </c>
      <c r="N1152" s="8">
        <v>39573.255729166667</v>
      </c>
      <c r="O1152" s="4" t="s">
        <v>953</v>
      </c>
      <c r="P1152" s="3" t="s">
        <v>952</v>
      </c>
      <c r="Q1152" s="10" t="s">
        <v>951</v>
      </c>
      <c r="R1152" s="4"/>
      <c r="S1152" s="9" t="str">
        <f>HYPERLINK("https://pbs.twimg.com/profile_images/990906227256328192/IYPsq9ai.jpg","View")</f>
        <v>View</v>
      </c>
    </row>
    <row r="1153" spans="1:19" ht="20">
      <c r="A1153" s="8">
        <v>43369.26048611111</v>
      </c>
      <c r="B1153" s="11" t="str">
        <f>HYPERLINK("https://twitter.com/vvhly","@vvhly")</f>
        <v>@vvhly</v>
      </c>
      <c r="C1153" s="6" t="s">
        <v>950</v>
      </c>
      <c r="D1153" s="5" t="s">
        <v>176</v>
      </c>
      <c r="E1153" s="9" t="str">
        <f>HYPERLINK("https://twitter.com/vvhly/status/1044779867546537984","1044779867546537984")</f>
        <v>1044779867546537984</v>
      </c>
      <c r="F1153" s="4"/>
      <c r="G1153" s="4"/>
      <c r="H1153" s="4"/>
      <c r="I1153" s="10" t="str">
        <f>HYPERLINK("http://twitter.com/download/iphone","Twitter for iPhone")</f>
        <v>Twitter for iPhone</v>
      </c>
      <c r="J1153" s="2">
        <v>453</v>
      </c>
      <c r="K1153" s="2">
        <v>380</v>
      </c>
      <c r="L1153" s="2">
        <v>2</v>
      </c>
      <c r="M1153" s="2"/>
      <c r="N1153" s="8">
        <v>41317.006527777776</v>
      </c>
      <c r="O1153" s="4" t="s">
        <v>33</v>
      </c>
      <c r="P1153" s="3" t="s">
        <v>949</v>
      </c>
      <c r="Q1153" s="4"/>
      <c r="R1153" s="4"/>
      <c r="S1153" s="9" t="str">
        <f>HYPERLINK("https://pbs.twimg.com/profile_images/918880113814589440/D1aYk2kc.jpg","View")</f>
        <v>View</v>
      </c>
    </row>
    <row r="1154" spans="1:19" ht="40">
      <c r="A1154" s="8">
        <v>43369.257650462961</v>
      </c>
      <c r="B1154" s="11" t="str">
        <f>HYPERLINK("https://twitter.com/Mazolesenegal","@Mazolesenegal")</f>
        <v>@Mazolesenegal</v>
      </c>
      <c r="C1154" s="6" t="s">
        <v>948</v>
      </c>
      <c r="D1154" s="5" t="s">
        <v>756</v>
      </c>
      <c r="E1154" s="9" t="str">
        <f>HYPERLINK("https://twitter.com/Mazolesenegal/status/1044778841812520960","1044778841812520960")</f>
        <v>1044778841812520960</v>
      </c>
      <c r="F1154" s="4"/>
      <c r="G1154" s="4"/>
      <c r="H1154" s="4"/>
      <c r="I1154" s="10" t="str">
        <f>HYPERLINK("http://twitter.com/download/android","Twitter for Android")</f>
        <v>Twitter for Android</v>
      </c>
      <c r="J1154" s="2">
        <v>701</v>
      </c>
      <c r="K1154" s="2">
        <v>908</v>
      </c>
      <c r="L1154" s="2">
        <v>2</v>
      </c>
      <c r="M1154" s="2"/>
      <c r="N1154" s="8">
        <v>42911.623182870375</v>
      </c>
      <c r="O1154" s="4" t="s">
        <v>7</v>
      </c>
      <c r="P1154" s="3" t="s">
        <v>947</v>
      </c>
      <c r="Q1154" s="4"/>
      <c r="R1154" s="4"/>
      <c r="S1154" s="9" t="str">
        <f>HYPERLINK("https://pbs.twimg.com/profile_images/1010728675350806530/m7k72KPX.jpg","View")</f>
        <v>View</v>
      </c>
    </row>
    <row r="1155" spans="1:19" ht="20">
      <c r="A1155" s="8">
        <v>43369.25708333333</v>
      </c>
      <c r="B1155" s="11" t="str">
        <f>HYPERLINK("https://twitter.com/arashasgari3","@arashasgari3")</f>
        <v>@arashasgari3</v>
      </c>
      <c r="C1155" s="6" t="s">
        <v>946</v>
      </c>
      <c r="D1155" s="5" t="s">
        <v>736</v>
      </c>
      <c r="E1155" s="9" t="str">
        <f>HYPERLINK("https://twitter.com/arashasgari3/status/1044778634437742592","1044778634437742592")</f>
        <v>1044778634437742592</v>
      </c>
      <c r="F1155" s="4"/>
      <c r="G1155" s="10" t="s">
        <v>732</v>
      </c>
      <c r="H1155" s="4"/>
      <c r="I1155" s="10" t="str">
        <f>HYPERLINK("http://twitter.com/download/iphone","Twitter for iPhone")</f>
        <v>Twitter for iPhone</v>
      </c>
      <c r="J1155" s="2">
        <v>130</v>
      </c>
      <c r="K1155" s="2">
        <v>323</v>
      </c>
      <c r="L1155" s="2">
        <v>0</v>
      </c>
      <c r="M1155" s="2"/>
      <c r="N1155" s="8">
        <v>42869.017314814817</v>
      </c>
      <c r="O1155" s="4"/>
      <c r="P1155" s="3" t="s">
        <v>945</v>
      </c>
      <c r="Q1155" s="4"/>
      <c r="R1155" s="4"/>
      <c r="S1155" s="9" t="str">
        <f>HYPERLINK("https://pbs.twimg.com/profile_images/997965602881921025/dVx1Te67.jpg","View")</f>
        <v>View</v>
      </c>
    </row>
    <row r="1156" spans="1:19" ht="50">
      <c r="A1156" s="8">
        <v>43369.256979166668</v>
      </c>
      <c r="B1156" s="11" t="str">
        <f>HYPERLINK("https://twitter.com/mhj66","@mhj66")</f>
        <v>@mhj66</v>
      </c>
      <c r="C1156" s="6" t="s">
        <v>944</v>
      </c>
      <c r="D1156" s="5" t="s">
        <v>109</v>
      </c>
      <c r="E1156" s="9" t="str">
        <f>HYPERLINK("https://twitter.com/mhj66/status/1044778599511986176","1044778599511986176")</f>
        <v>1044778599511986176</v>
      </c>
      <c r="F1156" s="4"/>
      <c r="G1156" s="4"/>
      <c r="H1156" s="4"/>
      <c r="I1156" s="10" t="str">
        <f>HYPERLINK("http://twitter.com/download/android","Twitter for Android")</f>
        <v>Twitter for Android</v>
      </c>
      <c r="J1156" s="2">
        <v>115</v>
      </c>
      <c r="K1156" s="2">
        <v>1153</v>
      </c>
      <c r="L1156" s="2">
        <v>1</v>
      </c>
      <c r="M1156" s="2"/>
      <c r="N1156" s="8">
        <v>41225.2421875</v>
      </c>
      <c r="O1156" s="4" t="s">
        <v>1</v>
      </c>
      <c r="P1156" s="3" t="s">
        <v>943</v>
      </c>
      <c r="Q1156" s="4"/>
      <c r="R1156" s="4"/>
      <c r="S1156" s="9" t="str">
        <f>HYPERLINK("https://pbs.twimg.com/profile_images/796984868768976898/giKPbfHB.jpg","View")</f>
        <v>View</v>
      </c>
    </row>
    <row r="1157" spans="1:19" ht="40">
      <c r="A1157" s="8">
        <v>43369.255277777775</v>
      </c>
      <c r="B1157" s="11" t="str">
        <f>HYPERLINK("https://twitter.com/mhj66","@mhj66")</f>
        <v>@mhj66</v>
      </c>
      <c r="C1157" s="6" t="s">
        <v>944</v>
      </c>
      <c r="D1157" s="5" t="s">
        <v>585</v>
      </c>
      <c r="E1157" s="9" t="str">
        <f>HYPERLINK("https://twitter.com/mhj66/status/1044777980915060737","1044777980915060737")</f>
        <v>1044777980915060737</v>
      </c>
      <c r="F1157" s="4"/>
      <c r="G1157" s="10" t="s">
        <v>584</v>
      </c>
      <c r="H1157" s="4"/>
      <c r="I1157" s="10" t="str">
        <f>HYPERLINK("http://twitter.com/download/android","Twitter for Android")</f>
        <v>Twitter for Android</v>
      </c>
      <c r="J1157" s="2">
        <v>115</v>
      </c>
      <c r="K1157" s="2">
        <v>1153</v>
      </c>
      <c r="L1157" s="2">
        <v>1</v>
      </c>
      <c r="M1157" s="2"/>
      <c r="N1157" s="8">
        <v>41225.2421875</v>
      </c>
      <c r="O1157" s="4" t="s">
        <v>1</v>
      </c>
      <c r="P1157" s="3" t="s">
        <v>943</v>
      </c>
      <c r="Q1157" s="4"/>
      <c r="R1157" s="4"/>
      <c r="S1157" s="9" t="str">
        <f>HYPERLINK("https://pbs.twimg.com/profile_images/796984868768976898/giKPbfHB.jpg","View")</f>
        <v>View</v>
      </c>
    </row>
    <row r="1158" spans="1:19" ht="20">
      <c r="A1158" s="8">
        <v>43369.253576388888</v>
      </c>
      <c r="B1158" s="11" t="str">
        <f>HYPERLINK("https://twitter.com/yasi71313","@yasi71313")</f>
        <v>@yasi71313</v>
      </c>
      <c r="C1158" s="6" t="s">
        <v>942</v>
      </c>
      <c r="D1158" s="5" t="s">
        <v>15</v>
      </c>
      <c r="E1158" s="9" t="str">
        <f>HYPERLINK("https://twitter.com/yasi71313/status/1044777363500920832","1044777363500920832")</f>
        <v>1044777363500920832</v>
      </c>
      <c r="F1158" s="4"/>
      <c r="G1158" s="4"/>
      <c r="H1158" s="4"/>
      <c r="I1158" s="10" t="str">
        <f>HYPERLINK("https://mobile.twitter.com","Twitter Lite")</f>
        <v>Twitter Lite</v>
      </c>
      <c r="J1158" s="2">
        <v>5</v>
      </c>
      <c r="K1158" s="2">
        <v>18</v>
      </c>
      <c r="L1158" s="2">
        <v>0</v>
      </c>
      <c r="M1158" s="2"/>
      <c r="N1158" s="8">
        <v>43166.285914351851</v>
      </c>
      <c r="O1158" s="4"/>
      <c r="P1158" s="3"/>
      <c r="Q1158" s="4"/>
      <c r="R1158" s="4"/>
      <c r="S1158" s="9" t="str">
        <f>HYPERLINK("https://pbs.twimg.com/profile_images/1039945785134211076/1sR1XILy.jpg","View")</f>
        <v>View</v>
      </c>
    </row>
    <row r="1159" spans="1:19" ht="40">
      <c r="A1159" s="8">
        <v>43369.252847222218</v>
      </c>
      <c r="B1159" s="11" t="str">
        <f>HYPERLINK("https://twitter.com/JavadNasirian","@JavadNasirian")</f>
        <v>@JavadNasirian</v>
      </c>
      <c r="C1159" s="6" t="s">
        <v>806</v>
      </c>
      <c r="D1159" s="5" t="s">
        <v>352</v>
      </c>
      <c r="E1159" s="9" t="str">
        <f>HYPERLINK("https://twitter.com/JavadNasirian/status/1044777098743828481","1044777098743828481")</f>
        <v>1044777098743828481</v>
      </c>
      <c r="F1159" s="4"/>
      <c r="G1159" s="4"/>
      <c r="H1159" s="4"/>
      <c r="I1159" s="10" t="str">
        <f>HYPERLINK("http://twitter.com/download/android","Twitter for Android")</f>
        <v>Twitter for Android</v>
      </c>
      <c r="J1159" s="2">
        <v>28</v>
      </c>
      <c r="K1159" s="2">
        <v>19</v>
      </c>
      <c r="L1159" s="2">
        <v>0</v>
      </c>
      <c r="M1159" s="2"/>
      <c r="N1159" s="8">
        <v>43286.804062499999</v>
      </c>
      <c r="O1159" s="4"/>
      <c r="P1159" s="3" t="s">
        <v>804</v>
      </c>
      <c r="Q1159" s="4"/>
      <c r="R1159" s="4"/>
      <c r="S1159" s="9" t="str">
        <f>HYPERLINK("https://pbs.twimg.com/profile_images/1021474796264206337/B8GLQptq.jpg","View")</f>
        <v>View</v>
      </c>
    </row>
    <row r="1160" spans="1:19" ht="40">
      <c r="A1160" s="8">
        <v>43369.252604166672</v>
      </c>
      <c r="B1160" s="11" t="str">
        <f>HYPERLINK("https://twitter.com/EEbadi313","@EEbadi313")</f>
        <v>@EEbadi313</v>
      </c>
      <c r="C1160" s="6" t="s">
        <v>941</v>
      </c>
      <c r="D1160" s="5" t="s">
        <v>940</v>
      </c>
      <c r="E1160" s="9" t="str">
        <f>HYPERLINK("https://twitter.com/EEbadi313/status/1044777011749826560","1044777011749826560")</f>
        <v>1044777011749826560</v>
      </c>
      <c r="F1160" s="4"/>
      <c r="G1160" s="4"/>
      <c r="H1160" s="4"/>
      <c r="I1160" s="10" t="str">
        <f>HYPERLINK("http://twitter.com","Twitter Web Client")</f>
        <v>Twitter Web Client</v>
      </c>
      <c r="J1160" s="2">
        <v>167</v>
      </c>
      <c r="K1160" s="2">
        <v>364</v>
      </c>
      <c r="L1160" s="2">
        <v>0</v>
      </c>
      <c r="M1160" s="2"/>
      <c r="N1160" s="8">
        <v>42833.991365740745</v>
      </c>
      <c r="O1160" s="4" t="s">
        <v>7</v>
      </c>
      <c r="P1160" s="3" t="s">
        <v>939</v>
      </c>
      <c r="Q1160" s="4"/>
      <c r="R1160" s="4"/>
      <c r="S1160" s="9" t="str">
        <f>HYPERLINK("https://pbs.twimg.com/profile_images/850799280021438465/KDtc_lVi.jpg","View")</f>
        <v>View</v>
      </c>
    </row>
    <row r="1161" spans="1:19" ht="20">
      <c r="A1161" s="8">
        <v>43369.252071759256</v>
      </c>
      <c r="B1161" s="11" t="str">
        <f>HYPERLINK("https://twitter.com/democracyrobot","@democracyrobot")</f>
        <v>@democracyrobot</v>
      </c>
      <c r="C1161" s="6" t="s">
        <v>938</v>
      </c>
      <c r="D1161" s="5" t="s">
        <v>736</v>
      </c>
      <c r="E1161" s="9" t="str">
        <f>HYPERLINK("https://twitter.com/democracyrobot/status/1044776820774588416","1044776820774588416")</f>
        <v>1044776820774588416</v>
      </c>
      <c r="F1161" s="4"/>
      <c r="G1161" s="10" t="s">
        <v>732</v>
      </c>
      <c r="H1161" s="4"/>
      <c r="I1161" s="10" t="str">
        <f>HYPERLINK("http://twitter.com/download/iphone","Twitter for iPhone")</f>
        <v>Twitter for iPhone</v>
      </c>
      <c r="J1161" s="2">
        <v>474</v>
      </c>
      <c r="K1161" s="2">
        <v>692</v>
      </c>
      <c r="L1161" s="2">
        <v>0</v>
      </c>
      <c r="M1161" s="2"/>
      <c r="N1161" s="8">
        <v>43312.449016203704</v>
      </c>
      <c r="O1161" s="4" t="s">
        <v>937</v>
      </c>
      <c r="P1161" s="3" t="s">
        <v>936</v>
      </c>
      <c r="Q1161" s="4"/>
      <c r="R1161" s="4"/>
      <c r="S1161" s="9" t="str">
        <f>HYPERLINK("https://pbs.twimg.com/profile_images/1024177820115787776/2MEJwS85.jpg","View")</f>
        <v>View</v>
      </c>
    </row>
    <row r="1162" spans="1:19" ht="40">
      <c r="A1162" s="8">
        <v>43369.251921296294</v>
      </c>
      <c r="B1162" s="11" t="str">
        <f>HYPERLINK("https://twitter.com/mohammadzarepur","@mohammadzarepur")</f>
        <v>@mohammadzarepur</v>
      </c>
      <c r="C1162" s="6" t="s">
        <v>935</v>
      </c>
      <c r="D1162" s="5" t="s">
        <v>72</v>
      </c>
      <c r="E1162" s="9" t="str">
        <f>HYPERLINK("https://twitter.com/mohammadzarepur/status/1044776763895828480","1044776763895828480")</f>
        <v>1044776763895828480</v>
      </c>
      <c r="F1162" s="4"/>
      <c r="G1162" s="4"/>
      <c r="H1162" s="4"/>
      <c r="I1162" s="10" t="str">
        <f>HYPERLINK("http://twitter.com/download/android","Twitter for Android")</f>
        <v>Twitter for Android</v>
      </c>
      <c r="J1162" s="2">
        <v>601</v>
      </c>
      <c r="K1162" s="2">
        <v>1615</v>
      </c>
      <c r="L1162" s="2">
        <v>2</v>
      </c>
      <c r="M1162" s="2"/>
      <c r="N1162" s="8">
        <v>42895.729351851856</v>
      </c>
      <c r="O1162" s="4" t="s">
        <v>33</v>
      </c>
      <c r="P1162" s="3" t="s">
        <v>934</v>
      </c>
      <c r="Q1162" s="4"/>
      <c r="R1162" s="4"/>
      <c r="S1162" s="9" t="str">
        <f>HYPERLINK("https://pbs.twimg.com/profile_images/1009859953379586048/SlB0TLdC.jpg","View")</f>
        <v>View</v>
      </c>
    </row>
    <row r="1163" spans="1:19" ht="30">
      <c r="A1163" s="8">
        <v>43369.251689814817</v>
      </c>
      <c r="B1163" s="11" t="str">
        <f>HYPERLINK("https://twitter.com/barandazambot","@barandazambot")</f>
        <v>@barandazambot</v>
      </c>
      <c r="C1163" s="6" t="s">
        <v>683</v>
      </c>
      <c r="D1163" s="5" t="s">
        <v>736</v>
      </c>
      <c r="E1163" s="9" t="str">
        <f>HYPERLINK("https://twitter.com/barandazambot/status/1044776683088207873","1044776683088207873")</f>
        <v>1044776683088207873</v>
      </c>
      <c r="F1163" s="4"/>
      <c r="G1163" s="10" t="s">
        <v>732</v>
      </c>
      <c r="H1163" s="4"/>
      <c r="I1163" s="10" t="str">
        <f>HYPERLINK("http://127.0.0.1","barandazambot")</f>
        <v>barandazambot</v>
      </c>
      <c r="J1163" s="2">
        <v>890</v>
      </c>
      <c r="K1163" s="2">
        <v>23</v>
      </c>
      <c r="L1163" s="2">
        <v>2</v>
      </c>
      <c r="M1163" s="2"/>
      <c r="N1163" s="8">
        <v>43293.668993055559</v>
      </c>
      <c r="O1163" s="4" t="s">
        <v>682</v>
      </c>
      <c r="P1163" s="3" t="s">
        <v>681</v>
      </c>
      <c r="Q1163" s="4"/>
      <c r="R1163" s="4"/>
      <c r="S1163" s="9" t="str">
        <f>HYPERLINK("https://pbs.twimg.com/profile_images/1017382724485730305/hGaBNoXG.jpg","View")</f>
        <v>View</v>
      </c>
    </row>
    <row r="1164" spans="1:19" ht="20">
      <c r="A1164" s="8">
        <v>43369.251388888893</v>
      </c>
      <c r="B1164" s="11" t="str">
        <f>HYPERLINK("https://twitter.com/saeedahmadi86","@saeedahmadi86")</f>
        <v>@saeedahmadi86</v>
      </c>
      <c r="C1164" s="6" t="s">
        <v>933</v>
      </c>
      <c r="D1164" s="5" t="s">
        <v>185</v>
      </c>
      <c r="E1164" s="9" t="str">
        <f>HYPERLINK("https://twitter.com/saeedahmadi86/status/1044776571440164865","1044776571440164865")</f>
        <v>1044776571440164865</v>
      </c>
      <c r="F1164" s="4"/>
      <c r="G1164" s="10" t="s">
        <v>177</v>
      </c>
      <c r="H1164" s="4"/>
      <c r="I1164" s="10" t="str">
        <f>HYPERLINK("http://twitter.com/download/android","Twitter for Android")</f>
        <v>Twitter for Android</v>
      </c>
      <c r="J1164" s="2">
        <v>104</v>
      </c>
      <c r="K1164" s="2">
        <v>248</v>
      </c>
      <c r="L1164" s="2">
        <v>0</v>
      </c>
      <c r="M1164" s="2"/>
      <c r="N1164" s="8">
        <v>41853.834120370375</v>
      </c>
      <c r="O1164" s="4" t="s">
        <v>7</v>
      </c>
      <c r="P1164" s="3" t="s">
        <v>932</v>
      </c>
      <c r="Q1164" s="4"/>
      <c r="R1164" s="4"/>
      <c r="S1164" s="9" t="str">
        <f>HYPERLINK("https://pbs.twimg.com/profile_images/1020702698201583618/j29ndKSD.jpg","View")</f>
        <v>View</v>
      </c>
    </row>
    <row r="1165" spans="1:19" ht="20">
      <c r="A1165" s="8">
        <v>43369.251261574071</v>
      </c>
      <c r="B1165" s="11" t="str">
        <f>HYPERLINK("https://twitter.com/JavadNasirian","@JavadNasirian")</f>
        <v>@JavadNasirian</v>
      </c>
      <c r="C1165" s="6" t="s">
        <v>806</v>
      </c>
      <c r="D1165" s="5" t="s">
        <v>63</v>
      </c>
      <c r="E1165" s="9" t="str">
        <f>HYPERLINK("https://twitter.com/JavadNasirian/status/1044776525789302784","1044776525789302784")</f>
        <v>1044776525789302784</v>
      </c>
      <c r="F1165" s="4"/>
      <c r="G1165" s="4"/>
      <c r="H1165" s="4"/>
      <c r="I1165" s="10" t="str">
        <f>HYPERLINK("http://twitter.com/download/android","Twitter for Android")</f>
        <v>Twitter for Android</v>
      </c>
      <c r="J1165" s="2">
        <v>28</v>
      </c>
      <c r="K1165" s="2">
        <v>19</v>
      </c>
      <c r="L1165" s="2">
        <v>0</v>
      </c>
      <c r="M1165" s="2"/>
      <c r="N1165" s="8">
        <v>43286.804062499999</v>
      </c>
      <c r="O1165" s="4"/>
      <c r="P1165" s="3" t="s">
        <v>804</v>
      </c>
      <c r="Q1165" s="4"/>
      <c r="R1165" s="4"/>
      <c r="S1165" s="9" t="str">
        <f>HYPERLINK("https://pbs.twimg.com/profile_images/1021474796264206337/B8GLQptq.jpg","View")</f>
        <v>View</v>
      </c>
    </row>
    <row r="1166" spans="1:19" ht="20">
      <c r="A1166" s="8">
        <v>43369.250810185185</v>
      </c>
      <c r="B1166" s="11" t="str">
        <f>HYPERLINK("https://twitter.com/Chips_Felfeli","@Chips_Felfeli")</f>
        <v>@Chips_Felfeli</v>
      </c>
      <c r="C1166" s="6" t="s">
        <v>931</v>
      </c>
      <c r="D1166" s="5" t="s">
        <v>736</v>
      </c>
      <c r="E1166" s="9" t="str">
        <f>HYPERLINK("https://twitter.com/Chips_Felfeli/status/1044776364208009218","1044776364208009218")</f>
        <v>1044776364208009218</v>
      </c>
      <c r="F1166" s="4"/>
      <c r="G1166" s="10" t="s">
        <v>732</v>
      </c>
      <c r="H1166" s="4"/>
      <c r="I1166" s="10" t="str">
        <f>HYPERLINK("http://twitter.com/download/android","Twitter for Android")</f>
        <v>Twitter for Android</v>
      </c>
      <c r="J1166" s="2">
        <v>652</v>
      </c>
      <c r="K1166" s="2">
        <v>1680</v>
      </c>
      <c r="L1166" s="2">
        <v>1</v>
      </c>
      <c r="M1166" s="2"/>
      <c r="N1166" s="8">
        <v>43203.225601851853</v>
      </c>
      <c r="O1166" s="4"/>
      <c r="P1166" s="3"/>
      <c r="Q1166" s="4"/>
      <c r="R1166" s="4"/>
      <c r="S1166" s="9" t="str">
        <f>HYPERLINK("https://pbs.twimg.com/profile_images/1039603878440910848/L5hMOGOU.jpg","View")</f>
        <v>View</v>
      </c>
    </row>
    <row r="1167" spans="1:19" ht="20">
      <c r="A1167" s="8">
        <v>43369.249583333338</v>
      </c>
      <c r="B1167" s="11" t="str">
        <f>HYPERLINK("https://twitter.com/paradox2071","@paradox2071")</f>
        <v>@paradox2071</v>
      </c>
      <c r="C1167" s="6" t="s">
        <v>930</v>
      </c>
      <c r="D1167" s="5" t="s">
        <v>736</v>
      </c>
      <c r="E1167" s="9" t="str">
        <f>HYPERLINK("https://twitter.com/paradox2071/status/1044775919313977345","1044775919313977345")</f>
        <v>1044775919313977345</v>
      </c>
      <c r="F1167" s="4"/>
      <c r="G1167" s="10" t="s">
        <v>732</v>
      </c>
      <c r="H1167" s="4"/>
      <c r="I1167" s="10" t="str">
        <f>HYPERLINK("http://twitter.com/download/android","Twitter for Android")</f>
        <v>Twitter for Android</v>
      </c>
      <c r="J1167" s="2">
        <v>1117</v>
      </c>
      <c r="K1167" s="2">
        <v>1108</v>
      </c>
      <c r="L1167" s="2">
        <v>1</v>
      </c>
      <c r="M1167" s="2"/>
      <c r="N1167" s="8">
        <v>43103.333877314813</v>
      </c>
      <c r="O1167" s="4" t="s">
        <v>929</v>
      </c>
      <c r="P1167" s="3"/>
      <c r="Q1167" s="4"/>
      <c r="R1167" s="4"/>
      <c r="S1167" s="9" t="str">
        <f>HYPERLINK("https://pbs.twimg.com/profile_images/1011158472279220225/aKPM8F0D.jpg","View")</f>
        <v>View</v>
      </c>
    </row>
    <row r="1168" spans="1:19" ht="30">
      <c r="A1168" s="8">
        <v>43369.24927083333</v>
      </c>
      <c r="B1168" s="11" t="str">
        <f>HYPERLINK("https://twitter.com/sadegh_parsa95","@sadegh_parsa95")</f>
        <v>@sadegh_parsa95</v>
      </c>
      <c r="C1168" s="6" t="s">
        <v>928</v>
      </c>
      <c r="D1168" s="5" t="s">
        <v>102</v>
      </c>
      <c r="E1168" s="9" t="str">
        <f>HYPERLINK("https://twitter.com/sadegh_parsa95/status/1044775804163567616","1044775804163567616")</f>
        <v>1044775804163567616</v>
      </c>
      <c r="F1168" s="4"/>
      <c r="G1168" s="4"/>
      <c r="H1168" s="4"/>
      <c r="I1168" s="10" t="str">
        <f>HYPERLINK("http://twitter.com/download/android","Twitter for Android")</f>
        <v>Twitter for Android</v>
      </c>
      <c r="J1168" s="2">
        <v>1764</v>
      </c>
      <c r="K1168" s="2">
        <v>408</v>
      </c>
      <c r="L1168" s="2">
        <v>5</v>
      </c>
      <c r="M1168" s="2"/>
      <c r="N1168" s="8">
        <v>42988.836689814816</v>
      </c>
      <c r="O1168" s="4"/>
      <c r="P1168" s="3" t="s">
        <v>927</v>
      </c>
      <c r="Q1168" s="4"/>
      <c r="R1168" s="4"/>
      <c r="S1168" s="9" t="str">
        <f>HYPERLINK("https://pbs.twimg.com/profile_images/907230654429106176/QzckVgHW.jpg","View")</f>
        <v>View</v>
      </c>
    </row>
    <row r="1169" spans="1:19" ht="20">
      <c r="A1169" s="8">
        <v>43369.248391203699</v>
      </c>
      <c r="B1169" s="11" t="str">
        <f>HYPERLINK("https://twitter.com/Hafeze5","@Hafeze5")</f>
        <v>@Hafeze5</v>
      </c>
      <c r="C1169" s="6" t="s">
        <v>926</v>
      </c>
      <c r="D1169" s="5" t="s">
        <v>736</v>
      </c>
      <c r="E1169" s="9" t="str">
        <f>HYPERLINK("https://twitter.com/Hafeze5/status/1044775485031546880","1044775485031546880")</f>
        <v>1044775485031546880</v>
      </c>
      <c r="F1169" s="4"/>
      <c r="G1169" s="10" t="s">
        <v>732</v>
      </c>
      <c r="H1169" s="4"/>
      <c r="I1169" s="10" t="str">
        <f>HYPERLINK("http://twitter.com/download/android","Twitter for Android")</f>
        <v>Twitter for Android</v>
      </c>
      <c r="J1169" s="2">
        <v>1713</v>
      </c>
      <c r="K1169" s="2">
        <v>979</v>
      </c>
      <c r="L1169" s="2">
        <v>0</v>
      </c>
      <c r="M1169" s="2"/>
      <c r="N1169" s="8">
        <v>43112.516805555555</v>
      </c>
      <c r="O1169" s="4"/>
      <c r="P1169" s="3" t="s">
        <v>925</v>
      </c>
      <c r="Q1169" s="4"/>
      <c r="R1169" s="4"/>
      <c r="S1169" s="9" t="str">
        <f>HYPERLINK("https://pbs.twimg.com/profile_images/997749531994349568/h7hLC6Dg.jpg","View")</f>
        <v>View</v>
      </c>
    </row>
    <row r="1170" spans="1:19" ht="20">
      <c r="A1170" s="8">
        <v>43369.248287037037</v>
      </c>
      <c r="B1170" s="11" t="str">
        <f>HYPERLINK("https://twitter.com/SajadAsadi14","@SajadAsadi14")</f>
        <v>@SajadAsadi14</v>
      </c>
      <c r="C1170" s="6" t="s">
        <v>924</v>
      </c>
      <c r="D1170" s="5" t="s">
        <v>736</v>
      </c>
      <c r="E1170" s="9" t="str">
        <f>HYPERLINK("https://twitter.com/SajadAsadi14/status/1044775449656807425","1044775449656807425")</f>
        <v>1044775449656807425</v>
      </c>
      <c r="F1170" s="4"/>
      <c r="G1170" s="10" t="s">
        <v>732</v>
      </c>
      <c r="H1170" s="4"/>
      <c r="I1170" s="10" t="str">
        <f>HYPERLINK("http://twitter.com/download/android","Twitter for Android")</f>
        <v>Twitter for Android</v>
      </c>
      <c r="J1170" s="2">
        <v>243</v>
      </c>
      <c r="K1170" s="2">
        <v>430</v>
      </c>
      <c r="L1170" s="2">
        <v>0</v>
      </c>
      <c r="M1170" s="2"/>
      <c r="N1170" s="8">
        <v>43351.070914351847</v>
      </c>
      <c r="O1170" s="4"/>
      <c r="P1170" s="3" t="s">
        <v>923</v>
      </c>
      <c r="Q1170" s="4"/>
      <c r="R1170" s="4"/>
      <c r="S1170" s="9" t="str">
        <f>HYPERLINK("https://pbs.twimg.com/profile_images/1039935765537583104/IrkGJAJz.jpg","View")</f>
        <v>View</v>
      </c>
    </row>
    <row r="1171" spans="1:19" ht="40">
      <c r="A1171" s="8">
        <v>43369.247673611113</v>
      </c>
      <c r="B1171" s="11" t="str">
        <f>HYPERLINK("https://twitter.com/kamran52804","@kamran52804")</f>
        <v>@kamran52804</v>
      </c>
      <c r="C1171" s="6" t="s">
        <v>922</v>
      </c>
      <c r="D1171" s="5" t="s">
        <v>756</v>
      </c>
      <c r="E1171" s="9" t="str">
        <f>HYPERLINK("https://twitter.com/kamran52804/status/1044775226532352000","1044775226532352000")</f>
        <v>1044775226532352000</v>
      </c>
      <c r="F1171" s="4"/>
      <c r="G1171" s="4"/>
      <c r="H1171" s="4"/>
      <c r="I1171" s="10" t="str">
        <f>HYPERLINK("http://twitter.com/download/android","Twitter for Android")</f>
        <v>Twitter for Android</v>
      </c>
      <c r="J1171" s="2">
        <v>378</v>
      </c>
      <c r="K1171" s="2">
        <v>1216</v>
      </c>
      <c r="L1171" s="2">
        <v>0</v>
      </c>
      <c r="M1171" s="2"/>
      <c r="N1171" s="8">
        <v>43024.394756944443</v>
      </c>
      <c r="O1171" s="4"/>
      <c r="P1171" s="3" t="s">
        <v>921</v>
      </c>
      <c r="Q1171" s="4"/>
      <c r="R1171" s="4"/>
      <c r="S1171" s="9" t="str">
        <f>HYPERLINK("https://pbs.twimg.com/profile_images/1039505158307110914/crm5JnrA.jpg","View")</f>
        <v>View</v>
      </c>
    </row>
    <row r="1172" spans="1:19" ht="20">
      <c r="A1172" s="8">
        <v>43369.245416666672</v>
      </c>
      <c r="B1172" s="11" t="str">
        <f>HYPERLINK("https://twitter.com/barayehamishe","@barayehamishe")</f>
        <v>@barayehamishe</v>
      </c>
      <c r="C1172" s="6" t="s">
        <v>920</v>
      </c>
      <c r="D1172" s="5" t="s">
        <v>102</v>
      </c>
      <c r="E1172" s="9" t="str">
        <f>HYPERLINK("https://twitter.com/barayehamishe/status/1044774406717927424","1044774406717927424")</f>
        <v>1044774406717927424</v>
      </c>
      <c r="F1172" s="4"/>
      <c r="G1172" s="4"/>
      <c r="H1172" s="4"/>
      <c r="I1172" s="10" t="str">
        <f>HYPERLINK("http://twitter.com/download/android","Twitter for Android")</f>
        <v>Twitter for Android</v>
      </c>
      <c r="J1172" s="2">
        <v>504</v>
      </c>
      <c r="K1172" s="2">
        <v>656</v>
      </c>
      <c r="L1172" s="2">
        <v>1</v>
      </c>
      <c r="M1172" s="2"/>
      <c r="N1172" s="8">
        <v>43273.946608796294</v>
      </c>
      <c r="O1172" s="4" t="s">
        <v>1</v>
      </c>
      <c r="P1172" s="3" t="s">
        <v>919</v>
      </c>
      <c r="Q1172" s="4"/>
      <c r="R1172" s="4"/>
      <c r="S1172" s="9" t="str">
        <f>HYPERLINK("https://pbs.twimg.com/profile_images/1022190835692187648/jtPQYPYk.jpg","View")</f>
        <v>View</v>
      </c>
    </row>
    <row r="1173" spans="1:19" ht="50">
      <c r="A1173" s="8">
        <v>43369.244722222225</v>
      </c>
      <c r="B1173" s="11" t="str">
        <f>HYPERLINK("https://twitter.com/seyed_hoseini","@seyed_hoseini")</f>
        <v>@seyed_hoseini</v>
      </c>
      <c r="C1173" s="6" t="s">
        <v>918</v>
      </c>
      <c r="D1173" s="5" t="s">
        <v>917</v>
      </c>
      <c r="E1173" s="9" t="str">
        <f>HYPERLINK("https://twitter.com/seyed_hoseini/status/1044774156284424192","1044774156284424192")</f>
        <v>1044774156284424192</v>
      </c>
      <c r="F1173" s="4"/>
      <c r="G1173" s="4"/>
      <c r="H1173" s="4"/>
      <c r="I1173" s="10" t="str">
        <f>HYPERLINK("http://twitter.com/download/android","Twitter for Android")</f>
        <v>Twitter for Android</v>
      </c>
      <c r="J1173" s="2">
        <v>124</v>
      </c>
      <c r="K1173" s="2">
        <v>426</v>
      </c>
      <c r="L1173" s="2">
        <v>0</v>
      </c>
      <c r="M1173" s="2"/>
      <c r="N1173" s="8">
        <v>41385.514432870368</v>
      </c>
      <c r="O1173" s="4" t="s">
        <v>916</v>
      </c>
      <c r="P1173" s="3" t="s">
        <v>915</v>
      </c>
      <c r="Q1173" s="4"/>
      <c r="R1173" s="4"/>
      <c r="S1173" s="9" t="str">
        <f>HYPERLINK("https://pbs.twimg.com/profile_images/1044173077008052224/LwEH8--W.jpg","View")</f>
        <v>View</v>
      </c>
    </row>
    <row r="1174" spans="1:19" ht="30">
      <c r="A1174" s="8">
        <v>43369.244710648149</v>
      </c>
      <c r="B1174" s="11" t="str">
        <f>HYPERLINK("https://twitter.com/taghadom_news","@taghadom_news")</f>
        <v>@taghadom_news</v>
      </c>
      <c r="C1174" s="6" t="s">
        <v>854</v>
      </c>
      <c r="D1174" s="5" t="s">
        <v>914</v>
      </c>
      <c r="E1174" s="9" t="str">
        <f>HYPERLINK("https://twitter.com/taghadom_news/status/1044774151951667200","1044774151951667200")</f>
        <v>1044774151951667200</v>
      </c>
      <c r="F1174" s="4"/>
      <c r="G1174" s="10" t="s">
        <v>913</v>
      </c>
      <c r="H1174" s="4"/>
      <c r="I1174" s="10" t="str">
        <f>HYPERLINK("http://twitter.com/download/iphone","Twitter for iPhone")</f>
        <v>Twitter for iPhone</v>
      </c>
      <c r="J1174" s="2">
        <v>375</v>
      </c>
      <c r="K1174" s="2">
        <v>910</v>
      </c>
      <c r="L1174" s="2">
        <v>5</v>
      </c>
      <c r="M1174" s="2"/>
      <c r="N1174" s="8">
        <v>41995.069502314815</v>
      </c>
      <c r="O1174" s="4" t="s">
        <v>7</v>
      </c>
      <c r="P1174" s="3" t="s">
        <v>851</v>
      </c>
      <c r="Q1174" s="10" t="s">
        <v>850</v>
      </c>
      <c r="R1174" s="4"/>
      <c r="S1174" s="9" t="str">
        <f>HYPERLINK("https://pbs.twimg.com/profile_images/546828494328438785/_yR0Y6Dd.jpeg","View")</f>
        <v>View</v>
      </c>
    </row>
    <row r="1175" spans="1:19" ht="30">
      <c r="A1175" s="8">
        <v>43369.242326388892</v>
      </c>
      <c r="B1175" s="11" t="str">
        <f>HYPERLINK("https://twitter.com/mohsenebagheri","@mohsenebagheri")</f>
        <v>@mohsenebagheri</v>
      </c>
      <c r="C1175" s="6" t="s">
        <v>912</v>
      </c>
      <c r="D1175" s="5" t="s">
        <v>102</v>
      </c>
      <c r="E1175" s="9" t="str">
        <f>HYPERLINK("https://twitter.com/mohsenebagheri/status/1044773288763949056","1044773288763949056")</f>
        <v>1044773288763949056</v>
      </c>
      <c r="F1175" s="4"/>
      <c r="G1175" s="4"/>
      <c r="H1175" s="4"/>
      <c r="I1175" s="10" t="str">
        <f>HYPERLINK("http://twitter.com/download/android","Twitter for Android")</f>
        <v>Twitter for Android</v>
      </c>
      <c r="J1175" s="2">
        <v>582</v>
      </c>
      <c r="K1175" s="2">
        <v>1008</v>
      </c>
      <c r="L1175" s="2">
        <v>1</v>
      </c>
      <c r="M1175" s="2"/>
      <c r="N1175" s="8">
        <v>42960.991307870368</v>
      </c>
      <c r="O1175" s="4" t="s">
        <v>1</v>
      </c>
      <c r="P1175" s="3" t="s">
        <v>911</v>
      </c>
      <c r="Q1175" s="10" t="s">
        <v>910</v>
      </c>
      <c r="R1175" s="4"/>
      <c r="S1175" s="9" t="str">
        <f>HYPERLINK("https://pbs.twimg.com/profile_images/1022764573844226048/OAlMi9H5.jpg","View")</f>
        <v>View</v>
      </c>
    </row>
    <row r="1176" spans="1:19" ht="20">
      <c r="A1176" s="8">
        <v>43369.24145833333</v>
      </c>
      <c r="B1176" s="11" t="str">
        <f>HYPERLINK("https://twitter.com/davoudi135","@davoudi135")</f>
        <v>@davoudi135</v>
      </c>
      <c r="C1176" s="6" t="s">
        <v>909</v>
      </c>
      <c r="D1176" s="5" t="s">
        <v>102</v>
      </c>
      <c r="E1176" s="9" t="str">
        <f>HYPERLINK("https://twitter.com/davoudi135/status/1044772974077857792","1044772974077857792")</f>
        <v>1044772974077857792</v>
      </c>
      <c r="F1176" s="4"/>
      <c r="G1176" s="4"/>
      <c r="H1176" s="4"/>
      <c r="I1176" s="10" t="str">
        <f>HYPERLINK("http://twitter.com/download/android","Twitter for Android")</f>
        <v>Twitter for Android</v>
      </c>
      <c r="J1176" s="2">
        <v>7716</v>
      </c>
      <c r="K1176" s="2">
        <v>2289</v>
      </c>
      <c r="L1176" s="2">
        <v>21</v>
      </c>
      <c r="M1176" s="2"/>
      <c r="N1176" s="8">
        <v>40982.377442129626</v>
      </c>
      <c r="O1176" s="4"/>
      <c r="P1176" s="3" t="s">
        <v>908</v>
      </c>
      <c r="Q1176" s="4"/>
      <c r="R1176" s="4"/>
      <c r="S1176" s="9" t="str">
        <f>HYPERLINK("https://pbs.twimg.com/profile_images/1037301580683522048/O6W_n4KW.jpg","View")</f>
        <v>View</v>
      </c>
    </row>
    <row r="1177" spans="1:19" ht="30">
      <c r="A1177" s="8">
        <v>43369.240613425922</v>
      </c>
      <c r="B1177" s="11" t="str">
        <f>HYPERLINK("https://twitter.com/KAMBIZGJ","@KAMBIZGJ")</f>
        <v>@KAMBIZGJ</v>
      </c>
      <c r="C1177" s="6" t="s">
        <v>907</v>
      </c>
      <c r="D1177" s="5" t="s">
        <v>906</v>
      </c>
      <c r="E1177" s="9" t="str">
        <f>HYPERLINK("https://twitter.com/KAMBIZGJ/status/1044772665452646400","1044772665452646400")</f>
        <v>1044772665452646400</v>
      </c>
      <c r="F1177" s="4"/>
      <c r="G1177" s="10" t="s">
        <v>905</v>
      </c>
      <c r="H1177" s="4"/>
      <c r="I1177" s="10" t="str">
        <f>HYPERLINK("http://twitter.com/download/iphone","Twitter for iPhone")</f>
        <v>Twitter for iPhone</v>
      </c>
      <c r="J1177" s="2">
        <v>36</v>
      </c>
      <c r="K1177" s="2">
        <v>115</v>
      </c>
      <c r="L1177" s="2">
        <v>0</v>
      </c>
      <c r="M1177" s="2"/>
      <c r="N1177" s="8">
        <v>41587.002534722225</v>
      </c>
      <c r="O1177" s="4"/>
      <c r="P1177" s="3" t="s">
        <v>904</v>
      </c>
      <c r="Q1177" s="4"/>
      <c r="R1177" s="4"/>
      <c r="S1177" s="9" t="str">
        <f>HYPERLINK("https://pbs.twimg.com/profile_images/1036647571190673408/n1RtnI4s.jpg","View")</f>
        <v>View</v>
      </c>
    </row>
    <row r="1178" spans="1:19" ht="20">
      <c r="A1178" s="8">
        <v>43369.240300925929</v>
      </c>
      <c r="B1178" s="11" t="str">
        <f>HYPERLINK("https://twitter.com/haj_hilary","@haj_hilary")</f>
        <v>@haj_hilary</v>
      </c>
      <c r="C1178" s="6" t="s">
        <v>903</v>
      </c>
      <c r="D1178" s="5" t="s">
        <v>15</v>
      </c>
      <c r="E1178" s="9" t="str">
        <f>HYPERLINK("https://twitter.com/haj_hilary/status/1044772555071082496","1044772555071082496")</f>
        <v>1044772555071082496</v>
      </c>
      <c r="F1178" s="4"/>
      <c r="G1178" s="4"/>
      <c r="H1178" s="4"/>
      <c r="I1178" s="10" t="str">
        <f>HYPERLINK("http://twitter.com/download/android","Twitter for Android")</f>
        <v>Twitter for Android</v>
      </c>
      <c r="J1178" s="2">
        <v>629</v>
      </c>
      <c r="K1178" s="2">
        <v>903</v>
      </c>
      <c r="L1178" s="2">
        <v>2</v>
      </c>
      <c r="M1178" s="2"/>
      <c r="N1178" s="8">
        <v>43227.959363425922</v>
      </c>
      <c r="O1178" s="4"/>
      <c r="P1178" s="3" t="s">
        <v>902</v>
      </c>
      <c r="Q1178" s="4"/>
      <c r="R1178" s="4"/>
      <c r="S1178" s="9" t="str">
        <f>HYPERLINK("https://pbs.twimg.com/profile_images/999941799073533953/bMDwBX02.jpg","View")</f>
        <v>View</v>
      </c>
    </row>
    <row r="1179" spans="1:19" ht="30">
      <c r="A1179" s="8">
        <v>43369.239305555559</v>
      </c>
      <c r="B1179" s="11" t="str">
        <f>HYPERLINK("https://twitter.com/PersianPride59","@PersianPride59")</f>
        <v>@PersianPride59</v>
      </c>
      <c r="C1179" s="6" t="s">
        <v>644</v>
      </c>
      <c r="D1179" s="5" t="s">
        <v>49</v>
      </c>
      <c r="E1179" s="9" t="str">
        <f>HYPERLINK("https://twitter.com/PersianPride59/status/1044772192469180416","1044772192469180416")</f>
        <v>1044772192469180416</v>
      </c>
      <c r="F1179" s="4"/>
      <c r="G1179" s="4"/>
      <c r="H1179" s="4"/>
      <c r="I1179" s="10" t="str">
        <f>HYPERLINK("http://twitter.com/download/android","Twitter for Android")</f>
        <v>Twitter for Android</v>
      </c>
      <c r="J1179" s="2">
        <v>271</v>
      </c>
      <c r="K1179" s="2">
        <v>278</v>
      </c>
      <c r="L1179" s="2">
        <v>0</v>
      </c>
      <c r="M1179" s="2"/>
      <c r="N1179" s="8">
        <v>43120.423912037033</v>
      </c>
      <c r="O1179" s="4" t="s">
        <v>641</v>
      </c>
      <c r="P1179" s="3" t="s">
        <v>640</v>
      </c>
      <c r="Q1179" s="4"/>
      <c r="R1179" s="4"/>
      <c r="S1179" s="9" t="str">
        <f>HYPERLINK("https://pbs.twimg.com/profile_images/955622458253455361/AoDN9FXx.jpg","View")</f>
        <v>View</v>
      </c>
    </row>
    <row r="1180" spans="1:19" ht="40">
      <c r="A1180" s="8">
        <v>43369.238391203704</v>
      </c>
      <c r="B1180" s="11" t="str">
        <f>HYPERLINK("https://twitter.com/ssayehroshann","@ssayehroshann")</f>
        <v>@ssayehroshann</v>
      </c>
      <c r="C1180" s="6" t="s">
        <v>747</v>
      </c>
      <c r="D1180" s="5" t="s">
        <v>863</v>
      </c>
      <c r="E1180" s="9" t="str">
        <f>HYPERLINK("https://twitter.com/ssayehroshann/status/1044771863228895232","1044771863228895232")</f>
        <v>1044771863228895232</v>
      </c>
      <c r="F1180" s="4" t="s">
        <v>825</v>
      </c>
      <c r="G1180" s="4"/>
      <c r="H1180" s="4"/>
      <c r="I1180" s="10" t="str">
        <f>HYPERLINK("http://twitter.com/download/iphone","Twitter for iPhone")</f>
        <v>Twitter for iPhone</v>
      </c>
      <c r="J1180" s="2">
        <v>834</v>
      </c>
      <c r="K1180" s="2">
        <v>1053</v>
      </c>
      <c r="L1180" s="2">
        <v>1</v>
      </c>
      <c r="M1180" s="2"/>
      <c r="N1180" s="8">
        <v>43279.459490740745</v>
      </c>
      <c r="O1180" s="4" t="s">
        <v>25</v>
      </c>
      <c r="P1180" s="3" t="s">
        <v>746</v>
      </c>
      <c r="Q1180" s="4"/>
      <c r="R1180" s="4"/>
      <c r="S1180" s="9" t="str">
        <f>HYPERLINK("https://pbs.twimg.com/profile_images/1041395253498900481/gQsUHJFo.jpg","View")</f>
        <v>View</v>
      </c>
    </row>
    <row r="1181" spans="1:19" ht="20">
      <c r="A1181" s="8">
        <v>43369.238009259258</v>
      </c>
      <c r="B1181" s="11" t="str">
        <f>HYPERLINK("https://twitter.com/Sepid_oo","@Sepid_oo")</f>
        <v>@Sepid_oo</v>
      </c>
      <c r="C1181" s="6" t="s">
        <v>901</v>
      </c>
      <c r="D1181" s="5" t="s">
        <v>315</v>
      </c>
      <c r="E1181" s="9" t="str">
        <f>HYPERLINK("https://twitter.com/Sepid_oo/status/1044771725039333382","1044771725039333382")</f>
        <v>1044771725039333382</v>
      </c>
      <c r="F1181" s="4"/>
      <c r="G1181" s="10" t="s">
        <v>314</v>
      </c>
      <c r="H1181" s="4"/>
      <c r="I1181" s="10" t="str">
        <f>HYPERLINK("http://twitter.com/download/iphone","Twitter for iPhone")</f>
        <v>Twitter for iPhone</v>
      </c>
      <c r="J1181" s="2">
        <v>24</v>
      </c>
      <c r="K1181" s="2">
        <v>134</v>
      </c>
      <c r="L1181" s="2">
        <v>0</v>
      </c>
      <c r="M1181" s="2"/>
      <c r="N1181" s="8">
        <v>42754.97655092593</v>
      </c>
      <c r="O1181" s="4" t="s">
        <v>900</v>
      </c>
      <c r="P1181" s="3"/>
      <c r="Q1181" s="4"/>
      <c r="R1181" s="4"/>
      <c r="S1181" s="2" t="s">
        <v>21</v>
      </c>
    </row>
    <row r="1182" spans="1:19" ht="20">
      <c r="A1182" s="8">
        <v>43369.237395833334</v>
      </c>
      <c r="B1182" s="11" t="str">
        <f>HYPERLINK("https://twitter.com/Benji_mykitten","@Benji_mykitten")</f>
        <v>@Benji_mykitten</v>
      </c>
      <c r="C1182" s="6" t="s">
        <v>896</v>
      </c>
      <c r="D1182" s="5" t="s">
        <v>899</v>
      </c>
      <c r="E1182" s="9" t="str">
        <f>HYPERLINK("https://twitter.com/Benji_mykitten/status/1044771503064190978","1044771503064190978")</f>
        <v>1044771503064190978</v>
      </c>
      <c r="F1182" s="10" t="s">
        <v>898</v>
      </c>
      <c r="G1182" s="10" t="s">
        <v>897</v>
      </c>
      <c r="H1182" s="4"/>
      <c r="I1182" s="10" t="str">
        <f>HYPERLINK("https://mobile.twitter.com","Twitter Lite")</f>
        <v>Twitter Lite</v>
      </c>
      <c r="J1182" s="2">
        <v>319</v>
      </c>
      <c r="K1182" s="2">
        <v>834</v>
      </c>
      <c r="L1182" s="2">
        <v>0</v>
      </c>
      <c r="M1182" s="2"/>
      <c r="N1182" s="8">
        <v>41999.797222222223</v>
      </c>
      <c r="O1182" s="4"/>
      <c r="P1182" s="3"/>
      <c r="Q1182" s="4"/>
      <c r="R1182" s="4"/>
      <c r="S1182" s="9" t="str">
        <f>HYPERLINK("https://pbs.twimg.com/profile_images/621703645340434432/iSlDx10z.jpg","View")</f>
        <v>View</v>
      </c>
    </row>
    <row r="1183" spans="1:19" ht="30">
      <c r="A1183" s="8">
        <v>43369.237291666665</v>
      </c>
      <c r="B1183" s="11" t="str">
        <f>HYPERLINK("https://twitter.com/Benji_mykitten","@Benji_mykitten")</f>
        <v>@Benji_mykitten</v>
      </c>
      <c r="C1183" s="6" t="s">
        <v>896</v>
      </c>
      <c r="D1183" s="5" t="s">
        <v>68</v>
      </c>
      <c r="E1183" s="9" t="str">
        <f>HYPERLINK("https://twitter.com/Benji_mykitten/status/1044771465701322753","1044771465701322753")</f>
        <v>1044771465701322753</v>
      </c>
      <c r="F1183" s="10" t="s">
        <v>67</v>
      </c>
      <c r="G1183" s="10" t="s">
        <v>66</v>
      </c>
      <c r="H1183" s="4"/>
      <c r="I1183" s="10" t="str">
        <f>HYPERLINK("https://mobile.twitter.com","Twitter Lite")</f>
        <v>Twitter Lite</v>
      </c>
      <c r="J1183" s="2">
        <v>319</v>
      </c>
      <c r="K1183" s="2">
        <v>834</v>
      </c>
      <c r="L1183" s="2">
        <v>0</v>
      </c>
      <c r="M1183" s="2"/>
      <c r="N1183" s="8">
        <v>41999.797222222223</v>
      </c>
      <c r="O1183" s="4"/>
      <c r="P1183" s="3"/>
      <c r="Q1183" s="4"/>
      <c r="R1183" s="4"/>
      <c r="S1183" s="9" t="str">
        <f>HYPERLINK("https://pbs.twimg.com/profile_images/621703645340434432/iSlDx10z.jpg","View")</f>
        <v>View</v>
      </c>
    </row>
    <row r="1184" spans="1:19" ht="40">
      <c r="A1184" s="8">
        <v>43369.237268518518</v>
      </c>
      <c r="B1184" s="11" t="str">
        <f>HYPERLINK("https://twitter.com/arashkamangir07","@arashkamangir07")</f>
        <v>@arashkamangir07</v>
      </c>
      <c r="C1184" s="6" t="s">
        <v>875</v>
      </c>
      <c r="D1184" s="5" t="s">
        <v>872</v>
      </c>
      <c r="E1184" s="9" t="str">
        <f>HYPERLINK("https://twitter.com/arashkamangir07/status/1044771454196355072","1044771454196355072")</f>
        <v>1044771454196355072</v>
      </c>
      <c r="F1184" s="4"/>
      <c r="G1184" s="10" t="s">
        <v>871</v>
      </c>
      <c r="H1184" s="4"/>
      <c r="I1184" s="10" t="str">
        <f>HYPERLINK("http://twitter.com/download/android","Twitter for Android")</f>
        <v>Twitter for Android</v>
      </c>
      <c r="J1184" s="2">
        <v>326</v>
      </c>
      <c r="K1184" s="2">
        <v>164</v>
      </c>
      <c r="L1184" s="2">
        <v>5</v>
      </c>
      <c r="M1184" s="2"/>
      <c r="N1184" s="8">
        <v>42721.779016203705</v>
      </c>
      <c r="O1184" s="4"/>
      <c r="P1184" s="3" t="s">
        <v>874</v>
      </c>
      <c r="Q1184" s="4"/>
      <c r="R1184" s="4"/>
      <c r="S1184" s="9" t="str">
        <f>HYPERLINK("https://pbs.twimg.com/profile_images/958924272201879552/mpr9qlGp.jpg","View")</f>
        <v>View</v>
      </c>
    </row>
    <row r="1185" spans="1:19" ht="20">
      <c r="A1185" s="8">
        <v>43369.237222222218</v>
      </c>
      <c r="B1185" s="11" t="str">
        <f>HYPERLINK("https://twitter.com/Benji_mykitten","@Benji_mykitten")</f>
        <v>@Benji_mykitten</v>
      </c>
      <c r="C1185" s="6" t="s">
        <v>896</v>
      </c>
      <c r="D1185" s="5" t="s">
        <v>895</v>
      </c>
      <c r="E1185" s="9" t="str">
        <f>HYPERLINK("https://twitter.com/Benji_mykitten/status/1044771439642103808","1044771439642103808")</f>
        <v>1044771439642103808</v>
      </c>
      <c r="F1185" s="10" t="s">
        <v>894</v>
      </c>
      <c r="G1185" s="10" t="s">
        <v>893</v>
      </c>
      <c r="H1185" s="4"/>
      <c r="I1185" s="10" t="str">
        <f>HYPERLINK("https://mobile.twitter.com","Twitter Lite")</f>
        <v>Twitter Lite</v>
      </c>
      <c r="J1185" s="2">
        <v>319</v>
      </c>
      <c r="K1185" s="2">
        <v>834</v>
      </c>
      <c r="L1185" s="2">
        <v>0</v>
      </c>
      <c r="M1185" s="2"/>
      <c r="N1185" s="8">
        <v>41999.797222222223</v>
      </c>
      <c r="O1185" s="4"/>
      <c r="P1185" s="3"/>
      <c r="Q1185" s="4"/>
      <c r="R1185" s="4"/>
      <c r="S1185" s="9" t="str">
        <f>HYPERLINK("https://pbs.twimg.com/profile_images/621703645340434432/iSlDx10z.jpg","View")</f>
        <v>View</v>
      </c>
    </row>
    <row r="1186" spans="1:19" ht="30">
      <c r="A1186" s="8">
        <v>43369.237083333333</v>
      </c>
      <c r="B1186" s="11" t="str">
        <f>HYPERLINK("https://twitter.com/taghadom_news","@taghadom_news")</f>
        <v>@taghadom_news</v>
      </c>
      <c r="C1186" s="6" t="s">
        <v>854</v>
      </c>
      <c r="D1186" s="5" t="s">
        <v>892</v>
      </c>
      <c r="E1186" s="9" t="str">
        <f>HYPERLINK("https://twitter.com/taghadom_news/status/1044771387876024320","1044771387876024320")</f>
        <v>1044771387876024320</v>
      </c>
      <c r="F1186" s="4"/>
      <c r="G1186" s="10" t="s">
        <v>891</v>
      </c>
      <c r="H1186" s="4"/>
      <c r="I1186" s="10" t="str">
        <f>HYPERLINK("http://twitter.com/download/iphone","Twitter for iPhone")</f>
        <v>Twitter for iPhone</v>
      </c>
      <c r="J1186" s="2">
        <v>375</v>
      </c>
      <c r="K1186" s="2">
        <v>910</v>
      </c>
      <c r="L1186" s="2">
        <v>5</v>
      </c>
      <c r="M1186" s="2"/>
      <c r="N1186" s="8">
        <v>41995.069502314815</v>
      </c>
      <c r="O1186" s="4" t="s">
        <v>7</v>
      </c>
      <c r="P1186" s="3" t="s">
        <v>851</v>
      </c>
      <c r="Q1186" s="10" t="s">
        <v>850</v>
      </c>
      <c r="R1186" s="4"/>
      <c r="S1186" s="9" t="str">
        <f>HYPERLINK("https://pbs.twimg.com/profile_images/546828494328438785/_yR0Y6Dd.jpeg","View")</f>
        <v>View</v>
      </c>
    </row>
    <row r="1187" spans="1:19" ht="40">
      <c r="A1187" s="8">
        <v>43369.236921296295</v>
      </c>
      <c r="B1187" s="11" t="str">
        <f>HYPERLINK("https://twitter.com/ShahRezaPahlavi","@ShahRezaPahlavi")</f>
        <v>@ShahRezaPahlavi</v>
      </c>
      <c r="C1187" s="6" t="s">
        <v>890</v>
      </c>
      <c r="D1187" s="5" t="s">
        <v>863</v>
      </c>
      <c r="E1187" s="9" t="str">
        <f>HYPERLINK("https://twitter.com/ShahRezaPahlavi/status/1044771330313388034","1044771330313388034")</f>
        <v>1044771330313388034</v>
      </c>
      <c r="F1187" s="4" t="s">
        <v>825</v>
      </c>
      <c r="G1187" s="4"/>
      <c r="H1187" s="4"/>
      <c r="I1187" s="10" t="str">
        <f>HYPERLINK("http://fa.rezapahlavi.org/","ShahBot")</f>
        <v>ShahBot</v>
      </c>
      <c r="J1187" s="2">
        <v>2118</v>
      </c>
      <c r="K1187" s="2">
        <v>2</v>
      </c>
      <c r="L1187" s="2">
        <v>5</v>
      </c>
      <c r="M1187" s="2"/>
      <c r="N1187" s="8">
        <v>43096.400173611109</v>
      </c>
      <c r="O1187" s="4" t="s">
        <v>48</v>
      </c>
      <c r="P1187" s="3" t="s">
        <v>889</v>
      </c>
      <c r="Q1187" s="4"/>
      <c r="R1187" s="4"/>
      <c r="S1187" s="9" t="str">
        <f>HYPERLINK("https://pbs.twimg.com/profile_images/945904281068195840/AyK6RCHD.jpg","View")</f>
        <v>View</v>
      </c>
    </row>
    <row r="1188" spans="1:19" ht="40">
      <c r="A1188" s="8">
        <v>43369.236250000002</v>
      </c>
      <c r="B1188" s="11" t="str">
        <f>HYPERLINK("https://twitter.com/rozeabi4398","@rozeabi4398")</f>
        <v>@rozeabi4398</v>
      </c>
      <c r="C1188" s="6" t="s">
        <v>888</v>
      </c>
      <c r="D1188" s="5" t="s">
        <v>72</v>
      </c>
      <c r="E1188" s="9" t="str">
        <f>HYPERLINK("https://twitter.com/rozeabi4398/status/1044771087182004224","1044771087182004224")</f>
        <v>1044771087182004224</v>
      </c>
      <c r="F1188" s="4"/>
      <c r="G1188" s="4"/>
      <c r="H1188" s="4"/>
      <c r="I1188" s="10" t="str">
        <f>HYPERLINK("http://twitter.com/download/android","Twitter for Android")</f>
        <v>Twitter for Android</v>
      </c>
      <c r="J1188" s="2">
        <v>1819</v>
      </c>
      <c r="K1188" s="2">
        <v>1633</v>
      </c>
      <c r="L1188" s="2">
        <v>5</v>
      </c>
      <c r="M1188" s="2"/>
      <c r="N1188" s="8">
        <v>42746.46774305556</v>
      </c>
      <c r="O1188" s="4" t="s">
        <v>1</v>
      </c>
      <c r="P1188" s="3" t="s">
        <v>887</v>
      </c>
      <c r="Q1188" s="4"/>
      <c r="R1188" s="4"/>
      <c r="S1188" s="9" t="str">
        <f>HYPERLINK("https://pbs.twimg.com/profile_images/1039095275611144193/Esw17LHc.jpg","View")</f>
        <v>View</v>
      </c>
    </row>
    <row r="1189" spans="1:19" ht="40">
      <c r="A1189" s="8">
        <v>43369.235972222217</v>
      </c>
      <c r="B1189" s="11" t="str">
        <f>HYPERLINK("https://twitter.com/boghche","@boghche")</f>
        <v>@boghche</v>
      </c>
      <c r="C1189" s="6" t="s">
        <v>767</v>
      </c>
      <c r="D1189" s="5" t="s">
        <v>209</v>
      </c>
      <c r="E1189" s="9" t="str">
        <f>HYPERLINK("https://twitter.com/boghche/status/1044770986070102016","1044770986070102016")</f>
        <v>1044770986070102016</v>
      </c>
      <c r="F1189" s="4"/>
      <c r="G1189" s="10" t="s">
        <v>208</v>
      </c>
      <c r="H1189" s="4"/>
      <c r="I1189" s="10" t="str">
        <f>HYPERLINK("http://twitter.com","Twitter Web Client")</f>
        <v>Twitter Web Client</v>
      </c>
      <c r="J1189" s="2">
        <v>5180</v>
      </c>
      <c r="K1189" s="2">
        <v>5429</v>
      </c>
      <c r="L1189" s="2">
        <v>290</v>
      </c>
      <c r="M1189" s="2"/>
      <c r="N1189" s="8">
        <v>40051.963923611111</v>
      </c>
      <c r="O1189" s="4" t="s">
        <v>766</v>
      </c>
      <c r="P1189" s="3" t="s">
        <v>765</v>
      </c>
      <c r="Q1189" s="4"/>
      <c r="R1189" s="4"/>
      <c r="S1189" s="9" t="str">
        <f>HYPERLINK("https://pbs.twimg.com/profile_images/885590298482675714/X9SYHT21.jpg","View")</f>
        <v>View</v>
      </c>
    </row>
    <row r="1190" spans="1:19" ht="40">
      <c r="A1190" s="8">
        <v>43369.234571759254</v>
      </c>
      <c r="B1190" s="11" t="str">
        <f>HYPERLINK("https://twitter.com/arashkamangir07","@arashkamangir07")</f>
        <v>@arashkamangir07</v>
      </c>
      <c r="C1190" s="6" t="s">
        <v>875</v>
      </c>
      <c r="D1190" s="5" t="s">
        <v>58</v>
      </c>
      <c r="E1190" s="9" t="str">
        <f>HYPERLINK("https://twitter.com/arashkamangir07/status/1044770478756384768","1044770478756384768")</f>
        <v>1044770478756384768</v>
      </c>
      <c r="F1190" s="4"/>
      <c r="G1190" s="10" t="s">
        <v>57</v>
      </c>
      <c r="H1190" s="4"/>
      <c r="I1190" s="10" t="str">
        <f>HYPERLINK("http://twitter.com/download/android","Twitter for Android")</f>
        <v>Twitter for Android</v>
      </c>
      <c r="J1190" s="2">
        <v>326</v>
      </c>
      <c r="K1190" s="2">
        <v>164</v>
      </c>
      <c r="L1190" s="2">
        <v>5</v>
      </c>
      <c r="M1190" s="2"/>
      <c r="N1190" s="8">
        <v>42721.779016203705</v>
      </c>
      <c r="O1190" s="4"/>
      <c r="P1190" s="3" t="s">
        <v>874</v>
      </c>
      <c r="Q1190" s="4"/>
      <c r="R1190" s="4"/>
      <c r="S1190" s="9" t="str">
        <f>HYPERLINK("https://pbs.twimg.com/profile_images/958924272201879552/mpr9qlGp.jpg","View")</f>
        <v>View</v>
      </c>
    </row>
    <row r="1191" spans="1:19" ht="40">
      <c r="A1191" s="8">
        <v>43369.232048611113</v>
      </c>
      <c r="B1191" s="11" t="str">
        <f>HYPERLINK("https://twitter.com/taghadom_news","@taghadom_news")</f>
        <v>@taghadom_news</v>
      </c>
      <c r="C1191" s="6" t="s">
        <v>854</v>
      </c>
      <c r="D1191" s="5" t="s">
        <v>886</v>
      </c>
      <c r="E1191" s="9" t="str">
        <f>HYPERLINK("https://twitter.com/taghadom_news/status/1044769562040905728","1044769562040905728")</f>
        <v>1044769562040905728</v>
      </c>
      <c r="F1191" s="4"/>
      <c r="G1191" s="10" t="s">
        <v>885</v>
      </c>
      <c r="H1191" s="4"/>
      <c r="I1191" s="10" t="str">
        <f>HYPERLINK("http://twitter.com/download/iphone","Twitter for iPhone")</f>
        <v>Twitter for iPhone</v>
      </c>
      <c r="J1191" s="2">
        <v>375</v>
      </c>
      <c r="K1191" s="2">
        <v>910</v>
      </c>
      <c r="L1191" s="2">
        <v>5</v>
      </c>
      <c r="M1191" s="2"/>
      <c r="N1191" s="8">
        <v>41995.069502314815</v>
      </c>
      <c r="O1191" s="4" t="s">
        <v>7</v>
      </c>
      <c r="P1191" s="3" t="s">
        <v>851</v>
      </c>
      <c r="Q1191" s="10" t="s">
        <v>850</v>
      </c>
      <c r="R1191" s="4"/>
      <c r="S1191" s="9" t="str">
        <f>HYPERLINK("https://pbs.twimg.com/profile_images/546828494328438785/_yR0Y6Dd.jpeg","View")</f>
        <v>View</v>
      </c>
    </row>
    <row r="1192" spans="1:19" ht="30">
      <c r="A1192" s="8">
        <v>43369.228298611109</v>
      </c>
      <c r="B1192" s="11" t="str">
        <f>HYPERLINK("https://twitter.com/007Iranazad","@007Iranazad")</f>
        <v>@007Iranazad</v>
      </c>
      <c r="C1192" s="6">
        <v>7</v>
      </c>
      <c r="D1192" s="5" t="s">
        <v>49</v>
      </c>
      <c r="E1192" s="9" t="str">
        <f>HYPERLINK("https://twitter.com/007Iranazad/status/1044768202633498624","1044768202633498624")</f>
        <v>1044768202633498624</v>
      </c>
      <c r="F1192" s="4"/>
      <c r="G1192" s="4"/>
      <c r="H1192" s="4"/>
      <c r="I1192" s="10" t="str">
        <f>HYPERLINK("http://twitter.com/download/android","Twitter for Android")</f>
        <v>Twitter for Android</v>
      </c>
      <c r="J1192" s="2">
        <v>496</v>
      </c>
      <c r="K1192" s="2">
        <v>786</v>
      </c>
      <c r="L1192" s="2">
        <v>1</v>
      </c>
      <c r="M1192" s="2"/>
      <c r="N1192" s="8">
        <v>43027.981840277775</v>
      </c>
      <c r="O1192" s="4" t="s">
        <v>30</v>
      </c>
      <c r="P1192" s="3" t="s">
        <v>884</v>
      </c>
      <c r="Q1192" s="4"/>
      <c r="R1192" s="4"/>
      <c r="S1192" s="9" t="str">
        <f>HYPERLINK("https://pbs.twimg.com/profile_images/988492351256580097/Lk7qbCl7.jpg","View")</f>
        <v>View</v>
      </c>
    </row>
    <row r="1193" spans="1:19" ht="50">
      <c r="A1193" s="8">
        <v>43369.228009259255</v>
      </c>
      <c r="B1193" s="11" t="str">
        <f>HYPERLINK("https://twitter.com/arashkamangir07","@arashkamangir07")</f>
        <v>@arashkamangir07</v>
      </c>
      <c r="C1193" s="6" t="s">
        <v>875</v>
      </c>
      <c r="D1193" s="5" t="s">
        <v>883</v>
      </c>
      <c r="E1193" s="9" t="str">
        <f>HYPERLINK("https://twitter.com/arashkamangir07/status/1044768099193540608","1044768099193540608")</f>
        <v>1044768099193540608</v>
      </c>
      <c r="F1193" s="4"/>
      <c r="G1193" s="10" t="s">
        <v>882</v>
      </c>
      <c r="H1193" s="4"/>
      <c r="I1193" s="10" t="str">
        <f>HYPERLINK("http://twitter.com/download/android","Twitter for Android")</f>
        <v>Twitter for Android</v>
      </c>
      <c r="J1193" s="2">
        <v>326</v>
      </c>
      <c r="K1193" s="2">
        <v>164</v>
      </c>
      <c r="L1193" s="2">
        <v>5</v>
      </c>
      <c r="M1193" s="2"/>
      <c r="N1193" s="8">
        <v>42721.779016203705</v>
      </c>
      <c r="O1193" s="4"/>
      <c r="P1193" s="3" t="s">
        <v>874</v>
      </c>
      <c r="Q1193" s="4"/>
      <c r="R1193" s="4"/>
      <c r="S1193" s="9" t="str">
        <f>HYPERLINK("https://pbs.twimg.com/profile_images/958924272201879552/mpr9qlGp.jpg","View")</f>
        <v>View</v>
      </c>
    </row>
    <row r="1194" spans="1:19" ht="30">
      <c r="A1194" s="8">
        <v>43369.227662037039</v>
      </c>
      <c r="B1194" s="11" t="str">
        <f>HYPERLINK("https://twitter.com/UGLYSISI","@UGLYSISI")</f>
        <v>@UGLYSISI</v>
      </c>
      <c r="C1194" s="6" t="s">
        <v>881</v>
      </c>
      <c r="D1194" s="5" t="s">
        <v>49</v>
      </c>
      <c r="E1194" s="9" t="str">
        <f>HYPERLINK("https://twitter.com/UGLYSISI/status/1044767971984400384","1044767971984400384")</f>
        <v>1044767971984400384</v>
      </c>
      <c r="F1194" s="4"/>
      <c r="G1194" s="4"/>
      <c r="H1194" s="4"/>
      <c r="I1194" s="10" t="str">
        <f>HYPERLINK("http://twitter.com/download/iphone","Twitter for iPhone")</f>
        <v>Twitter for iPhone</v>
      </c>
      <c r="J1194" s="2">
        <v>37</v>
      </c>
      <c r="K1194" s="2">
        <v>236</v>
      </c>
      <c r="L1194" s="2">
        <v>0</v>
      </c>
      <c r="M1194" s="2"/>
      <c r="N1194" s="8">
        <v>41515.914837962962</v>
      </c>
      <c r="O1194" s="4" t="s">
        <v>363</v>
      </c>
      <c r="P1194" s="3"/>
      <c r="Q1194" s="4"/>
      <c r="R1194" s="4"/>
      <c r="S1194" s="9" t="str">
        <f>HYPERLINK("https://pbs.twimg.com/profile_images/990771473794007041/FkIYU2xj.jpg","View")</f>
        <v>View</v>
      </c>
    </row>
    <row r="1195" spans="1:19" ht="50">
      <c r="A1195" s="8">
        <v>43369.226493055554</v>
      </c>
      <c r="B1195" s="11" t="str">
        <f>HYPERLINK("https://twitter.com/arashkamangir07","@arashkamangir07")</f>
        <v>@arashkamangir07</v>
      </c>
      <c r="C1195" s="6" t="s">
        <v>875</v>
      </c>
      <c r="D1195" s="5" t="s">
        <v>880</v>
      </c>
      <c r="E1195" s="9" t="str">
        <f>HYPERLINK("https://twitter.com/arashkamangir07/status/1044767549303468033","1044767549303468033")</f>
        <v>1044767549303468033</v>
      </c>
      <c r="F1195" s="4"/>
      <c r="G1195" s="10" t="s">
        <v>879</v>
      </c>
      <c r="H1195" s="4"/>
      <c r="I1195" s="10" t="str">
        <f>HYPERLINK("http://twitter.com/download/android","Twitter for Android")</f>
        <v>Twitter for Android</v>
      </c>
      <c r="J1195" s="2">
        <v>326</v>
      </c>
      <c r="K1195" s="2">
        <v>164</v>
      </c>
      <c r="L1195" s="2">
        <v>5</v>
      </c>
      <c r="M1195" s="2"/>
      <c r="N1195" s="8">
        <v>42721.779016203705</v>
      </c>
      <c r="O1195" s="4"/>
      <c r="P1195" s="3" t="s">
        <v>874</v>
      </c>
      <c r="Q1195" s="4"/>
      <c r="R1195" s="4"/>
      <c r="S1195" s="9" t="str">
        <f>HYPERLINK("https://pbs.twimg.com/profile_images/958924272201879552/mpr9qlGp.jpg","View")</f>
        <v>View</v>
      </c>
    </row>
    <row r="1196" spans="1:19" ht="20">
      <c r="A1196" s="8">
        <v>43369.22619212963</v>
      </c>
      <c r="B1196" s="11" t="str">
        <f>HYPERLINK("https://twitter.com/saba19farvardin","@saba19farvardin")</f>
        <v>@saba19farvardin</v>
      </c>
      <c r="C1196" s="6" t="s">
        <v>873</v>
      </c>
      <c r="D1196" s="5" t="s">
        <v>154</v>
      </c>
      <c r="E1196" s="9" t="str">
        <f>HYPERLINK("https://twitter.com/saba19farvardin/status/1044767441862234113","1044767441862234113")</f>
        <v>1044767441862234113</v>
      </c>
      <c r="F1196" s="10" t="s">
        <v>153</v>
      </c>
      <c r="G1196" s="4"/>
      <c r="H1196" s="4"/>
      <c r="I1196" s="10" t="str">
        <f>HYPERLINK("http://twitter.com/download/iphone","Twitter for iPhone")</f>
        <v>Twitter for iPhone</v>
      </c>
      <c r="J1196" s="2">
        <v>142</v>
      </c>
      <c r="K1196" s="2">
        <v>297</v>
      </c>
      <c r="L1196" s="2">
        <v>40</v>
      </c>
      <c r="M1196" s="2"/>
      <c r="N1196" s="8">
        <v>42549.850937499999</v>
      </c>
      <c r="O1196" s="4"/>
      <c r="P1196" s="3"/>
      <c r="Q1196" s="4"/>
      <c r="R1196" s="4"/>
      <c r="S1196" s="9" t="str">
        <f>HYPERLINK("https://pbs.twimg.com/profile_images/991290158526992384/CVUO0N9o.jpg","View")</f>
        <v>View</v>
      </c>
    </row>
    <row r="1197" spans="1:19" ht="30">
      <c r="A1197" s="8">
        <v>43369.225069444445</v>
      </c>
      <c r="B1197" s="11" t="str">
        <f>HYPERLINK("https://twitter.com/arashkamangir07","@arashkamangir07")</f>
        <v>@arashkamangir07</v>
      </c>
      <c r="C1197" s="6" t="s">
        <v>875</v>
      </c>
      <c r="D1197" s="5" t="s">
        <v>91</v>
      </c>
      <c r="E1197" s="9" t="str">
        <f>HYPERLINK("https://twitter.com/arashkamangir07/status/1044767033819353090","1044767033819353090")</f>
        <v>1044767033819353090</v>
      </c>
      <c r="F1197" s="4"/>
      <c r="G1197" s="10" t="s">
        <v>90</v>
      </c>
      <c r="H1197" s="4"/>
      <c r="I1197" s="10" t="str">
        <f>HYPERLINK("http://twitter.com/download/android","Twitter for Android")</f>
        <v>Twitter for Android</v>
      </c>
      <c r="J1197" s="2">
        <v>326</v>
      </c>
      <c r="K1197" s="2">
        <v>164</v>
      </c>
      <c r="L1197" s="2">
        <v>5</v>
      </c>
      <c r="M1197" s="2"/>
      <c r="N1197" s="8">
        <v>42721.779016203705</v>
      </c>
      <c r="O1197" s="4"/>
      <c r="P1197" s="3" t="s">
        <v>874</v>
      </c>
      <c r="Q1197" s="4"/>
      <c r="R1197" s="4"/>
      <c r="S1197" s="9" t="str">
        <f>HYPERLINK("https://pbs.twimg.com/profile_images/958924272201879552/mpr9qlGp.jpg","View")</f>
        <v>View</v>
      </c>
    </row>
    <row r="1198" spans="1:19" ht="40">
      <c r="A1198" s="8">
        <v>43369.224710648152</v>
      </c>
      <c r="B1198" s="11" t="str">
        <f>HYPERLINK("https://twitter.com/chlabavi","@chlabavi")</f>
        <v>@chlabavi</v>
      </c>
      <c r="C1198" s="6" t="s">
        <v>878</v>
      </c>
      <c r="D1198" s="5" t="s">
        <v>877</v>
      </c>
      <c r="E1198" s="9" t="str">
        <f>HYPERLINK("https://twitter.com/chlabavi/status/1044766903925919744","1044766903925919744")</f>
        <v>1044766903925919744</v>
      </c>
      <c r="F1198" s="4"/>
      <c r="G1198" s="4"/>
      <c r="H1198" s="4"/>
      <c r="I1198" s="10" t="str">
        <f>HYPERLINK("http://twitter.com/download/android","Twitter for Android")</f>
        <v>Twitter for Android</v>
      </c>
      <c r="J1198" s="2">
        <v>49</v>
      </c>
      <c r="K1198" s="2">
        <v>267</v>
      </c>
      <c r="L1198" s="2">
        <v>0</v>
      </c>
      <c r="M1198" s="2"/>
      <c r="N1198" s="8">
        <v>41641.700520833336</v>
      </c>
      <c r="O1198" s="4" t="s">
        <v>199</v>
      </c>
      <c r="P1198" s="3" t="s">
        <v>876</v>
      </c>
      <c r="Q1198" s="4"/>
      <c r="R1198" s="4"/>
      <c r="S1198" s="9" t="str">
        <f>HYPERLINK("https://pbs.twimg.com/profile_images/1040177868150591489/lFs-2TEc.jpg","View")</f>
        <v>View</v>
      </c>
    </row>
    <row r="1199" spans="1:19" ht="30">
      <c r="A1199" s="8">
        <v>43369.224224537036</v>
      </c>
      <c r="B1199" s="11" t="str">
        <f>HYPERLINK("https://twitter.com/arashkamangir07","@arashkamangir07")</f>
        <v>@arashkamangir07</v>
      </c>
      <c r="C1199" s="6" t="s">
        <v>875</v>
      </c>
      <c r="D1199" s="5" t="s">
        <v>383</v>
      </c>
      <c r="E1199" s="9" t="str">
        <f>HYPERLINK("https://twitter.com/arashkamangir07/status/1044766728302075904","1044766728302075904")</f>
        <v>1044766728302075904</v>
      </c>
      <c r="F1199" s="4"/>
      <c r="G1199" s="10" t="s">
        <v>382</v>
      </c>
      <c r="H1199" s="4"/>
      <c r="I1199" s="10" t="str">
        <f>HYPERLINK("http://twitter.com/download/android","Twitter for Android")</f>
        <v>Twitter for Android</v>
      </c>
      <c r="J1199" s="2">
        <v>326</v>
      </c>
      <c r="K1199" s="2">
        <v>164</v>
      </c>
      <c r="L1199" s="2">
        <v>5</v>
      </c>
      <c r="M1199" s="2"/>
      <c r="N1199" s="8">
        <v>42721.779016203705</v>
      </c>
      <c r="O1199" s="4"/>
      <c r="P1199" s="3" t="s">
        <v>874</v>
      </c>
      <c r="Q1199" s="4"/>
      <c r="R1199" s="4"/>
      <c r="S1199" s="9" t="str">
        <f>HYPERLINK("https://pbs.twimg.com/profile_images/958924272201879552/mpr9qlGp.jpg","View")</f>
        <v>View</v>
      </c>
    </row>
    <row r="1200" spans="1:19" ht="40">
      <c r="A1200" s="8">
        <v>43369.224085648151</v>
      </c>
      <c r="B1200" s="11" t="str">
        <f>HYPERLINK("https://twitter.com/saba19farvardin","@saba19farvardin")</f>
        <v>@saba19farvardin</v>
      </c>
      <c r="C1200" s="6" t="s">
        <v>873</v>
      </c>
      <c r="D1200" s="5" t="s">
        <v>872</v>
      </c>
      <c r="E1200" s="9" t="str">
        <f>HYPERLINK("https://twitter.com/saba19farvardin/status/1044766675864817664","1044766675864817664")</f>
        <v>1044766675864817664</v>
      </c>
      <c r="F1200" s="4"/>
      <c r="G1200" s="10" t="s">
        <v>871</v>
      </c>
      <c r="H1200" s="4"/>
      <c r="I1200" s="10" t="str">
        <f>HYPERLINK("http://twitter.com/download/iphone","Twitter for iPhone")</f>
        <v>Twitter for iPhone</v>
      </c>
      <c r="J1200" s="2">
        <v>142</v>
      </c>
      <c r="K1200" s="2">
        <v>297</v>
      </c>
      <c r="L1200" s="2">
        <v>40</v>
      </c>
      <c r="M1200" s="2"/>
      <c r="N1200" s="8">
        <v>42549.850937499999</v>
      </c>
      <c r="O1200" s="4"/>
      <c r="P1200" s="3"/>
      <c r="Q1200" s="4"/>
      <c r="R1200" s="4"/>
      <c r="S1200" s="9" t="str">
        <f>HYPERLINK("https://pbs.twimg.com/profile_images/991290158526992384/CVUO0N9o.jpg","View")</f>
        <v>View</v>
      </c>
    </row>
    <row r="1201" spans="1:19" ht="40">
      <c r="A1201" s="8">
        <v>43369.223993055552</v>
      </c>
      <c r="B1201" s="11" t="str">
        <f>HYPERLINK("https://twitter.com/KhosroshahiAmin","@KhosroshahiAmin")</f>
        <v>@KhosroshahiAmin</v>
      </c>
      <c r="C1201" s="6" t="s">
        <v>870</v>
      </c>
      <c r="D1201" s="5" t="s">
        <v>869</v>
      </c>
      <c r="E1201" s="9" t="str">
        <f>HYPERLINK("https://twitter.com/KhosroshahiAmin/status/1044766644701204480","1044766644701204480")</f>
        <v>1044766644701204480</v>
      </c>
      <c r="F1201" s="4"/>
      <c r="G1201" s="4"/>
      <c r="H1201" s="4"/>
      <c r="I1201" s="10" t="str">
        <f>HYPERLINK("http://twitter.com/download/android","Twitter for Android")</f>
        <v>Twitter for Android</v>
      </c>
      <c r="J1201" s="2">
        <v>2179</v>
      </c>
      <c r="K1201" s="2">
        <v>797</v>
      </c>
      <c r="L1201" s="2">
        <v>64</v>
      </c>
      <c r="M1201" s="2"/>
      <c r="N1201" s="8">
        <v>41927.698252314818</v>
      </c>
      <c r="O1201" s="4" t="s">
        <v>25</v>
      </c>
      <c r="P1201" s="3" t="s">
        <v>868</v>
      </c>
      <c r="Q1201" s="10" t="s">
        <v>867</v>
      </c>
      <c r="R1201" s="4"/>
      <c r="S1201" s="9" t="str">
        <f>HYPERLINK("https://pbs.twimg.com/profile_images/580397795791757315/TMCNALrQ.jpg","View")</f>
        <v>View</v>
      </c>
    </row>
    <row r="1202" spans="1:19" ht="30">
      <c r="A1202" s="8">
        <v>43369.223900462966</v>
      </c>
      <c r="B1202" s="11" t="str">
        <f>HYPERLINK("https://twitter.com/taghadom_news","@taghadom_news")</f>
        <v>@taghadom_news</v>
      </c>
      <c r="C1202" s="6" t="s">
        <v>854</v>
      </c>
      <c r="D1202" s="5" t="s">
        <v>866</v>
      </c>
      <c r="E1202" s="9" t="str">
        <f>HYPERLINK("https://twitter.com/taghadom_news/status/1044766610370768898","1044766610370768898")</f>
        <v>1044766610370768898</v>
      </c>
      <c r="F1202" s="4"/>
      <c r="G1202" s="10" t="s">
        <v>865</v>
      </c>
      <c r="H1202" s="4"/>
      <c r="I1202" s="10" t="str">
        <f>HYPERLINK("http://twitter.com/download/iphone","Twitter for iPhone")</f>
        <v>Twitter for iPhone</v>
      </c>
      <c r="J1202" s="2">
        <v>375</v>
      </c>
      <c r="K1202" s="2">
        <v>910</v>
      </c>
      <c r="L1202" s="2">
        <v>5</v>
      </c>
      <c r="M1202" s="2"/>
      <c r="N1202" s="8">
        <v>41995.069502314815</v>
      </c>
      <c r="O1202" s="4" t="s">
        <v>7</v>
      </c>
      <c r="P1202" s="3" t="s">
        <v>851</v>
      </c>
      <c r="Q1202" s="10" t="s">
        <v>850</v>
      </c>
      <c r="R1202" s="4"/>
      <c r="S1202" s="9" t="str">
        <f>HYPERLINK("https://pbs.twimg.com/profile_images/546828494328438785/_yR0Y6Dd.jpeg","View")</f>
        <v>View</v>
      </c>
    </row>
    <row r="1203" spans="1:19" ht="40">
      <c r="A1203" s="8">
        <v>43369.221643518518</v>
      </c>
      <c r="B1203" s="11" t="str">
        <f>HYPERLINK("https://twitter.com/IRConfederation","@IRConfederation")</f>
        <v>@IRConfederation</v>
      </c>
      <c r="C1203" s="6" t="s">
        <v>864</v>
      </c>
      <c r="D1203" s="5" t="s">
        <v>863</v>
      </c>
      <c r="E1203" s="9" t="str">
        <f>HYPERLINK("https://twitter.com/IRConfederation/status/1044765794981351425","1044765794981351425")</f>
        <v>1044765794981351425</v>
      </c>
      <c r="F1203" s="4" t="s">
        <v>825</v>
      </c>
      <c r="G1203" s="4"/>
      <c r="H1203" s="4"/>
      <c r="I1203" s="10" t="str">
        <f>HYPERLINK("https://plus.google.com","IRConfederation3999999999999999")</f>
        <v>IRConfederation3999999999999999</v>
      </c>
      <c r="J1203" s="2">
        <v>6727</v>
      </c>
      <c r="K1203" s="2">
        <v>6000</v>
      </c>
      <c r="L1203" s="2">
        <v>5</v>
      </c>
      <c r="M1203" s="2"/>
      <c r="N1203" s="8">
        <v>43120.991851851853</v>
      </c>
      <c r="O1203" s="4"/>
      <c r="P1203" s="3" t="s">
        <v>862</v>
      </c>
      <c r="Q1203" s="4"/>
      <c r="R1203" s="4"/>
      <c r="S1203" s="9" t="str">
        <f>HYPERLINK("https://pbs.twimg.com/profile_images/974628375183679495/98Dg7qxB.jpg","View")</f>
        <v>View</v>
      </c>
    </row>
    <row r="1204" spans="1:19" ht="50">
      <c r="A1204" s="8">
        <v>43369.220335648148</v>
      </c>
      <c r="B1204" s="11" t="str">
        <f>HYPERLINK("https://twitter.com/RealBenyAmin","@RealBenyAmin")</f>
        <v>@RealBenyAmin</v>
      </c>
      <c r="C1204" s="6" t="s">
        <v>861</v>
      </c>
      <c r="D1204" s="5" t="s">
        <v>10</v>
      </c>
      <c r="E1204" s="9" t="str">
        <f>HYPERLINK("https://twitter.com/RealBenyAmin/status/1044765317740863488","1044765317740863488")</f>
        <v>1044765317740863488</v>
      </c>
      <c r="F1204" s="4"/>
      <c r="G1204" s="4"/>
      <c r="H1204" s="4"/>
      <c r="I1204" s="10" t="str">
        <f>HYPERLINK("http://twitter.com/download/android","Twitter for Android")</f>
        <v>Twitter for Android</v>
      </c>
      <c r="J1204" s="2">
        <v>4823</v>
      </c>
      <c r="K1204" s="2">
        <v>4760</v>
      </c>
      <c r="L1204" s="2">
        <v>3</v>
      </c>
      <c r="M1204" s="2"/>
      <c r="N1204" s="8">
        <v>42597.624502314815</v>
      </c>
      <c r="O1204" s="4" t="s">
        <v>860</v>
      </c>
      <c r="P1204" s="3" t="s">
        <v>859</v>
      </c>
      <c r="Q1204" s="10" t="s">
        <v>858</v>
      </c>
      <c r="R1204" s="4"/>
      <c r="S1204" s="9" t="str">
        <f>HYPERLINK("https://pbs.twimg.com/profile_images/1035966168966852610/NqiLUOKA.jpg","View")</f>
        <v>View</v>
      </c>
    </row>
    <row r="1205" spans="1:19" ht="40">
      <c r="A1205" s="8">
        <v>43369.219965277778</v>
      </c>
      <c r="B1205" s="11" t="str">
        <f>HYPERLINK("https://twitter.com/H110607N","@H110607N")</f>
        <v>@H110607N</v>
      </c>
      <c r="C1205" s="6" t="s">
        <v>857</v>
      </c>
      <c r="D1205" s="5" t="s">
        <v>856</v>
      </c>
      <c r="E1205" s="9" t="str">
        <f>HYPERLINK("https://twitter.com/H110607N/status/1044765186136072192","1044765186136072192")</f>
        <v>1044765186136072192</v>
      </c>
      <c r="F1205" s="4"/>
      <c r="G1205" s="4"/>
      <c r="H1205" s="4"/>
      <c r="I1205" s="10" t="str">
        <f>HYPERLINK("http://twitter.com","Twitter Web Client")</f>
        <v>Twitter Web Client</v>
      </c>
      <c r="J1205" s="2">
        <v>5170</v>
      </c>
      <c r="K1205" s="2">
        <v>389</v>
      </c>
      <c r="L1205" s="2">
        <v>32</v>
      </c>
      <c r="M1205" s="2"/>
      <c r="N1205" s="8">
        <v>40701.469178240739</v>
      </c>
      <c r="O1205" s="4"/>
      <c r="P1205" s="3" t="s">
        <v>855</v>
      </c>
      <c r="Q1205" s="4"/>
      <c r="R1205" s="4"/>
      <c r="S1205" s="9" t="str">
        <f>HYPERLINK("https://pbs.twimg.com/profile_images/1037718756653334528/JywfYvJ7.jpg","View")</f>
        <v>View</v>
      </c>
    </row>
    <row r="1206" spans="1:19" ht="20">
      <c r="A1206" s="8">
        <v>43369.2184375</v>
      </c>
      <c r="B1206" s="11" t="str">
        <f>HYPERLINK("https://twitter.com/taghadom_news","@taghadom_news")</f>
        <v>@taghadom_news</v>
      </c>
      <c r="C1206" s="6" t="s">
        <v>854</v>
      </c>
      <c r="D1206" s="5" t="s">
        <v>853</v>
      </c>
      <c r="E1206" s="9" t="str">
        <f>HYPERLINK("https://twitter.com/taghadom_news/status/1044764629627555840","1044764629627555840")</f>
        <v>1044764629627555840</v>
      </c>
      <c r="F1206" s="4"/>
      <c r="G1206" s="10" t="s">
        <v>852</v>
      </c>
      <c r="H1206" s="4"/>
      <c r="I1206" s="10" t="str">
        <f>HYPERLINK("http://twitter.com/download/iphone","Twitter for iPhone")</f>
        <v>Twitter for iPhone</v>
      </c>
      <c r="J1206" s="2">
        <v>375</v>
      </c>
      <c r="K1206" s="2">
        <v>908</v>
      </c>
      <c r="L1206" s="2">
        <v>5</v>
      </c>
      <c r="M1206" s="2"/>
      <c r="N1206" s="8">
        <v>41995.069502314815</v>
      </c>
      <c r="O1206" s="4" t="s">
        <v>7</v>
      </c>
      <c r="P1206" s="3" t="s">
        <v>851</v>
      </c>
      <c r="Q1206" s="10" t="s">
        <v>850</v>
      </c>
      <c r="R1206" s="4"/>
      <c r="S1206" s="9" t="str">
        <f>HYPERLINK("https://pbs.twimg.com/profile_images/546828494328438785/_yR0Y6Dd.jpeg","View")</f>
        <v>View</v>
      </c>
    </row>
    <row r="1207" spans="1:19" ht="30">
      <c r="A1207" s="8">
        <v>43369.217928240745</v>
      </c>
      <c r="B1207" s="11" t="str">
        <f>HYPERLINK("https://twitter.com/Mosseen3","@Mosseen3")</f>
        <v>@Mosseen3</v>
      </c>
      <c r="C1207" s="6" t="s">
        <v>849</v>
      </c>
      <c r="D1207" s="5" t="s">
        <v>106</v>
      </c>
      <c r="E1207" s="9" t="str">
        <f>HYPERLINK("https://twitter.com/Mosseen3/status/1044764448324378625","1044764448324378625")</f>
        <v>1044764448324378625</v>
      </c>
      <c r="F1207" s="4"/>
      <c r="G1207" s="10" t="s">
        <v>105</v>
      </c>
      <c r="H1207" s="4"/>
      <c r="I1207" s="10" t="str">
        <f>HYPERLINK("http://twitter.com/#!/download/ipad","Twitter for iPad")</f>
        <v>Twitter for iPad</v>
      </c>
      <c r="J1207" s="2">
        <v>1758</v>
      </c>
      <c r="K1207" s="2">
        <v>5006</v>
      </c>
      <c r="L1207" s="2">
        <v>1</v>
      </c>
      <c r="M1207" s="2"/>
      <c r="N1207" s="8">
        <v>43240.276030092587</v>
      </c>
      <c r="O1207" s="4"/>
      <c r="P1207" s="3"/>
      <c r="Q1207" s="4"/>
      <c r="R1207" s="4"/>
      <c r="S1207" s="9" t="str">
        <f>HYPERLINK("https://pbs.twimg.com/profile_images/1002427571110273024/jVZ944TN.jpg","View")</f>
        <v>View</v>
      </c>
    </row>
    <row r="1208" spans="1:19" ht="20">
      <c r="A1208" s="8">
        <v>43369.21738425926</v>
      </c>
      <c r="B1208" s="11" t="str">
        <f>HYPERLINK("https://twitter.com/mohamma35515342","@mohamma35515342")</f>
        <v>@mohamma35515342</v>
      </c>
      <c r="C1208" s="6" t="s">
        <v>848</v>
      </c>
      <c r="D1208" s="5" t="s">
        <v>176</v>
      </c>
      <c r="E1208" s="9" t="str">
        <f>HYPERLINK("https://twitter.com/mohamma35515342/status/1044764248830857217","1044764248830857217")</f>
        <v>1044764248830857217</v>
      </c>
      <c r="F1208" s="4"/>
      <c r="G1208" s="4"/>
      <c r="H1208" s="4"/>
      <c r="I1208" s="10" t="str">
        <f>HYPERLINK("http://twitter.com/download/android","Twitter for Android")</f>
        <v>Twitter for Android</v>
      </c>
      <c r="J1208" s="2">
        <v>409</v>
      </c>
      <c r="K1208" s="2">
        <v>239</v>
      </c>
      <c r="L1208" s="2">
        <v>1</v>
      </c>
      <c r="M1208" s="2"/>
      <c r="N1208" s="8">
        <v>43086.89770833333</v>
      </c>
      <c r="O1208" s="4" t="s">
        <v>1</v>
      </c>
      <c r="P1208" s="3" t="s">
        <v>847</v>
      </c>
      <c r="Q1208" s="4"/>
      <c r="R1208" s="4"/>
      <c r="S1208" s="9" t="str">
        <f>HYPERLINK("https://pbs.twimg.com/profile_images/998223243994525697/hacbs9sM.jpg","View")</f>
        <v>View</v>
      </c>
    </row>
    <row r="1209" spans="1:19" ht="30">
      <c r="A1209" s="8">
        <v>43369.217060185183</v>
      </c>
      <c r="B1209" s="11" t="str">
        <f>HYPERLINK("https://twitter.com/Mahshid_Samet","@Mahshid_Samet")</f>
        <v>@Mahshid_Samet</v>
      </c>
      <c r="C1209" s="6" t="s">
        <v>846</v>
      </c>
      <c r="D1209" s="5" t="s">
        <v>49</v>
      </c>
      <c r="E1209" s="9" t="str">
        <f>HYPERLINK("https://twitter.com/Mahshid_Samet/status/1044764132405374976","1044764132405374976")</f>
        <v>1044764132405374976</v>
      </c>
      <c r="F1209" s="4"/>
      <c r="G1209" s="4"/>
      <c r="H1209" s="4"/>
      <c r="I1209" s="10" t="str">
        <f>HYPERLINK("http://twitter.com","Twitter Web Client")</f>
        <v>Twitter Web Client</v>
      </c>
      <c r="J1209" s="2">
        <v>1922</v>
      </c>
      <c r="K1209" s="2">
        <v>1375</v>
      </c>
      <c r="L1209" s="2">
        <v>5</v>
      </c>
      <c r="M1209" s="2"/>
      <c r="N1209" s="8">
        <v>43124.930081018523</v>
      </c>
      <c r="O1209" s="4"/>
      <c r="P1209" s="3" t="s">
        <v>845</v>
      </c>
      <c r="Q1209" s="4"/>
      <c r="R1209" s="4"/>
      <c r="S1209" s="9" t="str">
        <f>HYPERLINK("https://pbs.twimg.com/profile_images/959186082280722437/1yA5a3jU.jpg","View")</f>
        <v>View</v>
      </c>
    </row>
    <row r="1210" spans="1:19" ht="30">
      <c r="A1210" s="8">
        <v>43369.216192129628</v>
      </c>
      <c r="B1210" s="11" t="str">
        <f>HYPERLINK("https://twitter.com/ghalamfarsa","@ghalamfarsa")</f>
        <v>@ghalamfarsa</v>
      </c>
      <c r="C1210" s="6" t="s">
        <v>844</v>
      </c>
      <c r="D1210" s="5" t="s">
        <v>49</v>
      </c>
      <c r="E1210" s="9" t="str">
        <f>HYPERLINK("https://twitter.com/ghalamfarsa/status/1044763817543192576","1044763817543192576")</f>
        <v>1044763817543192576</v>
      </c>
      <c r="F1210" s="4"/>
      <c r="G1210" s="4"/>
      <c r="H1210" s="4"/>
      <c r="I1210" s="10" t="str">
        <f>HYPERLINK("http://twitter.com/download/iphone","Twitter for iPhone")</f>
        <v>Twitter for iPhone</v>
      </c>
      <c r="J1210" s="2">
        <v>1171</v>
      </c>
      <c r="K1210" s="2">
        <v>988</v>
      </c>
      <c r="L1210" s="2">
        <v>3</v>
      </c>
      <c r="M1210" s="2"/>
      <c r="N1210" s="8">
        <v>43277.976724537039</v>
      </c>
      <c r="O1210" s="4"/>
      <c r="P1210" s="3" t="s">
        <v>843</v>
      </c>
      <c r="Q1210" s="4"/>
      <c r="R1210" s="4"/>
      <c r="S1210" s="9" t="str">
        <f>HYPERLINK("https://pbs.twimg.com/profile_images/1039977879658999815/PQfUE3SU.jpg","View")</f>
        <v>View</v>
      </c>
    </row>
    <row r="1211" spans="1:19" ht="20">
      <c r="A1211" s="8">
        <v>43369.216134259259</v>
      </c>
      <c r="B1211" s="11" t="str">
        <f>HYPERLINK("https://twitter.com/sayehaghgh","@sayehaghgh")</f>
        <v>@sayehaghgh</v>
      </c>
      <c r="C1211" s="6" t="s">
        <v>842</v>
      </c>
      <c r="D1211" s="5" t="s">
        <v>15</v>
      </c>
      <c r="E1211" s="9" t="str">
        <f>HYPERLINK("https://twitter.com/sayehaghgh/status/1044763797376970754","1044763797376970754")</f>
        <v>1044763797376970754</v>
      </c>
      <c r="F1211" s="4"/>
      <c r="G1211" s="4"/>
      <c r="H1211" s="4"/>
      <c r="I1211" s="10" t="str">
        <f>HYPERLINK("http://twitter.com/download/android","Twitter for Android")</f>
        <v>Twitter for Android</v>
      </c>
      <c r="J1211" s="2">
        <v>128</v>
      </c>
      <c r="K1211" s="2">
        <v>413</v>
      </c>
      <c r="L1211" s="2">
        <v>0</v>
      </c>
      <c r="M1211" s="2"/>
      <c r="N1211" s="8">
        <v>43349.251666666663</v>
      </c>
      <c r="O1211" s="4" t="s">
        <v>1</v>
      </c>
      <c r="P1211" s="3" t="s">
        <v>841</v>
      </c>
      <c r="Q1211" s="4"/>
      <c r="R1211" s="4"/>
      <c r="S1211" s="9" t="str">
        <f>HYPERLINK("https://pbs.twimg.com/profile_images/1037515784162107392/WqZBgynG.jpg","View")</f>
        <v>View</v>
      </c>
    </row>
    <row r="1212" spans="1:19" ht="30">
      <c r="A1212" s="8">
        <v>43369.215729166666</v>
      </c>
      <c r="B1212" s="11" t="str">
        <f>HYPERLINK("https://twitter.com/rohamjoon","@rohamjoon")</f>
        <v>@rohamjoon</v>
      </c>
      <c r="C1212" s="6" t="s">
        <v>840</v>
      </c>
      <c r="D1212" s="5" t="s">
        <v>49</v>
      </c>
      <c r="E1212" s="9" t="str">
        <f>HYPERLINK("https://twitter.com/rohamjoon/status/1044763651494871040","1044763651494871040")</f>
        <v>1044763651494871040</v>
      </c>
      <c r="F1212" s="4"/>
      <c r="G1212" s="4"/>
      <c r="H1212" s="4"/>
      <c r="I1212" s="10" t="str">
        <f>HYPERLINK("http://twitter.com/download/android","Twitter for Android")</f>
        <v>Twitter for Android</v>
      </c>
      <c r="J1212" s="2">
        <v>563</v>
      </c>
      <c r="K1212" s="2">
        <v>124</v>
      </c>
      <c r="L1212" s="2">
        <v>2</v>
      </c>
      <c r="M1212" s="2"/>
      <c r="N1212" s="8">
        <v>42333.476238425923</v>
      </c>
      <c r="O1212" s="4"/>
      <c r="P1212" s="3" t="s">
        <v>839</v>
      </c>
      <c r="Q1212" s="4"/>
      <c r="R1212" s="4"/>
      <c r="S1212" s="9" t="str">
        <f>HYPERLINK("https://pbs.twimg.com/profile_images/971083126008156160/rDqqy5s7.jpg","View")</f>
        <v>View</v>
      </c>
    </row>
    <row r="1213" spans="1:19" ht="30">
      <c r="A1213" s="8">
        <v>43369.214837962965</v>
      </c>
      <c r="B1213" s="11" t="str">
        <f>HYPERLINK("https://twitter.com/hbnasab","@hbnasab")</f>
        <v>@hbnasab</v>
      </c>
      <c r="C1213" s="6" t="s">
        <v>821</v>
      </c>
      <c r="D1213" s="5" t="s">
        <v>838</v>
      </c>
      <c r="E1213" s="9" t="str">
        <f>HYPERLINK("https://twitter.com/hbnasab/status/1044763326935441408","1044763326935441408")</f>
        <v>1044763326935441408</v>
      </c>
      <c r="F1213" s="4"/>
      <c r="G1213" s="4"/>
      <c r="H1213" s="4"/>
      <c r="I1213" s="10" t="str">
        <f>HYPERLINK("http://twitter.com/download/iphone","Twitter for iPhone")</f>
        <v>Twitter for iPhone</v>
      </c>
      <c r="J1213" s="2">
        <v>2067</v>
      </c>
      <c r="K1213" s="2">
        <v>1696</v>
      </c>
      <c r="L1213" s="2">
        <v>3</v>
      </c>
      <c r="M1213" s="2"/>
      <c r="N1213" s="8">
        <v>41605.809907407405</v>
      </c>
      <c r="O1213" s="4"/>
      <c r="P1213" s="3" t="s">
        <v>818</v>
      </c>
      <c r="Q1213" s="10" t="s">
        <v>817</v>
      </c>
      <c r="R1213" s="4"/>
      <c r="S1213" s="9" t="str">
        <f>HYPERLINK("https://pbs.twimg.com/profile_images/940494557623607296/-aiMGx5p.jpg","View")</f>
        <v>View</v>
      </c>
    </row>
    <row r="1214" spans="1:19" ht="30">
      <c r="A1214" s="8">
        <v>43369.214733796296</v>
      </c>
      <c r="B1214" s="11" t="str">
        <f>HYPERLINK("https://twitter.com/haghtalabebida","@haghtalabebida")</f>
        <v>@haghtalabebida</v>
      </c>
      <c r="C1214" s="6" t="s">
        <v>837</v>
      </c>
      <c r="D1214" s="5" t="s">
        <v>49</v>
      </c>
      <c r="E1214" s="9" t="str">
        <f>HYPERLINK("https://twitter.com/haghtalabebida/status/1044763288926670848","1044763288926670848")</f>
        <v>1044763288926670848</v>
      </c>
      <c r="F1214" s="4"/>
      <c r="G1214" s="4"/>
      <c r="H1214" s="4"/>
      <c r="I1214" s="10" t="str">
        <f>HYPERLINK("http://twitter.com/download/android","Twitter for Android")</f>
        <v>Twitter for Android</v>
      </c>
      <c r="J1214" s="2">
        <v>8</v>
      </c>
      <c r="K1214" s="2">
        <v>31</v>
      </c>
      <c r="L1214" s="2">
        <v>0</v>
      </c>
      <c r="M1214" s="2"/>
      <c r="N1214" s="8">
        <v>42502.188368055555</v>
      </c>
      <c r="O1214" s="4" t="s">
        <v>48</v>
      </c>
      <c r="P1214" s="3"/>
      <c r="Q1214" s="4"/>
      <c r="R1214" s="4"/>
      <c r="S1214" s="9" t="str">
        <f>HYPERLINK("https://pbs.twimg.com/profile_images/1041426289196969987/LmONb1TI.jpg","View")</f>
        <v>View</v>
      </c>
    </row>
    <row r="1215" spans="1:19" ht="12.5">
      <c r="A1215" s="8">
        <v>43369.214305555557</v>
      </c>
      <c r="B1215" s="11" t="str">
        <f>HYPERLINK("https://twitter.com/drmaghsoodi2","@drmaghsoodi2")</f>
        <v>@drmaghsoodi2</v>
      </c>
      <c r="C1215" s="6" t="s">
        <v>836</v>
      </c>
      <c r="D1215" s="5" t="s">
        <v>835</v>
      </c>
      <c r="E1215" s="9" t="str">
        <f>HYPERLINK("https://twitter.com/drmaghsoodi2/status/1044763131883520001","1044763131883520001")</f>
        <v>1044763131883520001</v>
      </c>
      <c r="F1215" s="4"/>
      <c r="G1215" s="4"/>
      <c r="H1215" s="4"/>
      <c r="I1215" s="10" t="str">
        <f>HYPERLINK("http://twitter.com/download/android","Twitter for Android")</f>
        <v>Twitter for Android</v>
      </c>
      <c r="J1215" s="2">
        <v>449</v>
      </c>
      <c r="K1215" s="2">
        <v>252</v>
      </c>
      <c r="L1215" s="2">
        <v>1</v>
      </c>
      <c r="M1215" s="2"/>
      <c r="N1215" s="8">
        <v>43120.440185185187</v>
      </c>
      <c r="O1215" s="4"/>
      <c r="P1215" s="3" t="s">
        <v>834</v>
      </c>
      <c r="Q1215" s="4"/>
      <c r="R1215" s="4"/>
      <c r="S1215" s="9" t="str">
        <f>HYPERLINK("https://pbs.twimg.com/profile_images/962908629690146817/JF8xg-Aa.jpg","View")</f>
        <v>View</v>
      </c>
    </row>
    <row r="1216" spans="1:19" ht="30">
      <c r="A1216" s="8">
        <v>43369.213229166664</v>
      </c>
      <c r="B1216" s="11" t="str">
        <f>HYPERLINK("https://twitter.com/leunic_ms","@leunic_ms")</f>
        <v>@leunic_ms</v>
      </c>
      <c r="C1216" s="6" t="s">
        <v>833</v>
      </c>
      <c r="D1216" s="5" t="s">
        <v>49</v>
      </c>
      <c r="E1216" s="9" t="str">
        <f>HYPERLINK("https://twitter.com/leunic_ms/status/1044762744455606275","1044762744455606275")</f>
        <v>1044762744455606275</v>
      </c>
      <c r="F1216" s="4"/>
      <c r="G1216" s="4"/>
      <c r="H1216" s="4"/>
      <c r="I1216" s="10" t="str">
        <f>HYPERLINK("http://twitter.com/download/android","Twitter for Android")</f>
        <v>Twitter for Android</v>
      </c>
      <c r="J1216" s="2">
        <v>1182</v>
      </c>
      <c r="K1216" s="2">
        <v>1624</v>
      </c>
      <c r="L1216" s="2">
        <v>0</v>
      </c>
      <c r="M1216" s="2"/>
      <c r="N1216" s="8">
        <v>42801.382037037038</v>
      </c>
      <c r="O1216" s="4" t="s">
        <v>832</v>
      </c>
      <c r="P1216" s="3" t="s">
        <v>831</v>
      </c>
      <c r="Q1216" s="4"/>
      <c r="R1216" s="4"/>
      <c r="S1216" s="9" t="str">
        <f>HYPERLINK("https://pbs.twimg.com/profile_images/947801655835353088/iqFglK1E.jpg","View")</f>
        <v>View</v>
      </c>
    </row>
    <row r="1217" spans="1:19" ht="20">
      <c r="A1217" s="8">
        <v>43369.211863425924</v>
      </c>
      <c r="B1217" s="11" t="str">
        <f>HYPERLINK("https://twitter.com/khasanjagy","@khasanjagy")</f>
        <v>@khasanjagy</v>
      </c>
      <c r="C1217" s="6" t="s">
        <v>830</v>
      </c>
      <c r="D1217" s="5" t="s">
        <v>102</v>
      </c>
      <c r="E1217" s="9" t="str">
        <f>HYPERLINK("https://twitter.com/khasanjagy/status/1044762249087324160","1044762249087324160")</f>
        <v>1044762249087324160</v>
      </c>
      <c r="F1217" s="4"/>
      <c r="G1217" s="4"/>
      <c r="H1217" s="4"/>
      <c r="I1217" s="10" t="str">
        <f>HYPERLINK("http://twitter.com/download/android","Twitter for Android")</f>
        <v>Twitter for Android</v>
      </c>
      <c r="J1217" s="2">
        <v>3738</v>
      </c>
      <c r="K1217" s="2">
        <v>3417</v>
      </c>
      <c r="L1217" s="2">
        <v>3</v>
      </c>
      <c r="M1217" s="2"/>
      <c r="N1217" s="8">
        <v>43058.853634259256</v>
      </c>
      <c r="O1217" s="4" t="s">
        <v>829</v>
      </c>
      <c r="P1217" s="3" t="s">
        <v>828</v>
      </c>
      <c r="Q1217" s="4"/>
      <c r="R1217" s="4"/>
      <c r="S1217" s="9" t="str">
        <f>HYPERLINK("https://pbs.twimg.com/profile_images/948496570630066176/0fr4-vnS.jpg","View")</f>
        <v>View</v>
      </c>
    </row>
    <row r="1218" spans="1:19" ht="40">
      <c r="A1218" s="8">
        <v>43369.210995370369</v>
      </c>
      <c r="B1218" s="11" t="str">
        <f>HYPERLINK("https://twitter.com/amirmehdipuor","@amirmehdipuor")</f>
        <v>@amirmehdipuor</v>
      </c>
      <c r="C1218" s="6" t="s">
        <v>827</v>
      </c>
      <c r="D1218" s="5" t="s">
        <v>826</v>
      </c>
      <c r="E1218" s="9" t="str">
        <f>HYPERLINK("https://twitter.com/amirmehdipuor/status/1044761932081901569","1044761932081901569")</f>
        <v>1044761932081901569</v>
      </c>
      <c r="F1218" s="4" t="s">
        <v>825</v>
      </c>
      <c r="G1218" s="4"/>
      <c r="H1218" s="4"/>
      <c r="I1218" s="10" t="str">
        <f>HYPERLINK("http://twitter.com","Twitter Web Client")</f>
        <v>Twitter Web Client</v>
      </c>
      <c r="J1218" s="2">
        <v>74</v>
      </c>
      <c r="K1218" s="2">
        <v>212</v>
      </c>
      <c r="L1218" s="2">
        <v>0</v>
      </c>
      <c r="M1218" s="2"/>
      <c r="N1218" s="8">
        <v>41802.582673611112</v>
      </c>
      <c r="O1218" s="4" t="s">
        <v>824</v>
      </c>
      <c r="P1218" s="3" t="s">
        <v>823</v>
      </c>
      <c r="Q1218" s="10" t="s">
        <v>822</v>
      </c>
      <c r="R1218" s="4"/>
      <c r="S1218" s="9" t="str">
        <f>HYPERLINK("https://pbs.twimg.com/profile_images/994723184141389825/RJ1hbR46.jpg","View")</f>
        <v>View</v>
      </c>
    </row>
    <row r="1219" spans="1:19" ht="40">
      <c r="A1219" s="8">
        <v>43369.210706018523</v>
      </c>
      <c r="B1219" s="11" t="str">
        <f>HYPERLINK("https://twitter.com/hbnasab","@hbnasab")</f>
        <v>@hbnasab</v>
      </c>
      <c r="C1219" s="6" t="s">
        <v>821</v>
      </c>
      <c r="D1219" s="5" t="s">
        <v>820</v>
      </c>
      <c r="E1219" s="9" t="str">
        <f>HYPERLINK("https://twitter.com/hbnasab/status/1044761830625890305","1044761830625890305")</f>
        <v>1044761830625890305</v>
      </c>
      <c r="F1219" s="4"/>
      <c r="G1219" s="10" t="s">
        <v>819</v>
      </c>
      <c r="H1219" s="4"/>
      <c r="I1219" s="10" t="str">
        <f>HYPERLINK("http://twitter.com/download/iphone","Twitter for iPhone")</f>
        <v>Twitter for iPhone</v>
      </c>
      <c r="J1219" s="2">
        <v>2067</v>
      </c>
      <c r="K1219" s="2">
        <v>1696</v>
      </c>
      <c r="L1219" s="2">
        <v>3</v>
      </c>
      <c r="M1219" s="2"/>
      <c r="N1219" s="8">
        <v>41605.809907407405</v>
      </c>
      <c r="O1219" s="4"/>
      <c r="P1219" s="3" t="s">
        <v>818</v>
      </c>
      <c r="Q1219" s="10" t="s">
        <v>817</v>
      </c>
      <c r="R1219" s="4"/>
      <c r="S1219" s="9" t="str">
        <f>HYPERLINK("https://pbs.twimg.com/profile_images/940494557623607296/-aiMGx5p.jpg","View")</f>
        <v>View</v>
      </c>
    </row>
    <row r="1220" spans="1:19" ht="60">
      <c r="A1220" s="8">
        <v>43369.210173611107</v>
      </c>
      <c r="B1220" s="11" t="str">
        <f>HYPERLINK("https://twitter.com/wait4zer0","@wait4zer0")</f>
        <v>@wait4zer0</v>
      </c>
      <c r="C1220" s="6" t="s">
        <v>816</v>
      </c>
      <c r="D1220" s="5" t="s">
        <v>815</v>
      </c>
      <c r="E1220" s="9" t="str">
        <f>HYPERLINK("https://twitter.com/wait4zer0/status/1044761638170218496","1044761638170218496")</f>
        <v>1044761638170218496</v>
      </c>
      <c r="F1220" s="10" t="s">
        <v>814</v>
      </c>
      <c r="G1220" s="10" t="s">
        <v>813</v>
      </c>
      <c r="H1220" s="4"/>
      <c r="I1220" s="10" t="str">
        <f>HYPERLINK("http://twitter.com","Twitter Web Client")</f>
        <v>Twitter Web Client</v>
      </c>
      <c r="J1220" s="2">
        <v>740</v>
      </c>
      <c r="K1220" s="2">
        <v>1010</v>
      </c>
      <c r="L1220" s="2">
        <v>2</v>
      </c>
      <c r="M1220" s="2"/>
      <c r="N1220" s="8">
        <v>42755.639282407406</v>
      </c>
      <c r="O1220" s="4" t="s">
        <v>812</v>
      </c>
      <c r="P1220" s="3" t="s">
        <v>811</v>
      </c>
      <c r="Q1220" s="4"/>
      <c r="R1220" s="4"/>
      <c r="S1220" s="9" t="str">
        <f>HYPERLINK("https://pbs.twimg.com/profile_images/1044198555655852038/8_NdlJDW.jpg","View")</f>
        <v>View</v>
      </c>
    </row>
    <row r="1221" spans="1:19" ht="30">
      <c r="A1221" s="8">
        <v>43369.210011574076</v>
      </c>
      <c r="B1221" s="11" t="str">
        <f>HYPERLINK("https://twitter.com/badenjan1","@badenjan1")</f>
        <v>@badenjan1</v>
      </c>
      <c r="C1221" s="6" t="s">
        <v>810</v>
      </c>
      <c r="D1221" s="5" t="s">
        <v>49</v>
      </c>
      <c r="E1221" s="9" t="str">
        <f>HYPERLINK("https://twitter.com/badenjan1/status/1044761576698523649","1044761576698523649")</f>
        <v>1044761576698523649</v>
      </c>
      <c r="F1221" s="4"/>
      <c r="G1221" s="4"/>
      <c r="H1221" s="4"/>
      <c r="I1221" s="10" t="str">
        <f>HYPERLINK("http://twitter.com/download/android","Twitter for Android")</f>
        <v>Twitter for Android</v>
      </c>
      <c r="J1221" s="2">
        <v>75</v>
      </c>
      <c r="K1221" s="2">
        <v>201</v>
      </c>
      <c r="L1221" s="2">
        <v>1</v>
      </c>
      <c r="M1221" s="2"/>
      <c r="N1221" s="8">
        <v>43330.755104166667</v>
      </c>
      <c r="O1221" s="4" t="s">
        <v>428</v>
      </c>
      <c r="P1221" s="3" t="s">
        <v>809</v>
      </c>
      <c r="Q1221" s="4"/>
      <c r="R1221" s="4"/>
      <c r="S1221" s="9" t="str">
        <f>HYPERLINK("https://pbs.twimg.com/profile_images/1030813869386547202/qV-HeY-6.jpg","View")</f>
        <v>View</v>
      </c>
    </row>
    <row r="1222" spans="1:19" ht="40">
      <c r="A1222" s="8">
        <v>43369.208796296298</v>
      </c>
      <c r="B1222" s="11" t="str">
        <f>HYPERLINK("https://twitter.com/ehsanmohammadit","@ehsanmohammadit")</f>
        <v>@ehsanmohammadit</v>
      </c>
      <c r="C1222" s="6" t="s">
        <v>808</v>
      </c>
      <c r="D1222" s="5" t="s">
        <v>28</v>
      </c>
      <c r="E1222" s="9" t="str">
        <f>HYPERLINK("https://twitter.com/ehsanmohammadit/status/1044761139261964289","1044761139261964289")</f>
        <v>1044761139261964289</v>
      </c>
      <c r="F1222" s="4"/>
      <c r="G1222" s="4"/>
      <c r="H1222" s="4"/>
      <c r="I1222" s="10" t="str">
        <f>HYPERLINK("http://twitter.com/download/android","Twitter for Android")</f>
        <v>Twitter for Android</v>
      </c>
      <c r="J1222" s="2">
        <v>581</v>
      </c>
      <c r="K1222" s="2">
        <v>566</v>
      </c>
      <c r="L1222" s="2">
        <v>2</v>
      </c>
      <c r="M1222" s="2"/>
      <c r="N1222" s="8">
        <v>42721.640428240746</v>
      </c>
      <c r="O1222" s="4" t="s">
        <v>7</v>
      </c>
      <c r="P1222" s="3" t="s">
        <v>807</v>
      </c>
      <c r="Q1222" s="4"/>
      <c r="R1222" s="4"/>
      <c r="S1222" s="9" t="str">
        <f>HYPERLINK("https://pbs.twimg.com/profile_images/997083360869666816/BVCpLnCV.jpg","View")</f>
        <v>View</v>
      </c>
    </row>
    <row r="1223" spans="1:19" ht="50">
      <c r="A1223" s="8">
        <v>43369.20784722222</v>
      </c>
      <c r="B1223" s="11" t="str">
        <f>HYPERLINK("https://twitter.com/JavadNasirian","@JavadNasirian")</f>
        <v>@JavadNasirian</v>
      </c>
      <c r="C1223" s="6" t="s">
        <v>806</v>
      </c>
      <c r="D1223" s="5" t="s">
        <v>805</v>
      </c>
      <c r="E1223" s="9" t="str">
        <f>HYPERLINK("https://twitter.com/JavadNasirian/status/1044760792590176261","1044760792590176261")</f>
        <v>1044760792590176261</v>
      </c>
      <c r="F1223" s="4"/>
      <c r="G1223" s="4"/>
      <c r="H1223" s="4"/>
      <c r="I1223" s="10" t="str">
        <f>HYPERLINK("http://twitter.com/download/android","Twitter for Android")</f>
        <v>Twitter for Android</v>
      </c>
      <c r="J1223" s="2">
        <v>28</v>
      </c>
      <c r="K1223" s="2">
        <v>19</v>
      </c>
      <c r="L1223" s="2">
        <v>0</v>
      </c>
      <c r="M1223" s="2"/>
      <c r="N1223" s="8">
        <v>43286.804062499999</v>
      </c>
      <c r="O1223" s="4"/>
      <c r="P1223" s="3" t="s">
        <v>804</v>
      </c>
      <c r="Q1223" s="4"/>
      <c r="R1223" s="4"/>
      <c r="S1223" s="9" t="str">
        <f>HYPERLINK("https://pbs.twimg.com/profile_images/1021474796264206337/B8GLQptq.jpg","View")</f>
        <v>View</v>
      </c>
    </row>
    <row r="1224" spans="1:19" ht="20">
      <c r="A1224" s="8">
        <v>43369.20521990741</v>
      </c>
      <c r="B1224" s="11" t="str">
        <f>HYPERLINK("https://twitter.com/khorshidkhany","@khorshidkhany")</f>
        <v>@khorshidkhany</v>
      </c>
      <c r="C1224" s="6" t="s">
        <v>803</v>
      </c>
      <c r="D1224" s="5" t="s">
        <v>736</v>
      </c>
      <c r="E1224" s="9" t="str">
        <f>HYPERLINK("https://twitter.com/khorshidkhany/status/1044759841871458305","1044759841871458305")</f>
        <v>1044759841871458305</v>
      </c>
      <c r="F1224" s="4"/>
      <c r="G1224" s="10" t="s">
        <v>732</v>
      </c>
      <c r="H1224" s="4"/>
      <c r="I1224" s="10" t="str">
        <f>HYPERLINK("http://twitter.com/download/iphone","Twitter for iPhone")</f>
        <v>Twitter for iPhone</v>
      </c>
      <c r="J1224" s="2">
        <v>1693</v>
      </c>
      <c r="K1224" s="2">
        <v>467</v>
      </c>
      <c r="L1224" s="2">
        <v>4</v>
      </c>
      <c r="M1224" s="2"/>
      <c r="N1224" s="8">
        <v>43241.123263888891</v>
      </c>
      <c r="O1224" s="4" t="s">
        <v>96</v>
      </c>
      <c r="P1224" s="3" t="s">
        <v>802</v>
      </c>
      <c r="Q1224" s="4"/>
      <c r="R1224" s="4"/>
      <c r="S1224" s="9" t="str">
        <f>HYPERLINK("https://pbs.twimg.com/profile_images/1039919896757456896/w1NtmWL3.jpg","View")</f>
        <v>View</v>
      </c>
    </row>
    <row r="1225" spans="1:19" ht="30">
      <c r="A1225" s="8">
        <v>43369.202384259261</v>
      </c>
      <c r="B1225" s="11" t="str">
        <f>HYPERLINK("https://twitter.com/korbakhtiyaryy","@korbakhtiyaryy")</f>
        <v>@korbakhtiyaryy</v>
      </c>
      <c r="C1225" s="6" t="s">
        <v>801</v>
      </c>
      <c r="D1225" s="5" t="s">
        <v>800</v>
      </c>
      <c r="E1225" s="9" t="str">
        <f>HYPERLINK("https://twitter.com/korbakhtiyaryy/status/1044758813939838976","1044758813939838976")</f>
        <v>1044758813939838976</v>
      </c>
      <c r="F1225" s="4"/>
      <c r="G1225" s="4"/>
      <c r="H1225" s="4"/>
      <c r="I1225" s="10" t="str">
        <f>HYPERLINK("http://twitter.com/download/android","Twitter for Android")</f>
        <v>Twitter for Android</v>
      </c>
      <c r="J1225" s="2">
        <v>477</v>
      </c>
      <c r="K1225" s="2">
        <v>344</v>
      </c>
      <c r="L1225" s="2">
        <v>1</v>
      </c>
      <c r="M1225" s="2"/>
      <c r="N1225" s="8">
        <v>43170.883414351847</v>
      </c>
      <c r="O1225" s="4" t="s">
        <v>799</v>
      </c>
      <c r="P1225" s="3"/>
      <c r="Q1225" s="4"/>
      <c r="R1225" s="4"/>
      <c r="S1225" s="9" t="str">
        <f>HYPERLINK("https://pbs.twimg.com/profile_images/1037742117748174848/ZmP9urvd.jpg","View")</f>
        <v>View</v>
      </c>
    </row>
    <row r="1226" spans="1:19" ht="40">
      <c r="A1226" s="8">
        <v>43369.201319444444</v>
      </c>
      <c r="B1226" s="11" t="str">
        <f>HYPERLINK("https://twitter.com/Myousefnejad90","@Myousefnejad90")</f>
        <v>@Myousefnejad90</v>
      </c>
      <c r="C1226" s="6" t="s">
        <v>798</v>
      </c>
      <c r="D1226" s="5" t="s">
        <v>797</v>
      </c>
      <c r="E1226" s="9" t="str">
        <f>HYPERLINK("https://twitter.com/Myousefnejad90/status/1044758426008645633","1044758426008645633")</f>
        <v>1044758426008645633</v>
      </c>
      <c r="F1226" s="4" t="s">
        <v>796</v>
      </c>
      <c r="G1226" s="10" t="s">
        <v>140</v>
      </c>
      <c r="H1226" s="4"/>
      <c r="I1226" s="10" t="str">
        <f>HYPERLINK("http://twitter.com/download/android","Twitter for Android")</f>
        <v>Twitter for Android</v>
      </c>
      <c r="J1226" s="2">
        <v>62</v>
      </c>
      <c r="K1226" s="2">
        <v>240</v>
      </c>
      <c r="L1226" s="2">
        <v>2</v>
      </c>
      <c r="M1226" s="2"/>
      <c r="N1226" s="8">
        <v>42939.072754629626</v>
      </c>
      <c r="O1226" s="4"/>
      <c r="P1226" s="3" t="s">
        <v>795</v>
      </c>
      <c r="Q1226" s="10" t="s">
        <v>794</v>
      </c>
      <c r="R1226" s="4"/>
      <c r="S1226" s="9" t="str">
        <f>HYPERLINK("https://pbs.twimg.com/profile_images/1037042664049389568/tg6D7hE5.jpg","View")</f>
        <v>View</v>
      </c>
    </row>
    <row r="1227" spans="1:19" ht="30">
      <c r="A1227" s="8">
        <v>43369.197013888886</v>
      </c>
      <c r="B1227" s="11" t="str">
        <f>HYPERLINK("https://twitter.com/ehsan28440035","@ehsan28440035")</f>
        <v>@ehsan28440035</v>
      </c>
      <c r="C1227" s="6" t="s">
        <v>793</v>
      </c>
      <c r="D1227" s="5" t="s">
        <v>792</v>
      </c>
      <c r="E1227" s="9" t="str">
        <f>HYPERLINK("https://twitter.com/ehsan28440035/status/1044756869447929857","1044756869447929857")</f>
        <v>1044756869447929857</v>
      </c>
      <c r="F1227" s="4"/>
      <c r="G1227" s="4"/>
      <c r="H1227" s="4"/>
      <c r="I1227" s="10" t="str">
        <f>HYPERLINK("http://twitter.com/download/android","Twitter for Android")</f>
        <v>Twitter for Android</v>
      </c>
      <c r="J1227" s="2">
        <v>48</v>
      </c>
      <c r="K1227" s="2">
        <v>112</v>
      </c>
      <c r="L1227" s="2">
        <v>0</v>
      </c>
      <c r="M1227" s="2"/>
      <c r="N1227" s="8">
        <v>42985.819687499999</v>
      </c>
      <c r="O1227" s="4" t="s">
        <v>7</v>
      </c>
      <c r="P1227" s="3" t="s">
        <v>791</v>
      </c>
      <c r="Q1227" s="4"/>
      <c r="R1227" s="4"/>
      <c r="S1227" s="9" t="str">
        <f>HYPERLINK("https://pbs.twimg.com/profile_images/968516030501965824/ANJadVIy.jpg","View")</f>
        <v>View</v>
      </c>
    </row>
    <row r="1228" spans="1:19" ht="30">
      <c r="A1228" s="8">
        <v>43369.194745370369</v>
      </c>
      <c r="B1228" s="11" t="str">
        <f>HYPERLINK("https://twitter.com/woXjKDjldOMMhOR","@woXjKDjldOMMhOR")</f>
        <v>@woXjKDjldOMMhOR</v>
      </c>
      <c r="C1228" s="6" t="s">
        <v>790</v>
      </c>
      <c r="D1228" s="5" t="s">
        <v>49</v>
      </c>
      <c r="E1228" s="9" t="str">
        <f>HYPERLINK("https://twitter.com/woXjKDjldOMMhOR/status/1044756047414595584","1044756047414595584")</f>
        <v>1044756047414595584</v>
      </c>
      <c r="F1228" s="4"/>
      <c r="G1228" s="4"/>
      <c r="H1228" s="4"/>
      <c r="I1228" s="10" t="str">
        <f>HYPERLINK("http://twitter.com/download/android","Twitter for Android")</f>
        <v>Twitter for Android</v>
      </c>
      <c r="J1228" s="2">
        <v>113</v>
      </c>
      <c r="K1228" s="2">
        <v>325</v>
      </c>
      <c r="L1228" s="2">
        <v>0</v>
      </c>
      <c r="M1228" s="2"/>
      <c r="N1228" s="8">
        <v>43146.982199074075</v>
      </c>
      <c r="O1228" s="4" t="s">
        <v>789</v>
      </c>
      <c r="P1228" s="3" t="s">
        <v>788</v>
      </c>
      <c r="Q1228" s="4"/>
      <c r="R1228" s="4"/>
      <c r="S1228" s="9" t="str">
        <f>HYPERLINK("https://pbs.twimg.com/profile_images/968404202098708480/ECIBhOa8.jpg","View")</f>
        <v>View</v>
      </c>
    </row>
    <row r="1229" spans="1:19" ht="20">
      <c r="A1229" s="8">
        <v>43369.191921296297</v>
      </c>
      <c r="B1229" s="11" t="str">
        <f>HYPERLINK("https://twitter.com/ssmm1940","@ssmm1940")</f>
        <v>@ssmm1940</v>
      </c>
      <c r="C1229" s="6" t="s">
        <v>787</v>
      </c>
      <c r="D1229" s="5" t="s">
        <v>102</v>
      </c>
      <c r="E1229" s="9" t="str">
        <f>HYPERLINK("https://twitter.com/ssmm1940/status/1044755021462728704","1044755021462728704")</f>
        <v>1044755021462728704</v>
      </c>
      <c r="F1229" s="4"/>
      <c r="G1229" s="4"/>
      <c r="H1229" s="4"/>
      <c r="I1229" s="10" t="str">
        <f>HYPERLINK("http://twitter.com/download/android","Twitter for Android")</f>
        <v>Twitter for Android</v>
      </c>
      <c r="J1229" s="2">
        <v>745</v>
      </c>
      <c r="K1229" s="2">
        <v>746</v>
      </c>
      <c r="L1229" s="2">
        <v>3</v>
      </c>
      <c r="M1229" s="2"/>
      <c r="N1229" s="8">
        <v>42148.921331018515</v>
      </c>
      <c r="O1229" s="4" t="s">
        <v>786</v>
      </c>
      <c r="P1229" s="3" t="s">
        <v>785</v>
      </c>
      <c r="Q1229" s="4"/>
      <c r="R1229" s="4"/>
      <c r="S1229" s="9" t="str">
        <f>HYPERLINK("https://pbs.twimg.com/profile_images/1036107129671888896/rVS0HtoP.jpg","View")</f>
        <v>View</v>
      </c>
    </row>
    <row r="1230" spans="1:19" ht="30">
      <c r="A1230" s="8">
        <v>43369.189212962963</v>
      </c>
      <c r="B1230" s="11" t="str">
        <f>HYPERLINK("https://twitter.com/rnamdari","@rnamdari")</f>
        <v>@rnamdari</v>
      </c>
      <c r="C1230" s="6" t="s">
        <v>740</v>
      </c>
      <c r="D1230" s="5" t="s">
        <v>63</v>
      </c>
      <c r="E1230" s="9" t="str">
        <f>HYPERLINK("https://twitter.com/rnamdari/status/1044754039664250881","1044754039664250881")</f>
        <v>1044754039664250881</v>
      </c>
      <c r="F1230" s="4"/>
      <c r="G1230" s="4"/>
      <c r="H1230" s="4"/>
      <c r="I1230" s="10" t="str">
        <f>HYPERLINK("http://twitter.com/download/iphone","Twitter for iPhone")</f>
        <v>Twitter for iPhone</v>
      </c>
      <c r="J1230" s="2">
        <v>401</v>
      </c>
      <c r="K1230" s="2">
        <v>666</v>
      </c>
      <c r="L1230" s="2">
        <v>13</v>
      </c>
      <c r="M1230" s="2"/>
      <c r="N1230" s="8">
        <v>40006.878217592595</v>
      </c>
      <c r="O1230" s="4" t="s">
        <v>739</v>
      </c>
      <c r="P1230" s="3" t="s">
        <v>738</v>
      </c>
      <c r="Q1230" s="4"/>
      <c r="R1230" s="4"/>
      <c r="S1230" s="9" t="str">
        <f>HYPERLINK("https://pbs.twimg.com/profile_images/517758226126090243/xx5E-zUa.jpeg","View")</f>
        <v>View</v>
      </c>
    </row>
    <row r="1231" spans="1:19" ht="20">
      <c r="A1231" s="8">
        <v>43369.188842592594</v>
      </c>
      <c r="B1231" s="11" t="str">
        <f>HYPERLINK("https://twitter.com/IranPasMigirim","@IranPasMigirim")</f>
        <v>@IranPasMigirim</v>
      </c>
      <c r="C1231" s="6" t="s">
        <v>784</v>
      </c>
      <c r="D1231" s="5" t="s">
        <v>736</v>
      </c>
      <c r="E1231" s="9" t="str">
        <f>HYPERLINK("https://twitter.com/IranPasMigirim/status/1044753904746074112","1044753904746074112")</f>
        <v>1044753904746074112</v>
      </c>
      <c r="F1231" s="4"/>
      <c r="G1231" s="10" t="s">
        <v>732</v>
      </c>
      <c r="H1231" s="4"/>
      <c r="I1231" s="10" t="str">
        <f>HYPERLINK("http://twitter.com/download/android","Twitter for Android")</f>
        <v>Twitter for Android</v>
      </c>
      <c r="J1231" s="2">
        <v>773</v>
      </c>
      <c r="K1231" s="2">
        <v>1588</v>
      </c>
      <c r="L1231" s="2">
        <v>0</v>
      </c>
      <c r="M1231" s="2"/>
      <c r="N1231" s="8">
        <v>43099.581469907411</v>
      </c>
      <c r="O1231" s="4"/>
      <c r="P1231" s="3"/>
      <c r="Q1231" s="4"/>
      <c r="R1231" s="4"/>
      <c r="S1231" s="9" t="str">
        <f>HYPERLINK("https://pbs.twimg.com/profile_images/947330277310943232/hMwAdNgz.jpg","View")</f>
        <v>View</v>
      </c>
    </row>
    <row r="1232" spans="1:19" ht="40">
      <c r="A1232" s="8">
        <v>43369.188634259262</v>
      </c>
      <c r="B1232" s="11" t="str">
        <f>HYPERLINK("https://twitter.com/Ramin80165270","@Ramin80165270")</f>
        <v>@Ramin80165270</v>
      </c>
      <c r="C1232" s="6" t="s">
        <v>783</v>
      </c>
      <c r="D1232" s="5" t="s">
        <v>58</v>
      </c>
      <c r="E1232" s="9" t="str">
        <f>HYPERLINK("https://twitter.com/Ramin80165270/status/1044753829324095488","1044753829324095488")</f>
        <v>1044753829324095488</v>
      </c>
      <c r="F1232" s="4"/>
      <c r="G1232" s="10" t="s">
        <v>57</v>
      </c>
      <c r="H1232" s="4"/>
      <c r="I1232" s="10" t="str">
        <f>HYPERLINK("http://twitter.com/download/android","Twitter for Android")</f>
        <v>Twitter for Android</v>
      </c>
      <c r="J1232" s="2">
        <v>34</v>
      </c>
      <c r="K1232" s="2">
        <v>35</v>
      </c>
      <c r="L1232" s="2">
        <v>0</v>
      </c>
      <c r="M1232" s="2"/>
      <c r="N1232" s="8">
        <v>43106.742337962962</v>
      </c>
      <c r="O1232" s="4" t="s">
        <v>782</v>
      </c>
      <c r="P1232" s="3" t="s">
        <v>781</v>
      </c>
      <c r="Q1232" s="4"/>
      <c r="R1232" s="4"/>
      <c r="S1232" s="9" t="str">
        <f>HYPERLINK("https://pbs.twimg.com/profile_images/1039774592263442432/ekisYitm.jpg","View")</f>
        <v>View</v>
      </c>
    </row>
    <row r="1233" spans="1:19" ht="20">
      <c r="A1233" s="8">
        <v>43369.188263888893</v>
      </c>
      <c r="B1233" s="11" t="str">
        <f>HYPERLINK("https://twitter.com/Amir37448044","@Amir37448044")</f>
        <v>@Amir37448044</v>
      </c>
      <c r="C1233" s="6" t="s">
        <v>780</v>
      </c>
      <c r="D1233" s="5" t="s">
        <v>736</v>
      </c>
      <c r="E1233" s="9" t="str">
        <f>HYPERLINK("https://twitter.com/Amir37448044/status/1044753696628838400","1044753696628838400")</f>
        <v>1044753696628838400</v>
      </c>
      <c r="F1233" s="4"/>
      <c r="G1233" s="10" t="s">
        <v>732</v>
      </c>
      <c r="H1233" s="4"/>
      <c r="I1233" s="10" t="str">
        <f>HYPERLINK("http://twitter.com/download/android","Twitter for Android")</f>
        <v>Twitter for Android</v>
      </c>
      <c r="J1233" s="2">
        <v>339</v>
      </c>
      <c r="K1233" s="2">
        <v>542</v>
      </c>
      <c r="L1233" s="2">
        <v>0</v>
      </c>
      <c r="M1233" s="2"/>
      <c r="N1233" s="8">
        <v>42988.089328703703</v>
      </c>
      <c r="O1233" s="4" t="s">
        <v>779</v>
      </c>
      <c r="P1233" s="3"/>
      <c r="Q1233" s="4"/>
      <c r="R1233" s="4"/>
      <c r="S1233" s="9" t="str">
        <f>HYPERLINK("https://pbs.twimg.com/profile_images/1006510280816381952/9asEmMvv.jpg","View")</f>
        <v>View</v>
      </c>
    </row>
    <row r="1234" spans="1:19" ht="30">
      <c r="A1234" s="8">
        <v>43369.188159722224</v>
      </c>
      <c r="B1234" s="11" t="str">
        <f>HYPERLINK("https://twitter.com/Pahlavan5","@Pahlavan5")</f>
        <v>@Pahlavan5</v>
      </c>
      <c r="C1234" s="6" t="s">
        <v>773</v>
      </c>
      <c r="D1234" s="5" t="s">
        <v>181</v>
      </c>
      <c r="E1234" s="9" t="str">
        <f>HYPERLINK("https://twitter.com/Pahlavan5/status/1044753660553551872","1044753660553551872")</f>
        <v>1044753660553551872</v>
      </c>
      <c r="F1234" s="4"/>
      <c r="G1234" s="10" t="s">
        <v>180</v>
      </c>
      <c r="H1234" s="4"/>
      <c r="I1234" s="10" t="str">
        <f>HYPERLINK("http://twitter.com/download/android","Twitter for Android")</f>
        <v>Twitter for Android</v>
      </c>
      <c r="J1234" s="2">
        <v>105</v>
      </c>
      <c r="K1234" s="2">
        <v>324</v>
      </c>
      <c r="L1234" s="2">
        <v>0</v>
      </c>
      <c r="M1234" s="2"/>
      <c r="N1234" s="8">
        <v>43098.996412037042</v>
      </c>
      <c r="O1234" s="4"/>
      <c r="P1234" s="3"/>
      <c r="Q1234" s="4"/>
      <c r="R1234" s="4"/>
      <c r="S1234" s="2" t="s">
        <v>21</v>
      </c>
    </row>
    <row r="1235" spans="1:19" ht="20">
      <c r="A1235" s="8">
        <v>43369.188148148147</v>
      </c>
      <c r="B1235" s="11" t="str">
        <f>HYPERLINK("https://twitter.com/Behnam88986973","@Behnam88986973")</f>
        <v>@Behnam88986973</v>
      </c>
      <c r="C1235" s="6" t="s">
        <v>778</v>
      </c>
      <c r="D1235" s="5" t="s">
        <v>736</v>
      </c>
      <c r="E1235" s="9" t="str">
        <f>HYPERLINK("https://twitter.com/Behnam88986973/status/1044753653641498624","1044753653641498624")</f>
        <v>1044753653641498624</v>
      </c>
      <c r="F1235" s="4"/>
      <c r="G1235" s="10" t="s">
        <v>732</v>
      </c>
      <c r="H1235" s="4"/>
      <c r="I1235" s="10" t="str">
        <f>HYPERLINK("https://mobile.twitter.com","Twitter Lite")</f>
        <v>Twitter Lite</v>
      </c>
      <c r="J1235" s="2">
        <v>13</v>
      </c>
      <c r="K1235" s="2">
        <v>41</v>
      </c>
      <c r="L1235" s="2">
        <v>0</v>
      </c>
      <c r="M1235" s="2"/>
      <c r="N1235" s="8">
        <v>43357.545486111107</v>
      </c>
      <c r="O1235" s="4"/>
      <c r="P1235" s="3"/>
      <c r="Q1235" s="4"/>
      <c r="R1235" s="4"/>
      <c r="S1235" s="9" t="str">
        <f>HYPERLINK("https://pbs.twimg.com/profile_images/1041973817726394368/a0iXhDz-.jpg","View")</f>
        <v>View</v>
      </c>
    </row>
    <row r="1236" spans="1:19" ht="20">
      <c r="A1236" s="8">
        <v>43369.187974537039</v>
      </c>
      <c r="B1236" s="11" t="str">
        <f>HYPERLINK("https://twitter.com/atheism1985","@atheism1985")</f>
        <v>@atheism1985</v>
      </c>
      <c r="C1236" s="6" t="s">
        <v>777</v>
      </c>
      <c r="D1236" s="5" t="s">
        <v>736</v>
      </c>
      <c r="E1236" s="9" t="str">
        <f>HYPERLINK("https://twitter.com/atheism1985/status/1044753592329162752","1044753592329162752")</f>
        <v>1044753592329162752</v>
      </c>
      <c r="F1236" s="4"/>
      <c r="G1236" s="10" t="s">
        <v>732</v>
      </c>
      <c r="H1236" s="4"/>
      <c r="I1236" s="10" t="str">
        <f>HYPERLINK("http://twitter.com/download/android","Twitter for Android")</f>
        <v>Twitter for Android</v>
      </c>
      <c r="J1236" s="2">
        <v>346</v>
      </c>
      <c r="K1236" s="2">
        <v>470</v>
      </c>
      <c r="L1236" s="2">
        <v>0</v>
      </c>
      <c r="M1236" s="2"/>
      <c r="N1236" s="8">
        <v>43242.917303240742</v>
      </c>
      <c r="O1236" s="4" t="s">
        <v>776</v>
      </c>
      <c r="P1236" s="3" t="s">
        <v>775</v>
      </c>
      <c r="Q1236" s="10" t="s">
        <v>774</v>
      </c>
      <c r="R1236" s="4"/>
      <c r="S1236" s="9" t="str">
        <f>HYPERLINK("https://pbs.twimg.com/profile_images/1034916720597782532/F0j3S_lD.jpg","View")</f>
        <v>View</v>
      </c>
    </row>
    <row r="1237" spans="1:19" ht="40">
      <c r="A1237" s="8">
        <v>43369.185902777783</v>
      </c>
      <c r="B1237" s="11" t="str">
        <f>HYPERLINK("https://twitter.com/Pahlavan5","@Pahlavan5")</f>
        <v>@Pahlavan5</v>
      </c>
      <c r="C1237" s="6" t="s">
        <v>773</v>
      </c>
      <c r="D1237" s="5" t="s">
        <v>58</v>
      </c>
      <c r="E1237" s="9" t="str">
        <f>HYPERLINK("https://twitter.com/Pahlavan5/status/1044752841804402688","1044752841804402688")</f>
        <v>1044752841804402688</v>
      </c>
      <c r="F1237" s="4"/>
      <c r="G1237" s="10" t="s">
        <v>57</v>
      </c>
      <c r="H1237" s="4"/>
      <c r="I1237" s="10" t="str">
        <f>HYPERLINK("http://twitter.com/download/android","Twitter for Android")</f>
        <v>Twitter for Android</v>
      </c>
      <c r="J1237" s="2">
        <v>105</v>
      </c>
      <c r="K1237" s="2">
        <v>324</v>
      </c>
      <c r="L1237" s="2">
        <v>0</v>
      </c>
      <c r="M1237" s="2"/>
      <c r="N1237" s="8">
        <v>43098.996412037042</v>
      </c>
      <c r="O1237" s="4"/>
      <c r="P1237" s="3"/>
      <c r="Q1237" s="4"/>
      <c r="R1237" s="4"/>
      <c r="S1237" s="2" t="s">
        <v>21</v>
      </c>
    </row>
    <row r="1238" spans="1:19" ht="20">
      <c r="A1238" s="8">
        <v>43369.185706018514</v>
      </c>
      <c r="B1238" s="11" t="str">
        <f>HYPERLINK("https://twitter.com/Aban__dokht","@Aban__dokht")</f>
        <v>@Aban__dokht</v>
      </c>
      <c r="C1238" s="6" t="s">
        <v>742</v>
      </c>
      <c r="D1238" s="5" t="s">
        <v>102</v>
      </c>
      <c r="E1238" s="9" t="str">
        <f>HYPERLINK("https://twitter.com/Aban__dokht/status/1044752767770918912","1044752767770918912")</f>
        <v>1044752767770918912</v>
      </c>
      <c r="F1238" s="4"/>
      <c r="G1238" s="4"/>
      <c r="H1238" s="4"/>
      <c r="I1238" s="10" t="str">
        <f>HYPERLINK("http://twitter.com/download/android","Twitter for Android")</f>
        <v>Twitter for Android</v>
      </c>
      <c r="J1238" s="2">
        <v>1493</v>
      </c>
      <c r="K1238" s="2">
        <v>1496</v>
      </c>
      <c r="L1238" s="2">
        <v>0</v>
      </c>
      <c r="M1238" s="2"/>
      <c r="N1238" s="8">
        <v>41207.959780092591</v>
      </c>
      <c r="O1238" s="4"/>
      <c r="P1238" s="3" t="s">
        <v>741</v>
      </c>
      <c r="Q1238" s="4"/>
      <c r="R1238" s="4"/>
      <c r="S1238" s="9" t="str">
        <f>HYPERLINK("https://pbs.twimg.com/profile_images/1038710395442225152/qO2j40fo.jpg","View")</f>
        <v>View</v>
      </c>
    </row>
    <row r="1239" spans="1:19" ht="30">
      <c r="A1239" s="8">
        <v>43369.185648148152</v>
      </c>
      <c r="B1239" s="11" t="str">
        <f>HYPERLINK("https://twitter.com/f_azari","@f_azari")</f>
        <v>@f_azari</v>
      </c>
      <c r="C1239" s="6" t="s">
        <v>772</v>
      </c>
      <c r="D1239" s="5" t="s">
        <v>736</v>
      </c>
      <c r="E1239" s="9" t="str">
        <f>HYPERLINK("https://twitter.com/f_azari/status/1044752747302703104","1044752747302703104")</f>
        <v>1044752747302703104</v>
      </c>
      <c r="F1239" s="4"/>
      <c r="G1239" s="10" t="s">
        <v>732</v>
      </c>
      <c r="H1239" s="4"/>
      <c r="I1239" s="10" t="str">
        <f>HYPERLINK("http://twitter.com/download/android","Twitter for Android")</f>
        <v>Twitter for Android</v>
      </c>
      <c r="J1239" s="2">
        <v>405</v>
      </c>
      <c r="K1239" s="2">
        <v>1485</v>
      </c>
      <c r="L1239" s="2">
        <v>0</v>
      </c>
      <c r="M1239" s="2"/>
      <c r="N1239" s="8">
        <v>43043.889097222222</v>
      </c>
      <c r="O1239" s="4" t="s">
        <v>771</v>
      </c>
      <c r="P1239" s="3" t="s">
        <v>770</v>
      </c>
      <c r="Q1239" s="4"/>
      <c r="R1239" s="4"/>
      <c r="S1239" s="9" t="str">
        <f>HYPERLINK("https://pbs.twimg.com/profile_images/1024630868084711424/slyE_dRg.jpg","View")</f>
        <v>View</v>
      </c>
    </row>
    <row r="1240" spans="1:19" ht="40">
      <c r="A1240" s="8">
        <v>43369.185381944444</v>
      </c>
      <c r="B1240" s="11" t="str">
        <f>HYPERLINK("https://twitter.com/Fahimeh21741472","@Fahimeh21741472")</f>
        <v>@Fahimeh21741472</v>
      </c>
      <c r="C1240" s="6" t="s">
        <v>751</v>
      </c>
      <c r="D1240" s="5" t="s">
        <v>209</v>
      </c>
      <c r="E1240" s="9" t="str">
        <f>HYPERLINK("https://twitter.com/Fahimeh21741472/status/1044752652066680832","1044752652066680832")</f>
        <v>1044752652066680832</v>
      </c>
      <c r="F1240" s="4"/>
      <c r="G1240" s="10" t="s">
        <v>208</v>
      </c>
      <c r="H1240" s="4"/>
      <c r="I1240" s="10" t="str">
        <f>HYPERLINK("http://twitter.com/download/iphone","Twitter for iPhone")</f>
        <v>Twitter for iPhone</v>
      </c>
      <c r="J1240" s="2">
        <v>14</v>
      </c>
      <c r="K1240" s="2">
        <v>25</v>
      </c>
      <c r="L1240" s="2">
        <v>0</v>
      </c>
      <c r="M1240" s="2"/>
      <c r="N1240" s="8">
        <v>43331.73883101852</v>
      </c>
      <c r="O1240" s="4"/>
      <c r="P1240" s="3"/>
      <c r="Q1240" s="4"/>
      <c r="R1240" s="4"/>
      <c r="S1240" s="9" t="str">
        <f>HYPERLINK("https://pbs.twimg.com/profile_images/1031173647300349953/jc-c55He.jpg","View")</f>
        <v>View</v>
      </c>
    </row>
    <row r="1241" spans="1:19" ht="50">
      <c r="A1241" s="8">
        <v>43369.184803240743</v>
      </c>
      <c r="B1241" s="11" t="str">
        <f>HYPERLINK("https://twitter.com/Fahimeh21741472","@Fahimeh21741472")</f>
        <v>@Fahimeh21741472</v>
      </c>
      <c r="C1241" s="6" t="s">
        <v>751</v>
      </c>
      <c r="D1241" s="5" t="s">
        <v>278</v>
      </c>
      <c r="E1241" s="9" t="str">
        <f>HYPERLINK("https://twitter.com/Fahimeh21741472/status/1044752444096311297","1044752444096311297")</f>
        <v>1044752444096311297</v>
      </c>
      <c r="F1241" s="4"/>
      <c r="G1241" s="10" t="s">
        <v>196</v>
      </c>
      <c r="H1241" s="4"/>
      <c r="I1241" s="10" t="str">
        <f>HYPERLINK("http://twitter.com/download/iphone","Twitter for iPhone")</f>
        <v>Twitter for iPhone</v>
      </c>
      <c r="J1241" s="2">
        <v>14</v>
      </c>
      <c r="K1241" s="2">
        <v>25</v>
      </c>
      <c r="L1241" s="2">
        <v>0</v>
      </c>
      <c r="M1241" s="2"/>
      <c r="N1241" s="8">
        <v>43331.73883101852</v>
      </c>
      <c r="O1241" s="4"/>
      <c r="P1241" s="3"/>
      <c r="Q1241" s="4"/>
      <c r="R1241" s="4"/>
      <c r="S1241" s="9" t="str">
        <f>HYPERLINK("https://pbs.twimg.com/profile_images/1031173647300349953/jc-c55He.jpg","View")</f>
        <v>View</v>
      </c>
    </row>
    <row r="1242" spans="1:19" ht="50">
      <c r="A1242" s="8">
        <v>43369.182858796295</v>
      </c>
      <c r="B1242" s="11" t="str">
        <f>HYPERLINK("https://twitter.com/boghche","@boghche")</f>
        <v>@boghche</v>
      </c>
      <c r="C1242" s="6" t="s">
        <v>767</v>
      </c>
      <c r="D1242" s="5" t="s">
        <v>472</v>
      </c>
      <c r="E1242" s="9" t="str">
        <f>HYPERLINK("https://twitter.com/boghche/status/1044751739851812864","1044751739851812864")</f>
        <v>1044751739851812864</v>
      </c>
      <c r="F1242" s="4"/>
      <c r="G1242" s="10" t="s">
        <v>194</v>
      </c>
      <c r="H1242" s="4"/>
      <c r="I1242" s="10" t="str">
        <f>HYPERLINK("http://twitter.com","Twitter Web Client")</f>
        <v>Twitter Web Client</v>
      </c>
      <c r="J1242" s="2">
        <v>5180</v>
      </c>
      <c r="K1242" s="2">
        <v>5429</v>
      </c>
      <c r="L1242" s="2">
        <v>290</v>
      </c>
      <c r="M1242" s="2"/>
      <c r="N1242" s="8">
        <v>40051.963923611111</v>
      </c>
      <c r="O1242" s="4" t="s">
        <v>766</v>
      </c>
      <c r="P1242" s="3" t="s">
        <v>765</v>
      </c>
      <c r="Q1242" s="4"/>
      <c r="R1242" s="4"/>
      <c r="S1242" s="9" t="str">
        <f>HYPERLINK("https://pbs.twimg.com/profile_images/885590298482675714/X9SYHT21.jpg","View")</f>
        <v>View</v>
      </c>
    </row>
    <row r="1243" spans="1:19" ht="40">
      <c r="A1243" s="8">
        <v>43369.182581018518</v>
      </c>
      <c r="B1243" s="11" t="str">
        <f>HYPERLINK("https://twitter.com/boghche","@boghche")</f>
        <v>@boghche</v>
      </c>
      <c r="C1243" s="6" t="s">
        <v>767</v>
      </c>
      <c r="D1243" s="5" t="s">
        <v>470</v>
      </c>
      <c r="E1243" s="9" t="str">
        <f>HYPERLINK("https://twitter.com/boghche/status/1044751638358118400","1044751638358118400")</f>
        <v>1044751638358118400</v>
      </c>
      <c r="F1243" s="4"/>
      <c r="G1243" s="10" t="s">
        <v>469</v>
      </c>
      <c r="H1243" s="4"/>
      <c r="I1243" s="10" t="str">
        <f>HYPERLINK("http://twitter.com","Twitter Web Client")</f>
        <v>Twitter Web Client</v>
      </c>
      <c r="J1243" s="2">
        <v>5180</v>
      </c>
      <c r="K1243" s="2">
        <v>5429</v>
      </c>
      <c r="L1243" s="2">
        <v>290</v>
      </c>
      <c r="M1243" s="2"/>
      <c r="N1243" s="8">
        <v>40051.963923611111</v>
      </c>
      <c r="O1243" s="4" t="s">
        <v>766</v>
      </c>
      <c r="P1243" s="3" t="s">
        <v>765</v>
      </c>
      <c r="Q1243" s="4"/>
      <c r="R1243" s="4"/>
      <c r="S1243" s="9" t="str">
        <f>HYPERLINK("https://pbs.twimg.com/profile_images/885590298482675714/X9SYHT21.jpg","View")</f>
        <v>View</v>
      </c>
    </row>
    <row r="1244" spans="1:19" ht="30">
      <c r="A1244" s="8">
        <v>43369.181956018518</v>
      </c>
      <c r="B1244" s="11" t="str">
        <f>HYPERLINK("https://twitter.com/sun_af1","@sun_af1")</f>
        <v>@sun_af1</v>
      </c>
      <c r="C1244" s="6" t="s">
        <v>769</v>
      </c>
      <c r="D1244" s="5" t="s">
        <v>49</v>
      </c>
      <c r="E1244" s="9" t="str">
        <f>HYPERLINK("https://twitter.com/sun_af1/status/1044751409978245120","1044751409978245120")</f>
        <v>1044751409978245120</v>
      </c>
      <c r="F1244" s="4"/>
      <c r="G1244" s="4"/>
      <c r="H1244" s="4"/>
      <c r="I1244" s="10" t="str">
        <f>HYPERLINK("http://twitter.com/download/android","Twitter for Android")</f>
        <v>Twitter for Android</v>
      </c>
      <c r="J1244" s="2">
        <v>449</v>
      </c>
      <c r="K1244" s="2">
        <v>533</v>
      </c>
      <c r="L1244" s="2">
        <v>0</v>
      </c>
      <c r="M1244" s="2"/>
      <c r="N1244" s="8">
        <v>43258.134085648147</v>
      </c>
      <c r="O1244" s="4"/>
      <c r="P1244" s="3" t="s">
        <v>768</v>
      </c>
      <c r="Q1244" s="4"/>
      <c r="R1244" s="4"/>
      <c r="S1244" s="9" t="str">
        <f>HYPERLINK("https://pbs.twimg.com/profile_images/1044250893502304258/X7W5qHst.jpg","View")</f>
        <v>View</v>
      </c>
    </row>
    <row r="1245" spans="1:19" ht="30">
      <c r="A1245" s="8">
        <v>43369.18105324074</v>
      </c>
      <c r="B1245" s="11" t="str">
        <f>HYPERLINK("https://twitter.com/NimaAthiest","@NimaAthiest")</f>
        <v>@NimaAthiest</v>
      </c>
      <c r="C1245" s="6" t="s">
        <v>115</v>
      </c>
      <c r="D1245" s="5" t="s">
        <v>736</v>
      </c>
      <c r="E1245" s="9" t="str">
        <f>HYPERLINK("https://twitter.com/NimaAthiest/status/1044751083934027776","1044751083934027776")</f>
        <v>1044751083934027776</v>
      </c>
      <c r="F1245" s="4"/>
      <c r="G1245" s="10" t="s">
        <v>732</v>
      </c>
      <c r="H1245" s="4"/>
      <c r="I1245" s="10" t="str">
        <f>HYPERLINK("http://twitter.com/download/android","Twitter for Android")</f>
        <v>Twitter for Android</v>
      </c>
      <c r="J1245" s="2">
        <v>4457</v>
      </c>
      <c r="K1245" s="2">
        <v>3845</v>
      </c>
      <c r="L1245" s="2">
        <v>9</v>
      </c>
      <c r="M1245" s="2"/>
      <c r="N1245" s="8">
        <v>40802.070694444446</v>
      </c>
      <c r="O1245" s="4" t="s">
        <v>114</v>
      </c>
      <c r="P1245" s="3" t="s">
        <v>113</v>
      </c>
      <c r="Q1245" s="4"/>
      <c r="R1245" s="4"/>
      <c r="S1245" s="9" t="str">
        <f>HYPERLINK("https://pbs.twimg.com/profile_images/998911932299030528/LCcj4i76.jpg","View")</f>
        <v>View</v>
      </c>
    </row>
    <row r="1246" spans="1:19" ht="20">
      <c r="A1246" s="8">
        <v>43369.178877314815</v>
      </c>
      <c r="B1246" s="11" t="str">
        <f>HYPERLINK("https://twitter.com/boghche","@boghche")</f>
        <v>@boghche</v>
      </c>
      <c r="C1246" s="6" t="s">
        <v>767</v>
      </c>
      <c r="D1246" s="5" t="s">
        <v>154</v>
      </c>
      <c r="E1246" s="9" t="str">
        <f>HYPERLINK("https://twitter.com/boghche/status/1044750295413280768","1044750295413280768")</f>
        <v>1044750295413280768</v>
      </c>
      <c r="F1246" s="10" t="s">
        <v>153</v>
      </c>
      <c r="G1246" s="4"/>
      <c r="H1246" s="4"/>
      <c r="I1246" s="10" t="str">
        <f>HYPERLINK("http://twitter.com","Twitter Web Client")</f>
        <v>Twitter Web Client</v>
      </c>
      <c r="J1246" s="2">
        <v>5180</v>
      </c>
      <c r="K1246" s="2">
        <v>5429</v>
      </c>
      <c r="L1246" s="2">
        <v>290</v>
      </c>
      <c r="M1246" s="2"/>
      <c r="N1246" s="8">
        <v>40051.963923611111</v>
      </c>
      <c r="O1246" s="4" t="s">
        <v>766</v>
      </c>
      <c r="P1246" s="3" t="s">
        <v>765</v>
      </c>
      <c r="Q1246" s="4"/>
      <c r="R1246" s="4"/>
      <c r="S1246" s="9" t="str">
        <f>HYPERLINK("https://pbs.twimg.com/profile_images/885590298482675714/X9SYHT21.jpg","View")</f>
        <v>View</v>
      </c>
    </row>
    <row r="1247" spans="1:19" ht="40">
      <c r="A1247" s="8">
        <v>43369.178819444445</v>
      </c>
      <c r="B1247" s="11" t="str">
        <f>HYPERLINK("https://twitter.com/RamezanpoorA","@RamezanpoorA")</f>
        <v>@RamezanpoorA</v>
      </c>
      <c r="C1247" s="6" t="s">
        <v>764</v>
      </c>
      <c r="D1247" s="5" t="s">
        <v>763</v>
      </c>
      <c r="E1247" s="9" t="str">
        <f>HYPERLINK("https://twitter.com/RamezanpoorA/status/1044750273552494593","1044750273552494593")</f>
        <v>1044750273552494593</v>
      </c>
      <c r="F1247" s="4"/>
      <c r="G1247" s="4"/>
      <c r="H1247" s="4"/>
      <c r="I1247" s="10" t="str">
        <f>HYPERLINK("http://twitter.com/download/android","Twitter for Android")</f>
        <v>Twitter for Android</v>
      </c>
      <c r="J1247" s="2">
        <v>2256</v>
      </c>
      <c r="K1247" s="2">
        <v>1955</v>
      </c>
      <c r="L1247" s="2">
        <v>8</v>
      </c>
      <c r="M1247" s="2"/>
      <c r="N1247" s="8">
        <v>42985.061921296292</v>
      </c>
      <c r="O1247" s="4" t="s">
        <v>1</v>
      </c>
      <c r="P1247" s="3" t="s">
        <v>762</v>
      </c>
      <c r="Q1247" s="4"/>
      <c r="R1247" s="4"/>
      <c r="S1247" s="9" t="str">
        <f>HYPERLINK("https://pbs.twimg.com/profile_images/960860016101216257/5-3tcjV-.jpg","View")</f>
        <v>View</v>
      </c>
    </row>
    <row r="1248" spans="1:19" ht="50">
      <c r="A1248" s="8">
        <v>43369.178599537037</v>
      </c>
      <c r="B1248" s="11" t="str">
        <f>HYPERLINK("https://twitter.com/mostafaaryaieva","@mostafaaryaieva")</f>
        <v>@mostafaaryaieva</v>
      </c>
      <c r="C1248" s="6" t="s">
        <v>760</v>
      </c>
      <c r="D1248" s="5" t="s">
        <v>761</v>
      </c>
      <c r="E1248" s="9" t="str">
        <f>HYPERLINK("https://twitter.com/mostafaaryaieva/status/1044750194359832576","1044750194359832576")</f>
        <v>1044750194359832576</v>
      </c>
      <c r="F1248" s="4"/>
      <c r="G1248" s="4"/>
      <c r="H1248" s="4"/>
      <c r="I1248" s="10" t="str">
        <f>HYPERLINK("http://twitter.com","Twitter Web Client")</f>
        <v>Twitter Web Client</v>
      </c>
      <c r="J1248" s="2">
        <v>16</v>
      </c>
      <c r="K1248" s="2">
        <v>37</v>
      </c>
      <c r="L1248" s="2">
        <v>0</v>
      </c>
      <c r="M1248" s="2"/>
      <c r="N1248" s="8">
        <v>41744.299189814818</v>
      </c>
      <c r="O1248" s="4"/>
      <c r="P1248" s="3"/>
      <c r="Q1248" s="4"/>
      <c r="R1248" s="4"/>
      <c r="S1248" s="9" t="str">
        <f>HYPERLINK("https://pbs.twimg.com/profile_images/455916817265872896/AixAFIXR.jpeg","View")</f>
        <v>View</v>
      </c>
    </row>
    <row r="1249" spans="1:19" ht="50">
      <c r="A1249" s="8">
        <v>43369.178437499999</v>
      </c>
      <c r="B1249" s="11" t="str">
        <f>HYPERLINK("https://twitter.com/mostafaaryaieva","@mostafaaryaieva")</f>
        <v>@mostafaaryaieva</v>
      </c>
      <c r="C1249" s="6" t="s">
        <v>760</v>
      </c>
      <c r="D1249" s="5" t="s">
        <v>759</v>
      </c>
      <c r="E1249" s="9" t="str">
        <f>HYPERLINK("https://twitter.com/mostafaaryaieva/status/1044750135287271425","1044750135287271425")</f>
        <v>1044750135287271425</v>
      </c>
      <c r="F1249" s="4"/>
      <c r="G1249" s="4"/>
      <c r="H1249" s="4"/>
      <c r="I1249" s="10" t="str">
        <f>HYPERLINK("http://twitter.com","Twitter Web Client")</f>
        <v>Twitter Web Client</v>
      </c>
      <c r="J1249" s="2">
        <v>16</v>
      </c>
      <c r="K1249" s="2">
        <v>37</v>
      </c>
      <c r="L1249" s="2">
        <v>0</v>
      </c>
      <c r="M1249" s="2"/>
      <c r="N1249" s="8">
        <v>41744.299189814818</v>
      </c>
      <c r="O1249" s="4"/>
      <c r="P1249" s="3"/>
      <c r="Q1249" s="4"/>
      <c r="R1249" s="4"/>
      <c r="S1249" s="9" t="str">
        <f>HYPERLINK("https://pbs.twimg.com/profile_images/455916817265872896/AixAFIXR.jpeg","View")</f>
        <v>View</v>
      </c>
    </row>
    <row r="1250" spans="1:19" ht="30">
      <c r="A1250" s="8">
        <v>43369.176296296297</v>
      </c>
      <c r="B1250" s="11" t="str">
        <f>HYPERLINK("https://twitter.com/Amirtaylor999","@Amirtaylor999")</f>
        <v>@Amirtaylor999</v>
      </c>
      <c r="C1250" s="6" t="s">
        <v>758</v>
      </c>
      <c r="D1250" s="5" t="s">
        <v>49</v>
      </c>
      <c r="E1250" s="9" t="str">
        <f>HYPERLINK("https://twitter.com/Amirtaylor999/status/1044749358925860870","1044749358925860870")</f>
        <v>1044749358925860870</v>
      </c>
      <c r="F1250" s="4"/>
      <c r="G1250" s="4"/>
      <c r="H1250" s="4"/>
      <c r="I1250" s="10" t="str">
        <f>HYPERLINK("http://twitter.com/download/android","Twitter for Android")</f>
        <v>Twitter for Android</v>
      </c>
      <c r="J1250" s="2">
        <v>251</v>
      </c>
      <c r="K1250" s="2">
        <v>335</v>
      </c>
      <c r="L1250" s="2">
        <v>1</v>
      </c>
      <c r="M1250" s="2"/>
      <c r="N1250" s="8">
        <v>42495.623726851853</v>
      </c>
      <c r="O1250" s="4" t="s">
        <v>55</v>
      </c>
      <c r="P1250" s="3" t="s">
        <v>757</v>
      </c>
      <c r="Q1250" s="4"/>
      <c r="R1250" s="4"/>
      <c r="S1250" s="9" t="str">
        <f>HYPERLINK("https://pbs.twimg.com/profile_images/958796868292669445/xBwUuzbE.jpg","View")</f>
        <v>View</v>
      </c>
    </row>
    <row r="1251" spans="1:19" ht="40">
      <c r="A1251" s="8">
        <v>43369.175729166665</v>
      </c>
      <c r="B1251" s="11" t="str">
        <f>HYPERLINK("https://twitter.com/Aban__dokht","@Aban__dokht")</f>
        <v>@Aban__dokht</v>
      </c>
      <c r="C1251" s="6" t="s">
        <v>742</v>
      </c>
      <c r="D1251" s="5" t="s">
        <v>756</v>
      </c>
      <c r="E1251" s="9" t="str">
        <f>HYPERLINK("https://twitter.com/Aban__dokht/status/1044749153916604417","1044749153916604417")</f>
        <v>1044749153916604417</v>
      </c>
      <c r="F1251" s="4"/>
      <c r="G1251" s="4"/>
      <c r="H1251" s="4"/>
      <c r="I1251" s="10" t="str">
        <f>HYPERLINK("http://twitter.com/download/android","Twitter for Android")</f>
        <v>Twitter for Android</v>
      </c>
      <c r="J1251" s="2">
        <v>1493</v>
      </c>
      <c r="K1251" s="2">
        <v>1495</v>
      </c>
      <c r="L1251" s="2">
        <v>0</v>
      </c>
      <c r="M1251" s="2"/>
      <c r="N1251" s="8">
        <v>41207.959780092591</v>
      </c>
      <c r="O1251" s="4"/>
      <c r="P1251" s="3" t="s">
        <v>741</v>
      </c>
      <c r="Q1251" s="4"/>
      <c r="R1251" s="4"/>
      <c r="S1251" s="9" t="str">
        <f>HYPERLINK("https://pbs.twimg.com/profile_images/1038710395442225152/qO2j40fo.jpg","View")</f>
        <v>View</v>
      </c>
    </row>
    <row r="1252" spans="1:19" ht="40">
      <c r="A1252" s="8">
        <v>43369.174884259264</v>
      </c>
      <c r="B1252" s="11" t="str">
        <f>HYPERLINK("https://twitter.com/elhamyazdiha","@elhamyazdiha")</f>
        <v>@elhamyazdiha</v>
      </c>
      <c r="C1252" s="6" t="s">
        <v>755</v>
      </c>
      <c r="D1252" s="5" t="s">
        <v>754</v>
      </c>
      <c r="E1252" s="9" t="str">
        <f>HYPERLINK("https://twitter.com/elhamyazdiha/status/1044748846394413056","1044748846394413056")</f>
        <v>1044748846394413056</v>
      </c>
      <c r="F1252" s="4"/>
      <c r="G1252" s="4"/>
      <c r="H1252" s="4"/>
      <c r="I1252" s="10" t="str">
        <f>HYPERLINK("http://twitter.com/download/android","Twitter for Android")</f>
        <v>Twitter for Android</v>
      </c>
      <c r="J1252" s="2">
        <v>1827</v>
      </c>
      <c r="K1252" s="2">
        <v>994</v>
      </c>
      <c r="L1252" s="2">
        <v>15</v>
      </c>
      <c r="M1252" s="2"/>
      <c r="N1252" s="8">
        <v>41753.356377314813</v>
      </c>
      <c r="O1252" s="4"/>
      <c r="P1252" s="3" t="s">
        <v>753</v>
      </c>
      <c r="Q1252" s="10" t="s">
        <v>752</v>
      </c>
      <c r="R1252" s="4"/>
      <c r="S1252" s="9" t="str">
        <f>HYPERLINK("https://pbs.twimg.com/profile_images/1038475874797060098/1X1cn-OW.jpg","View")</f>
        <v>View</v>
      </c>
    </row>
    <row r="1253" spans="1:19" ht="50">
      <c r="A1253" s="8">
        <v>43369.174641203703</v>
      </c>
      <c r="B1253" s="11" t="str">
        <f>HYPERLINK("https://twitter.com/Fahimeh21741472","@Fahimeh21741472")</f>
        <v>@Fahimeh21741472</v>
      </c>
      <c r="C1253" s="6" t="s">
        <v>751</v>
      </c>
      <c r="D1253" s="5" t="s">
        <v>472</v>
      </c>
      <c r="E1253" s="9" t="str">
        <f>HYPERLINK("https://twitter.com/Fahimeh21741472/status/1044748759375077377","1044748759375077377")</f>
        <v>1044748759375077377</v>
      </c>
      <c r="F1253" s="4"/>
      <c r="G1253" s="10" t="s">
        <v>194</v>
      </c>
      <c r="H1253" s="4"/>
      <c r="I1253" s="10" t="str">
        <f>HYPERLINK("https://mobile.twitter.com","Twitter Lite")</f>
        <v>Twitter Lite</v>
      </c>
      <c r="J1253" s="2">
        <v>14</v>
      </c>
      <c r="K1253" s="2">
        <v>25</v>
      </c>
      <c r="L1253" s="2">
        <v>0</v>
      </c>
      <c r="M1253" s="2"/>
      <c r="N1253" s="8">
        <v>43331.73883101852</v>
      </c>
      <c r="O1253" s="4"/>
      <c r="P1253" s="3"/>
      <c r="Q1253" s="4"/>
      <c r="R1253" s="4"/>
      <c r="S1253" s="9" t="str">
        <f>HYPERLINK("https://pbs.twimg.com/profile_images/1031173647300349953/jc-c55He.jpg","View")</f>
        <v>View</v>
      </c>
    </row>
    <row r="1254" spans="1:19" ht="40">
      <c r="A1254" s="8">
        <v>43369.174571759257</v>
      </c>
      <c r="B1254" s="11" t="str">
        <f>HYPERLINK("https://twitter.com/Fahimeh21741472","@Fahimeh21741472")</f>
        <v>@Fahimeh21741472</v>
      </c>
      <c r="C1254" s="6" t="s">
        <v>751</v>
      </c>
      <c r="D1254" s="5" t="s">
        <v>470</v>
      </c>
      <c r="E1254" s="9" t="str">
        <f>HYPERLINK("https://twitter.com/Fahimeh21741472/status/1044748735836643328","1044748735836643328")</f>
        <v>1044748735836643328</v>
      </c>
      <c r="F1254" s="4"/>
      <c r="G1254" s="10" t="s">
        <v>469</v>
      </c>
      <c r="H1254" s="4"/>
      <c r="I1254" s="10" t="str">
        <f>HYPERLINK("https://mobile.twitter.com","Twitter Lite")</f>
        <v>Twitter Lite</v>
      </c>
      <c r="J1254" s="2">
        <v>14</v>
      </c>
      <c r="K1254" s="2">
        <v>25</v>
      </c>
      <c r="L1254" s="2">
        <v>0</v>
      </c>
      <c r="M1254" s="2"/>
      <c r="N1254" s="8">
        <v>43331.73883101852</v>
      </c>
      <c r="O1254" s="4"/>
      <c r="P1254" s="3"/>
      <c r="Q1254" s="4"/>
      <c r="R1254" s="4"/>
      <c r="S1254" s="9" t="str">
        <f>HYPERLINK("https://pbs.twimg.com/profile_images/1031173647300349953/jc-c55He.jpg","View")</f>
        <v>View</v>
      </c>
    </row>
    <row r="1255" spans="1:19" ht="30">
      <c r="A1255" s="8">
        <v>43369.17396990741</v>
      </c>
      <c r="B1255" s="11" t="str">
        <f>HYPERLINK("https://twitter.com/AzaryaHopeful","@AzaryaHopeful")</f>
        <v>@AzaryaHopeful</v>
      </c>
      <c r="C1255" s="6" t="s">
        <v>750</v>
      </c>
      <c r="D1255" s="5" t="s">
        <v>144</v>
      </c>
      <c r="E1255" s="9" t="str">
        <f>HYPERLINK("https://twitter.com/AzaryaHopeful/status/1044748518458617856","1044748518458617856")</f>
        <v>1044748518458617856</v>
      </c>
      <c r="F1255" s="4"/>
      <c r="G1255" s="10" t="s">
        <v>143</v>
      </c>
      <c r="H1255" s="4"/>
      <c r="I1255" s="10" t="str">
        <f>HYPERLINK("http://twitter.com/download/iphone","Twitter for iPhone")</f>
        <v>Twitter for iPhone</v>
      </c>
      <c r="J1255" s="2">
        <v>18</v>
      </c>
      <c r="K1255" s="2">
        <v>41</v>
      </c>
      <c r="L1255" s="2">
        <v>0</v>
      </c>
      <c r="M1255" s="2"/>
      <c r="N1255" s="8">
        <v>43106.074328703704</v>
      </c>
      <c r="O1255" s="4" t="s">
        <v>749</v>
      </c>
      <c r="P1255" s="3"/>
      <c r="Q1255" s="4"/>
      <c r="R1255" s="4"/>
      <c r="S1255" s="9" t="str">
        <f>HYPERLINK("https://pbs.twimg.com/profile_images/1003692080512806913/I2bN04Rt.jpg","View")</f>
        <v>View</v>
      </c>
    </row>
    <row r="1256" spans="1:19" ht="40">
      <c r="A1256" s="8">
        <v>43369.173657407402</v>
      </c>
      <c r="B1256" s="11" t="str">
        <f>HYPERLINK("https://twitter.com/DAriyaei","@DAriyaei")</f>
        <v>@DAriyaei</v>
      </c>
      <c r="C1256" s="6" t="s">
        <v>18</v>
      </c>
      <c r="D1256" s="5" t="s">
        <v>58</v>
      </c>
      <c r="E1256" s="9" t="str">
        <f>HYPERLINK("https://twitter.com/DAriyaei/status/1044748401680805888","1044748401680805888")</f>
        <v>1044748401680805888</v>
      </c>
      <c r="F1256" s="4"/>
      <c r="G1256" s="10" t="s">
        <v>57</v>
      </c>
      <c r="H1256" s="4"/>
      <c r="I1256" s="10" t="str">
        <f>HYPERLINK("http://twitter.com/download/android","Twitter for Android")</f>
        <v>Twitter for Android</v>
      </c>
      <c r="J1256" s="2">
        <v>229</v>
      </c>
      <c r="K1256" s="2">
        <v>255</v>
      </c>
      <c r="L1256" s="2">
        <v>1</v>
      </c>
      <c r="M1256" s="2"/>
      <c r="N1256" s="8">
        <v>41823.937986111108</v>
      </c>
      <c r="O1256" s="4"/>
      <c r="P1256" s="3" t="s">
        <v>17</v>
      </c>
      <c r="Q1256" s="4"/>
      <c r="R1256" s="4"/>
      <c r="S1256" s="9" t="str">
        <f>HYPERLINK("https://pbs.twimg.com/profile_images/1005755873619267584/ARtnzULm.jpg","View")</f>
        <v>View</v>
      </c>
    </row>
    <row r="1257" spans="1:19" ht="20">
      <c r="A1257" s="8">
        <v>43369.172500000001</v>
      </c>
      <c r="B1257" s="11" t="str">
        <f>HYPERLINK("https://twitter.com/Freedom14293107","@Freedom14293107")</f>
        <v>@Freedom14293107</v>
      </c>
      <c r="C1257" s="6" t="s">
        <v>748</v>
      </c>
      <c r="D1257" s="5" t="s">
        <v>736</v>
      </c>
      <c r="E1257" s="9" t="str">
        <f>HYPERLINK("https://twitter.com/Freedom14293107/status/1044747984485986304","1044747984485986304")</f>
        <v>1044747984485986304</v>
      </c>
      <c r="F1257" s="4"/>
      <c r="G1257" s="10" t="s">
        <v>732</v>
      </c>
      <c r="H1257" s="4"/>
      <c r="I1257" s="10" t="str">
        <f>HYPERLINK("http://twitter.com/download/android","Twitter for Android")</f>
        <v>Twitter for Android</v>
      </c>
      <c r="J1257" s="2">
        <v>5</v>
      </c>
      <c r="K1257" s="2">
        <v>6</v>
      </c>
      <c r="L1257" s="2">
        <v>0</v>
      </c>
      <c r="M1257" s="2"/>
      <c r="N1257" s="8">
        <v>43304.164166666669</v>
      </c>
      <c r="O1257" s="4"/>
      <c r="P1257" s="3"/>
      <c r="Q1257" s="4"/>
      <c r="R1257" s="4"/>
      <c r="S1257" s="2" t="s">
        <v>21</v>
      </c>
    </row>
    <row r="1258" spans="1:19" ht="20">
      <c r="A1258" s="8">
        <v>43369.171759259261</v>
      </c>
      <c r="B1258" s="11" t="str">
        <f>HYPERLINK("https://twitter.com/ssayehroshann","@ssayehroshann")</f>
        <v>@ssayehroshann</v>
      </c>
      <c r="C1258" s="6" t="s">
        <v>747</v>
      </c>
      <c r="D1258" s="5" t="s">
        <v>736</v>
      </c>
      <c r="E1258" s="9" t="str">
        <f>HYPERLINK("https://twitter.com/ssayehroshann/status/1044747716541079552","1044747716541079552")</f>
        <v>1044747716541079552</v>
      </c>
      <c r="F1258" s="4"/>
      <c r="G1258" s="10" t="s">
        <v>732</v>
      </c>
      <c r="H1258" s="4"/>
      <c r="I1258" s="10" t="str">
        <f>HYPERLINK("http://twitter.com/download/iphone","Twitter for iPhone")</f>
        <v>Twitter for iPhone</v>
      </c>
      <c r="J1258" s="2">
        <v>832</v>
      </c>
      <c r="K1258" s="2">
        <v>1051</v>
      </c>
      <c r="L1258" s="2">
        <v>1</v>
      </c>
      <c r="M1258" s="2"/>
      <c r="N1258" s="8">
        <v>43279.459490740745</v>
      </c>
      <c r="O1258" s="4" t="s">
        <v>25</v>
      </c>
      <c r="P1258" s="3" t="s">
        <v>746</v>
      </c>
      <c r="Q1258" s="4"/>
      <c r="R1258" s="4"/>
      <c r="S1258" s="9" t="str">
        <f>HYPERLINK("https://pbs.twimg.com/profile_images/1041395253498900481/gQsUHJFo.jpg","View")</f>
        <v>View</v>
      </c>
    </row>
    <row r="1259" spans="1:19" ht="30">
      <c r="A1259" s="8">
        <v>43369.171307870369</v>
      </c>
      <c r="B1259" s="11" t="str">
        <f>HYPERLINK("https://twitter.com/hashemasa","@hashemasa")</f>
        <v>@hashemasa</v>
      </c>
      <c r="C1259" s="6" t="s">
        <v>745</v>
      </c>
      <c r="D1259" s="5" t="s">
        <v>49</v>
      </c>
      <c r="E1259" s="9" t="str">
        <f>HYPERLINK("https://twitter.com/hashemasa/status/1044747551826563072","1044747551826563072")</f>
        <v>1044747551826563072</v>
      </c>
      <c r="F1259" s="4"/>
      <c r="G1259" s="4"/>
      <c r="H1259" s="4"/>
      <c r="I1259" s="10" t="str">
        <f>HYPERLINK("http://twitter.com/download/iphone","Twitter for iPhone")</f>
        <v>Twitter for iPhone</v>
      </c>
      <c r="J1259" s="2">
        <v>575</v>
      </c>
      <c r="K1259" s="2">
        <v>292</v>
      </c>
      <c r="L1259" s="2">
        <v>0</v>
      </c>
      <c r="M1259" s="2"/>
      <c r="N1259" s="8">
        <v>41581.916516203702</v>
      </c>
      <c r="O1259" s="4" t="s">
        <v>744</v>
      </c>
      <c r="P1259" s="3" t="s">
        <v>743</v>
      </c>
      <c r="Q1259" s="4"/>
      <c r="R1259" s="4"/>
      <c r="S1259" s="9" t="str">
        <f>HYPERLINK("https://pbs.twimg.com/profile_images/966819165435699201/pY7G1-8D.jpg","View")</f>
        <v>View</v>
      </c>
    </row>
    <row r="1260" spans="1:19" ht="40">
      <c r="A1260" s="8">
        <v>43369.17123842593</v>
      </c>
      <c r="B1260" s="11" t="str">
        <f>HYPERLINK("https://twitter.com/Aban__dokht","@Aban__dokht")</f>
        <v>@Aban__dokht</v>
      </c>
      <c r="C1260" s="6" t="s">
        <v>742</v>
      </c>
      <c r="D1260" s="5" t="s">
        <v>174</v>
      </c>
      <c r="E1260" s="9" t="str">
        <f>HYPERLINK("https://twitter.com/Aban__dokht/status/1044747525264199680","1044747525264199680")</f>
        <v>1044747525264199680</v>
      </c>
      <c r="F1260" s="4"/>
      <c r="G1260" s="4"/>
      <c r="H1260" s="4"/>
      <c r="I1260" s="10" t="str">
        <f>HYPERLINK("http://twitter.com/download/android","Twitter for Android")</f>
        <v>Twitter for Android</v>
      </c>
      <c r="J1260" s="2">
        <v>1493</v>
      </c>
      <c r="K1260" s="2">
        <v>1495</v>
      </c>
      <c r="L1260" s="2">
        <v>0</v>
      </c>
      <c r="M1260" s="2"/>
      <c r="N1260" s="8">
        <v>41207.959780092591</v>
      </c>
      <c r="O1260" s="4"/>
      <c r="P1260" s="3" t="s">
        <v>741</v>
      </c>
      <c r="Q1260" s="4"/>
      <c r="R1260" s="4"/>
      <c r="S1260" s="9" t="str">
        <f>HYPERLINK("https://pbs.twimg.com/profile_images/1038710395442225152/qO2j40fo.jpg","View")</f>
        <v>View</v>
      </c>
    </row>
    <row r="1261" spans="1:19" ht="50">
      <c r="A1261" s="8">
        <v>43369.170925925922</v>
      </c>
      <c r="B1261" s="11" t="str">
        <f>HYPERLINK("https://twitter.com/rnamdari","@rnamdari")</f>
        <v>@rnamdari</v>
      </c>
      <c r="C1261" s="6" t="s">
        <v>740</v>
      </c>
      <c r="D1261" s="5" t="s">
        <v>9</v>
      </c>
      <c r="E1261" s="9" t="str">
        <f>HYPERLINK("https://twitter.com/rnamdari/status/1044747413142077441","1044747413142077441")</f>
        <v>1044747413142077441</v>
      </c>
      <c r="F1261" s="4"/>
      <c r="G1261" s="4"/>
      <c r="H1261" s="4"/>
      <c r="I1261" s="10" t="str">
        <f>HYPERLINK("http://twitter.com/download/iphone","Twitter for iPhone")</f>
        <v>Twitter for iPhone</v>
      </c>
      <c r="J1261" s="2">
        <v>400</v>
      </c>
      <c r="K1261" s="2">
        <v>665</v>
      </c>
      <c r="L1261" s="2">
        <v>13</v>
      </c>
      <c r="M1261" s="2"/>
      <c r="N1261" s="8">
        <v>40006.878217592595</v>
      </c>
      <c r="O1261" s="4" t="s">
        <v>739</v>
      </c>
      <c r="P1261" s="3" t="s">
        <v>738</v>
      </c>
      <c r="Q1261" s="4"/>
      <c r="R1261" s="4"/>
      <c r="S1261" s="9" t="str">
        <f>HYPERLINK("https://pbs.twimg.com/profile_images/517758226126090243/xx5E-zUa.jpeg","View")</f>
        <v>View</v>
      </c>
    </row>
    <row r="1262" spans="1:19" ht="20">
      <c r="A1262" s="8">
        <v>43369.170856481476</v>
      </c>
      <c r="B1262" s="11" t="str">
        <f>HYPERLINK("https://twitter.com/freedom_4_World","@freedom_4_World")</f>
        <v>@freedom_4_World</v>
      </c>
      <c r="C1262" s="6" t="s">
        <v>737</v>
      </c>
      <c r="D1262" s="5" t="s">
        <v>736</v>
      </c>
      <c r="E1262" s="9" t="str">
        <f>HYPERLINK("https://twitter.com/freedom_4_World/status/1044747388164943878","1044747388164943878")</f>
        <v>1044747388164943878</v>
      </c>
      <c r="F1262" s="4"/>
      <c r="G1262" s="10" t="s">
        <v>732</v>
      </c>
      <c r="H1262" s="4"/>
      <c r="I1262" s="10" t="str">
        <f>HYPERLINK("http://twitter.com/download/iphone","Twitter for iPhone")</f>
        <v>Twitter for iPhone</v>
      </c>
      <c r="J1262" s="2">
        <v>90</v>
      </c>
      <c r="K1262" s="2">
        <v>130</v>
      </c>
      <c r="L1262" s="2">
        <v>0</v>
      </c>
      <c r="M1262" s="2"/>
      <c r="N1262" s="8">
        <v>41659.016793981486</v>
      </c>
      <c r="O1262" s="4"/>
      <c r="P1262" s="3" t="s">
        <v>735</v>
      </c>
      <c r="Q1262" s="4"/>
      <c r="R1262" s="4"/>
      <c r="S1262" s="9" t="str">
        <f>HYPERLINK("https://pbs.twimg.com/profile_images/1021527677826678785/7JDgzWTh.jpg","View")</f>
        <v>View</v>
      </c>
    </row>
    <row r="1263" spans="1:19" ht="20">
      <c r="A1263" s="8">
        <v>43369.170104166667</v>
      </c>
      <c r="B1263" s="11" t="str">
        <f>HYPERLINK("https://twitter.com/BehiGity","@BehiGity")</f>
        <v>@BehiGity</v>
      </c>
      <c r="C1263" s="6" t="s">
        <v>734</v>
      </c>
      <c r="D1263" s="5" t="s">
        <v>733</v>
      </c>
      <c r="E1263" s="9" t="str">
        <f>HYPERLINK("https://twitter.com/BehiGity/status/1044747117426761728","1044747117426761728")</f>
        <v>1044747117426761728</v>
      </c>
      <c r="F1263" s="4"/>
      <c r="G1263" s="10" t="s">
        <v>732</v>
      </c>
      <c r="H1263" s="4"/>
      <c r="I1263" s="10" t="str">
        <f>HYPERLINK("http://twitter.com/#!/download/ipad","Twitter for iPad")</f>
        <v>Twitter for iPad</v>
      </c>
      <c r="J1263" s="2">
        <v>3594</v>
      </c>
      <c r="K1263" s="2">
        <v>596</v>
      </c>
      <c r="L1263" s="2">
        <v>5</v>
      </c>
      <c r="M1263" s="2"/>
      <c r="N1263" s="8">
        <v>42980.930613425924</v>
      </c>
      <c r="O1263" s="4"/>
      <c r="P1263" s="3" t="s">
        <v>731</v>
      </c>
      <c r="Q1263" s="4"/>
      <c r="R1263" s="4"/>
      <c r="S1263" s="9" t="str">
        <f>HYPERLINK("https://pbs.twimg.com/profile_images/1043519139803848704/Mhr1NYmX.jpg","View")</f>
        <v>View</v>
      </c>
    </row>
    <row r="1264" spans="1:19" ht="40">
      <c r="A1264" s="8">
        <v>43369.166249999995</v>
      </c>
      <c r="B1264" s="11" t="str">
        <f>HYPERLINK("https://twitter.com/iran_sara","@iran_sara")</f>
        <v>@iran_sara</v>
      </c>
      <c r="C1264" s="6" t="s">
        <v>730</v>
      </c>
      <c r="D1264" s="5" t="s">
        <v>729</v>
      </c>
      <c r="E1264" s="9" t="str">
        <f>HYPERLINK("https://twitter.com/iran_sara/status/1044745719305981952","1044745719305981952")</f>
        <v>1044745719305981952</v>
      </c>
      <c r="F1264" s="4"/>
      <c r="G1264" s="4"/>
      <c r="H1264" s="4"/>
      <c r="I1264" s="10" t="str">
        <f>HYPERLINK("http://twitter.com/download/android","Twitter for Android")</f>
        <v>Twitter for Android</v>
      </c>
      <c r="J1264" s="2">
        <v>106</v>
      </c>
      <c r="K1264" s="2">
        <v>152</v>
      </c>
      <c r="L1264" s="2">
        <v>0</v>
      </c>
      <c r="M1264" s="2"/>
      <c r="N1264" s="8">
        <v>43317.675266203703</v>
      </c>
      <c r="O1264" s="4" t="s">
        <v>428</v>
      </c>
      <c r="P1264" s="3" t="s">
        <v>728</v>
      </c>
      <c r="Q1264" s="4"/>
      <c r="R1264" s="4"/>
      <c r="S1264" s="9" t="str">
        <f>HYPERLINK("https://pbs.twimg.com/profile_images/1026089989904453633/YQqd4yUV.jpg","View")</f>
        <v>View</v>
      </c>
    </row>
    <row r="1265" spans="1:19" ht="40">
      <c r="A1265" s="8">
        <v>43369.164872685185</v>
      </c>
      <c r="B1265" s="11" t="str">
        <f>HYPERLINK("https://twitter.com/Amir0sharif","@Amir0sharif")</f>
        <v>@Amir0sharif</v>
      </c>
      <c r="C1265" s="6" t="s">
        <v>727</v>
      </c>
      <c r="D1265" s="5" t="s">
        <v>352</v>
      </c>
      <c r="E1265" s="9" t="str">
        <f>HYPERLINK("https://twitter.com/Amir0sharif/status/1044745218787069952","1044745218787069952")</f>
        <v>1044745218787069952</v>
      </c>
      <c r="F1265" s="4"/>
      <c r="G1265" s="4"/>
      <c r="H1265" s="4"/>
      <c r="I1265" s="10" t="str">
        <f>HYPERLINK("http://twitter.com/download/iphone","Twitter for iPhone")</f>
        <v>Twitter for iPhone</v>
      </c>
      <c r="J1265" s="2">
        <v>300</v>
      </c>
      <c r="K1265" s="2">
        <v>542</v>
      </c>
      <c r="L1265" s="2">
        <v>1</v>
      </c>
      <c r="M1265" s="2"/>
      <c r="N1265" s="8">
        <v>42902.792233796295</v>
      </c>
      <c r="O1265" s="4"/>
      <c r="P1265" s="3"/>
      <c r="Q1265" s="4"/>
      <c r="R1265" s="4"/>
      <c r="S1265" s="9" t="str">
        <f>HYPERLINK("https://pbs.twimg.com/profile_images/991331874839646208/uFD1lRj8.jpg","View")</f>
        <v>View</v>
      </c>
    </row>
    <row r="1266" spans="1:19" ht="30">
      <c r="A1266" s="8">
        <v>43369.161793981482</v>
      </c>
      <c r="B1266" s="11" t="str">
        <f>HYPERLINK("https://twitter.com/RahehalTV","@RahehalTV")</f>
        <v>@RahehalTV</v>
      </c>
      <c r="C1266" s="6" t="s">
        <v>726</v>
      </c>
      <c r="D1266" s="5" t="s">
        <v>725</v>
      </c>
      <c r="E1266" s="9" t="str">
        <f>HYPERLINK("https://twitter.com/RahehalTV/status/1044744104129683456","1044744104129683456")</f>
        <v>1044744104129683456</v>
      </c>
      <c r="F1266" s="4"/>
      <c r="G1266" s="10" t="s">
        <v>724</v>
      </c>
      <c r="H1266" s="4"/>
      <c r="I1266" s="10" t="str">
        <f>HYPERLINK("http://twitter.com/download/android","Twitter for Android")</f>
        <v>Twitter for Android</v>
      </c>
      <c r="J1266" s="2">
        <v>566</v>
      </c>
      <c r="K1266" s="2">
        <v>250</v>
      </c>
      <c r="L1266" s="2">
        <v>48</v>
      </c>
      <c r="M1266" s="2"/>
      <c r="N1266" s="8">
        <v>40625.290821759263</v>
      </c>
      <c r="O1266" s="4" t="s">
        <v>723</v>
      </c>
      <c r="P1266" s="3" t="s">
        <v>722</v>
      </c>
      <c r="Q1266" s="10" t="s">
        <v>721</v>
      </c>
      <c r="R1266" s="4"/>
      <c r="S1266" s="9" t="str">
        <f>HYPERLINK("https://pbs.twimg.com/profile_images/891667486302769152/HnzJoMcM.jpg","View")</f>
        <v>View</v>
      </c>
    </row>
    <row r="1267" spans="1:19" ht="30">
      <c r="A1267" s="8">
        <v>43369.161273148144</v>
      </c>
      <c r="B1267" s="11" t="str">
        <f>HYPERLINK("https://twitter.com/Sasar_Evey_","@Sasar_Evey_")</f>
        <v>@Sasar_Evey_</v>
      </c>
      <c r="C1267" s="6" t="s">
        <v>107</v>
      </c>
      <c r="D1267" s="5" t="s">
        <v>49</v>
      </c>
      <c r="E1267" s="9" t="str">
        <f>HYPERLINK("https://twitter.com/Sasar_Evey_/status/1044743915289677825","1044743915289677825")</f>
        <v>1044743915289677825</v>
      </c>
      <c r="F1267" s="4"/>
      <c r="G1267" s="4"/>
      <c r="H1267" s="4"/>
      <c r="I1267" s="10" t="str">
        <f>HYPERLINK("http://twitter.com/download/android","Twitter for Android")</f>
        <v>Twitter for Android</v>
      </c>
      <c r="J1267" s="2">
        <v>570</v>
      </c>
      <c r="K1267" s="2">
        <v>523</v>
      </c>
      <c r="L1267" s="2">
        <v>0</v>
      </c>
      <c r="M1267" s="2"/>
      <c r="N1267" s="8">
        <v>42868.206354166672</v>
      </c>
      <c r="O1267" s="4" t="s">
        <v>104</v>
      </c>
      <c r="P1267" s="3" t="s">
        <v>715</v>
      </c>
      <c r="Q1267" s="4"/>
      <c r="R1267" s="4"/>
      <c r="S1267" s="9" t="str">
        <f>HYPERLINK("https://pbs.twimg.com/profile_images/1044711814318182400/DYcUN0K2.jpg","View")</f>
        <v>View</v>
      </c>
    </row>
    <row r="1268" spans="1:19" ht="20">
      <c r="A1268" s="8">
        <v>43369.158831018518</v>
      </c>
      <c r="B1268" s="11" t="str">
        <f>HYPERLINK("https://twitter.com/M3hdiii_N","@M3hdiii_N")</f>
        <v>@M3hdiii_N</v>
      </c>
      <c r="C1268" s="6" t="s">
        <v>720</v>
      </c>
      <c r="D1268" s="5" t="s">
        <v>719</v>
      </c>
      <c r="E1268" s="9" t="str">
        <f>HYPERLINK("https://twitter.com/M3hdiii_N/status/1044743032145244160","1044743032145244160")</f>
        <v>1044743032145244160</v>
      </c>
      <c r="F1268" s="4"/>
      <c r="G1268" s="4"/>
      <c r="H1268" s="4"/>
      <c r="I1268" s="10" t="str">
        <f>HYPERLINK("http://twitter.com/download/android","Twitter for Android")</f>
        <v>Twitter for Android</v>
      </c>
      <c r="J1268" s="2">
        <v>1020</v>
      </c>
      <c r="K1268" s="2">
        <v>1591</v>
      </c>
      <c r="L1268" s="2">
        <v>3</v>
      </c>
      <c r="M1268" s="2"/>
      <c r="N1268" s="8">
        <v>41505.995856481481</v>
      </c>
      <c r="O1268" s="4" t="s">
        <v>718</v>
      </c>
      <c r="P1268" s="3" t="s">
        <v>717</v>
      </c>
      <c r="Q1268" s="10" t="s">
        <v>716</v>
      </c>
      <c r="R1268" s="4"/>
      <c r="S1268" s="9" t="str">
        <f>HYPERLINK("https://pbs.twimg.com/profile_images/1013548988329611266/dNLGCLaP.jpg","View")</f>
        <v>View</v>
      </c>
    </row>
    <row r="1269" spans="1:19" ht="30">
      <c r="A1269" s="8">
        <v>43369.1566087963</v>
      </c>
      <c r="B1269" s="11" t="str">
        <f>HYPERLINK("https://twitter.com/Sasar_Evey_","@Sasar_Evey_")</f>
        <v>@Sasar_Evey_</v>
      </c>
      <c r="C1269" s="6" t="s">
        <v>107</v>
      </c>
      <c r="D1269" s="5" t="s">
        <v>654</v>
      </c>
      <c r="E1269" s="9" t="str">
        <f>HYPERLINK("https://twitter.com/Sasar_Evey_/status/1044742225568157696","1044742225568157696")</f>
        <v>1044742225568157696</v>
      </c>
      <c r="F1269" s="4"/>
      <c r="G1269" s="4"/>
      <c r="H1269" s="4"/>
      <c r="I1269" s="10" t="str">
        <f>HYPERLINK("http://twitter.com/download/android","Twitter for Android")</f>
        <v>Twitter for Android</v>
      </c>
      <c r="J1269" s="2">
        <v>570</v>
      </c>
      <c r="K1269" s="2">
        <v>523</v>
      </c>
      <c r="L1269" s="2">
        <v>0</v>
      </c>
      <c r="M1269" s="2"/>
      <c r="N1269" s="8">
        <v>42868.206354166672</v>
      </c>
      <c r="O1269" s="4" t="s">
        <v>104</v>
      </c>
      <c r="P1269" s="3" t="s">
        <v>715</v>
      </c>
      <c r="Q1269" s="4"/>
      <c r="R1269" s="4"/>
      <c r="S1269" s="9" t="str">
        <f>HYPERLINK("https://pbs.twimg.com/profile_images/1044711814318182400/DYcUN0K2.jpg","View")</f>
        <v>View</v>
      </c>
    </row>
    <row r="1270" spans="1:19" ht="40">
      <c r="A1270" s="8">
        <v>43369.155902777777</v>
      </c>
      <c r="B1270" s="11" t="str">
        <f>HYPERLINK("https://twitter.com/Mozaffar_Mirza","@Mozaffar_Mirza")</f>
        <v>@Mozaffar_Mirza</v>
      </c>
      <c r="C1270" s="6" t="s">
        <v>714</v>
      </c>
      <c r="D1270" s="5" t="s">
        <v>713</v>
      </c>
      <c r="E1270" s="9" t="str">
        <f>HYPERLINK("https://twitter.com/Mozaffar_Mirza/status/1044741969648345088","1044741969648345088")</f>
        <v>1044741969648345088</v>
      </c>
      <c r="F1270" s="4"/>
      <c r="G1270" s="4"/>
      <c r="H1270" s="4"/>
      <c r="I1270" s="10" t="str">
        <f>HYPERLINK("http://twitter.com/download/iphone","Twitter for iPhone")</f>
        <v>Twitter for iPhone</v>
      </c>
      <c r="J1270" s="2">
        <v>355</v>
      </c>
      <c r="K1270" s="2">
        <v>108</v>
      </c>
      <c r="L1270" s="2">
        <v>2</v>
      </c>
      <c r="M1270" s="2"/>
      <c r="N1270" s="8">
        <v>41364.022129629629</v>
      </c>
      <c r="O1270" s="4" t="s">
        <v>712</v>
      </c>
      <c r="P1270" s="3" t="s">
        <v>711</v>
      </c>
      <c r="Q1270" s="4"/>
      <c r="R1270" s="4"/>
      <c r="S1270" s="9" t="str">
        <f>HYPERLINK("https://pbs.twimg.com/profile_images/3453161928/232232a9b1ef5861f2c1af7eeb39c016.jpeg","View")</f>
        <v>View</v>
      </c>
    </row>
    <row r="1271" spans="1:19" ht="12.5">
      <c r="A1271" s="8">
        <v>43369.15524305556</v>
      </c>
      <c r="B1271" s="11" t="str">
        <f>HYPERLINK("https://twitter.com/IRANJAVIDSHAH","@IRANJAVIDSHAH")</f>
        <v>@IRANJAVIDSHAH</v>
      </c>
      <c r="C1271" s="6" t="s">
        <v>710</v>
      </c>
      <c r="D1271" s="5" t="s">
        <v>99</v>
      </c>
      <c r="E1271" s="9" t="str">
        <f>HYPERLINK("https://twitter.com/IRANJAVIDSHAH/status/1044741728111026176","1044741728111026176")</f>
        <v>1044741728111026176</v>
      </c>
      <c r="F1271" s="4"/>
      <c r="G1271" s="10" t="s">
        <v>709</v>
      </c>
      <c r="H1271" s="4"/>
      <c r="I1271" s="10" t="str">
        <f>HYPERLINK("http://twitter.com/download/iphone","Twitter for iPhone")</f>
        <v>Twitter for iPhone</v>
      </c>
      <c r="J1271" s="2">
        <v>1425</v>
      </c>
      <c r="K1271" s="2">
        <v>1997</v>
      </c>
      <c r="L1271" s="2">
        <v>15</v>
      </c>
      <c r="M1271" s="2"/>
      <c r="N1271" s="8">
        <v>39905.051574074074</v>
      </c>
      <c r="O1271" s="4" t="s">
        <v>428</v>
      </c>
      <c r="P1271" s="3" t="s">
        <v>708</v>
      </c>
      <c r="Q1271" s="4"/>
      <c r="R1271" s="4"/>
      <c r="S1271" s="9" t="str">
        <f>HYPERLINK("https://pbs.twimg.com/profile_images/626936756173017088/bVarO4Qc.jpg","View")</f>
        <v>View</v>
      </c>
    </row>
    <row r="1272" spans="1:19" ht="20">
      <c r="A1272" s="8">
        <v>43369.152083333334</v>
      </c>
      <c r="B1272" s="11" t="str">
        <f>HYPERLINK("https://twitter.com/GolehIran","@GolehIran")</f>
        <v>@GolehIran</v>
      </c>
      <c r="C1272" s="6" t="s">
        <v>692</v>
      </c>
      <c r="D1272" s="5" t="s">
        <v>154</v>
      </c>
      <c r="E1272" s="9" t="str">
        <f>HYPERLINK("https://twitter.com/GolehIran/status/1044740583116468224","1044740583116468224")</f>
        <v>1044740583116468224</v>
      </c>
      <c r="F1272" s="10" t="s">
        <v>153</v>
      </c>
      <c r="G1272" s="4"/>
      <c r="H1272" s="4"/>
      <c r="I1272" s="10" t="str">
        <f>HYPERLINK("http://twitter.com/#!/download/ipad","Twitter for iPad")</f>
        <v>Twitter for iPad</v>
      </c>
      <c r="J1272" s="2">
        <v>519</v>
      </c>
      <c r="K1272" s="2">
        <v>149</v>
      </c>
      <c r="L1272" s="2">
        <v>38</v>
      </c>
      <c r="M1272" s="2"/>
      <c r="N1272" s="8">
        <v>42657.202592592592</v>
      </c>
      <c r="O1272" s="4" t="s">
        <v>691</v>
      </c>
      <c r="P1272" s="3" t="s">
        <v>690</v>
      </c>
      <c r="Q1272" s="4"/>
      <c r="R1272" s="4"/>
      <c r="S1272" s="9" t="str">
        <f>HYPERLINK("https://pbs.twimg.com/profile_images/860256453290057728/zlHzl1Iv.jpg","View")</f>
        <v>View</v>
      </c>
    </row>
    <row r="1273" spans="1:19" ht="50">
      <c r="A1273" s="8">
        <v>43369.151226851856</v>
      </c>
      <c r="B1273" s="11" t="str">
        <f>HYPERLINK("https://twitter.com/MichelFokol","@MichelFokol")</f>
        <v>@MichelFokol</v>
      </c>
      <c r="C1273" s="6" t="s">
        <v>707</v>
      </c>
      <c r="D1273" s="5" t="s">
        <v>202</v>
      </c>
      <c r="E1273" s="9" t="str">
        <f>HYPERLINK("https://twitter.com/MichelFokol/status/1044740272943509504","1044740272943509504")</f>
        <v>1044740272943509504</v>
      </c>
      <c r="F1273" s="4"/>
      <c r="G1273" s="4"/>
      <c r="H1273" s="4"/>
      <c r="I1273" s="10" t="str">
        <f>HYPERLINK("http://twitter.com/download/android","Twitter for Android")</f>
        <v>Twitter for Android</v>
      </c>
      <c r="J1273" s="2">
        <v>260</v>
      </c>
      <c r="K1273" s="2">
        <v>243</v>
      </c>
      <c r="L1273" s="2">
        <v>6</v>
      </c>
      <c r="M1273" s="2"/>
      <c r="N1273" s="8">
        <v>42723.645578703705</v>
      </c>
      <c r="O1273" s="4" t="s">
        <v>706</v>
      </c>
      <c r="P1273" s="3" t="s">
        <v>705</v>
      </c>
      <c r="Q1273" s="4"/>
      <c r="R1273" s="4"/>
      <c r="S1273" s="9" t="str">
        <f>HYPERLINK("https://pbs.twimg.com/profile_images/815136621603471361/-l53DmRQ.jpg","View")</f>
        <v>View</v>
      </c>
    </row>
    <row r="1274" spans="1:19" ht="40">
      <c r="A1274" s="8">
        <v>43369.147777777776</v>
      </c>
      <c r="B1274" s="11" t="str">
        <f>HYPERLINK("https://twitter.com/BnMatin","@BnMatin")</f>
        <v>@BnMatin</v>
      </c>
      <c r="C1274" s="6" t="s">
        <v>704</v>
      </c>
      <c r="D1274" s="5" t="s">
        <v>72</v>
      </c>
      <c r="E1274" s="9" t="str">
        <f>HYPERLINK("https://twitter.com/BnMatin/status/1044739023032463361","1044739023032463361")</f>
        <v>1044739023032463361</v>
      </c>
      <c r="F1274" s="4"/>
      <c r="G1274" s="4"/>
      <c r="H1274" s="4"/>
      <c r="I1274" s="10" t="str">
        <f>HYPERLINK("http://twitter.com/download/android","Twitter for Android")</f>
        <v>Twitter for Android</v>
      </c>
      <c r="J1274" s="2">
        <v>374</v>
      </c>
      <c r="K1274" s="2">
        <v>612</v>
      </c>
      <c r="L1274" s="2">
        <v>2</v>
      </c>
      <c r="M1274" s="2"/>
      <c r="N1274" s="8">
        <v>43072.981423611112</v>
      </c>
      <c r="O1274" s="4" t="s">
        <v>703</v>
      </c>
      <c r="P1274" s="3" t="s">
        <v>702</v>
      </c>
      <c r="Q1274" s="10" t="s">
        <v>701</v>
      </c>
      <c r="R1274" s="4"/>
      <c r="S1274" s="9" t="str">
        <f>HYPERLINK("https://pbs.twimg.com/profile_images/949967196490555392/x1m9yrD2.jpg","View")</f>
        <v>View</v>
      </c>
    </row>
    <row r="1275" spans="1:19" ht="40">
      <c r="A1275" s="8">
        <v>43369.14744212963</v>
      </c>
      <c r="B1275" s="11" t="str">
        <f>HYPERLINK("https://twitter.com/raminsm","@raminsm")</f>
        <v>@raminsm</v>
      </c>
      <c r="C1275" s="6" t="s">
        <v>700</v>
      </c>
      <c r="D1275" s="5" t="s">
        <v>128</v>
      </c>
      <c r="E1275" s="9" t="str">
        <f>HYPERLINK("https://twitter.com/raminsm/status/1044738901166960643","1044738901166960643")</f>
        <v>1044738901166960643</v>
      </c>
      <c r="F1275" s="4"/>
      <c r="G1275" s="4"/>
      <c r="H1275" s="4"/>
      <c r="I1275" s="10" t="str">
        <f>HYPERLINK("http://twitter.com/download/android","Twitter for Android")</f>
        <v>Twitter for Android</v>
      </c>
      <c r="J1275" s="2">
        <v>75</v>
      </c>
      <c r="K1275" s="2">
        <v>513</v>
      </c>
      <c r="L1275" s="2">
        <v>0</v>
      </c>
      <c r="M1275" s="2"/>
      <c r="N1275" s="8">
        <v>39987.056111111109</v>
      </c>
      <c r="O1275" s="4" t="s">
        <v>96</v>
      </c>
      <c r="P1275" s="3" t="s">
        <v>699</v>
      </c>
      <c r="Q1275" s="4"/>
      <c r="R1275" s="4"/>
      <c r="S1275" s="9" t="str">
        <f>HYPERLINK("https://pbs.twimg.com/profile_images/813887889/06__3_.jpg","View")</f>
        <v>View</v>
      </c>
    </row>
    <row r="1276" spans="1:19" ht="40">
      <c r="A1276" s="8">
        <v>43369.147152777776</v>
      </c>
      <c r="B1276" s="11" t="str">
        <f>HYPERLINK("https://twitter.com/secular_anti","@secular_anti")</f>
        <v>@secular_anti</v>
      </c>
      <c r="C1276" s="6" t="s">
        <v>698</v>
      </c>
      <c r="D1276" s="5" t="s">
        <v>72</v>
      </c>
      <c r="E1276" s="9" t="str">
        <f>HYPERLINK("https://twitter.com/secular_anti/status/1044738800210104320","1044738800210104320")</f>
        <v>1044738800210104320</v>
      </c>
      <c r="F1276" s="4"/>
      <c r="G1276" s="4"/>
      <c r="H1276" s="4"/>
      <c r="I1276" s="10" t="str">
        <f>HYPERLINK("http://twitter.com/download/android","Twitter for Android")</f>
        <v>Twitter for Android</v>
      </c>
      <c r="J1276" s="2">
        <v>273</v>
      </c>
      <c r="K1276" s="2">
        <v>270</v>
      </c>
      <c r="L1276" s="2">
        <v>0</v>
      </c>
      <c r="M1276" s="2"/>
      <c r="N1276" s="8">
        <v>43282.058495370366</v>
      </c>
      <c r="O1276" s="4" t="s">
        <v>697</v>
      </c>
      <c r="P1276" s="3" t="s">
        <v>696</v>
      </c>
      <c r="Q1276" s="10" t="s">
        <v>695</v>
      </c>
      <c r="R1276" s="4"/>
      <c r="S1276" s="9" t="str">
        <f>HYPERLINK("https://pbs.twimg.com/profile_images/1042086419865509888/4XqlM9xR.jpg","View")</f>
        <v>View</v>
      </c>
    </row>
    <row r="1277" spans="1:19" ht="20">
      <c r="A1277" s="8">
        <v>43369.14707175926</v>
      </c>
      <c r="B1277" s="11" t="str">
        <f>HYPERLINK("https://twitter.com/Talkhakk","@Talkhakk")</f>
        <v>@Talkhakk</v>
      </c>
      <c r="C1277" s="6" t="s">
        <v>694</v>
      </c>
      <c r="D1277" s="5" t="s">
        <v>15</v>
      </c>
      <c r="E1277" s="9" t="str">
        <f>HYPERLINK("https://twitter.com/Talkhakk/status/1044738767884554241","1044738767884554241")</f>
        <v>1044738767884554241</v>
      </c>
      <c r="F1277" s="4"/>
      <c r="G1277" s="4"/>
      <c r="H1277" s="4"/>
      <c r="I1277" s="10" t="str">
        <f>HYPERLINK("http://twitter.com/download/android","Twitter for Android")</f>
        <v>Twitter for Android</v>
      </c>
      <c r="J1277" s="2">
        <v>805</v>
      </c>
      <c r="K1277" s="2">
        <v>728</v>
      </c>
      <c r="L1277" s="2">
        <v>3</v>
      </c>
      <c r="M1277" s="2"/>
      <c r="N1277" s="8">
        <v>42962.736770833333</v>
      </c>
      <c r="O1277" s="4" t="s">
        <v>1</v>
      </c>
      <c r="P1277" s="3" t="s">
        <v>693</v>
      </c>
      <c r="Q1277" s="4"/>
      <c r="R1277" s="4"/>
      <c r="S1277" s="9" t="str">
        <f>HYPERLINK("https://pbs.twimg.com/profile_images/897917171451416576/FNQHltpG.jpg","View")</f>
        <v>View</v>
      </c>
    </row>
    <row r="1278" spans="1:19" ht="40">
      <c r="A1278" s="8">
        <v>43369.146284722221</v>
      </c>
      <c r="B1278" s="11" t="str">
        <f>HYPERLINK("https://twitter.com/GolehIran","@GolehIran")</f>
        <v>@GolehIran</v>
      </c>
      <c r="C1278" s="6" t="s">
        <v>692</v>
      </c>
      <c r="D1278" s="5" t="s">
        <v>58</v>
      </c>
      <c r="E1278" s="9" t="str">
        <f>HYPERLINK("https://twitter.com/GolehIran/status/1044738482839736320","1044738482839736320")</f>
        <v>1044738482839736320</v>
      </c>
      <c r="F1278" s="4"/>
      <c r="G1278" s="10" t="s">
        <v>57</v>
      </c>
      <c r="H1278" s="4"/>
      <c r="I1278" s="10" t="str">
        <f>HYPERLINK("http://twitter.com/#!/download/ipad","Twitter for iPad")</f>
        <v>Twitter for iPad</v>
      </c>
      <c r="J1278" s="2">
        <v>519</v>
      </c>
      <c r="K1278" s="2">
        <v>149</v>
      </c>
      <c r="L1278" s="2">
        <v>38</v>
      </c>
      <c r="M1278" s="2"/>
      <c r="N1278" s="8">
        <v>42657.202592592592</v>
      </c>
      <c r="O1278" s="4" t="s">
        <v>691</v>
      </c>
      <c r="P1278" s="3" t="s">
        <v>690</v>
      </c>
      <c r="Q1278" s="4"/>
      <c r="R1278" s="4"/>
      <c r="S1278" s="9" t="str">
        <f>HYPERLINK("https://pbs.twimg.com/profile_images/860256453290057728/zlHzl1Iv.jpg","View")</f>
        <v>View</v>
      </c>
    </row>
    <row r="1279" spans="1:19" ht="30">
      <c r="A1279" s="8">
        <v>43369.141851851848</v>
      </c>
      <c r="B1279" s="11" t="str">
        <f>HYPERLINK("https://twitter.com/motavallede66","@motavallede66")</f>
        <v>@motavallede66</v>
      </c>
      <c r="C1279" s="6" t="s">
        <v>689</v>
      </c>
      <c r="D1279" s="5" t="s">
        <v>49</v>
      </c>
      <c r="E1279" s="9" t="str">
        <f>HYPERLINK("https://twitter.com/motavallede66/status/1044736877436313600","1044736877436313600")</f>
        <v>1044736877436313600</v>
      </c>
      <c r="F1279" s="4"/>
      <c r="G1279" s="4"/>
      <c r="H1279" s="4"/>
      <c r="I1279" s="10" t="str">
        <f>HYPERLINK("http://twitter.com/download/android","Twitter for Android")</f>
        <v>Twitter for Android</v>
      </c>
      <c r="J1279" s="2">
        <v>84</v>
      </c>
      <c r="K1279" s="2">
        <v>494</v>
      </c>
      <c r="L1279" s="2">
        <v>0</v>
      </c>
      <c r="M1279" s="2"/>
      <c r="N1279" s="8">
        <v>43360.075972222221</v>
      </c>
      <c r="O1279" s="4" t="s">
        <v>48</v>
      </c>
      <c r="P1279" s="3" t="s">
        <v>688</v>
      </c>
      <c r="Q1279" s="4"/>
      <c r="R1279" s="4"/>
      <c r="S1279" s="9" t="str">
        <f>HYPERLINK("https://pbs.twimg.com/profile_images/1041441996798345222/cQZlUMmi.jpg","View")</f>
        <v>View</v>
      </c>
    </row>
    <row r="1280" spans="1:19" ht="20">
      <c r="A1280" s="8">
        <v>43369.140289351853</v>
      </c>
      <c r="B1280" s="11" t="str">
        <f>HYPERLINK("https://twitter.com/IraniMerida","@IraniMerida")</f>
        <v>@IraniMerida</v>
      </c>
      <c r="C1280" s="6" t="s">
        <v>687</v>
      </c>
      <c r="D1280" s="5" t="s">
        <v>15</v>
      </c>
      <c r="E1280" s="9" t="str">
        <f>HYPERLINK("https://twitter.com/IraniMerida/status/1044736310349627393","1044736310349627393")</f>
        <v>1044736310349627393</v>
      </c>
      <c r="F1280" s="4"/>
      <c r="G1280" s="4"/>
      <c r="H1280" s="4"/>
      <c r="I1280" s="10" t="str">
        <f>HYPERLINK("http://twitter.com/download/android","Twitter for Android")</f>
        <v>Twitter for Android</v>
      </c>
      <c r="J1280" s="2">
        <v>89</v>
      </c>
      <c r="K1280" s="2">
        <v>72</v>
      </c>
      <c r="L1280" s="2">
        <v>0</v>
      </c>
      <c r="M1280" s="2"/>
      <c r="N1280" s="8">
        <v>43347.948622685188</v>
      </c>
      <c r="O1280" s="4"/>
      <c r="P1280" s="3" t="s">
        <v>268</v>
      </c>
      <c r="Q1280" s="4"/>
      <c r="R1280" s="4"/>
      <c r="S1280" s="9" t="str">
        <f>HYPERLINK("https://pbs.twimg.com/profile_images/1038866251576213505/cIpY9H_6.jpg","View")</f>
        <v>View</v>
      </c>
    </row>
    <row r="1281" spans="1:19" ht="40">
      <c r="A1281" s="8">
        <v>43369.140069444446</v>
      </c>
      <c r="B1281" s="11" t="str">
        <f>HYPERLINK("https://twitter.com/Rezafakhari3","@Rezafakhari3")</f>
        <v>@Rezafakhari3</v>
      </c>
      <c r="C1281" s="6" t="s">
        <v>445</v>
      </c>
      <c r="D1281" s="5" t="s">
        <v>470</v>
      </c>
      <c r="E1281" s="9" t="str">
        <f>HYPERLINK("https://twitter.com/Rezafakhari3/status/1044736232394231809","1044736232394231809")</f>
        <v>1044736232394231809</v>
      </c>
      <c r="F1281" s="4"/>
      <c r="G1281" s="10" t="s">
        <v>469</v>
      </c>
      <c r="H1281" s="4"/>
      <c r="I1281" s="10" t="str">
        <f>HYPERLINK("http://twitter.com/download/android","Twitter for Android")</f>
        <v>Twitter for Android</v>
      </c>
      <c r="J1281" s="2">
        <v>218</v>
      </c>
      <c r="K1281" s="2">
        <v>696</v>
      </c>
      <c r="L1281" s="2">
        <v>3</v>
      </c>
      <c r="M1281" s="2"/>
      <c r="N1281" s="8">
        <v>43298.741064814814</v>
      </c>
      <c r="O1281" s="4"/>
      <c r="P1281" s="3" t="s">
        <v>444</v>
      </c>
      <c r="Q1281" s="4"/>
      <c r="R1281" s="4"/>
      <c r="S1281" s="9" t="str">
        <f>HYPERLINK("https://pbs.twimg.com/profile_images/1019212646292250624/CYkO4Fhl.jpg","View")</f>
        <v>View</v>
      </c>
    </row>
    <row r="1282" spans="1:19" ht="40">
      <c r="A1282" s="8">
        <v>43369.13961805556</v>
      </c>
      <c r="B1282" s="11" t="str">
        <f>HYPERLINK("https://twitter.com/remissa77","@remissa77")</f>
        <v>@remissa77</v>
      </c>
      <c r="C1282" s="6" t="s">
        <v>676</v>
      </c>
      <c r="D1282" s="5" t="s">
        <v>686</v>
      </c>
      <c r="E1282" s="9" t="str">
        <f>HYPERLINK("https://twitter.com/remissa77/status/1044736066350194688","1044736066350194688")</f>
        <v>1044736066350194688</v>
      </c>
      <c r="F1282" s="4"/>
      <c r="G1282" s="4"/>
      <c r="H1282" s="4"/>
      <c r="I1282" s="10" t="str">
        <f>HYPERLINK("http://twitter.com/download/android","Twitter for Android")</f>
        <v>Twitter for Android</v>
      </c>
      <c r="J1282" s="2">
        <v>3407</v>
      </c>
      <c r="K1282" s="2">
        <v>3289</v>
      </c>
      <c r="L1282" s="2">
        <v>6</v>
      </c>
      <c r="M1282" s="2"/>
      <c r="N1282" s="8">
        <v>43235.670972222222</v>
      </c>
      <c r="O1282" s="4"/>
      <c r="P1282" s="3" t="s">
        <v>674</v>
      </c>
      <c r="Q1282" s="4"/>
      <c r="R1282" s="4"/>
      <c r="S1282" s="9" t="str">
        <f>HYPERLINK("https://pbs.twimg.com/profile_images/1039102392342593536/aXW511Nl.jpg","View")</f>
        <v>View</v>
      </c>
    </row>
    <row r="1283" spans="1:19" ht="40">
      <c r="A1283" s="8">
        <v>43369.139097222222</v>
      </c>
      <c r="B1283" s="11" t="str">
        <f>HYPERLINK("https://twitter.com/MhdRo2","@MhdRo2")</f>
        <v>@MhdRo2</v>
      </c>
      <c r="C1283" s="6" t="s">
        <v>685</v>
      </c>
      <c r="D1283" s="5" t="s">
        <v>58</v>
      </c>
      <c r="E1283" s="9" t="str">
        <f>HYPERLINK("https://twitter.com/MhdRo2/status/1044735879586230273","1044735879586230273")</f>
        <v>1044735879586230273</v>
      </c>
      <c r="F1283" s="4"/>
      <c r="G1283" s="10" t="s">
        <v>57</v>
      </c>
      <c r="H1283" s="4"/>
      <c r="I1283" s="10" t="str">
        <f>HYPERLINK("http://twitter.com/download/android","Twitter for Android")</f>
        <v>Twitter for Android</v>
      </c>
      <c r="J1283" s="2">
        <v>820</v>
      </c>
      <c r="K1283" s="2">
        <v>1790</v>
      </c>
      <c r="L1283" s="2">
        <v>0</v>
      </c>
      <c r="M1283" s="2"/>
      <c r="N1283" s="8">
        <v>43171.812962962962</v>
      </c>
      <c r="O1283" s="4"/>
      <c r="P1283" s="3" t="s">
        <v>684</v>
      </c>
      <c r="Q1283" s="4"/>
      <c r="R1283" s="4"/>
      <c r="S1283" s="9" t="str">
        <f>HYPERLINK("https://pbs.twimg.com/profile_images/985272452245835776/976DyT2X.jpg","View")</f>
        <v>View</v>
      </c>
    </row>
    <row r="1284" spans="1:19" ht="40">
      <c r="A1284" s="8">
        <v>43369.137662037036</v>
      </c>
      <c r="B1284" s="11" t="str">
        <f>HYPERLINK("https://twitter.com/barandazambot","@barandazambot")</f>
        <v>@barandazambot</v>
      </c>
      <c r="C1284" s="6" t="s">
        <v>683</v>
      </c>
      <c r="D1284" s="5" t="s">
        <v>470</v>
      </c>
      <c r="E1284" s="9" t="str">
        <f>HYPERLINK("https://twitter.com/barandazambot/status/1044735358787706881","1044735358787706881")</f>
        <v>1044735358787706881</v>
      </c>
      <c r="F1284" s="4"/>
      <c r="G1284" s="10" t="s">
        <v>469</v>
      </c>
      <c r="H1284" s="4"/>
      <c r="I1284" s="10" t="str">
        <f>HYPERLINK("http://127.0.0.1","barandazambot")</f>
        <v>barandazambot</v>
      </c>
      <c r="J1284" s="2">
        <v>880</v>
      </c>
      <c r="K1284" s="2">
        <v>23</v>
      </c>
      <c r="L1284" s="2">
        <v>2</v>
      </c>
      <c r="M1284" s="2"/>
      <c r="N1284" s="8">
        <v>43293.668993055559</v>
      </c>
      <c r="O1284" s="4" t="s">
        <v>682</v>
      </c>
      <c r="P1284" s="3" t="s">
        <v>681</v>
      </c>
      <c r="Q1284" s="4"/>
      <c r="R1284" s="4"/>
      <c r="S1284" s="9" t="str">
        <f>HYPERLINK("https://pbs.twimg.com/profile_images/1017382724485730305/hGaBNoXG.jpg","View")</f>
        <v>View</v>
      </c>
    </row>
    <row r="1285" spans="1:19" ht="40">
      <c r="A1285" s="8">
        <v>43369.137418981481</v>
      </c>
      <c r="B1285" s="11" t="str">
        <f>HYPERLINK("https://twitter.com/Maesumeh1","@Maesumeh1")</f>
        <v>@Maesumeh1</v>
      </c>
      <c r="C1285" s="6" t="s">
        <v>637</v>
      </c>
      <c r="D1285" s="5" t="s">
        <v>470</v>
      </c>
      <c r="E1285" s="9" t="str">
        <f>HYPERLINK("https://twitter.com/Maesumeh1/status/1044735270891991040","1044735270891991040")</f>
        <v>1044735270891991040</v>
      </c>
      <c r="F1285" s="4"/>
      <c r="G1285" s="10" t="s">
        <v>469</v>
      </c>
      <c r="H1285" s="4"/>
      <c r="I1285" s="10" t="str">
        <f>HYPERLINK("http://twitter.com/download/android","Twitter for Android")</f>
        <v>Twitter for Android</v>
      </c>
      <c r="J1285" s="2">
        <v>132</v>
      </c>
      <c r="K1285" s="2">
        <v>457</v>
      </c>
      <c r="L1285" s="2">
        <v>1</v>
      </c>
      <c r="M1285" s="2"/>
      <c r="N1285" s="8">
        <v>43109.1090625</v>
      </c>
      <c r="O1285" s="4" t="s">
        <v>636</v>
      </c>
      <c r="P1285" s="3" t="s">
        <v>635</v>
      </c>
      <c r="Q1285" s="4"/>
      <c r="R1285" s="4"/>
      <c r="S1285" s="9" t="str">
        <f>HYPERLINK("https://pbs.twimg.com/profile_images/1026118250218876930/IRy8Wxss.jpg","View")</f>
        <v>View</v>
      </c>
    </row>
    <row r="1286" spans="1:19" ht="50">
      <c r="A1286" s="8">
        <v>43369.137372685189</v>
      </c>
      <c r="B1286" s="11" t="str">
        <f>HYPERLINK("https://twitter.com/Maesumeh1","@Maesumeh1")</f>
        <v>@Maesumeh1</v>
      </c>
      <c r="C1286" s="6" t="s">
        <v>637</v>
      </c>
      <c r="D1286" s="5" t="s">
        <v>472</v>
      </c>
      <c r="E1286" s="9" t="str">
        <f>HYPERLINK("https://twitter.com/Maesumeh1/status/1044735255549218816","1044735255549218816")</f>
        <v>1044735255549218816</v>
      </c>
      <c r="F1286" s="4"/>
      <c r="G1286" s="10" t="s">
        <v>194</v>
      </c>
      <c r="H1286" s="4"/>
      <c r="I1286" s="10" t="str">
        <f>HYPERLINK("http://twitter.com/download/android","Twitter for Android")</f>
        <v>Twitter for Android</v>
      </c>
      <c r="J1286" s="2">
        <v>132</v>
      </c>
      <c r="K1286" s="2">
        <v>457</v>
      </c>
      <c r="L1286" s="2">
        <v>1</v>
      </c>
      <c r="M1286" s="2"/>
      <c r="N1286" s="8">
        <v>43109.1090625</v>
      </c>
      <c r="O1286" s="4" t="s">
        <v>636</v>
      </c>
      <c r="P1286" s="3" t="s">
        <v>635</v>
      </c>
      <c r="Q1286" s="4"/>
      <c r="R1286" s="4"/>
      <c r="S1286" s="9" t="str">
        <f>HYPERLINK("https://pbs.twimg.com/profile_images/1026118250218876930/IRy8Wxss.jpg","View")</f>
        <v>View</v>
      </c>
    </row>
    <row r="1287" spans="1:19" ht="30">
      <c r="A1287" s="8">
        <v>43369.136354166665</v>
      </c>
      <c r="B1287" s="11" t="str">
        <f>HYPERLINK("https://twitter.com/DOLORESinexile","@DOLORESinexile")</f>
        <v>@DOLORESinexile</v>
      </c>
      <c r="C1287" s="6" t="s">
        <v>670</v>
      </c>
      <c r="D1287" s="5" t="s">
        <v>654</v>
      </c>
      <c r="E1287" s="9" t="str">
        <f>HYPERLINK("https://twitter.com/DOLORESinexile/status/1044734884789579777","1044734884789579777")</f>
        <v>1044734884789579777</v>
      </c>
      <c r="F1287" s="4"/>
      <c r="G1287" s="4"/>
      <c r="H1287" s="4"/>
      <c r="I1287" s="10" t="str">
        <f>HYPERLINK("http://twitter.com/download/android","Twitter for Android")</f>
        <v>Twitter for Android</v>
      </c>
      <c r="J1287" s="2">
        <v>1028</v>
      </c>
      <c r="K1287" s="2">
        <v>635</v>
      </c>
      <c r="L1287" s="2">
        <v>4</v>
      </c>
      <c r="M1287" s="2"/>
      <c r="N1287" s="8">
        <v>43101.062743055554</v>
      </c>
      <c r="O1287" s="4" t="s">
        <v>669</v>
      </c>
      <c r="P1287" s="3" t="s">
        <v>668</v>
      </c>
      <c r="Q1287" s="4"/>
      <c r="R1287" s="4"/>
      <c r="S1287" s="9" t="str">
        <f>HYPERLINK("https://pbs.twimg.com/profile_images/1042815123503685633/SgOVV07G.jpg","View")</f>
        <v>View</v>
      </c>
    </row>
    <row r="1288" spans="1:19" ht="50">
      <c r="A1288" s="8">
        <v>43369.135706018518</v>
      </c>
      <c r="B1288" s="11" t="str">
        <f>HYPERLINK("https://twitter.com/ramtinjafari1","@ramtinjafari1")</f>
        <v>@ramtinjafari1</v>
      </c>
      <c r="C1288" s="6" t="s">
        <v>680</v>
      </c>
      <c r="D1288" s="5" t="s">
        <v>202</v>
      </c>
      <c r="E1288" s="9" t="str">
        <f>HYPERLINK("https://twitter.com/ramtinjafari1/status/1044734649090678784","1044734649090678784")</f>
        <v>1044734649090678784</v>
      </c>
      <c r="F1288" s="4"/>
      <c r="G1288" s="4"/>
      <c r="H1288" s="4"/>
      <c r="I1288" s="10" t="str">
        <f>HYPERLINK("http://twitter.com/download/android","Twitter for Android")</f>
        <v>Twitter for Android</v>
      </c>
      <c r="J1288" s="2">
        <v>25</v>
      </c>
      <c r="K1288" s="2">
        <v>124</v>
      </c>
      <c r="L1288" s="2">
        <v>0</v>
      </c>
      <c r="M1288" s="2"/>
      <c r="N1288" s="8">
        <v>42595.014456018514</v>
      </c>
      <c r="O1288" s="4" t="s">
        <v>7</v>
      </c>
      <c r="P1288" s="3" t="s">
        <v>679</v>
      </c>
      <c r="Q1288" s="10" t="s">
        <v>678</v>
      </c>
      <c r="R1288" s="4"/>
      <c r="S1288" s="9" t="str">
        <f>HYPERLINK("https://pbs.twimg.com/profile_images/947759052104364034/M6yYltDg.jpg","View")</f>
        <v>View</v>
      </c>
    </row>
    <row r="1289" spans="1:19" ht="30">
      <c r="A1289" s="8">
        <v>43369.134618055556</v>
      </c>
      <c r="B1289" s="11" t="str">
        <f>HYPERLINK("https://twitter.com/mahbobehbayat","@mahbobehbayat")</f>
        <v>@mahbobehbayat</v>
      </c>
      <c r="C1289" s="12" t="s">
        <v>677</v>
      </c>
      <c r="D1289" s="5" t="s">
        <v>49</v>
      </c>
      <c r="E1289" s="9" t="str">
        <f>HYPERLINK("https://twitter.com/mahbobehbayat/status/1044734254700253184","1044734254700253184")</f>
        <v>1044734254700253184</v>
      </c>
      <c r="F1289" s="4"/>
      <c r="G1289" s="4"/>
      <c r="H1289" s="4"/>
      <c r="I1289" s="10" t="str">
        <f>HYPERLINK("http://twitter.com/download/android","Twitter for Android")</f>
        <v>Twitter for Android</v>
      </c>
      <c r="J1289" s="2">
        <v>185</v>
      </c>
      <c r="K1289" s="2">
        <v>258</v>
      </c>
      <c r="L1289" s="2">
        <v>0</v>
      </c>
      <c r="M1289" s="2"/>
      <c r="N1289" s="8">
        <v>43050.796412037038</v>
      </c>
      <c r="O1289" s="4"/>
      <c r="P1289" s="3"/>
      <c r="Q1289" s="4"/>
      <c r="R1289" s="4"/>
      <c r="S1289" s="9" t="str">
        <f>HYPERLINK("https://pbs.twimg.com/profile_images/1025732842465255424/eAK9bDog.jpg","View")</f>
        <v>View</v>
      </c>
    </row>
    <row r="1290" spans="1:19" ht="30">
      <c r="A1290" s="8">
        <v>43369.134340277778</v>
      </c>
      <c r="B1290" s="11" t="str">
        <f>HYPERLINK("https://twitter.com/remissa77","@remissa77")</f>
        <v>@remissa77</v>
      </c>
      <c r="C1290" s="6" t="s">
        <v>676</v>
      </c>
      <c r="D1290" s="5" t="s">
        <v>675</v>
      </c>
      <c r="E1290" s="9" t="str">
        <f>HYPERLINK("https://twitter.com/remissa77/status/1044734154259214336","1044734154259214336")</f>
        <v>1044734154259214336</v>
      </c>
      <c r="F1290" s="4"/>
      <c r="G1290" s="4"/>
      <c r="H1290" s="4"/>
      <c r="I1290" s="10" t="str">
        <f>HYPERLINK("http://twitter.com/download/android","Twitter for Android")</f>
        <v>Twitter for Android</v>
      </c>
      <c r="J1290" s="2">
        <v>3407</v>
      </c>
      <c r="K1290" s="2">
        <v>3289</v>
      </c>
      <c r="L1290" s="2">
        <v>6</v>
      </c>
      <c r="M1290" s="2"/>
      <c r="N1290" s="8">
        <v>43235.670972222222</v>
      </c>
      <c r="O1290" s="4"/>
      <c r="P1290" s="3" t="s">
        <v>674</v>
      </c>
      <c r="Q1290" s="4"/>
      <c r="R1290" s="4"/>
      <c r="S1290" s="9" t="str">
        <f>HYPERLINK("https://pbs.twimg.com/profile_images/1039102392342593536/aXW511Nl.jpg","View")</f>
        <v>View</v>
      </c>
    </row>
    <row r="1291" spans="1:19" ht="20">
      <c r="A1291" s="8">
        <v>43369.133692129632</v>
      </c>
      <c r="B1291" s="11" t="str">
        <f>HYPERLINK("https://twitter.com/Angiineee","@Angiineee")</f>
        <v>@Angiineee</v>
      </c>
      <c r="C1291" s="6" t="s">
        <v>673</v>
      </c>
      <c r="D1291" s="5" t="s">
        <v>315</v>
      </c>
      <c r="E1291" s="9" t="str">
        <f>HYPERLINK("https://twitter.com/Angiineee/status/1044733920741392384","1044733920741392384")</f>
        <v>1044733920741392384</v>
      </c>
      <c r="F1291" s="4"/>
      <c r="G1291" s="10" t="s">
        <v>314</v>
      </c>
      <c r="H1291" s="4"/>
      <c r="I1291" s="10" t="str">
        <f>HYPERLINK("http://twitter.com/download/iphone","Twitter for iPhone")</f>
        <v>Twitter for iPhone</v>
      </c>
      <c r="J1291" s="2">
        <v>142</v>
      </c>
      <c r="K1291" s="2">
        <v>197</v>
      </c>
      <c r="L1291" s="2">
        <v>0</v>
      </c>
      <c r="M1291" s="2"/>
      <c r="N1291" s="8">
        <v>43276.53905092593</v>
      </c>
      <c r="O1291" s="4" t="s">
        <v>672</v>
      </c>
      <c r="P1291" s="3" t="s">
        <v>671</v>
      </c>
      <c r="Q1291" s="4"/>
      <c r="R1291" s="4"/>
      <c r="S1291" s="9" t="str">
        <f>HYPERLINK("https://pbs.twimg.com/profile_images/1019352222038044672/gFEeLeFE.jpg","View")</f>
        <v>View</v>
      </c>
    </row>
    <row r="1292" spans="1:19" ht="30">
      <c r="A1292" s="8">
        <v>43369.132025462968</v>
      </c>
      <c r="B1292" s="11" t="str">
        <f>HYPERLINK("https://twitter.com/DOLORESinexile","@DOLORESinexile")</f>
        <v>@DOLORESinexile</v>
      </c>
      <c r="C1292" s="6" t="s">
        <v>670</v>
      </c>
      <c r="D1292" s="5" t="s">
        <v>49</v>
      </c>
      <c r="E1292" s="9" t="str">
        <f>HYPERLINK("https://twitter.com/DOLORESinexile/status/1044733316690259968","1044733316690259968")</f>
        <v>1044733316690259968</v>
      </c>
      <c r="F1292" s="4"/>
      <c r="G1292" s="4"/>
      <c r="H1292" s="4"/>
      <c r="I1292" s="10" t="str">
        <f>HYPERLINK("http://twitter.com/download/android","Twitter for Android")</f>
        <v>Twitter for Android</v>
      </c>
      <c r="J1292" s="2">
        <v>1028</v>
      </c>
      <c r="K1292" s="2">
        <v>635</v>
      </c>
      <c r="L1292" s="2">
        <v>4</v>
      </c>
      <c r="M1292" s="2"/>
      <c r="N1292" s="8">
        <v>43101.062743055554</v>
      </c>
      <c r="O1292" s="4" t="s">
        <v>669</v>
      </c>
      <c r="P1292" s="3" t="s">
        <v>668</v>
      </c>
      <c r="Q1292" s="4"/>
      <c r="R1292" s="4"/>
      <c r="S1292" s="9" t="str">
        <f>HYPERLINK("https://pbs.twimg.com/profile_images/1042815123503685633/SgOVV07G.jpg","View")</f>
        <v>View</v>
      </c>
    </row>
    <row r="1293" spans="1:19" ht="20">
      <c r="A1293" s="8">
        <v>43369.131435185191</v>
      </c>
      <c r="B1293" s="11" t="str">
        <f>HYPERLINK("https://twitter.com/Rezafakhari3","@Rezafakhari3")</f>
        <v>@Rezafakhari3</v>
      </c>
      <c r="C1293" s="6" t="s">
        <v>445</v>
      </c>
      <c r="D1293" s="5" t="s">
        <v>154</v>
      </c>
      <c r="E1293" s="9" t="str">
        <f>HYPERLINK("https://twitter.com/Rezafakhari3/status/1044733101639958528","1044733101639958528")</f>
        <v>1044733101639958528</v>
      </c>
      <c r="F1293" s="10" t="s">
        <v>153</v>
      </c>
      <c r="G1293" s="4"/>
      <c r="H1293" s="4"/>
      <c r="I1293" s="10" t="str">
        <f>HYPERLINK("http://twitter.com/download/android","Twitter for Android")</f>
        <v>Twitter for Android</v>
      </c>
      <c r="J1293" s="2">
        <v>218</v>
      </c>
      <c r="K1293" s="2">
        <v>696</v>
      </c>
      <c r="L1293" s="2">
        <v>3</v>
      </c>
      <c r="M1293" s="2"/>
      <c r="N1293" s="8">
        <v>43298.741064814814</v>
      </c>
      <c r="O1293" s="4"/>
      <c r="P1293" s="3" t="s">
        <v>444</v>
      </c>
      <c r="Q1293" s="4"/>
      <c r="R1293" s="4"/>
      <c r="S1293" s="9" t="str">
        <f>HYPERLINK("https://pbs.twimg.com/profile_images/1019212646292250624/CYkO4Fhl.jpg","View")</f>
        <v>View</v>
      </c>
    </row>
    <row r="1294" spans="1:19" ht="40">
      <c r="A1294" s="8">
        <v>43369.131041666667</v>
      </c>
      <c r="B1294" s="11" t="str">
        <f>HYPERLINK("https://twitter.com/JavadRezaee14","@JavadRezaee14")</f>
        <v>@JavadRezaee14</v>
      </c>
      <c r="C1294" s="6" t="s">
        <v>667</v>
      </c>
      <c r="D1294" s="5" t="s">
        <v>393</v>
      </c>
      <c r="E1294" s="9" t="str">
        <f>HYPERLINK("https://twitter.com/JavadRezaee14/status/1044732959142674432","1044732959142674432")</f>
        <v>1044732959142674432</v>
      </c>
      <c r="F1294" s="4"/>
      <c r="G1294" s="10" t="s">
        <v>392</v>
      </c>
      <c r="H1294" s="4"/>
      <c r="I1294" s="10" t="str">
        <f>HYPERLINK("http://twitter.com/download/android","Twitter for Android")</f>
        <v>Twitter for Android</v>
      </c>
      <c r="J1294" s="2">
        <v>4</v>
      </c>
      <c r="K1294" s="2">
        <v>22</v>
      </c>
      <c r="L1294" s="2">
        <v>0</v>
      </c>
      <c r="M1294" s="2"/>
      <c r="N1294" s="8">
        <v>43360.242025462961</v>
      </c>
      <c r="O1294" s="4"/>
      <c r="P1294" s="3"/>
      <c r="Q1294" s="4"/>
      <c r="R1294" s="4"/>
      <c r="S1294" s="9" t="str">
        <f>HYPERLINK("https://pbs.twimg.com/profile_images/1043282880548532229/1xozT6Vy.jpg","View")</f>
        <v>View</v>
      </c>
    </row>
    <row r="1295" spans="1:19" ht="30">
      <c r="A1295" s="8">
        <v>43369.129583333328</v>
      </c>
      <c r="B1295" s="11" t="str">
        <f>HYPERLINK("https://twitter.com/reactioniran","@reactioniran")</f>
        <v>@reactioniran</v>
      </c>
      <c r="C1295" s="6" t="s">
        <v>666</v>
      </c>
      <c r="D1295" s="5" t="s">
        <v>49</v>
      </c>
      <c r="E1295" s="9" t="str">
        <f>HYPERLINK("https://twitter.com/reactioniran/status/1044732431587307520","1044732431587307520")</f>
        <v>1044732431587307520</v>
      </c>
      <c r="F1295" s="4"/>
      <c r="G1295" s="4"/>
      <c r="H1295" s="4"/>
      <c r="I1295" s="10" t="str">
        <f>HYPERLINK("http://twitter.com/download/android","Twitter for Android")</f>
        <v>Twitter for Android</v>
      </c>
      <c r="J1295" s="2">
        <v>214</v>
      </c>
      <c r="K1295" s="2">
        <v>396</v>
      </c>
      <c r="L1295" s="2">
        <v>0</v>
      </c>
      <c r="M1295" s="2"/>
      <c r="N1295" s="8">
        <v>43307.248981481476</v>
      </c>
      <c r="O1295" s="4"/>
      <c r="P1295" s="3" t="s">
        <v>665</v>
      </c>
      <c r="Q1295" s="4"/>
      <c r="R1295" s="4"/>
      <c r="S1295" s="9" t="str">
        <f>HYPERLINK("https://pbs.twimg.com/profile_images/1038540426721079296/D_HPrfuy.jpg","View")</f>
        <v>View</v>
      </c>
    </row>
    <row r="1296" spans="1:19" ht="40">
      <c r="A1296" s="8">
        <v>43369.128541666665</v>
      </c>
      <c r="B1296" s="11" t="str">
        <f>HYPERLINK("https://twitter.com/h_abdolmanafi","@h_abdolmanafi")</f>
        <v>@h_abdolmanafi</v>
      </c>
      <c r="C1296" s="6" t="s">
        <v>2</v>
      </c>
      <c r="D1296" s="5" t="s">
        <v>664</v>
      </c>
      <c r="E1296" s="9" t="str">
        <f>HYPERLINK("https://twitter.com/h_abdolmanafi/status/1044732052241879045","1044732052241879045")</f>
        <v>1044732052241879045</v>
      </c>
      <c r="F1296" s="4"/>
      <c r="G1296" s="10" t="s">
        <v>663</v>
      </c>
      <c r="H1296" s="4"/>
      <c r="I1296" s="10" t="str">
        <f>HYPERLINK("http://twitter.com/download/android","Twitter for Android")</f>
        <v>Twitter for Android</v>
      </c>
      <c r="J1296" s="2">
        <v>2635</v>
      </c>
      <c r="K1296" s="2">
        <v>1068</v>
      </c>
      <c r="L1296" s="2">
        <v>9</v>
      </c>
      <c r="M1296" s="2"/>
      <c r="N1296" s="8">
        <v>42744.643518518518</v>
      </c>
      <c r="O1296" s="4" t="s">
        <v>1</v>
      </c>
      <c r="P1296" s="3" t="s">
        <v>0</v>
      </c>
      <c r="Q1296" s="4"/>
      <c r="R1296" s="4"/>
      <c r="S1296" s="9" t="str">
        <f>HYPERLINK("https://pbs.twimg.com/profile_images/1043852788139249664/EHpoleHW.jpg","View")</f>
        <v>View</v>
      </c>
    </row>
    <row r="1297" spans="1:19" ht="30">
      <c r="A1297" s="8">
        <v>43369.127951388888</v>
      </c>
      <c r="B1297" s="11" t="str">
        <f>HYPERLINK("https://twitter.com/Maesumeh1","@Maesumeh1")</f>
        <v>@Maesumeh1</v>
      </c>
      <c r="C1297" s="6" t="s">
        <v>637</v>
      </c>
      <c r="D1297" s="5" t="s">
        <v>91</v>
      </c>
      <c r="E1297" s="9" t="str">
        <f>HYPERLINK("https://twitter.com/Maesumeh1/status/1044731838688882688","1044731838688882688")</f>
        <v>1044731838688882688</v>
      </c>
      <c r="F1297" s="4"/>
      <c r="G1297" s="10" t="s">
        <v>90</v>
      </c>
      <c r="H1297" s="4"/>
      <c r="I1297" s="10" t="str">
        <f>HYPERLINK("http://twitter.com/download/android","Twitter for Android")</f>
        <v>Twitter for Android</v>
      </c>
      <c r="J1297" s="2">
        <v>132</v>
      </c>
      <c r="K1297" s="2">
        <v>457</v>
      </c>
      <c r="L1297" s="2">
        <v>1</v>
      </c>
      <c r="M1297" s="2"/>
      <c r="N1297" s="8">
        <v>43109.1090625</v>
      </c>
      <c r="O1297" s="4" t="s">
        <v>636</v>
      </c>
      <c r="P1297" s="3" t="s">
        <v>635</v>
      </c>
      <c r="Q1297" s="4"/>
      <c r="R1297" s="4"/>
      <c r="S1297" s="9" t="str">
        <f>HYPERLINK("https://pbs.twimg.com/profile_images/1026118250218876930/IRy8Wxss.jpg","View")</f>
        <v>View</v>
      </c>
    </row>
    <row r="1298" spans="1:19" ht="30">
      <c r="A1298" s="8">
        <v>43369.127939814818</v>
      </c>
      <c r="B1298" s="11" t="str">
        <f>HYPERLINK("https://twitter.com/Robahnimeshab1","@Robahnimeshab1")</f>
        <v>@Robahnimeshab1</v>
      </c>
      <c r="C1298" s="6" t="s">
        <v>662</v>
      </c>
      <c r="D1298" s="5" t="s">
        <v>654</v>
      </c>
      <c r="E1298" s="9" t="str">
        <f>HYPERLINK("https://twitter.com/Robahnimeshab1/status/1044731835392167936","1044731835392167936")</f>
        <v>1044731835392167936</v>
      </c>
      <c r="F1298" s="4"/>
      <c r="G1298" s="4"/>
      <c r="H1298" s="4"/>
      <c r="I1298" s="10" t="str">
        <f>HYPERLINK("http://twitter.com/download/android","Twitter for Android")</f>
        <v>Twitter for Android</v>
      </c>
      <c r="J1298" s="2">
        <v>309</v>
      </c>
      <c r="K1298" s="2">
        <v>507</v>
      </c>
      <c r="L1298" s="2">
        <v>0</v>
      </c>
      <c r="M1298" s="2"/>
      <c r="N1298" s="8">
        <v>43225.381504629629</v>
      </c>
      <c r="O1298" s="4"/>
      <c r="P1298" s="3" t="s">
        <v>661</v>
      </c>
      <c r="Q1298" s="4"/>
      <c r="R1298" s="4"/>
      <c r="S1298" s="9" t="str">
        <f>HYPERLINK("https://pbs.twimg.com/profile_images/1037811874308530177/Wz8UiKfZ.jpg","View")</f>
        <v>View</v>
      </c>
    </row>
    <row r="1299" spans="1:19" ht="40">
      <c r="A1299" s="8">
        <v>43369.127500000002</v>
      </c>
      <c r="B1299" s="11" t="str">
        <f>HYPERLINK("https://twitter.com/RezaBastani1","@RezaBastani1")</f>
        <v>@RezaBastani1</v>
      </c>
      <c r="C1299" s="6" t="s">
        <v>660</v>
      </c>
      <c r="D1299" s="5" t="s">
        <v>470</v>
      </c>
      <c r="E1299" s="9" t="str">
        <f>HYPERLINK("https://twitter.com/RezaBastani1/status/1044731677950574592","1044731677950574592")</f>
        <v>1044731677950574592</v>
      </c>
      <c r="F1299" s="4"/>
      <c r="G1299" s="10" t="s">
        <v>469</v>
      </c>
      <c r="H1299" s="4"/>
      <c r="I1299" s="10" t="str">
        <f>HYPERLINK("http://twitter.com","Twitter Web Client")</f>
        <v>Twitter Web Client</v>
      </c>
      <c r="J1299" s="2">
        <v>1182</v>
      </c>
      <c r="K1299" s="2">
        <v>914</v>
      </c>
      <c r="L1299" s="2">
        <v>9</v>
      </c>
      <c r="M1299" s="2"/>
      <c r="N1299" s="8">
        <v>41129.447314814817</v>
      </c>
      <c r="O1299" s="4" t="s">
        <v>659</v>
      </c>
      <c r="P1299" s="3" t="s">
        <v>658</v>
      </c>
      <c r="Q1299" s="4"/>
      <c r="R1299" s="4"/>
      <c r="S1299" s="9" t="str">
        <f>HYPERLINK("https://pbs.twimg.com/profile_images/2483138367/spv34ofq2zbh9qagvpc2.jpeg","View")</f>
        <v>View</v>
      </c>
    </row>
    <row r="1300" spans="1:19" ht="50">
      <c r="A1300" s="8">
        <v>43369.127349537041</v>
      </c>
      <c r="B1300" s="11" t="str">
        <f>HYPERLINK("https://twitter.com/RezaBastani1","@RezaBastani1")</f>
        <v>@RezaBastani1</v>
      </c>
      <c r="C1300" s="6" t="s">
        <v>660</v>
      </c>
      <c r="D1300" s="5" t="s">
        <v>472</v>
      </c>
      <c r="E1300" s="9" t="str">
        <f>HYPERLINK("https://twitter.com/RezaBastani1/status/1044731622149562368","1044731622149562368")</f>
        <v>1044731622149562368</v>
      </c>
      <c r="F1300" s="4"/>
      <c r="G1300" s="10" t="s">
        <v>194</v>
      </c>
      <c r="H1300" s="4"/>
      <c r="I1300" s="10" t="str">
        <f>HYPERLINK("http://twitter.com","Twitter Web Client")</f>
        <v>Twitter Web Client</v>
      </c>
      <c r="J1300" s="2">
        <v>1182</v>
      </c>
      <c r="K1300" s="2">
        <v>914</v>
      </c>
      <c r="L1300" s="2">
        <v>9</v>
      </c>
      <c r="M1300" s="2"/>
      <c r="N1300" s="8">
        <v>41129.447314814817</v>
      </c>
      <c r="O1300" s="4" t="s">
        <v>659</v>
      </c>
      <c r="P1300" s="3" t="s">
        <v>658</v>
      </c>
      <c r="Q1300" s="4"/>
      <c r="R1300" s="4"/>
      <c r="S1300" s="9" t="str">
        <f>HYPERLINK("https://pbs.twimg.com/profile_images/2483138367/spv34ofq2zbh9qagvpc2.jpeg","View")</f>
        <v>View</v>
      </c>
    </row>
    <row r="1301" spans="1:19" ht="30">
      <c r="A1301" s="8">
        <v>43369.127337962964</v>
      </c>
      <c r="B1301" s="11" t="str">
        <f>HYPERLINK("https://twitter.com/lazaniaa1","@lazaniaa1")</f>
        <v>@lazaniaa1</v>
      </c>
      <c r="C1301" s="6" t="s">
        <v>657</v>
      </c>
      <c r="D1301" s="5" t="s">
        <v>654</v>
      </c>
      <c r="E1301" s="9" t="str">
        <f>HYPERLINK("https://twitter.com/lazaniaa1/status/1044731619419082753","1044731619419082753")</f>
        <v>1044731619419082753</v>
      </c>
      <c r="F1301" s="4"/>
      <c r="G1301" s="4"/>
      <c r="H1301" s="4"/>
      <c r="I1301" s="10" t="str">
        <f>HYPERLINK("http://twitter.com/download/iphone","Twitter for iPhone")</f>
        <v>Twitter for iPhone</v>
      </c>
      <c r="J1301" s="2">
        <v>360</v>
      </c>
      <c r="K1301" s="2">
        <v>764</v>
      </c>
      <c r="L1301" s="2">
        <v>0</v>
      </c>
      <c r="M1301" s="2"/>
      <c r="N1301" s="8">
        <v>43100.778391203705</v>
      </c>
      <c r="O1301" s="4"/>
      <c r="P1301" s="3" t="s">
        <v>656</v>
      </c>
      <c r="Q1301" s="4"/>
      <c r="R1301" s="4"/>
      <c r="S1301" s="9" t="str">
        <f>HYPERLINK("https://pbs.twimg.com/profile_images/1042191450044215297/BPs82UfU.jpg","View")</f>
        <v>View</v>
      </c>
    </row>
    <row r="1302" spans="1:19" ht="30">
      <c r="A1302" s="8">
        <v>43369.126527777778</v>
      </c>
      <c r="B1302" s="11" t="str">
        <f>HYPERLINK("https://twitter.com/Presidentkallma","@Presidentkallma")</f>
        <v>@Presidentkallma</v>
      </c>
      <c r="C1302" s="6" t="s">
        <v>655</v>
      </c>
      <c r="D1302" s="5" t="s">
        <v>654</v>
      </c>
      <c r="E1302" s="9" t="str">
        <f>HYPERLINK("https://twitter.com/Presidentkallma/status/1044731322718195712","1044731322718195712")</f>
        <v>1044731322718195712</v>
      </c>
      <c r="F1302" s="4"/>
      <c r="G1302" s="4"/>
      <c r="H1302" s="4"/>
      <c r="I1302" s="10" t="str">
        <f>HYPERLINK("http://twitter.com/download/android","Twitter for Android")</f>
        <v>Twitter for Android</v>
      </c>
      <c r="J1302" s="2">
        <v>7921</v>
      </c>
      <c r="K1302" s="2">
        <v>869</v>
      </c>
      <c r="L1302" s="2">
        <v>11</v>
      </c>
      <c r="M1302" s="2"/>
      <c r="N1302" s="8">
        <v>42268.807349537034</v>
      </c>
      <c r="O1302" s="4" t="s">
        <v>653</v>
      </c>
      <c r="P1302" s="3" t="s">
        <v>652</v>
      </c>
      <c r="Q1302" s="4"/>
      <c r="R1302" s="4"/>
      <c r="S1302" s="9" t="str">
        <f>HYPERLINK("https://pbs.twimg.com/profile_images/1026875928943710209/zvnVCM8d.jpg","View")</f>
        <v>View</v>
      </c>
    </row>
    <row r="1303" spans="1:19" ht="30">
      <c r="A1303" s="8">
        <v>43369.124074074076</v>
      </c>
      <c r="B1303" s="11" t="str">
        <f>HYPERLINK("https://twitter.com/reza_shaban13","@reza_shaban13")</f>
        <v>@reza_shaban13</v>
      </c>
      <c r="C1303" s="6" t="s">
        <v>651</v>
      </c>
      <c r="D1303" s="5" t="s">
        <v>229</v>
      </c>
      <c r="E1303" s="9" t="str">
        <f>HYPERLINK("https://twitter.com/reza_shaban13/status/1044730434515607552","1044730434515607552")</f>
        <v>1044730434515607552</v>
      </c>
      <c r="F1303" s="4"/>
      <c r="G1303" s="4"/>
      <c r="H1303" s="4"/>
      <c r="I1303" s="10" t="str">
        <f>HYPERLINK("http://twitter.com/download/android","Twitter for Android")</f>
        <v>Twitter for Android</v>
      </c>
      <c r="J1303" s="2">
        <v>696</v>
      </c>
      <c r="K1303" s="2">
        <v>1671</v>
      </c>
      <c r="L1303" s="2">
        <v>0</v>
      </c>
      <c r="M1303" s="2"/>
      <c r="N1303" s="8">
        <v>43355.0703125</v>
      </c>
      <c r="O1303" s="4" t="s">
        <v>1</v>
      </c>
      <c r="P1303" s="3" t="s">
        <v>650</v>
      </c>
      <c r="Q1303" s="4"/>
      <c r="R1303" s="4"/>
      <c r="S1303" s="9" t="str">
        <f>HYPERLINK("https://pbs.twimg.com/profile_images/1043770358778748928/Z6ZRsNpb.jpg","View")</f>
        <v>View</v>
      </c>
    </row>
    <row r="1304" spans="1:19" ht="20">
      <c r="A1304" s="8">
        <v>43369.124039351853</v>
      </c>
      <c r="B1304" s="11" t="str">
        <f>HYPERLINK("https://twitter.com/ghalam313","@ghalam313")</f>
        <v>@ghalam313</v>
      </c>
      <c r="C1304" s="6" t="s">
        <v>649</v>
      </c>
      <c r="D1304" s="5" t="s">
        <v>102</v>
      </c>
      <c r="E1304" s="9" t="str">
        <f>HYPERLINK("https://twitter.com/ghalam313/status/1044730420384993286","1044730420384993286")</f>
        <v>1044730420384993286</v>
      </c>
      <c r="F1304" s="4"/>
      <c r="G1304" s="4"/>
      <c r="H1304" s="4"/>
      <c r="I1304" s="10" t="str">
        <f>HYPERLINK("http://twitter.com/download/android","Twitter for Android")</f>
        <v>Twitter for Android</v>
      </c>
      <c r="J1304" s="2">
        <v>148</v>
      </c>
      <c r="K1304" s="2">
        <v>23</v>
      </c>
      <c r="L1304" s="2">
        <v>0</v>
      </c>
      <c r="M1304" s="2"/>
      <c r="N1304" s="8">
        <v>43360.238379629634</v>
      </c>
      <c r="O1304" s="4"/>
      <c r="P1304" s="3" t="s">
        <v>648</v>
      </c>
      <c r="Q1304" s="4"/>
      <c r="R1304" s="4"/>
      <c r="S1304" s="9" t="str">
        <f>HYPERLINK("https://pbs.twimg.com/profile_images/1041500924324311040/PShkM2SO.jpg","View")</f>
        <v>View</v>
      </c>
    </row>
    <row r="1305" spans="1:19" ht="20">
      <c r="A1305" s="8">
        <v>43369.123402777783</v>
      </c>
      <c r="B1305" s="11" t="str">
        <f>HYPERLINK("https://twitter.com/sirHTavakoli","@sirHTavakoli")</f>
        <v>@sirHTavakoli</v>
      </c>
      <c r="C1305" s="6" t="s">
        <v>647</v>
      </c>
      <c r="D1305" s="5" t="s">
        <v>176</v>
      </c>
      <c r="E1305" s="9" t="str">
        <f>HYPERLINK("https://twitter.com/sirHTavakoli/status/1044730193615745026","1044730193615745026")</f>
        <v>1044730193615745026</v>
      </c>
      <c r="F1305" s="4"/>
      <c r="G1305" s="4"/>
      <c r="H1305" s="4"/>
      <c r="I1305" s="10" t="str">
        <f>HYPERLINK("http://twitter.com/download/android","Twitter for Android")</f>
        <v>Twitter for Android</v>
      </c>
      <c r="J1305" s="2">
        <v>1922</v>
      </c>
      <c r="K1305" s="2">
        <v>2854</v>
      </c>
      <c r="L1305" s="2">
        <v>2</v>
      </c>
      <c r="M1305" s="2"/>
      <c r="N1305" s="8">
        <v>41233.957129629627</v>
      </c>
      <c r="O1305" s="4" t="s">
        <v>646</v>
      </c>
      <c r="P1305" s="3" t="s">
        <v>645</v>
      </c>
      <c r="Q1305" s="4"/>
      <c r="R1305" s="4"/>
      <c r="S1305" s="9" t="str">
        <f>HYPERLINK("https://pbs.twimg.com/profile_images/965504202394034176/HENVhW9f.jpg","View")</f>
        <v>View</v>
      </c>
    </row>
    <row r="1306" spans="1:19" ht="50">
      <c r="A1306" s="8">
        <v>43369.123402777783</v>
      </c>
      <c r="B1306" s="11" t="str">
        <f>HYPERLINK("https://twitter.com/PersianPride59","@PersianPride59")</f>
        <v>@PersianPride59</v>
      </c>
      <c r="C1306" s="6" t="s">
        <v>644</v>
      </c>
      <c r="D1306" s="5" t="s">
        <v>643</v>
      </c>
      <c r="E1306" s="9" t="str">
        <f>HYPERLINK("https://twitter.com/PersianPride59/status/1044730191094796288","1044730191094796288")</f>
        <v>1044730191094796288</v>
      </c>
      <c r="F1306" s="4"/>
      <c r="G1306" s="10" t="s">
        <v>642</v>
      </c>
      <c r="H1306" s="4"/>
      <c r="I1306" s="10" t="str">
        <f>HYPERLINK("http://twitter.com/download/android","Twitter for Android")</f>
        <v>Twitter for Android</v>
      </c>
      <c r="J1306" s="2">
        <v>269</v>
      </c>
      <c r="K1306" s="2">
        <v>277</v>
      </c>
      <c r="L1306" s="2">
        <v>0</v>
      </c>
      <c r="M1306" s="2"/>
      <c r="N1306" s="8">
        <v>43120.423912037033</v>
      </c>
      <c r="O1306" s="4" t="s">
        <v>641</v>
      </c>
      <c r="P1306" s="3" t="s">
        <v>640</v>
      </c>
      <c r="Q1306" s="4"/>
      <c r="R1306" s="4"/>
      <c r="S1306" s="9" t="str">
        <f>HYPERLINK("https://pbs.twimg.com/profile_images/955622458253455361/AoDN9FXx.jpg","View")</f>
        <v>View</v>
      </c>
    </row>
    <row r="1307" spans="1:19" ht="40">
      <c r="A1307" s="8">
        <v>43369.123263888891</v>
      </c>
      <c r="B1307" s="11" t="str">
        <f>HYPERLINK("https://twitter.com/diplomat0098","@diplomat0098")</f>
        <v>@diplomat0098</v>
      </c>
      <c r="C1307" s="6" t="s">
        <v>639</v>
      </c>
      <c r="D1307" s="5" t="s">
        <v>75</v>
      </c>
      <c r="E1307" s="9" t="str">
        <f>HYPERLINK("https://twitter.com/diplomat0098/status/1044730142919184385","1044730142919184385")</f>
        <v>1044730142919184385</v>
      </c>
      <c r="F1307" s="4"/>
      <c r="G1307" s="4"/>
      <c r="H1307" s="4"/>
      <c r="I1307" s="10" t="str">
        <f>HYPERLINK("https://mobile.twitter.com","Twitter Lite")</f>
        <v>Twitter Lite</v>
      </c>
      <c r="J1307" s="2">
        <v>60</v>
      </c>
      <c r="K1307" s="2">
        <v>144</v>
      </c>
      <c r="L1307" s="2">
        <v>0</v>
      </c>
      <c r="M1307" s="2"/>
      <c r="N1307" s="8">
        <v>42936.976168981477</v>
      </c>
      <c r="O1307" s="4" t="s">
        <v>33</v>
      </c>
      <c r="P1307" s="3" t="s">
        <v>638</v>
      </c>
      <c r="Q1307" s="4"/>
      <c r="R1307" s="4"/>
      <c r="S1307" s="9" t="str">
        <f>HYPERLINK("https://pbs.twimg.com/profile_images/888111277758849025/_9NajWYi.jpg","View")</f>
        <v>View</v>
      </c>
    </row>
    <row r="1308" spans="1:19" ht="30">
      <c r="A1308" s="8">
        <v>43369.122118055559</v>
      </c>
      <c r="B1308" s="11" t="str">
        <f>HYPERLINK("https://twitter.com/Maesumeh1","@Maesumeh1")</f>
        <v>@Maesumeh1</v>
      </c>
      <c r="C1308" s="6" t="s">
        <v>637</v>
      </c>
      <c r="D1308" s="5" t="s">
        <v>383</v>
      </c>
      <c r="E1308" s="9" t="str">
        <f>HYPERLINK("https://twitter.com/Maesumeh1/status/1044729726584139776","1044729726584139776")</f>
        <v>1044729726584139776</v>
      </c>
      <c r="F1308" s="4"/>
      <c r="G1308" s="10" t="s">
        <v>382</v>
      </c>
      <c r="H1308" s="4"/>
      <c r="I1308" s="10" t="str">
        <f>HYPERLINK("http://twitter.com/download/android","Twitter for Android")</f>
        <v>Twitter for Android</v>
      </c>
      <c r="J1308" s="2">
        <v>132</v>
      </c>
      <c r="K1308" s="2">
        <v>457</v>
      </c>
      <c r="L1308" s="2">
        <v>1</v>
      </c>
      <c r="M1308" s="2"/>
      <c r="N1308" s="8">
        <v>43109.1090625</v>
      </c>
      <c r="O1308" s="4" t="s">
        <v>636</v>
      </c>
      <c r="P1308" s="3" t="s">
        <v>635</v>
      </c>
      <c r="Q1308" s="4"/>
      <c r="R1308" s="4"/>
      <c r="S1308" s="9" t="str">
        <f>HYPERLINK("https://pbs.twimg.com/profile_images/1026118250218876930/IRy8Wxss.jpg","View")</f>
        <v>View</v>
      </c>
    </row>
    <row r="1309" spans="1:19" ht="40">
      <c r="A1309" s="8">
        <v>43369.121666666666</v>
      </c>
      <c r="B1309" s="11" t="str">
        <f>HYPERLINK("https://twitter.com/Maesumeh1","@Maesumeh1")</f>
        <v>@Maesumeh1</v>
      </c>
      <c r="C1309" s="6" t="s">
        <v>637</v>
      </c>
      <c r="D1309" s="5" t="s">
        <v>58</v>
      </c>
      <c r="E1309" s="9" t="str">
        <f>HYPERLINK("https://twitter.com/Maesumeh1/status/1044729562763071489","1044729562763071489")</f>
        <v>1044729562763071489</v>
      </c>
      <c r="F1309" s="4"/>
      <c r="G1309" s="10" t="s">
        <v>57</v>
      </c>
      <c r="H1309" s="4"/>
      <c r="I1309" s="10" t="str">
        <f>HYPERLINK("http://twitter.com/download/android","Twitter for Android")</f>
        <v>Twitter for Android</v>
      </c>
      <c r="J1309" s="2">
        <v>132</v>
      </c>
      <c r="K1309" s="2">
        <v>457</v>
      </c>
      <c r="L1309" s="2">
        <v>1</v>
      </c>
      <c r="M1309" s="2"/>
      <c r="N1309" s="8">
        <v>43109.1090625</v>
      </c>
      <c r="O1309" s="4" t="s">
        <v>636</v>
      </c>
      <c r="P1309" s="3" t="s">
        <v>635</v>
      </c>
      <c r="Q1309" s="4"/>
      <c r="R1309" s="4"/>
      <c r="S1309" s="9" t="str">
        <f>HYPERLINK("https://pbs.twimg.com/profile_images/1026118250218876930/IRy8Wxss.jpg","View")</f>
        <v>View</v>
      </c>
    </row>
    <row r="1310" spans="1:19" ht="40">
      <c r="A1310" s="8">
        <v>43369.116712962961</v>
      </c>
      <c r="B1310" s="11" t="str">
        <f>HYPERLINK("https://twitter.com/parhamda","@parhamda")</f>
        <v>@parhamda</v>
      </c>
      <c r="C1310" s="6" t="s">
        <v>634</v>
      </c>
      <c r="D1310" s="5" t="s">
        <v>633</v>
      </c>
      <c r="E1310" s="9" t="str">
        <f>HYPERLINK("https://twitter.com/parhamda/status/1044727765684154368","1044727765684154368")</f>
        <v>1044727765684154368</v>
      </c>
      <c r="F1310" s="4"/>
      <c r="G1310" s="4"/>
      <c r="H1310" s="4"/>
      <c r="I1310" s="10" t="str">
        <f>HYPERLINK("http://twitter.com/download/android","Twitter for Android")</f>
        <v>Twitter for Android</v>
      </c>
      <c r="J1310" s="2">
        <v>73</v>
      </c>
      <c r="K1310" s="2">
        <v>92</v>
      </c>
      <c r="L1310" s="2">
        <v>2</v>
      </c>
      <c r="M1310" s="2"/>
      <c r="N1310" s="8">
        <v>39956.802800925929</v>
      </c>
      <c r="O1310" s="4"/>
      <c r="P1310" s="3"/>
      <c r="Q1310" s="4"/>
      <c r="R1310" s="4"/>
      <c r="S1310" s="9" t="str">
        <f>HYPERLINK("https://pbs.twimg.com/profile_images/874329375235354625/LtJcy2OE.jpg","View")</f>
        <v>View</v>
      </c>
    </row>
    <row r="1311" spans="1:19" ht="30">
      <c r="A1311" s="8">
        <v>43369.116608796292</v>
      </c>
      <c r="B1311" s="11" t="str">
        <f>HYPERLINK("https://twitter.com/hfart562","@hfart562")</f>
        <v>@hfart562</v>
      </c>
      <c r="C1311" s="6" t="s">
        <v>632</v>
      </c>
      <c r="D1311" s="5" t="s">
        <v>292</v>
      </c>
      <c r="E1311" s="9" t="str">
        <f>HYPERLINK("https://twitter.com/hfart562/status/1044727731534147584","1044727731534147584")</f>
        <v>1044727731534147584</v>
      </c>
      <c r="F1311" s="10" t="s">
        <v>216</v>
      </c>
      <c r="G1311" s="4"/>
      <c r="H1311" s="4"/>
      <c r="I1311" s="10" t="str">
        <f>HYPERLINK("http://twitter.com/download/android","Twitter for Android")</f>
        <v>Twitter for Android</v>
      </c>
      <c r="J1311" s="2">
        <v>7411</v>
      </c>
      <c r="K1311" s="2">
        <v>6126</v>
      </c>
      <c r="L1311" s="2">
        <v>8</v>
      </c>
      <c r="M1311" s="2"/>
      <c r="N1311" s="8">
        <v>42735.200046296297</v>
      </c>
      <c r="O1311" s="4" t="s">
        <v>631</v>
      </c>
      <c r="P1311" s="3" t="s">
        <v>630</v>
      </c>
      <c r="Q1311" s="4"/>
      <c r="R1311" s="4"/>
      <c r="S1311" s="9" t="str">
        <f>HYPERLINK("https://pbs.twimg.com/profile_images/820052654483193856/I6O4ImkJ.jpg","View")</f>
        <v>View</v>
      </c>
    </row>
    <row r="1312" spans="1:19" ht="20">
      <c r="A1312" s="8">
        <v>43369.116053240738</v>
      </c>
      <c r="B1312" s="11" t="str">
        <f>HYPERLINK("https://twitter.com/sabahbasami1","@sabahbasami1")</f>
        <v>@sabahbasami1</v>
      </c>
      <c r="C1312" s="6" t="s">
        <v>629</v>
      </c>
      <c r="D1312" s="5" t="s">
        <v>628</v>
      </c>
      <c r="E1312" s="9" t="str">
        <f>HYPERLINK("https://twitter.com/sabahbasami1/status/1044727527758024710","1044727527758024710")</f>
        <v>1044727527758024710</v>
      </c>
      <c r="F1312" s="4"/>
      <c r="G1312" s="10" t="s">
        <v>627</v>
      </c>
      <c r="H1312" s="4"/>
      <c r="I1312" s="10" t="str">
        <f>HYPERLINK("http://twitter.com/download/android","Twitter for Android")</f>
        <v>Twitter for Android</v>
      </c>
      <c r="J1312" s="2">
        <v>83</v>
      </c>
      <c r="K1312" s="2">
        <v>41</v>
      </c>
      <c r="L1312" s="2">
        <v>0</v>
      </c>
      <c r="M1312" s="2"/>
      <c r="N1312" s="8">
        <v>42910.004363425927</v>
      </c>
      <c r="O1312" s="4" t="s">
        <v>626</v>
      </c>
      <c r="P1312" s="3" t="s">
        <v>625</v>
      </c>
      <c r="Q1312" s="4"/>
      <c r="R1312" s="4"/>
      <c r="S1312" s="9" t="str">
        <f>HYPERLINK("https://pbs.twimg.com/profile_images/1031466848087367680/9FwSvznF.jpg","View")</f>
        <v>View</v>
      </c>
    </row>
    <row r="1313" spans="1:19" ht="12.5">
      <c r="A1313" s="8">
        <v>43369.115474537037</v>
      </c>
      <c r="B1313" s="11" t="str">
        <f>HYPERLINK("https://twitter.com/mohamma32088394","@mohamma32088394")</f>
        <v>@mohamma32088394</v>
      </c>
      <c r="C1313" s="6" t="s">
        <v>624</v>
      </c>
      <c r="D1313" s="5" t="s">
        <v>623</v>
      </c>
      <c r="E1313" s="9" t="str">
        <f>HYPERLINK("https://twitter.com/mohamma32088394/status/1044727317774454784","1044727317774454784")</f>
        <v>1044727317774454784</v>
      </c>
      <c r="F1313" s="4"/>
      <c r="G1313" s="4"/>
      <c r="H1313" s="4"/>
      <c r="I1313" s="10" t="str">
        <f>HYPERLINK("http://twitter.com/download/android","Twitter for Android")</f>
        <v>Twitter for Android</v>
      </c>
      <c r="J1313" s="2">
        <v>42</v>
      </c>
      <c r="K1313" s="2">
        <v>132</v>
      </c>
      <c r="L1313" s="2">
        <v>0</v>
      </c>
      <c r="M1313" s="2"/>
      <c r="N1313" s="8">
        <v>42773.0393287037</v>
      </c>
      <c r="O1313" s="4" t="s">
        <v>7</v>
      </c>
      <c r="P1313" s="3" t="s">
        <v>622</v>
      </c>
      <c r="Q1313" s="4"/>
      <c r="R1313" s="4"/>
      <c r="S1313" s="9" t="str">
        <f>HYPERLINK("https://pbs.twimg.com/profile_images/1037604738106384384/n8fRy1Uy.jpg","View")</f>
        <v>View</v>
      </c>
    </row>
    <row r="1314" spans="1:19" ht="40">
      <c r="A1314" s="8">
        <v>43369.114618055552</v>
      </c>
      <c r="B1314" s="11" t="str">
        <f>HYPERLINK("https://twitter.com/Mehdi50310022","@Mehdi50310022")</f>
        <v>@Mehdi50310022</v>
      </c>
      <c r="C1314" s="6" t="s">
        <v>621</v>
      </c>
      <c r="D1314" s="5" t="s">
        <v>58</v>
      </c>
      <c r="E1314" s="9" t="str">
        <f>HYPERLINK("https://twitter.com/Mehdi50310022/status/1044727006527713280","1044727006527713280")</f>
        <v>1044727006527713280</v>
      </c>
      <c r="F1314" s="4"/>
      <c r="G1314" s="10" t="s">
        <v>57</v>
      </c>
      <c r="H1314" s="4"/>
      <c r="I1314" s="10" t="str">
        <f>HYPERLINK("http://twitter.com/download/android","Twitter for Android")</f>
        <v>Twitter for Android</v>
      </c>
      <c r="J1314" s="2">
        <v>12</v>
      </c>
      <c r="K1314" s="2">
        <v>22</v>
      </c>
      <c r="L1314" s="2">
        <v>0</v>
      </c>
      <c r="M1314" s="2"/>
      <c r="N1314" s="8">
        <v>43303.877465277779</v>
      </c>
      <c r="O1314" s="4"/>
      <c r="P1314" s="3"/>
      <c r="Q1314" s="4"/>
      <c r="R1314" s="4"/>
      <c r="S1314" s="9" t="str">
        <f>HYPERLINK("https://pbs.twimg.com/profile_images/1023997345011261441/1_qfz1mI.jpg","View")</f>
        <v>View</v>
      </c>
    </row>
    <row r="1315" spans="1:19" ht="50">
      <c r="A1315" s="8">
        <v>43369.11409722222</v>
      </c>
      <c r="B1315" s="11" t="str">
        <f>HYPERLINK("https://twitter.com/khoorkhee","@khoorkhee")</f>
        <v>@khoorkhee</v>
      </c>
      <c r="C1315" s="6" t="s">
        <v>620</v>
      </c>
      <c r="D1315" s="5" t="s">
        <v>619</v>
      </c>
      <c r="E1315" s="9" t="str">
        <f>HYPERLINK("https://twitter.com/khoorkhee/status/1044726817402368001","1044726817402368001")</f>
        <v>1044726817402368001</v>
      </c>
      <c r="F1315" s="4"/>
      <c r="G1315" s="4"/>
      <c r="H1315" s="4"/>
      <c r="I1315" s="10" t="str">
        <f>HYPERLINK("http://twitter.com/download/iphone","Twitter for iPhone")</f>
        <v>Twitter for iPhone</v>
      </c>
      <c r="J1315" s="2">
        <v>90</v>
      </c>
      <c r="K1315" s="2">
        <v>191</v>
      </c>
      <c r="L1315" s="2">
        <v>0</v>
      </c>
      <c r="M1315" s="2"/>
      <c r="N1315" s="8">
        <v>42662.970960648148</v>
      </c>
      <c r="O1315" s="4" t="s">
        <v>618</v>
      </c>
      <c r="P1315" s="3" t="s">
        <v>617</v>
      </c>
      <c r="Q1315" s="4"/>
      <c r="R1315" s="4"/>
      <c r="S1315" s="9" t="str">
        <f>HYPERLINK("https://pbs.twimg.com/profile_images/1019733070306562048/f0s0Duly.jpg","View")</f>
        <v>View</v>
      </c>
    </row>
    <row r="1316" spans="1:19" ht="30">
      <c r="A1316" s="8">
        <v>43369.114039351851</v>
      </c>
      <c r="B1316" s="11" t="str">
        <f>HYPERLINK("https://twitter.com/TanhayeAval82","@TanhayeAval82")</f>
        <v>@TanhayeAval82</v>
      </c>
      <c r="C1316" s="6" t="s">
        <v>616</v>
      </c>
      <c r="D1316" s="5" t="s">
        <v>49</v>
      </c>
      <c r="E1316" s="9" t="str">
        <f>HYPERLINK("https://twitter.com/TanhayeAval82/status/1044726798288924672","1044726798288924672")</f>
        <v>1044726798288924672</v>
      </c>
      <c r="F1316" s="4"/>
      <c r="G1316" s="4"/>
      <c r="H1316" s="4"/>
      <c r="I1316" s="10" t="str">
        <f>HYPERLINK("https://mobile.twitter.com","Twitter Lite")</f>
        <v>Twitter Lite</v>
      </c>
      <c r="J1316" s="2">
        <v>824</v>
      </c>
      <c r="K1316" s="2">
        <v>742</v>
      </c>
      <c r="L1316" s="2">
        <v>0</v>
      </c>
      <c r="M1316" s="2"/>
      <c r="N1316" s="8">
        <v>43131.778912037036</v>
      </c>
      <c r="O1316" s="4" t="s">
        <v>615</v>
      </c>
      <c r="P1316" s="3" t="s">
        <v>614</v>
      </c>
      <c r="Q1316" s="4"/>
      <c r="R1316" s="4"/>
      <c r="S1316" s="9" t="str">
        <f>HYPERLINK("https://pbs.twimg.com/profile_images/1017794237834899457/7FnAk7m2.jpg","View")</f>
        <v>View</v>
      </c>
    </row>
    <row r="1317" spans="1:19" ht="40">
      <c r="A1317" s="8">
        <v>43369.113657407404</v>
      </c>
      <c r="B1317" s="11" t="str">
        <f>HYPERLINK("https://twitter.com/MehrdadParsian","@MehrdadParsian")</f>
        <v>@MehrdadParsian</v>
      </c>
      <c r="C1317" s="6" t="s">
        <v>613</v>
      </c>
      <c r="D1317" s="5" t="s">
        <v>58</v>
      </c>
      <c r="E1317" s="9" t="str">
        <f>HYPERLINK("https://twitter.com/MehrdadParsian/status/1044726661420339200","1044726661420339200")</f>
        <v>1044726661420339200</v>
      </c>
      <c r="F1317" s="4"/>
      <c r="G1317" s="10" t="s">
        <v>57</v>
      </c>
      <c r="H1317" s="4"/>
      <c r="I1317" s="10" t="str">
        <f>HYPERLINK("http://twitter.com/download/android","Twitter for Android")</f>
        <v>Twitter for Android</v>
      </c>
      <c r="J1317" s="2">
        <v>159</v>
      </c>
      <c r="K1317" s="2">
        <v>741</v>
      </c>
      <c r="L1317" s="2">
        <v>0</v>
      </c>
      <c r="M1317" s="2"/>
      <c r="N1317" s="8">
        <v>42106.885729166665</v>
      </c>
      <c r="O1317" s="4" t="s">
        <v>428</v>
      </c>
      <c r="P1317" s="3"/>
      <c r="Q1317" s="4"/>
      <c r="R1317" s="4"/>
      <c r="S1317" s="9" t="str">
        <f>HYPERLINK("https://pbs.twimg.com/profile_images/587307977306013696/okzwKQHx.jpg","View")</f>
        <v>View</v>
      </c>
    </row>
    <row r="1318" spans="1:19" ht="30">
      <c r="A1318" s="8">
        <v>43369.112187499995</v>
      </c>
      <c r="B1318" s="11" t="str">
        <f>HYPERLINK("https://twitter.com/fery_flora","@fery_flora")</f>
        <v>@fery_flora</v>
      </c>
      <c r="C1318" s="6" t="s">
        <v>601</v>
      </c>
      <c r="D1318" s="5" t="s">
        <v>612</v>
      </c>
      <c r="E1318" s="9" t="str">
        <f>HYPERLINK("https://twitter.com/fery_flora/status/1044726127854522368","1044726127854522368")</f>
        <v>1044726127854522368</v>
      </c>
      <c r="F1318" s="4"/>
      <c r="G1318" s="10" t="s">
        <v>611</v>
      </c>
      <c r="H1318" s="4"/>
      <c r="I1318" s="10" t="str">
        <f>HYPERLINK("http://twitter.com/download/android","Twitter for Android")</f>
        <v>Twitter for Android</v>
      </c>
      <c r="J1318" s="2">
        <v>82</v>
      </c>
      <c r="K1318" s="2">
        <v>67</v>
      </c>
      <c r="L1318" s="2">
        <v>0</v>
      </c>
      <c r="M1318" s="2"/>
      <c r="N1318" s="8">
        <v>43273.531168981484</v>
      </c>
      <c r="O1318" s="4" t="s">
        <v>600</v>
      </c>
      <c r="P1318" s="3"/>
      <c r="Q1318" s="4"/>
      <c r="R1318" s="4"/>
      <c r="S1318" s="9" t="str">
        <f>HYPERLINK("https://pbs.twimg.com/profile_images/1022006639837229056/1YpQIEli.jpg","View")</f>
        <v>View</v>
      </c>
    </row>
    <row r="1319" spans="1:19" ht="50">
      <c r="A1319" s="8">
        <v>43369.111886574072</v>
      </c>
      <c r="B1319" s="11" t="str">
        <f>HYPERLINK("https://twitter.com/fery_flora","@fery_flora")</f>
        <v>@fery_flora</v>
      </c>
      <c r="C1319" s="6" t="s">
        <v>601</v>
      </c>
      <c r="D1319" s="5" t="s">
        <v>610</v>
      </c>
      <c r="E1319" s="9" t="str">
        <f>HYPERLINK("https://twitter.com/fery_flora/status/1044726017359777792","1044726017359777792")</f>
        <v>1044726017359777792</v>
      </c>
      <c r="F1319" s="4"/>
      <c r="G1319" s="10" t="s">
        <v>609</v>
      </c>
      <c r="H1319" s="4"/>
      <c r="I1319" s="10" t="str">
        <f>HYPERLINK("http://twitter.com/download/android","Twitter for Android")</f>
        <v>Twitter for Android</v>
      </c>
      <c r="J1319" s="2">
        <v>82</v>
      </c>
      <c r="K1319" s="2">
        <v>67</v>
      </c>
      <c r="L1319" s="2">
        <v>0</v>
      </c>
      <c r="M1319" s="2"/>
      <c r="N1319" s="8">
        <v>43273.531168981484</v>
      </c>
      <c r="O1319" s="4" t="s">
        <v>600</v>
      </c>
      <c r="P1319" s="3"/>
      <c r="Q1319" s="4"/>
      <c r="R1319" s="4"/>
      <c r="S1319" s="9" t="str">
        <f>HYPERLINK("https://pbs.twimg.com/profile_images/1022006639837229056/1YpQIEli.jpg","View")</f>
        <v>View</v>
      </c>
    </row>
    <row r="1320" spans="1:19" ht="20">
      <c r="A1320" s="8">
        <v>43369.110821759255</v>
      </c>
      <c r="B1320" s="11" t="str">
        <f>HYPERLINK("https://twitter.com/shaden_banoo","@shaden_banoo")</f>
        <v>@shaden_banoo</v>
      </c>
      <c r="C1320" s="6" t="s">
        <v>608</v>
      </c>
      <c r="D1320" s="5" t="s">
        <v>315</v>
      </c>
      <c r="E1320" s="9" t="str">
        <f>HYPERLINK("https://twitter.com/shaden_banoo/status/1044725631462912001","1044725631462912001")</f>
        <v>1044725631462912001</v>
      </c>
      <c r="F1320" s="4"/>
      <c r="G1320" s="10" t="s">
        <v>314</v>
      </c>
      <c r="H1320" s="4"/>
      <c r="I1320" s="10" t="str">
        <f>HYPERLINK("http://twitter.com/download/android","Twitter for Android")</f>
        <v>Twitter for Android</v>
      </c>
      <c r="J1320" s="2">
        <v>78</v>
      </c>
      <c r="K1320" s="2">
        <v>178</v>
      </c>
      <c r="L1320" s="2">
        <v>0</v>
      </c>
      <c r="M1320" s="2"/>
      <c r="N1320" s="8">
        <v>43172.456782407404</v>
      </c>
      <c r="O1320" s="4"/>
      <c r="P1320" s="3"/>
      <c r="Q1320" s="4"/>
      <c r="R1320" s="4"/>
      <c r="S1320" s="9" t="str">
        <f>HYPERLINK("https://pbs.twimg.com/profile_images/998810535339614208/bOqdoKTb.jpg","View")</f>
        <v>View</v>
      </c>
    </row>
    <row r="1321" spans="1:19" ht="40">
      <c r="A1321" s="8">
        <v>43369.110277777778</v>
      </c>
      <c r="B1321" s="11" t="str">
        <f>HYPERLINK("https://twitter.com/mazi_mobarez","@mazi_mobarez")</f>
        <v>@mazi_mobarez</v>
      </c>
      <c r="C1321" s="6" t="s">
        <v>607</v>
      </c>
      <c r="D1321" s="5" t="s">
        <v>163</v>
      </c>
      <c r="E1321" s="9" t="str">
        <f>HYPERLINK("https://twitter.com/mazi_mobarez/status/1044725435370618881","1044725435370618881")</f>
        <v>1044725435370618881</v>
      </c>
      <c r="F1321" s="4"/>
      <c r="G1321" s="10" t="s">
        <v>162</v>
      </c>
      <c r="H1321" s="4"/>
      <c r="I1321" s="10" t="str">
        <f>HYPERLINK("http://twitter.com/download/android","Twitter for Android")</f>
        <v>Twitter for Android</v>
      </c>
      <c r="J1321" s="2">
        <v>24</v>
      </c>
      <c r="K1321" s="2">
        <v>102</v>
      </c>
      <c r="L1321" s="2">
        <v>0</v>
      </c>
      <c r="M1321" s="2"/>
      <c r="N1321" s="8">
        <v>43317.617719907408</v>
      </c>
      <c r="O1321" s="4" t="s">
        <v>606</v>
      </c>
      <c r="P1321" s="3" t="s">
        <v>605</v>
      </c>
      <c r="Q1321" s="4"/>
      <c r="R1321" s="4"/>
      <c r="S1321" s="9" t="str">
        <f>HYPERLINK("https://pbs.twimg.com/profile_images/1026058901815361537/-yl8l1hO.jpg","View")</f>
        <v>View</v>
      </c>
    </row>
    <row r="1322" spans="1:19" ht="40">
      <c r="A1322" s="8">
        <v>43369.10864583333</v>
      </c>
      <c r="B1322" s="11" t="str">
        <f>HYPERLINK("https://twitter.com/MalakyeSaba","@MalakyeSaba")</f>
        <v>@MalakyeSaba</v>
      </c>
      <c r="C1322" s="6" t="s">
        <v>604</v>
      </c>
      <c r="D1322" s="5" t="s">
        <v>28</v>
      </c>
      <c r="E1322" s="9" t="str">
        <f>HYPERLINK("https://twitter.com/MalakyeSaba/status/1044724844196233216","1044724844196233216")</f>
        <v>1044724844196233216</v>
      </c>
      <c r="F1322" s="4"/>
      <c r="G1322" s="4"/>
      <c r="H1322" s="4"/>
      <c r="I1322" s="10" t="str">
        <f>HYPERLINK("http://twitter.com/download/android","Twitter for Android")</f>
        <v>Twitter for Android</v>
      </c>
      <c r="J1322" s="2">
        <v>1271</v>
      </c>
      <c r="K1322" s="2">
        <v>92</v>
      </c>
      <c r="L1322" s="2">
        <v>0</v>
      </c>
      <c r="M1322" s="2"/>
      <c r="N1322" s="8">
        <v>42893.948865740742</v>
      </c>
      <c r="O1322" s="4" t="s">
        <v>603</v>
      </c>
      <c r="P1322" s="3" t="s">
        <v>602</v>
      </c>
      <c r="Q1322" s="4"/>
      <c r="R1322" s="4"/>
      <c r="S1322" s="9" t="str">
        <f>HYPERLINK("https://pbs.twimg.com/profile_images/1011134037338066945/TYk9r4Zx.jpg","View")</f>
        <v>View</v>
      </c>
    </row>
    <row r="1323" spans="1:19" ht="40">
      <c r="A1323" s="8">
        <v>43369.107812499999</v>
      </c>
      <c r="B1323" s="11" t="str">
        <f>HYPERLINK("https://twitter.com/fery_flora","@fery_flora")</f>
        <v>@fery_flora</v>
      </c>
      <c r="C1323" s="6" t="s">
        <v>601</v>
      </c>
      <c r="D1323" s="5" t="s">
        <v>58</v>
      </c>
      <c r="E1323" s="9" t="str">
        <f>HYPERLINK("https://twitter.com/fery_flora/status/1044724540193099779","1044724540193099779")</f>
        <v>1044724540193099779</v>
      </c>
      <c r="F1323" s="4"/>
      <c r="G1323" s="10" t="s">
        <v>57</v>
      </c>
      <c r="H1323" s="4"/>
      <c r="I1323" s="10" t="str">
        <f>HYPERLINK("http://twitter.com/download/android","Twitter for Android")</f>
        <v>Twitter for Android</v>
      </c>
      <c r="J1323" s="2">
        <v>82</v>
      </c>
      <c r="K1323" s="2">
        <v>67</v>
      </c>
      <c r="L1323" s="2">
        <v>0</v>
      </c>
      <c r="M1323" s="2"/>
      <c r="N1323" s="8">
        <v>43273.531168981484</v>
      </c>
      <c r="O1323" s="4" t="s">
        <v>600</v>
      </c>
      <c r="P1323" s="3"/>
      <c r="Q1323" s="4"/>
      <c r="R1323" s="4"/>
      <c r="S1323" s="9" t="str">
        <f>HYPERLINK("https://pbs.twimg.com/profile_images/1022006639837229056/1YpQIEli.jpg","View")</f>
        <v>View</v>
      </c>
    </row>
    <row r="1324" spans="1:19" ht="30">
      <c r="A1324" s="8">
        <v>43369.107557870375</v>
      </c>
      <c r="B1324" s="11" t="str">
        <f>HYPERLINK("https://twitter.com/sima27762554","@sima27762554")</f>
        <v>@sima27762554</v>
      </c>
      <c r="C1324" s="6" t="s">
        <v>321</v>
      </c>
      <c r="D1324" s="5" t="s">
        <v>599</v>
      </c>
      <c r="E1324" s="9" t="str">
        <f>HYPERLINK("https://twitter.com/sima27762554/status/1044724451496153088","1044724451496153088")</f>
        <v>1044724451496153088</v>
      </c>
      <c r="F1324" s="4"/>
      <c r="G1324" s="4"/>
      <c r="H1324" s="4"/>
      <c r="I1324" s="10" t="str">
        <f>HYPERLINK("http://twitter.com/download/iphone","Twitter for iPhone")</f>
        <v>Twitter for iPhone</v>
      </c>
      <c r="J1324" s="2">
        <v>146</v>
      </c>
      <c r="K1324" s="2">
        <v>211</v>
      </c>
      <c r="L1324" s="2">
        <v>0</v>
      </c>
      <c r="M1324" s="2"/>
      <c r="N1324" s="8">
        <v>43293.188680555555</v>
      </c>
      <c r="O1324" s="4"/>
      <c r="P1324" s="3" t="s">
        <v>319</v>
      </c>
      <c r="Q1324" s="4"/>
      <c r="R1324" s="4"/>
      <c r="S1324" s="9" t="str">
        <f>HYPERLINK("https://pbs.twimg.com/profile_images/1021093667455610880/2ZmW0UAD.jpg","View")</f>
        <v>View</v>
      </c>
    </row>
    <row r="1325" spans="1:19" ht="20">
      <c r="A1325" s="8">
        <v>43369.10728009259</v>
      </c>
      <c r="B1325" s="11" t="str">
        <f>HYPERLINK("https://twitter.com/Shbnmmobrki","@Shbnmmobrki")</f>
        <v>@Shbnmmobrki</v>
      </c>
      <c r="C1325" s="6" t="s">
        <v>598</v>
      </c>
      <c r="D1325" s="5" t="s">
        <v>102</v>
      </c>
      <c r="E1325" s="9" t="str">
        <f>HYPERLINK("https://twitter.com/Shbnmmobrki/status/1044724350136582150","1044724350136582150")</f>
        <v>1044724350136582150</v>
      </c>
      <c r="F1325" s="4"/>
      <c r="G1325" s="4"/>
      <c r="H1325" s="4"/>
      <c r="I1325" s="10" t="str">
        <f>HYPERLINK("http://twitter.com/download/android","Twitter for Android")</f>
        <v>Twitter for Android</v>
      </c>
      <c r="J1325" s="2">
        <v>153</v>
      </c>
      <c r="K1325" s="2">
        <v>318</v>
      </c>
      <c r="L1325" s="2">
        <v>1</v>
      </c>
      <c r="M1325" s="2"/>
      <c r="N1325" s="8">
        <v>43350.010115740741</v>
      </c>
      <c r="O1325" s="4"/>
      <c r="P1325" s="3" t="s">
        <v>597</v>
      </c>
      <c r="Q1325" s="4"/>
      <c r="R1325" s="4"/>
      <c r="S1325" s="9" t="str">
        <f>HYPERLINK("https://pbs.twimg.com/profile_images/1040874528178675712/bUSfQ9FU.jpg","View")</f>
        <v>View</v>
      </c>
    </row>
    <row r="1326" spans="1:19" ht="30">
      <c r="A1326" s="8">
        <v>43369.107071759259</v>
      </c>
      <c r="B1326" s="11" t="str">
        <f>HYPERLINK("https://twitter.com/1shizar","@1shizar")</f>
        <v>@1shizar</v>
      </c>
      <c r="C1326" s="6" t="s">
        <v>596</v>
      </c>
      <c r="D1326" s="5" t="s">
        <v>595</v>
      </c>
      <c r="E1326" s="9" t="str">
        <f>HYPERLINK("https://twitter.com/1shizar/status/1044724272239976448","1044724272239976448")</f>
        <v>1044724272239976448</v>
      </c>
      <c r="F1326" s="4"/>
      <c r="G1326" s="4"/>
      <c r="H1326" s="4"/>
      <c r="I1326" s="10" t="str">
        <f>HYPERLINK("http://twitter.com/download/iphone","Twitter for iPhone")</f>
        <v>Twitter for iPhone</v>
      </c>
      <c r="J1326" s="2">
        <v>170</v>
      </c>
      <c r="K1326" s="2">
        <v>298</v>
      </c>
      <c r="L1326" s="2">
        <v>0</v>
      </c>
      <c r="M1326" s="2"/>
      <c r="N1326" s="8">
        <v>41776.062175925923</v>
      </c>
      <c r="O1326" s="4" t="s">
        <v>7</v>
      </c>
      <c r="P1326" s="3" t="s">
        <v>594</v>
      </c>
      <c r="Q1326" s="4"/>
      <c r="R1326" s="4"/>
      <c r="S1326" s="9" t="str">
        <f>HYPERLINK("https://pbs.twimg.com/profile_images/1043591137125183493/WVn7Uzey.jpg","View")</f>
        <v>View</v>
      </c>
    </row>
    <row r="1327" spans="1:19" ht="40">
      <c r="A1327" s="8">
        <v>43369.105509259258</v>
      </c>
      <c r="B1327" s="11" t="str">
        <f>HYPERLINK("https://twitter.com/ArashM4E","@ArashM4E")</f>
        <v>@ArashM4E</v>
      </c>
      <c r="C1327" s="6" t="s">
        <v>515</v>
      </c>
      <c r="D1327" s="5" t="s">
        <v>337</v>
      </c>
      <c r="E1327" s="9" t="str">
        <f>HYPERLINK("https://twitter.com/ArashM4E/status/1044723706885484545","1044723706885484545")</f>
        <v>1044723706885484545</v>
      </c>
      <c r="F1327" s="4"/>
      <c r="G1327" s="4"/>
      <c r="H1327" s="4"/>
      <c r="I1327" s="10" t="str">
        <f>HYPERLINK("http://twitter.com/download/android","Twitter for Android")</f>
        <v>Twitter for Android</v>
      </c>
      <c r="J1327" s="2">
        <v>24</v>
      </c>
      <c r="K1327" s="2">
        <v>106</v>
      </c>
      <c r="L1327" s="2">
        <v>0</v>
      </c>
      <c r="M1327" s="2"/>
      <c r="N1327" s="8">
        <v>42302.539375</v>
      </c>
      <c r="O1327" s="4" t="s">
        <v>48</v>
      </c>
      <c r="P1327" s="3" t="s">
        <v>593</v>
      </c>
      <c r="Q1327" s="4"/>
      <c r="R1327" s="4"/>
      <c r="S1327" s="9" t="str">
        <f>HYPERLINK("https://pbs.twimg.com/profile_images/989243324493172737/gJtNGCY4.jpg","View")</f>
        <v>View</v>
      </c>
    </row>
    <row r="1328" spans="1:19" ht="40">
      <c r="A1328" s="8">
        <v>43369.105162037042</v>
      </c>
      <c r="B1328" s="11" t="str">
        <f>HYPERLINK("https://twitter.com/Javid_Iran","@Javid_Iran")</f>
        <v>@Javid_Iran</v>
      </c>
      <c r="C1328" s="6" t="s">
        <v>592</v>
      </c>
      <c r="D1328" s="5" t="s">
        <v>58</v>
      </c>
      <c r="E1328" s="9" t="str">
        <f>HYPERLINK("https://twitter.com/Javid_Iran/status/1044723581819609088","1044723581819609088")</f>
        <v>1044723581819609088</v>
      </c>
      <c r="F1328" s="4"/>
      <c r="G1328" s="10" t="s">
        <v>57</v>
      </c>
      <c r="H1328" s="4"/>
      <c r="I1328" s="10" t="str">
        <f>HYPERLINK("http://twitter.com/download/android","Twitter for Android")</f>
        <v>Twitter for Android</v>
      </c>
      <c r="J1328" s="2">
        <v>179</v>
      </c>
      <c r="K1328" s="2">
        <v>167</v>
      </c>
      <c r="L1328" s="2">
        <v>0</v>
      </c>
      <c r="M1328" s="2"/>
      <c r="N1328" s="8">
        <v>39981.311307870368</v>
      </c>
      <c r="O1328" s="4"/>
      <c r="P1328" s="3"/>
      <c r="Q1328" s="4"/>
      <c r="R1328" s="4"/>
      <c r="S1328" s="9" t="str">
        <f>HYPERLINK("https://pbs.twimg.com/profile_images/267672580/www_mihanam_com_old_20_280_29-Derafshe_Kavyani.jpg","View")</f>
        <v>View</v>
      </c>
    </row>
    <row r="1329" spans="1:19" ht="20">
      <c r="A1329" s="8">
        <v>43369.104212962964</v>
      </c>
      <c r="B1329" s="11" t="str">
        <f>HYPERLINK("https://twitter.com/darushnourie31","@darushnourie31")</f>
        <v>@darushnourie31</v>
      </c>
      <c r="C1329" s="6" t="s">
        <v>591</v>
      </c>
      <c r="D1329" s="5" t="s">
        <v>590</v>
      </c>
      <c r="E1329" s="9" t="str">
        <f>HYPERLINK("https://twitter.com/darushnourie31/status/1044723238373392388","1044723238373392388")</f>
        <v>1044723238373392388</v>
      </c>
      <c r="F1329" s="10" t="s">
        <v>587</v>
      </c>
      <c r="G1329" s="10" t="s">
        <v>589</v>
      </c>
      <c r="H1329" s="4"/>
      <c r="I1329" s="10" t="str">
        <f>HYPERLINK("http://twitter.com/download/android","Twitter for Android")</f>
        <v>Twitter for Android</v>
      </c>
      <c r="J1329" s="2">
        <v>2</v>
      </c>
      <c r="K1329" s="2">
        <v>18</v>
      </c>
      <c r="L1329" s="2">
        <v>0</v>
      </c>
      <c r="M1329" s="2"/>
      <c r="N1329" s="8">
        <v>43365.080636574072</v>
      </c>
      <c r="O1329" s="4"/>
      <c r="P1329" s="3" t="s">
        <v>588</v>
      </c>
      <c r="Q1329" s="10" t="s">
        <v>587</v>
      </c>
      <c r="R1329" s="4"/>
      <c r="S1329" s="9" t="str">
        <f>HYPERLINK("https://pbs.twimg.com/profile_images/1044724836470263809/eJkU2F87.jpg","View")</f>
        <v>View</v>
      </c>
    </row>
    <row r="1330" spans="1:19" ht="30">
      <c r="A1330" s="8">
        <v>43369.104050925926</v>
      </c>
      <c r="B1330" s="11" t="str">
        <f>HYPERLINK("https://twitter.com/BeheshtAbolfazl","@BeheshtAbolfazl")</f>
        <v>@BeheshtAbolfazl</v>
      </c>
      <c r="C1330" s="6" t="s">
        <v>586</v>
      </c>
      <c r="D1330" s="5" t="s">
        <v>585</v>
      </c>
      <c r="E1330" s="9" t="str">
        <f>HYPERLINK("https://twitter.com/BeheshtAbolfazl/status/1044723180471029760","1044723180471029760")</f>
        <v>1044723180471029760</v>
      </c>
      <c r="F1330" s="4"/>
      <c r="G1330" s="10" t="s">
        <v>584</v>
      </c>
      <c r="H1330" s="4"/>
      <c r="I1330" s="10" t="str">
        <f>HYPERLINK("http://twitter.com","Twitter Web Client")</f>
        <v>Twitter Web Client</v>
      </c>
      <c r="J1330" s="2">
        <v>1089</v>
      </c>
      <c r="K1330" s="2">
        <v>260</v>
      </c>
      <c r="L1330" s="2">
        <v>42</v>
      </c>
      <c r="M1330" s="2"/>
      <c r="N1330" s="8">
        <v>41346.423946759256</v>
      </c>
      <c r="O1330" s="4" t="s">
        <v>161</v>
      </c>
      <c r="P1330" s="3" t="s">
        <v>583</v>
      </c>
      <c r="Q1330" s="10" t="s">
        <v>582</v>
      </c>
      <c r="R1330" s="4"/>
      <c r="S1330" s="9" t="str">
        <f>HYPERLINK("https://pbs.twimg.com/profile_images/808793924630413313/KEp8xso7.jpg","View")</f>
        <v>View</v>
      </c>
    </row>
    <row r="1331" spans="1:19" ht="30">
      <c r="A1331" s="8">
        <v>43369.102604166663</v>
      </c>
      <c r="B1331" s="11" t="str">
        <f>HYPERLINK("https://twitter.com/GandomJan","@GandomJan")</f>
        <v>@GandomJan</v>
      </c>
      <c r="C1331" s="6" t="s">
        <v>581</v>
      </c>
      <c r="D1331" s="5" t="s">
        <v>292</v>
      </c>
      <c r="E1331" s="9" t="str">
        <f>HYPERLINK("https://twitter.com/GandomJan/status/1044722656057135105","1044722656057135105")</f>
        <v>1044722656057135105</v>
      </c>
      <c r="F1331" s="10" t="s">
        <v>216</v>
      </c>
      <c r="G1331" s="4"/>
      <c r="H1331" s="4"/>
      <c r="I1331" s="10" t="str">
        <f>HYPERLINK("http://twitter.com/download/android","Twitter for Android")</f>
        <v>Twitter for Android</v>
      </c>
      <c r="J1331" s="2">
        <v>1008</v>
      </c>
      <c r="K1331" s="2">
        <v>2012</v>
      </c>
      <c r="L1331" s="2">
        <v>12</v>
      </c>
      <c r="M1331" s="2"/>
      <c r="N1331" s="8">
        <v>42663.867025462961</v>
      </c>
      <c r="O1331" s="4" t="s">
        <v>48</v>
      </c>
      <c r="P1331" s="3" t="s">
        <v>580</v>
      </c>
      <c r="Q1331" s="4"/>
      <c r="R1331" s="4"/>
      <c r="S1331" s="9" t="str">
        <f>HYPERLINK("https://pbs.twimg.com/profile_images/898311075497693184/_zP7DoKS.jpg","View")</f>
        <v>View</v>
      </c>
    </row>
    <row r="1332" spans="1:19" ht="40">
      <c r="A1332" s="8">
        <v>43369.100694444445</v>
      </c>
      <c r="B1332" s="11" t="str">
        <f>HYPERLINK("https://twitter.com/drmalavi","@drmalavi")</f>
        <v>@drmalavi</v>
      </c>
      <c r="C1332" s="6" t="s">
        <v>479</v>
      </c>
      <c r="D1332" s="5" t="s">
        <v>579</v>
      </c>
      <c r="E1332" s="9" t="str">
        <f>HYPERLINK("https://twitter.com/drmalavi/status/1044721961262350336","1044721961262350336")</f>
        <v>1044721961262350336</v>
      </c>
      <c r="F1332" s="4"/>
      <c r="G1332" s="4"/>
      <c r="H1332" s="4"/>
      <c r="I1332" s="10" t="str">
        <f>HYPERLINK("http://twitter.com/download/iphone","Twitter for iPhone")</f>
        <v>Twitter for iPhone</v>
      </c>
      <c r="J1332" s="2">
        <v>841</v>
      </c>
      <c r="K1332" s="2">
        <v>400</v>
      </c>
      <c r="L1332" s="2">
        <v>5</v>
      </c>
      <c r="M1332" s="2"/>
      <c r="N1332" s="8">
        <v>41037.078993055555</v>
      </c>
      <c r="O1332" s="4" t="s">
        <v>48</v>
      </c>
      <c r="P1332" s="3" t="s">
        <v>478</v>
      </c>
      <c r="Q1332" s="10" t="s">
        <v>477</v>
      </c>
      <c r="R1332" s="4"/>
      <c r="S1332" s="9" t="str">
        <f>HYPERLINK("https://pbs.twimg.com/profile_images/378800000084459460/61ef42ed5f30230f9a853fd6b83b89bc.jpeg","View")</f>
        <v>View</v>
      </c>
    </row>
    <row r="1333" spans="1:19" ht="30">
      <c r="A1333" s="8">
        <v>43369.100081018521</v>
      </c>
      <c r="B1333" s="11" t="str">
        <f>HYPERLINK("https://twitter.com/EnsanamArezoust","@EnsanamArezoust")</f>
        <v>@EnsanamArezoust</v>
      </c>
      <c r="C1333" s="6" t="s">
        <v>578</v>
      </c>
      <c r="D1333" s="5" t="s">
        <v>520</v>
      </c>
      <c r="E1333" s="9" t="str">
        <f>HYPERLINK("https://twitter.com/EnsanamArezoust/status/1044721738867773441","1044721738867773441")</f>
        <v>1044721738867773441</v>
      </c>
      <c r="F1333" s="4"/>
      <c r="G1333" s="4"/>
      <c r="H1333" s="4"/>
      <c r="I1333" s="10" t="str">
        <f>HYPERLINK("http://twitter.com/download/android","Twitter for Android")</f>
        <v>Twitter for Android</v>
      </c>
      <c r="J1333" s="2">
        <v>70</v>
      </c>
      <c r="K1333" s="2">
        <v>131</v>
      </c>
      <c r="L1333" s="2">
        <v>0</v>
      </c>
      <c r="M1333" s="2"/>
      <c r="N1333" s="8">
        <v>42952.910625000004</v>
      </c>
      <c r="O1333" s="4"/>
      <c r="P1333" s="3"/>
      <c r="Q1333" s="4"/>
      <c r="R1333" s="4"/>
      <c r="S1333" s="9" t="str">
        <f>HYPERLINK("https://pbs.twimg.com/profile_images/896755719147532288/OczQdKW2.jpg","View")</f>
        <v>View</v>
      </c>
    </row>
    <row r="1334" spans="1:19" ht="40">
      <c r="A1334" s="8">
        <v>43369.098379629635</v>
      </c>
      <c r="B1334" s="11" t="str">
        <f>HYPERLINK("https://twitter.com/annarajabi","@annarajabi")</f>
        <v>@annarajabi</v>
      </c>
      <c r="C1334" s="6" t="s">
        <v>577</v>
      </c>
      <c r="D1334" s="5" t="s">
        <v>337</v>
      </c>
      <c r="E1334" s="9" t="str">
        <f>HYPERLINK("https://twitter.com/annarajabi/status/1044721124502908932","1044721124502908932")</f>
        <v>1044721124502908932</v>
      </c>
      <c r="F1334" s="4"/>
      <c r="G1334" s="4"/>
      <c r="H1334" s="4"/>
      <c r="I1334" s="10" t="str">
        <f>HYPERLINK("http://twitter.com/download/android","Twitter for Android")</f>
        <v>Twitter for Android</v>
      </c>
      <c r="J1334" s="2">
        <v>238</v>
      </c>
      <c r="K1334" s="2">
        <v>427</v>
      </c>
      <c r="L1334" s="2">
        <v>0</v>
      </c>
      <c r="M1334" s="2"/>
      <c r="N1334" s="8">
        <v>41211.207939814813</v>
      </c>
      <c r="O1334" s="4"/>
      <c r="P1334" s="3"/>
      <c r="Q1334" s="4"/>
      <c r="R1334" s="4"/>
      <c r="S1334" s="9" t="str">
        <f>HYPERLINK("https://pbs.twimg.com/profile_images/856254528777310208/3S83TyWn.jpg","View")</f>
        <v>View</v>
      </c>
    </row>
    <row r="1335" spans="1:19" ht="40">
      <c r="A1335" s="8">
        <v>43369.098032407404</v>
      </c>
      <c r="B1335" s="11" t="str">
        <f>HYPERLINK("https://twitter.com/KsrSkki","@KsrSkki")</f>
        <v>@KsrSkki</v>
      </c>
      <c r="C1335" s="6" t="s">
        <v>576</v>
      </c>
      <c r="D1335" s="5" t="s">
        <v>575</v>
      </c>
      <c r="E1335" s="9" t="str">
        <f>HYPERLINK("https://twitter.com/KsrSkki/status/1044720998808002560","1044720998808002560")</f>
        <v>1044720998808002560</v>
      </c>
      <c r="F1335" s="4"/>
      <c r="G1335" s="4"/>
      <c r="H1335" s="4"/>
      <c r="I1335" s="10" t="str">
        <f>HYPERLINK("http://twitter.com/download/android","Twitter for Android")</f>
        <v>Twitter for Android</v>
      </c>
      <c r="J1335" s="2">
        <v>212</v>
      </c>
      <c r="K1335" s="2">
        <v>547</v>
      </c>
      <c r="L1335" s="2">
        <v>0</v>
      </c>
      <c r="M1335" s="2"/>
      <c r="N1335" s="8">
        <v>41327.016909722224</v>
      </c>
      <c r="O1335" s="4" t="s">
        <v>16</v>
      </c>
      <c r="P1335" s="3" t="s">
        <v>574</v>
      </c>
      <c r="Q1335" s="4"/>
      <c r="R1335" s="4"/>
      <c r="S1335" s="9" t="str">
        <f>HYPERLINK("https://pbs.twimg.com/profile_images/1009458055216599040/PtkUZ25d.jpg","View")</f>
        <v>View</v>
      </c>
    </row>
    <row r="1336" spans="1:19" ht="50">
      <c r="A1336" s="8">
        <v>43369.09747685185</v>
      </c>
      <c r="B1336" s="11" t="str">
        <f>HYPERLINK("https://twitter.com/A73539567","@A73539567")</f>
        <v>@A73539567</v>
      </c>
      <c r="C1336" s="6" t="s">
        <v>573</v>
      </c>
      <c r="D1336" s="5" t="s">
        <v>202</v>
      </c>
      <c r="E1336" s="9" t="str">
        <f>HYPERLINK("https://twitter.com/A73539567/status/1044720795132530689","1044720795132530689")</f>
        <v>1044720795132530689</v>
      </c>
      <c r="F1336" s="4"/>
      <c r="G1336" s="4"/>
      <c r="H1336" s="4"/>
      <c r="I1336" s="10" t="str">
        <f>HYPERLINK("http://twitter.com/download/android","Twitter for Android")</f>
        <v>Twitter for Android</v>
      </c>
      <c r="J1336" s="2">
        <v>119</v>
      </c>
      <c r="K1336" s="2">
        <v>493</v>
      </c>
      <c r="L1336" s="2">
        <v>0</v>
      </c>
      <c r="M1336" s="2"/>
      <c r="N1336" s="8">
        <v>43047.587488425925</v>
      </c>
      <c r="O1336" s="4" t="s">
        <v>572</v>
      </c>
      <c r="P1336" s="3" t="s">
        <v>571</v>
      </c>
      <c r="Q1336" s="4"/>
      <c r="R1336" s="4"/>
      <c r="S1336" s="9" t="str">
        <f>HYPERLINK("https://pbs.twimg.com/profile_images/1025334169201606656/xdTpm5eV.jpg","View")</f>
        <v>View</v>
      </c>
    </row>
    <row r="1337" spans="1:19" ht="30">
      <c r="A1337" s="8">
        <v>43369.097002314811</v>
      </c>
      <c r="B1337" s="11" t="str">
        <f>HYPERLINK("https://twitter.com/DaraACM","@DaraACM")</f>
        <v>@DaraACM</v>
      </c>
      <c r="C1337" s="6" t="s">
        <v>523</v>
      </c>
      <c r="D1337" s="5" t="s">
        <v>106</v>
      </c>
      <c r="E1337" s="9" t="str">
        <f>HYPERLINK("https://twitter.com/DaraACM/status/1044720625879846912","1044720625879846912")</f>
        <v>1044720625879846912</v>
      </c>
      <c r="F1337" s="4"/>
      <c r="G1337" s="10" t="s">
        <v>105</v>
      </c>
      <c r="H1337" s="4"/>
      <c r="I1337" s="10" t="str">
        <f>HYPERLINK("http://twitter.com/download/android","Twitter for Android")</f>
        <v>Twitter for Android</v>
      </c>
      <c r="J1337" s="2">
        <v>577</v>
      </c>
      <c r="K1337" s="2">
        <v>269</v>
      </c>
      <c r="L1337" s="2">
        <v>4</v>
      </c>
      <c r="M1337" s="2"/>
      <c r="N1337" s="8">
        <v>41797.818506944444</v>
      </c>
      <c r="O1337" s="4"/>
      <c r="P1337" s="3" t="s">
        <v>522</v>
      </c>
      <c r="Q1337" s="4"/>
      <c r="R1337" s="4"/>
      <c r="S1337" s="9" t="str">
        <f>HYPERLINK("https://pbs.twimg.com/profile_images/1025274989837254656/x__9YJeI.jpg","View")</f>
        <v>View</v>
      </c>
    </row>
    <row r="1338" spans="1:19" ht="40">
      <c r="A1338" s="8">
        <v>43369.096006944441</v>
      </c>
      <c r="B1338" s="11" t="str">
        <f>HYPERLINK("https://twitter.com/pilot_marmar","@pilot_marmar")</f>
        <v>@pilot_marmar</v>
      </c>
      <c r="C1338" s="6" t="s">
        <v>570</v>
      </c>
      <c r="D1338" s="5" t="s">
        <v>531</v>
      </c>
      <c r="E1338" s="9" t="str">
        <f>HYPERLINK("https://twitter.com/pilot_marmar/status/1044720265673023488","1044720265673023488")</f>
        <v>1044720265673023488</v>
      </c>
      <c r="F1338" s="4"/>
      <c r="G1338" s="4"/>
      <c r="H1338" s="4"/>
      <c r="I1338" s="10" t="str">
        <f>HYPERLINK("http://twitter.com/download/iphone","Twitter for iPhone")</f>
        <v>Twitter for iPhone</v>
      </c>
      <c r="J1338" s="2">
        <v>3476</v>
      </c>
      <c r="K1338" s="2">
        <v>994</v>
      </c>
      <c r="L1338" s="2">
        <v>10</v>
      </c>
      <c r="M1338" s="2"/>
      <c r="N1338" s="8">
        <v>43015.034375000003</v>
      </c>
      <c r="O1338" s="4" t="s">
        <v>569</v>
      </c>
      <c r="P1338" s="3" t="s">
        <v>568</v>
      </c>
      <c r="Q1338" s="10" t="s">
        <v>567</v>
      </c>
      <c r="R1338" s="4"/>
      <c r="S1338" s="9" t="str">
        <f>HYPERLINK("https://pbs.twimg.com/profile_images/1044132900839587840/gyizIqTD.jpg","View")</f>
        <v>View</v>
      </c>
    </row>
    <row r="1339" spans="1:19" ht="40">
      <c r="A1339" s="8">
        <v>43369.094375000001</v>
      </c>
      <c r="B1339" s="11" t="str">
        <f>HYPERLINK("https://twitter.com/Rezafakhari3","@Rezafakhari3")</f>
        <v>@Rezafakhari3</v>
      </c>
      <c r="C1339" s="6" t="s">
        <v>445</v>
      </c>
      <c r="D1339" s="5" t="s">
        <v>58</v>
      </c>
      <c r="E1339" s="9" t="str">
        <f>HYPERLINK("https://twitter.com/Rezafakhari3/status/1044719673173061633","1044719673173061633")</f>
        <v>1044719673173061633</v>
      </c>
      <c r="F1339" s="4"/>
      <c r="G1339" s="10" t="s">
        <v>57</v>
      </c>
      <c r="H1339" s="4"/>
      <c r="I1339" s="10" t="str">
        <f>HYPERLINK("http://twitter.com/download/android","Twitter for Android")</f>
        <v>Twitter for Android</v>
      </c>
      <c r="J1339" s="2">
        <v>218</v>
      </c>
      <c r="K1339" s="2">
        <v>696</v>
      </c>
      <c r="L1339" s="2">
        <v>3</v>
      </c>
      <c r="M1339" s="2"/>
      <c r="N1339" s="8">
        <v>43298.741064814814</v>
      </c>
      <c r="O1339" s="4"/>
      <c r="P1339" s="3" t="s">
        <v>444</v>
      </c>
      <c r="Q1339" s="4"/>
      <c r="R1339" s="4"/>
      <c r="S1339" s="9" t="str">
        <f>HYPERLINK("https://pbs.twimg.com/profile_images/1019212646292250624/CYkO4Fhl.jpg","View")</f>
        <v>View</v>
      </c>
    </row>
    <row r="1340" spans="1:19" ht="30">
      <c r="A1340" s="8">
        <v>43369.094189814816</v>
      </c>
      <c r="B1340" s="11" t="str">
        <f>HYPERLINK("https://twitter.com/Big_boss202020","@Big_boss202020")</f>
        <v>@Big_boss202020</v>
      </c>
      <c r="C1340" s="6" t="s">
        <v>566</v>
      </c>
      <c r="D1340" s="5" t="s">
        <v>106</v>
      </c>
      <c r="E1340" s="9" t="str">
        <f>HYPERLINK("https://twitter.com/Big_boss202020/status/1044719603946057731","1044719603946057731")</f>
        <v>1044719603946057731</v>
      </c>
      <c r="F1340" s="4"/>
      <c r="G1340" s="10" t="s">
        <v>105</v>
      </c>
      <c r="H1340" s="4"/>
      <c r="I1340" s="10" t="str">
        <f>HYPERLINK("http://twitter.com/download/android","Twitter for Android")</f>
        <v>Twitter for Android</v>
      </c>
      <c r="J1340" s="2">
        <v>42</v>
      </c>
      <c r="K1340" s="2">
        <v>91</v>
      </c>
      <c r="L1340" s="2">
        <v>0</v>
      </c>
      <c r="M1340" s="2"/>
      <c r="N1340" s="8">
        <v>42639.05574074074</v>
      </c>
      <c r="O1340" s="4"/>
      <c r="P1340" s="3"/>
      <c r="Q1340" s="4"/>
      <c r="R1340" s="4"/>
      <c r="S1340" s="9" t="str">
        <f>HYPERLINK("https://pbs.twimg.com/profile_images/893342119213113345/kxU__iC6.jpg","View")</f>
        <v>View</v>
      </c>
    </row>
    <row r="1341" spans="1:19" ht="40">
      <c r="A1341" s="8">
        <v>43369.093576388885</v>
      </c>
      <c r="B1341" s="11" t="str">
        <f>HYPERLINK("https://twitter.com/ahura73579767","@ahura73579767")</f>
        <v>@ahura73579767</v>
      </c>
      <c r="C1341" s="6" t="s">
        <v>565</v>
      </c>
      <c r="D1341" s="5" t="s">
        <v>393</v>
      </c>
      <c r="E1341" s="9" t="str">
        <f>HYPERLINK("https://twitter.com/ahura73579767/status/1044719384516653057","1044719384516653057")</f>
        <v>1044719384516653057</v>
      </c>
      <c r="F1341" s="4"/>
      <c r="G1341" s="10" t="s">
        <v>392</v>
      </c>
      <c r="H1341" s="4"/>
      <c r="I1341" s="10" t="str">
        <f>HYPERLINK("http://twitter.com/#!/download/ipad","Twitter for iPad")</f>
        <v>Twitter for iPad</v>
      </c>
      <c r="J1341" s="2">
        <v>19</v>
      </c>
      <c r="K1341" s="2">
        <v>35</v>
      </c>
      <c r="L1341" s="2">
        <v>0</v>
      </c>
      <c r="M1341" s="2"/>
      <c r="N1341" s="8">
        <v>43350.222534722227</v>
      </c>
      <c r="O1341" s="4" t="s">
        <v>33</v>
      </c>
      <c r="P1341" s="3"/>
      <c r="Q1341" s="4"/>
      <c r="R1341" s="4"/>
      <c r="S1341" s="9" t="str">
        <f>HYPERLINK("https://pbs.twimg.com/profile_images/1037868357804933120/tVSrqM4C.jpg","View")</f>
        <v>View</v>
      </c>
    </row>
    <row r="1342" spans="1:19" ht="40">
      <c r="A1342" s="8">
        <v>43369.09275462963</v>
      </c>
      <c r="B1342" s="11" t="str">
        <f>HYPERLINK("https://twitter.com/Honem11","@Honem11")</f>
        <v>@Honem11</v>
      </c>
      <c r="C1342" s="6" t="s">
        <v>564</v>
      </c>
      <c r="D1342" s="5" t="s">
        <v>58</v>
      </c>
      <c r="E1342" s="9" t="str">
        <f>HYPERLINK("https://twitter.com/Honem11/status/1044719087081934848","1044719087081934848")</f>
        <v>1044719087081934848</v>
      </c>
      <c r="F1342" s="4"/>
      <c r="G1342" s="10" t="s">
        <v>57</v>
      </c>
      <c r="H1342" s="4"/>
      <c r="I1342" s="10" t="str">
        <f>HYPERLINK("http://twitter.com/download/android","Twitter for Android")</f>
        <v>Twitter for Android</v>
      </c>
      <c r="J1342" s="2">
        <v>865</v>
      </c>
      <c r="K1342" s="2">
        <v>814</v>
      </c>
      <c r="L1342" s="2">
        <v>0</v>
      </c>
      <c r="M1342" s="2"/>
      <c r="N1342" s="8">
        <v>43113.633252314816</v>
      </c>
      <c r="O1342" s="4"/>
      <c r="P1342" s="3" t="s">
        <v>563</v>
      </c>
      <c r="Q1342" s="4"/>
      <c r="R1342" s="4"/>
      <c r="S1342" s="9" t="str">
        <f>HYPERLINK("https://pbs.twimg.com/profile_images/1020595792447459329/c1NvmwAG.jpg","View")</f>
        <v>View</v>
      </c>
    </row>
    <row r="1343" spans="1:19" ht="30">
      <c r="A1343" s="8">
        <v>43369.092546296291</v>
      </c>
      <c r="B1343" s="11" t="str">
        <f>HYPERLINK("https://twitter.com/KimjongunIII","@KimjongunIII")</f>
        <v>@KimjongunIII</v>
      </c>
      <c r="C1343" s="6" t="s">
        <v>562</v>
      </c>
      <c r="D1343" s="5" t="s">
        <v>49</v>
      </c>
      <c r="E1343" s="9" t="str">
        <f>HYPERLINK("https://twitter.com/KimjongunIII/status/1044719008224874496","1044719008224874496")</f>
        <v>1044719008224874496</v>
      </c>
      <c r="F1343" s="4"/>
      <c r="G1343" s="4"/>
      <c r="H1343" s="4"/>
      <c r="I1343" s="10" t="str">
        <f>HYPERLINK("http://twitter.com/download/android","Twitter for Android")</f>
        <v>Twitter for Android</v>
      </c>
      <c r="J1343" s="2">
        <v>303</v>
      </c>
      <c r="K1343" s="2">
        <v>136</v>
      </c>
      <c r="L1343" s="2">
        <v>0</v>
      </c>
      <c r="M1343" s="2"/>
      <c r="N1343" s="8">
        <v>42731.843148148153</v>
      </c>
      <c r="O1343" s="4" t="s">
        <v>561</v>
      </c>
      <c r="P1343" s="3" t="s">
        <v>560</v>
      </c>
      <c r="Q1343" s="4"/>
      <c r="R1343" s="4"/>
      <c r="S1343" s="9" t="str">
        <f>HYPERLINK("https://pbs.twimg.com/profile_images/1043476783549620226/6d0TDEQg.jpg","View")</f>
        <v>View</v>
      </c>
    </row>
    <row r="1344" spans="1:19" ht="40">
      <c r="A1344" s="8">
        <v>43369.09211805556</v>
      </c>
      <c r="B1344" s="11" t="str">
        <f>HYPERLINK("https://twitter.com/SiyamakSaboori","@SiyamakSaboori")</f>
        <v>@SiyamakSaboori</v>
      </c>
      <c r="C1344" s="6" t="s">
        <v>559</v>
      </c>
      <c r="D1344" s="5" t="s">
        <v>558</v>
      </c>
      <c r="E1344" s="9" t="str">
        <f>HYPERLINK("https://twitter.com/SiyamakSaboori/status/1044718856080707584","1044718856080707584")</f>
        <v>1044718856080707584</v>
      </c>
      <c r="F1344" s="4"/>
      <c r="G1344" s="4"/>
      <c r="H1344" s="4"/>
      <c r="I1344" s="10" t="str">
        <f>HYPERLINK("http://twitter.com/download/iphone","Twitter for iPhone")</f>
        <v>Twitter for iPhone</v>
      </c>
      <c r="J1344" s="2">
        <v>161</v>
      </c>
      <c r="K1344" s="2">
        <v>144</v>
      </c>
      <c r="L1344" s="2">
        <v>1</v>
      </c>
      <c r="M1344" s="2"/>
      <c r="N1344" s="8">
        <v>43112.185810185183</v>
      </c>
      <c r="O1344" s="4" t="s">
        <v>557</v>
      </c>
      <c r="P1344" s="3" t="s">
        <v>556</v>
      </c>
      <c r="Q1344" s="10" t="s">
        <v>555</v>
      </c>
      <c r="R1344" s="4"/>
      <c r="S1344" s="9" t="str">
        <f>HYPERLINK("https://pbs.twimg.com/profile_images/1027719975740563456/bBcqcwsW.jpg","View")</f>
        <v>View</v>
      </c>
    </row>
    <row r="1345" spans="1:19" ht="20">
      <c r="A1345" s="8">
        <v>43369.091122685189</v>
      </c>
      <c r="B1345" s="11" t="str">
        <f>HYPERLINK("https://twitter.com/Rezafakhari3","@Rezafakhari3")</f>
        <v>@Rezafakhari3</v>
      </c>
      <c r="C1345" s="6" t="s">
        <v>445</v>
      </c>
      <c r="D1345" s="5" t="s">
        <v>438</v>
      </c>
      <c r="E1345" s="9" t="str">
        <f>HYPERLINK("https://twitter.com/Rezafakhari3/status/1044718493789229058","1044718493789229058")</f>
        <v>1044718493789229058</v>
      </c>
      <c r="F1345" s="10" t="s">
        <v>437</v>
      </c>
      <c r="G1345" s="10" t="s">
        <v>436</v>
      </c>
      <c r="H1345" s="4"/>
      <c r="I1345" s="10" t="str">
        <f>HYPERLINK("http://twitter.com/download/android","Twitter for Android")</f>
        <v>Twitter for Android</v>
      </c>
      <c r="J1345" s="2">
        <v>218</v>
      </c>
      <c r="K1345" s="2">
        <v>696</v>
      </c>
      <c r="L1345" s="2">
        <v>3</v>
      </c>
      <c r="M1345" s="2"/>
      <c r="N1345" s="8">
        <v>43298.741064814814</v>
      </c>
      <c r="O1345" s="4"/>
      <c r="P1345" s="3" t="s">
        <v>444</v>
      </c>
      <c r="Q1345" s="4"/>
      <c r="R1345" s="4"/>
      <c r="S1345" s="9" t="str">
        <f>HYPERLINK("https://pbs.twimg.com/profile_images/1019212646292250624/CYkO4Fhl.jpg","View")</f>
        <v>View</v>
      </c>
    </row>
    <row r="1346" spans="1:19" ht="40">
      <c r="A1346" s="8">
        <v>43369.090983796297</v>
      </c>
      <c r="B1346" s="11" t="str">
        <f>HYPERLINK("https://twitter.com/HabibNajar10","@HabibNajar10")</f>
        <v>@HabibNajar10</v>
      </c>
      <c r="C1346" s="6" t="s">
        <v>554</v>
      </c>
      <c r="D1346" s="5" t="s">
        <v>553</v>
      </c>
      <c r="E1346" s="9" t="str">
        <f>HYPERLINK("https://twitter.com/HabibNajar10/status/1044718443885465601","1044718443885465601")</f>
        <v>1044718443885465601</v>
      </c>
      <c r="F1346" s="4"/>
      <c r="G1346" s="4"/>
      <c r="H1346" s="4"/>
      <c r="I1346" s="10" t="str">
        <f>HYPERLINK("http://twitter.com/download/android","Twitter for Android")</f>
        <v>Twitter for Android</v>
      </c>
      <c r="J1346" s="2">
        <v>73</v>
      </c>
      <c r="K1346" s="2">
        <v>312</v>
      </c>
      <c r="L1346" s="2">
        <v>0</v>
      </c>
      <c r="M1346" s="2"/>
      <c r="N1346" s="8">
        <v>43360.11142361111</v>
      </c>
      <c r="O1346" s="4"/>
      <c r="P1346" s="3" t="s">
        <v>552</v>
      </c>
      <c r="Q1346" s="4"/>
      <c r="R1346" s="4"/>
      <c r="S1346" s="9" t="str">
        <f>HYPERLINK("https://pbs.twimg.com/profile_images/1041760491398483979/F-e5TUM4.jpg","View")</f>
        <v>View</v>
      </c>
    </row>
    <row r="1347" spans="1:19" ht="20">
      <c r="A1347" s="8">
        <v>43369.090729166666</v>
      </c>
      <c r="B1347" s="11" t="str">
        <f>HYPERLINK("https://twitter.com/Nilli41695456","@Nilli41695456")</f>
        <v>@Nilli41695456</v>
      </c>
      <c r="C1347" s="6" t="s">
        <v>551</v>
      </c>
      <c r="D1347" s="5" t="s">
        <v>63</v>
      </c>
      <c r="E1347" s="9" t="str">
        <f>HYPERLINK("https://twitter.com/Nilli41695456/status/1044718353112289280","1044718353112289280")</f>
        <v>1044718353112289280</v>
      </c>
      <c r="F1347" s="4"/>
      <c r="G1347" s="4"/>
      <c r="H1347" s="4"/>
      <c r="I1347" s="10" t="str">
        <f>HYPERLINK("http://twitter.com/download/iphone","Twitter for iPhone")</f>
        <v>Twitter for iPhone</v>
      </c>
      <c r="J1347" s="2">
        <v>6</v>
      </c>
      <c r="K1347" s="2">
        <v>23</v>
      </c>
      <c r="L1347" s="2">
        <v>0</v>
      </c>
      <c r="M1347" s="2"/>
      <c r="N1347" s="8">
        <v>43309.712060185186</v>
      </c>
      <c r="O1347" s="4"/>
      <c r="P1347" s="3"/>
      <c r="Q1347" s="4"/>
      <c r="R1347" s="4"/>
      <c r="S1347" s="9" t="str">
        <f>HYPERLINK("https://pbs.twimg.com/profile_images/1023186402165641216/eSZbniuP.jpg","View")</f>
        <v>View</v>
      </c>
    </row>
    <row r="1348" spans="1:19" ht="30">
      <c r="A1348" s="8">
        <v>43369.090671296297</v>
      </c>
      <c r="B1348" s="11" t="str">
        <f>HYPERLINK("https://twitter.com/munzzz","@munzzz")</f>
        <v>@munzzz</v>
      </c>
      <c r="C1348" s="6" t="s">
        <v>550</v>
      </c>
      <c r="D1348" s="5" t="s">
        <v>549</v>
      </c>
      <c r="E1348" s="9" t="str">
        <f>HYPERLINK("https://twitter.com/munzzz/status/1044718330622423040","1044718330622423040")</f>
        <v>1044718330622423040</v>
      </c>
      <c r="F1348" s="4"/>
      <c r="G1348" s="4"/>
      <c r="H1348" s="4"/>
      <c r="I1348" s="10" t="str">
        <f>HYPERLINK("http://twitter.com/download/iphone","Twitter for iPhone")</f>
        <v>Twitter for iPhone</v>
      </c>
      <c r="J1348" s="2">
        <v>254</v>
      </c>
      <c r="K1348" s="2">
        <v>619</v>
      </c>
      <c r="L1348" s="2">
        <v>4</v>
      </c>
      <c r="M1348" s="2"/>
      <c r="N1348" s="8">
        <v>39870.780682870369</v>
      </c>
      <c r="O1348" s="4" t="s">
        <v>7</v>
      </c>
      <c r="P1348" s="3" t="s">
        <v>548</v>
      </c>
      <c r="Q1348" s="10" t="s">
        <v>547</v>
      </c>
      <c r="R1348" s="4"/>
      <c r="S1348" s="9" t="str">
        <f>HYPERLINK("https://pbs.twimg.com/profile_images/983462834465067009/BeNtsp5n.jpg","View")</f>
        <v>View</v>
      </c>
    </row>
    <row r="1349" spans="1:19" ht="30">
      <c r="A1349" s="8">
        <v>43369.090532407412</v>
      </c>
      <c r="B1349" s="11" t="str">
        <f>HYPERLINK("https://twitter.com/Kakamuez","@Kakamuez")</f>
        <v>@Kakamuez</v>
      </c>
      <c r="C1349" s="6" t="s">
        <v>546</v>
      </c>
      <c r="D1349" s="5" t="s">
        <v>49</v>
      </c>
      <c r="E1349" s="9" t="str">
        <f>HYPERLINK("https://twitter.com/Kakamuez/status/1044718278252404737","1044718278252404737")</f>
        <v>1044718278252404737</v>
      </c>
      <c r="F1349" s="4"/>
      <c r="G1349" s="4"/>
      <c r="H1349" s="4"/>
      <c r="I1349" s="10" t="str">
        <f>HYPERLINK("http://twitter.com/download/iphone","Twitter for iPhone")</f>
        <v>Twitter for iPhone</v>
      </c>
      <c r="J1349" s="2">
        <v>94</v>
      </c>
      <c r="K1349" s="2">
        <v>291</v>
      </c>
      <c r="L1349" s="2">
        <v>0</v>
      </c>
      <c r="M1349" s="2"/>
      <c r="N1349" s="8">
        <v>42958.026388888888</v>
      </c>
      <c r="O1349" s="4" t="s">
        <v>545</v>
      </c>
      <c r="P1349" s="3"/>
      <c r="Q1349" s="4"/>
      <c r="R1349" s="4"/>
      <c r="S1349" s="9" t="str">
        <f>HYPERLINK("https://pbs.twimg.com/profile_images/1025314839579774976/4FlY5vbn.jpg","View")</f>
        <v>View</v>
      </c>
    </row>
    <row r="1350" spans="1:19" ht="20">
      <c r="A1350" s="8">
        <v>43369.089918981481</v>
      </c>
      <c r="B1350" s="11" t="str">
        <f>HYPERLINK("https://twitter.com/ba_hal","@ba_hal")</f>
        <v>@ba_hal</v>
      </c>
      <c r="C1350" s="6" t="s">
        <v>544</v>
      </c>
      <c r="D1350" s="5" t="s">
        <v>63</v>
      </c>
      <c r="E1350" s="9" t="str">
        <f>HYPERLINK("https://twitter.com/ba_hal/status/1044718058265354240","1044718058265354240")</f>
        <v>1044718058265354240</v>
      </c>
      <c r="F1350" s="4"/>
      <c r="G1350" s="4"/>
      <c r="H1350" s="4"/>
      <c r="I1350" s="10" t="str">
        <f>HYPERLINK("http://twitter.com/download/android","Twitter for Android")</f>
        <v>Twitter for Android</v>
      </c>
      <c r="J1350" s="2">
        <v>254</v>
      </c>
      <c r="K1350" s="2">
        <v>494</v>
      </c>
      <c r="L1350" s="2">
        <v>0</v>
      </c>
      <c r="M1350" s="2"/>
      <c r="N1350" s="8">
        <v>43114.062569444446</v>
      </c>
      <c r="O1350" s="4" t="s">
        <v>543</v>
      </c>
      <c r="P1350" s="3" t="s">
        <v>542</v>
      </c>
      <c r="Q1350" s="4"/>
      <c r="R1350" s="4"/>
      <c r="S1350" s="9" t="str">
        <f>HYPERLINK("https://pbs.twimg.com/profile_images/1035115257688219648/lZzeQZgY.jpg","View")</f>
        <v>View</v>
      </c>
    </row>
    <row r="1351" spans="1:19" ht="50">
      <c r="A1351" s="8">
        <v>43369.089444444442</v>
      </c>
      <c r="B1351" s="11" t="str">
        <f>HYPERLINK("https://twitter.com/MohsenFerdowsi1","@MohsenFerdowsi1")</f>
        <v>@MohsenFerdowsi1</v>
      </c>
      <c r="C1351" s="6" t="s">
        <v>541</v>
      </c>
      <c r="D1351" s="5" t="s">
        <v>472</v>
      </c>
      <c r="E1351" s="9" t="str">
        <f>HYPERLINK("https://twitter.com/MohsenFerdowsi1/status/1044717885426257920","1044717885426257920")</f>
        <v>1044717885426257920</v>
      </c>
      <c r="F1351" s="4"/>
      <c r="G1351" s="10" t="s">
        <v>194</v>
      </c>
      <c r="H1351" s="4"/>
      <c r="I1351" s="10" t="str">
        <f>HYPERLINK("http://twitter.com/download/iphone","Twitter for iPhone")</f>
        <v>Twitter for iPhone</v>
      </c>
      <c r="J1351" s="2">
        <v>1100</v>
      </c>
      <c r="K1351" s="2">
        <v>2320</v>
      </c>
      <c r="L1351" s="2">
        <v>2</v>
      </c>
      <c r="M1351" s="2"/>
      <c r="N1351" s="8">
        <v>43102.400856481487</v>
      </c>
      <c r="O1351" s="4" t="s">
        <v>152</v>
      </c>
      <c r="P1351" s="3"/>
      <c r="Q1351" s="4"/>
      <c r="R1351" s="4"/>
      <c r="S1351" s="9" t="str">
        <f>HYPERLINK("https://pbs.twimg.com/profile_images/998670242413883392/qu1ruRMj.jpg","View")</f>
        <v>View</v>
      </c>
    </row>
    <row r="1352" spans="1:19" ht="40">
      <c r="A1352" s="8">
        <v>43369.08929398148</v>
      </c>
      <c r="B1352" s="11" t="str">
        <f>HYPERLINK("https://twitter.com/MohsenFerdowsi1","@MohsenFerdowsi1")</f>
        <v>@MohsenFerdowsi1</v>
      </c>
      <c r="C1352" s="6" t="s">
        <v>541</v>
      </c>
      <c r="D1352" s="5" t="s">
        <v>470</v>
      </c>
      <c r="E1352" s="9" t="str">
        <f>HYPERLINK("https://twitter.com/MohsenFerdowsi1/status/1044717829260378112","1044717829260378112")</f>
        <v>1044717829260378112</v>
      </c>
      <c r="F1352" s="4"/>
      <c r="G1352" s="10" t="s">
        <v>469</v>
      </c>
      <c r="H1352" s="4"/>
      <c r="I1352" s="10" t="str">
        <f>HYPERLINK("http://twitter.com/download/iphone","Twitter for iPhone")</f>
        <v>Twitter for iPhone</v>
      </c>
      <c r="J1352" s="2">
        <v>1100</v>
      </c>
      <c r="K1352" s="2">
        <v>2320</v>
      </c>
      <c r="L1352" s="2">
        <v>2</v>
      </c>
      <c r="M1352" s="2"/>
      <c r="N1352" s="8">
        <v>43102.400856481487</v>
      </c>
      <c r="O1352" s="4" t="s">
        <v>152</v>
      </c>
      <c r="P1352" s="3"/>
      <c r="Q1352" s="4"/>
      <c r="R1352" s="4"/>
      <c r="S1352" s="9" t="str">
        <f>HYPERLINK("https://pbs.twimg.com/profile_images/998670242413883392/qu1ruRMj.jpg","View")</f>
        <v>View</v>
      </c>
    </row>
    <row r="1353" spans="1:19" ht="20">
      <c r="A1353" s="8">
        <v>43369.088437500002</v>
      </c>
      <c r="B1353" s="11" t="str">
        <f>HYPERLINK("https://twitter.com/MohsenFerdowsi1","@MohsenFerdowsi1")</f>
        <v>@MohsenFerdowsi1</v>
      </c>
      <c r="C1353" s="6" t="s">
        <v>541</v>
      </c>
      <c r="D1353" s="5" t="s">
        <v>154</v>
      </c>
      <c r="E1353" s="9" t="str">
        <f>HYPERLINK("https://twitter.com/MohsenFerdowsi1/status/1044717521901764608","1044717521901764608")</f>
        <v>1044717521901764608</v>
      </c>
      <c r="F1353" s="10" t="s">
        <v>153</v>
      </c>
      <c r="G1353" s="4"/>
      <c r="H1353" s="4"/>
      <c r="I1353" s="10" t="str">
        <f>HYPERLINK("http://twitter.com/download/iphone","Twitter for iPhone")</f>
        <v>Twitter for iPhone</v>
      </c>
      <c r="J1353" s="2">
        <v>1100</v>
      </c>
      <c r="K1353" s="2">
        <v>2320</v>
      </c>
      <c r="L1353" s="2">
        <v>2</v>
      </c>
      <c r="M1353" s="2"/>
      <c r="N1353" s="8">
        <v>43102.400856481487</v>
      </c>
      <c r="O1353" s="4" t="s">
        <v>152</v>
      </c>
      <c r="P1353" s="3"/>
      <c r="Q1353" s="4"/>
      <c r="R1353" s="4"/>
      <c r="S1353" s="9" t="str">
        <f>HYPERLINK("https://pbs.twimg.com/profile_images/998670242413883392/qu1ruRMj.jpg","View")</f>
        <v>View</v>
      </c>
    </row>
    <row r="1354" spans="1:19" ht="30">
      <c r="A1354" s="8">
        <v>43369.088263888887</v>
      </c>
      <c r="B1354" s="11" t="str">
        <f>HYPERLINK("https://twitter.com/Yousef19792","@Yousef19792")</f>
        <v>@Yousef19792</v>
      </c>
      <c r="C1354" s="6" t="s">
        <v>540</v>
      </c>
      <c r="D1354" s="5" t="s">
        <v>49</v>
      </c>
      <c r="E1354" s="9" t="str">
        <f>HYPERLINK("https://twitter.com/Yousef19792/status/1044717457452216320","1044717457452216320")</f>
        <v>1044717457452216320</v>
      </c>
      <c r="F1354" s="4"/>
      <c r="G1354" s="4"/>
      <c r="H1354" s="4"/>
      <c r="I1354" s="10" t="str">
        <f>HYPERLINK("http://twitter.com/download/android","Twitter for Android")</f>
        <v>Twitter for Android</v>
      </c>
      <c r="J1354" s="2">
        <v>65</v>
      </c>
      <c r="K1354" s="2">
        <v>138</v>
      </c>
      <c r="L1354" s="2">
        <v>0</v>
      </c>
      <c r="M1354" s="2"/>
      <c r="N1354" s="8">
        <v>43143.054016203707</v>
      </c>
      <c r="O1354" s="4"/>
      <c r="P1354" s="3" t="s">
        <v>539</v>
      </c>
      <c r="Q1354" s="4"/>
      <c r="R1354" s="4"/>
      <c r="S1354" s="2" t="s">
        <v>21</v>
      </c>
    </row>
    <row r="1355" spans="1:19" ht="30">
      <c r="A1355" s="8">
        <v>43369.08694444444</v>
      </c>
      <c r="B1355" s="11" t="str">
        <f>HYPERLINK("https://twitter.com/hamednaraghi","@hamednaraghi")</f>
        <v>@hamednaraghi</v>
      </c>
      <c r="C1355" s="6" t="s">
        <v>538</v>
      </c>
      <c r="D1355" s="5" t="s">
        <v>537</v>
      </c>
      <c r="E1355" s="9" t="str">
        <f>HYPERLINK("https://twitter.com/hamednaraghi/status/1044716978534002689","1044716978534002689")</f>
        <v>1044716978534002689</v>
      </c>
      <c r="F1355" s="4"/>
      <c r="G1355" s="4"/>
      <c r="H1355" s="4"/>
      <c r="I1355" s="10" t="str">
        <f>HYPERLINK("http://twitter.com/download/android","Twitter for Android")</f>
        <v>Twitter for Android</v>
      </c>
      <c r="J1355" s="2">
        <v>539</v>
      </c>
      <c r="K1355" s="2">
        <v>1385</v>
      </c>
      <c r="L1355" s="2">
        <v>28</v>
      </c>
      <c r="M1355" s="2"/>
      <c r="N1355" s="8">
        <v>39545.603090277778</v>
      </c>
      <c r="O1355" s="4" t="s">
        <v>25</v>
      </c>
      <c r="P1355" s="3" t="s">
        <v>536</v>
      </c>
      <c r="Q1355" s="4"/>
      <c r="R1355" s="4"/>
      <c r="S1355" s="9" t="str">
        <f>HYPERLINK("https://pbs.twimg.com/profile_images/949633505922822144/HIrKlyDN.jpg","View")</f>
        <v>View</v>
      </c>
    </row>
    <row r="1356" spans="1:19" ht="40">
      <c r="A1356" s="8">
        <v>43369.086597222224</v>
      </c>
      <c r="B1356" s="11" t="str">
        <f>HYPERLINK("https://twitter.com/Majid_Mirzaei7","@Majid_Mirzaei7")</f>
        <v>@Majid_Mirzaei7</v>
      </c>
      <c r="C1356" s="6" t="s">
        <v>535</v>
      </c>
      <c r="D1356" s="5" t="s">
        <v>534</v>
      </c>
      <c r="E1356" s="9" t="str">
        <f>HYPERLINK("https://twitter.com/Majid_Mirzaei7/status/1044716854189600768","1044716854189600768")</f>
        <v>1044716854189600768</v>
      </c>
      <c r="F1356" s="4"/>
      <c r="G1356" s="4"/>
      <c r="H1356" s="4"/>
      <c r="I1356" s="10" t="str">
        <f>HYPERLINK("http://twitter.com","Twitter Web Client")</f>
        <v>Twitter Web Client</v>
      </c>
      <c r="J1356" s="2">
        <v>12</v>
      </c>
      <c r="K1356" s="2">
        <v>17</v>
      </c>
      <c r="L1356" s="2">
        <v>0</v>
      </c>
      <c r="M1356" s="2"/>
      <c r="N1356" s="8">
        <v>43227.070185185185</v>
      </c>
      <c r="O1356" s="4" t="s">
        <v>25</v>
      </c>
      <c r="P1356" s="3" t="s">
        <v>533</v>
      </c>
      <c r="Q1356" s="4"/>
      <c r="R1356" s="4"/>
      <c r="S1356" s="9" t="str">
        <f>HYPERLINK("https://pbs.twimg.com/profile_images/993243911932932096/Z655DYGX.jpg","View")</f>
        <v>View</v>
      </c>
    </row>
    <row r="1357" spans="1:19" ht="40">
      <c r="A1357" s="8">
        <v>43369.085868055554</v>
      </c>
      <c r="B1357" s="11" t="str">
        <f>HYPERLINK("https://twitter.com/mohammad_aaaaaa","@mohammad_aaaaaa")</f>
        <v>@mohammad_aaaaaa</v>
      </c>
      <c r="C1357" s="6" t="s">
        <v>532</v>
      </c>
      <c r="D1357" s="5" t="s">
        <v>531</v>
      </c>
      <c r="E1357" s="9" t="str">
        <f>HYPERLINK("https://twitter.com/mohammad_aaaaaa/status/1044716589801594880","1044716589801594880")</f>
        <v>1044716589801594880</v>
      </c>
      <c r="F1357" s="4"/>
      <c r="G1357" s="4"/>
      <c r="H1357" s="4"/>
      <c r="I1357" s="10" t="str">
        <f>HYPERLINK("http://twitter.com","Twitter Web Client")</f>
        <v>Twitter Web Client</v>
      </c>
      <c r="J1357" s="2">
        <v>1370</v>
      </c>
      <c r="K1357" s="2">
        <v>819</v>
      </c>
      <c r="L1357" s="2">
        <v>4</v>
      </c>
      <c r="M1357" s="2"/>
      <c r="N1357" s="8">
        <v>41530.783078703702</v>
      </c>
      <c r="O1357" s="4"/>
      <c r="P1357" s="3"/>
      <c r="Q1357" s="4"/>
      <c r="R1357" s="4"/>
      <c r="S1357" s="9" t="str">
        <f>HYPERLINK("https://pbs.twimg.com/profile_images/961713233966108672/iPtzMW6T.jpg","View")</f>
        <v>View</v>
      </c>
    </row>
    <row r="1358" spans="1:19" ht="20">
      <c r="A1358" s="8">
        <v>43369.085289351853</v>
      </c>
      <c r="B1358" s="11" t="str">
        <f>HYPERLINK("https://twitter.com/kkeivanlo","@kkeivanlo")</f>
        <v>@kkeivanlo</v>
      </c>
      <c r="C1358" s="6" t="s">
        <v>530</v>
      </c>
      <c r="D1358" s="5" t="s">
        <v>142</v>
      </c>
      <c r="E1358" s="9" t="str">
        <f>HYPERLINK("https://twitter.com/kkeivanlo/status/1044716378442346501","1044716378442346501")</f>
        <v>1044716378442346501</v>
      </c>
      <c r="F1358" s="10" t="s">
        <v>141</v>
      </c>
      <c r="G1358" s="10" t="s">
        <v>140</v>
      </c>
      <c r="H1358" s="4"/>
      <c r="I1358" s="10" t="str">
        <f>HYPERLINK("http://twitter.com/download/android","Twitter for Android")</f>
        <v>Twitter for Android</v>
      </c>
      <c r="J1358" s="2">
        <v>100</v>
      </c>
      <c r="K1358" s="2">
        <v>172</v>
      </c>
      <c r="L1358" s="2">
        <v>0</v>
      </c>
      <c r="M1358" s="2"/>
      <c r="N1358" s="8">
        <v>43001.178229166668</v>
      </c>
      <c r="O1358" s="4"/>
      <c r="P1358" s="3"/>
      <c r="Q1358" s="4"/>
      <c r="R1358" s="4"/>
      <c r="S1358" s="9" t="str">
        <f>HYPERLINK("https://pbs.twimg.com/profile_images/1041111938074378242/1ymR9g9t.jpg","View")</f>
        <v>View</v>
      </c>
    </row>
    <row r="1359" spans="1:19" ht="30">
      <c r="A1359" s="8">
        <v>43369.085196759261</v>
      </c>
      <c r="B1359" s="11" t="str">
        <f>HYPERLINK("https://twitter.com/nixmix117","@nixmix117")</f>
        <v>@nixmix117</v>
      </c>
      <c r="C1359" s="6" t="s">
        <v>86</v>
      </c>
      <c r="D1359" s="5" t="s">
        <v>481</v>
      </c>
      <c r="E1359" s="9" t="str">
        <f>HYPERLINK("https://twitter.com/nixmix117/status/1044716345747800064","1044716345747800064")</f>
        <v>1044716345747800064</v>
      </c>
      <c r="F1359" s="4"/>
      <c r="G1359" s="10" t="s">
        <v>462</v>
      </c>
      <c r="H1359" s="4"/>
      <c r="I1359" s="10" t="str">
        <f>HYPERLINK("http://twitter.com/download/iphone","Twitter for iPhone")</f>
        <v>Twitter for iPhone</v>
      </c>
      <c r="J1359" s="2">
        <v>257</v>
      </c>
      <c r="K1359" s="2">
        <v>111</v>
      </c>
      <c r="L1359" s="2">
        <v>0</v>
      </c>
      <c r="M1359" s="2"/>
      <c r="N1359" s="8">
        <v>43125.586782407408</v>
      </c>
      <c r="O1359" s="4"/>
      <c r="P1359" s="3"/>
      <c r="Q1359" s="4"/>
      <c r="R1359" s="4"/>
      <c r="S1359" s="9" t="str">
        <f>HYPERLINK("https://pbs.twimg.com/profile_images/958704885083623425/pKGV5gbS.jpg","View")</f>
        <v>View</v>
      </c>
    </row>
    <row r="1360" spans="1:19" ht="30">
      <c r="A1360" s="8">
        <v>43369.084988425922</v>
      </c>
      <c r="B1360" s="11" t="str">
        <f>HYPERLINK("https://twitter.com/cyrus_2538","@cyrus_2538")</f>
        <v>@cyrus_2538</v>
      </c>
      <c r="C1360" s="6" t="s">
        <v>529</v>
      </c>
      <c r="D1360" s="5" t="s">
        <v>49</v>
      </c>
      <c r="E1360" s="9" t="str">
        <f>HYPERLINK("https://twitter.com/cyrus_2538/status/1044716270673956864","1044716270673956864")</f>
        <v>1044716270673956864</v>
      </c>
      <c r="F1360" s="4"/>
      <c r="G1360" s="4"/>
      <c r="H1360" s="4"/>
      <c r="I1360" s="10" t="str">
        <f>HYPERLINK("http://twitter.com/download/android","Twitter for Android")</f>
        <v>Twitter for Android</v>
      </c>
      <c r="J1360" s="2">
        <v>200</v>
      </c>
      <c r="K1360" s="2">
        <v>275</v>
      </c>
      <c r="L1360" s="2">
        <v>1</v>
      </c>
      <c r="M1360" s="2"/>
      <c r="N1360" s="8">
        <v>40832.514317129629</v>
      </c>
      <c r="O1360" s="4" t="s">
        <v>528</v>
      </c>
      <c r="P1360" s="3" t="s">
        <v>527</v>
      </c>
      <c r="Q1360" s="4"/>
      <c r="R1360" s="4"/>
      <c r="S1360" s="9" t="str">
        <f>HYPERLINK("https://pbs.twimg.com/profile_images/1026779549420273664/D3Blzbor.jpg","View")</f>
        <v>View</v>
      </c>
    </row>
    <row r="1361" spans="1:19" ht="40">
      <c r="A1361" s="8">
        <v>43369.084907407407</v>
      </c>
      <c r="B1361" s="11" t="str">
        <f>HYPERLINK("https://twitter.com/AzarAzari1341","@AzarAzari1341")</f>
        <v>@AzarAzari1341</v>
      </c>
      <c r="C1361" s="6" t="s">
        <v>526</v>
      </c>
      <c r="D1361" s="5" t="s">
        <v>58</v>
      </c>
      <c r="E1361" s="9" t="str">
        <f>HYPERLINK("https://twitter.com/AzarAzari1341/status/1044716243469705216","1044716243469705216")</f>
        <v>1044716243469705216</v>
      </c>
      <c r="F1361" s="4"/>
      <c r="G1361" s="10" t="s">
        <v>57</v>
      </c>
      <c r="H1361" s="4"/>
      <c r="I1361" s="10" t="str">
        <f>HYPERLINK("http://twitter.com","Twitter Web Client")</f>
        <v>Twitter Web Client</v>
      </c>
      <c r="J1361" s="2">
        <v>441</v>
      </c>
      <c r="K1361" s="2">
        <v>720</v>
      </c>
      <c r="L1361" s="2">
        <v>0</v>
      </c>
      <c r="M1361" s="2"/>
      <c r="N1361" s="8">
        <v>43142.919212962966</v>
      </c>
      <c r="O1361" s="4" t="s">
        <v>525</v>
      </c>
      <c r="P1361" s="3" t="s">
        <v>524</v>
      </c>
      <c r="Q1361" s="4"/>
      <c r="R1361" s="4"/>
      <c r="S1361" s="9" t="str">
        <f>HYPERLINK("https://pbs.twimg.com/profile_images/962762643370135557/WPezl6-p.jpg","View")</f>
        <v>View</v>
      </c>
    </row>
    <row r="1362" spans="1:19" ht="50">
      <c r="A1362" s="8">
        <v>43369.084340277783</v>
      </c>
      <c r="B1362" s="11" t="str">
        <f>HYPERLINK("https://twitter.com/DaraACM","@DaraACM")</f>
        <v>@DaraACM</v>
      </c>
      <c r="C1362" s="6" t="s">
        <v>523</v>
      </c>
      <c r="D1362" s="5" t="s">
        <v>202</v>
      </c>
      <c r="E1362" s="9" t="str">
        <f>HYPERLINK("https://twitter.com/DaraACM/status/1044716034131931136","1044716034131931136")</f>
        <v>1044716034131931136</v>
      </c>
      <c r="F1362" s="4"/>
      <c r="G1362" s="4"/>
      <c r="H1362" s="4"/>
      <c r="I1362" s="10" t="str">
        <f>HYPERLINK("http://twitter.com/download/android","Twitter for Android")</f>
        <v>Twitter for Android</v>
      </c>
      <c r="J1362" s="2">
        <v>576</v>
      </c>
      <c r="K1362" s="2">
        <v>269</v>
      </c>
      <c r="L1362" s="2">
        <v>4</v>
      </c>
      <c r="M1362" s="2"/>
      <c r="N1362" s="8">
        <v>41797.818506944444</v>
      </c>
      <c r="O1362" s="4"/>
      <c r="P1362" s="3" t="s">
        <v>522</v>
      </c>
      <c r="Q1362" s="4"/>
      <c r="R1362" s="4"/>
      <c r="S1362" s="9" t="str">
        <f>HYPERLINK("https://pbs.twimg.com/profile_images/1025274989837254656/x__9YJeI.jpg","View")</f>
        <v>View</v>
      </c>
    </row>
    <row r="1363" spans="1:19" ht="40">
      <c r="A1363" s="8">
        <v>43369.084293981483</v>
      </c>
      <c r="B1363" s="11" t="str">
        <f>HYPERLINK("https://twitter.com/vahidyar7","@vahidyar7")</f>
        <v>@vahidyar7</v>
      </c>
      <c r="C1363" s="6" t="s">
        <v>521</v>
      </c>
      <c r="D1363" s="5" t="s">
        <v>448</v>
      </c>
      <c r="E1363" s="9" t="str">
        <f>HYPERLINK("https://twitter.com/vahidyar7/status/1044716017849704451","1044716017849704451")</f>
        <v>1044716017849704451</v>
      </c>
      <c r="F1363" s="4"/>
      <c r="G1363" s="10" t="s">
        <v>368</v>
      </c>
      <c r="H1363" s="4"/>
      <c r="I1363" s="10" t="str">
        <f>HYPERLINK("http://twitter.com/download/android","Twitter for Android")</f>
        <v>Twitter for Android</v>
      </c>
      <c r="J1363" s="2">
        <v>146</v>
      </c>
      <c r="K1363" s="2">
        <v>178</v>
      </c>
      <c r="L1363" s="2">
        <v>0</v>
      </c>
      <c r="M1363" s="2"/>
      <c r="N1363" s="8">
        <v>41970.720810185187</v>
      </c>
      <c r="O1363" s="4"/>
      <c r="P1363" s="3"/>
      <c r="Q1363" s="4"/>
      <c r="R1363" s="4"/>
      <c r="S1363" s="9" t="str">
        <f>HYPERLINK("https://pbs.twimg.com/profile_images/717230133355159552/g5vSFxoA.jpg","View")</f>
        <v>View</v>
      </c>
    </row>
    <row r="1364" spans="1:19" ht="30">
      <c r="A1364" s="8">
        <v>43369.083472222221</v>
      </c>
      <c r="B1364" s="11" t="str">
        <f>HYPERLINK("https://twitter.com/drmalavi","@drmalavi")</f>
        <v>@drmalavi</v>
      </c>
      <c r="C1364" s="6" t="s">
        <v>479</v>
      </c>
      <c r="D1364" s="5" t="s">
        <v>520</v>
      </c>
      <c r="E1364" s="9" t="str">
        <f>HYPERLINK("https://twitter.com/drmalavi/status/1044715720037335040","1044715720037335040")</f>
        <v>1044715720037335040</v>
      </c>
      <c r="F1364" s="4"/>
      <c r="G1364" s="4"/>
      <c r="H1364" s="4"/>
      <c r="I1364" s="10" t="str">
        <f>HYPERLINK("http://twitter.com/download/iphone","Twitter for iPhone")</f>
        <v>Twitter for iPhone</v>
      </c>
      <c r="J1364" s="2">
        <v>839</v>
      </c>
      <c r="K1364" s="2">
        <v>400</v>
      </c>
      <c r="L1364" s="2">
        <v>5</v>
      </c>
      <c r="M1364" s="2"/>
      <c r="N1364" s="8">
        <v>41037.078993055555</v>
      </c>
      <c r="O1364" s="4" t="s">
        <v>48</v>
      </c>
      <c r="P1364" s="3" t="s">
        <v>478</v>
      </c>
      <c r="Q1364" s="10" t="s">
        <v>477</v>
      </c>
      <c r="R1364" s="4"/>
      <c r="S1364" s="9" t="str">
        <f>HYPERLINK("https://pbs.twimg.com/profile_images/378800000084459460/61ef42ed5f30230f9a853fd6b83b89bc.jpeg","View")</f>
        <v>View</v>
      </c>
    </row>
    <row r="1365" spans="1:19" ht="40">
      <c r="A1365" s="8">
        <v>43369.083171296297</v>
      </c>
      <c r="B1365" s="11" t="str">
        <f>HYPERLINK("https://twitter.com/SasanJavedan","@SasanJavedan")</f>
        <v>@SasanJavedan</v>
      </c>
      <c r="C1365" s="6" t="s">
        <v>519</v>
      </c>
      <c r="D1365" s="5" t="s">
        <v>58</v>
      </c>
      <c r="E1365" s="9" t="str">
        <f>HYPERLINK("https://twitter.com/SasanJavedan/status/1044715614173102082","1044715614173102082")</f>
        <v>1044715614173102082</v>
      </c>
      <c r="F1365" s="4"/>
      <c r="G1365" s="10" t="s">
        <v>57</v>
      </c>
      <c r="H1365" s="4"/>
      <c r="I1365" s="10" t="str">
        <f>HYPERLINK("http://twitter.com/download/iphone","Twitter for iPhone")</f>
        <v>Twitter for iPhone</v>
      </c>
      <c r="J1365" s="2">
        <v>538</v>
      </c>
      <c r="K1365" s="2">
        <v>295</v>
      </c>
      <c r="L1365" s="2">
        <v>9</v>
      </c>
      <c r="M1365" s="2"/>
      <c r="N1365" s="8">
        <v>40028.744050925925</v>
      </c>
      <c r="O1365" s="4" t="s">
        <v>493</v>
      </c>
      <c r="P1365" s="3" t="s">
        <v>518</v>
      </c>
      <c r="Q1365" s="4"/>
      <c r="R1365" s="4"/>
      <c r="S1365" s="9" t="str">
        <f>HYPERLINK("https://pbs.twimg.com/profile_images/894129900134780928/rUqWBg_7.jpg","View")</f>
        <v>View</v>
      </c>
    </row>
    <row r="1366" spans="1:19" ht="30">
      <c r="A1366" s="8">
        <v>43369.082962962959</v>
      </c>
      <c r="B1366" s="11" t="str">
        <f>HYPERLINK("https://twitter.com/Roshaa_1981","@Roshaa_1981")</f>
        <v>@Roshaa_1981</v>
      </c>
      <c r="C1366" s="6" t="s">
        <v>517</v>
      </c>
      <c r="D1366" s="5" t="s">
        <v>49</v>
      </c>
      <c r="E1366" s="9" t="str">
        <f>HYPERLINK("https://twitter.com/Roshaa_1981/status/1044715537832574976","1044715537832574976")</f>
        <v>1044715537832574976</v>
      </c>
      <c r="F1366" s="4"/>
      <c r="G1366" s="4"/>
      <c r="H1366" s="4"/>
      <c r="I1366" s="10" t="str">
        <f>HYPERLINK("http://twitter.com/download/android","Twitter for Android")</f>
        <v>Twitter for Android</v>
      </c>
      <c r="J1366" s="2">
        <v>177</v>
      </c>
      <c r="K1366" s="2">
        <v>217</v>
      </c>
      <c r="L1366" s="2">
        <v>0</v>
      </c>
      <c r="M1366" s="2"/>
      <c r="N1366" s="8">
        <v>43228.169722222221</v>
      </c>
      <c r="O1366" s="4" t="s">
        <v>197</v>
      </c>
      <c r="P1366" s="3" t="s">
        <v>516</v>
      </c>
      <c r="Q1366" s="4"/>
      <c r="R1366" s="4"/>
      <c r="S1366" s="9" t="str">
        <f>HYPERLINK("https://pbs.twimg.com/profile_images/1018874888956928000/xtQPJfTb.jpg","View")</f>
        <v>View</v>
      </c>
    </row>
    <row r="1367" spans="1:19" ht="40">
      <c r="A1367" s="8">
        <v>43369.082858796297</v>
      </c>
      <c r="B1367" s="11" t="str">
        <f>HYPERLINK("https://twitter.com/Arash_yar","@Arash_yar")</f>
        <v>@Arash_yar</v>
      </c>
      <c r="C1367" s="6" t="s">
        <v>515</v>
      </c>
      <c r="D1367" s="5" t="s">
        <v>514</v>
      </c>
      <c r="E1367" s="9" t="str">
        <f>HYPERLINK("https://twitter.com/Arash_yar/status/1044715499957809153","1044715499957809153")</f>
        <v>1044715499957809153</v>
      </c>
      <c r="F1367" s="4"/>
      <c r="G1367" s="4"/>
      <c r="H1367" s="4"/>
      <c r="I1367" s="10" t="str">
        <f>HYPERLINK("http://twitter.com/download/iphone","Twitter for iPhone")</f>
        <v>Twitter for iPhone</v>
      </c>
      <c r="J1367" s="2">
        <v>57</v>
      </c>
      <c r="K1367" s="2">
        <v>444</v>
      </c>
      <c r="L1367" s="2">
        <v>0</v>
      </c>
      <c r="M1367" s="2"/>
      <c r="N1367" s="8">
        <v>41967.082476851851</v>
      </c>
      <c r="O1367" s="4" t="s">
        <v>513</v>
      </c>
      <c r="P1367" s="3"/>
      <c r="Q1367" s="4"/>
      <c r="R1367" s="4"/>
      <c r="S1367" s="9" t="str">
        <f>HYPERLINK("https://pbs.twimg.com/profile_images/1009941622518267904/t5nArRS-.jpg","View")</f>
        <v>View</v>
      </c>
    </row>
    <row r="1368" spans="1:19" ht="50">
      <c r="A1368" s="8">
        <v>43369.082025462965</v>
      </c>
      <c r="B1368" s="11" t="str">
        <f>HYPERLINK("https://twitter.com/amir5606","@amir5606")</f>
        <v>@amir5606</v>
      </c>
      <c r="C1368" s="6" t="s">
        <v>512</v>
      </c>
      <c r="D1368" s="5" t="s">
        <v>202</v>
      </c>
      <c r="E1368" s="9" t="str">
        <f>HYPERLINK("https://twitter.com/amir5606/status/1044715198425239553","1044715198425239553")</f>
        <v>1044715198425239553</v>
      </c>
      <c r="F1368" s="4"/>
      <c r="G1368" s="4"/>
      <c r="H1368" s="4"/>
      <c r="I1368" s="10" t="str">
        <f>HYPERLINK("http://twitter.com/download/android","Twitter for Android")</f>
        <v>Twitter for Android</v>
      </c>
      <c r="J1368" s="2">
        <v>25</v>
      </c>
      <c r="K1368" s="2">
        <v>58</v>
      </c>
      <c r="L1368" s="2">
        <v>0</v>
      </c>
      <c r="M1368" s="2"/>
      <c r="N1368" s="8">
        <v>43257.70349537037</v>
      </c>
      <c r="O1368" s="4"/>
      <c r="P1368" s="3" t="s">
        <v>511</v>
      </c>
      <c r="Q1368" s="4"/>
      <c r="R1368" s="4"/>
      <c r="S1368" s="9" t="str">
        <f>HYPERLINK("https://pbs.twimg.com/profile_images/1039807947214413825/UGMPsE55.jpg","View")</f>
        <v>View</v>
      </c>
    </row>
    <row r="1369" spans="1:19" ht="30">
      <c r="A1369" s="8">
        <v>43369.081990740742</v>
      </c>
      <c r="B1369" s="11" t="str">
        <f>HYPERLINK("https://twitter.com/miniom09","@miniom09")</f>
        <v>@miniom09</v>
      </c>
      <c r="C1369" s="6" t="s">
        <v>510</v>
      </c>
      <c r="D1369" s="5" t="s">
        <v>49</v>
      </c>
      <c r="E1369" s="9" t="str">
        <f>HYPERLINK("https://twitter.com/miniom09/status/1044715185003474944","1044715185003474944")</f>
        <v>1044715185003474944</v>
      </c>
      <c r="F1369" s="4"/>
      <c r="G1369" s="4"/>
      <c r="H1369" s="4"/>
      <c r="I1369" s="10" t="str">
        <f>HYPERLINK("http://twitter.com/download/android","Twitter for Android")</f>
        <v>Twitter for Android</v>
      </c>
      <c r="J1369" s="2">
        <v>826</v>
      </c>
      <c r="K1369" s="2">
        <v>1075</v>
      </c>
      <c r="L1369" s="2">
        <v>0</v>
      </c>
      <c r="M1369" s="2"/>
      <c r="N1369" s="8">
        <v>42691.428124999999</v>
      </c>
      <c r="O1369" s="4" t="s">
        <v>509</v>
      </c>
      <c r="P1369" s="3" t="s">
        <v>508</v>
      </c>
      <c r="Q1369" s="4"/>
      <c r="R1369" s="4"/>
      <c r="S1369" s="9" t="str">
        <f>HYPERLINK("https://pbs.twimg.com/profile_images/1038461912806248448/Bi5439Aa.jpg","View")</f>
        <v>View</v>
      </c>
    </row>
    <row r="1370" spans="1:19" ht="20">
      <c r="A1370" s="8">
        <v>43369.081921296296</v>
      </c>
      <c r="B1370" s="11" t="str">
        <f>HYPERLINK("https://twitter.com/Freedom19121","@Freedom19121")</f>
        <v>@Freedom19121</v>
      </c>
      <c r="C1370" s="6" t="s">
        <v>507</v>
      </c>
      <c r="D1370" s="5" t="s">
        <v>156</v>
      </c>
      <c r="E1370" s="9" t="str">
        <f>HYPERLINK("https://twitter.com/Freedom19121/status/1044715159527325697","1044715159527325697")</f>
        <v>1044715159527325697</v>
      </c>
      <c r="F1370" s="4"/>
      <c r="G1370" s="10" t="s">
        <v>155</v>
      </c>
      <c r="H1370" s="4"/>
      <c r="I1370" s="10" t="str">
        <f>HYPERLINK("http://twitter.com/download/android","Twitter for Android")</f>
        <v>Twitter for Android</v>
      </c>
      <c r="J1370" s="2">
        <v>1463</v>
      </c>
      <c r="K1370" s="2">
        <v>1814</v>
      </c>
      <c r="L1370" s="2">
        <v>2</v>
      </c>
      <c r="M1370" s="2"/>
      <c r="N1370" s="8">
        <v>43109.653229166666</v>
      </c>
      <c r="O1370" s="4" t="s">
        <v>506</v>
      </c>
      <c r="P1370" s="3" t="s">
        <v>505</v>
      </c>
      <c r="Q1370" s="4"/>
      <c r="R1370" s="4"/>
      <c r="S1370" s="9" t="str">
        <f>HYPERLINK("https://pbs.twimg.com/profile_images/950743270208008194/vs-7ifTT.jpg","View")</f>
        <v>View</v>
      </c>
    </row>
    <row r="1371" spans="1:19" ht="50">
      <c r="A1371" s="8">
        <v>43369.081770833334</v>
      </c>
      <c r="B1371" s="11" t="str">
        <f>HYPERLINK("https://twitter.com/6fuhrer9","@6fuhrer9")</f>
        <v>@6fuhrer9</v>
      </c>
      <c r="C1371" s="6" t="s">
        <v>504</v>
      </c>
      <c r="D1371" s="5" t="s">
        <v>202</v>
      </c>
      <c r="E1371" s="9" t="str">
        <f>HYPERLINK("https://twitter.com/6fuhrer9/status/1044715104720375810","1044715104720375810")</f>
        <v>1044715104720375810</v>
      </c>
      <c r="F1371" s="4"/>
      <c r="G1371" s="4"/>
      <c r="H1371" s="4"/>
      <c r="I1371" s="10" t="str">
        <f>HYPERLINK("http://twitter.com/download/android","Twitter for Android")</f>
        <v>Twitter for Android</v>
      </c>
      <c r="J1371" s="2">
        <v>629</v>
      </c>
      <c r="K1371" s="2">
        <v>374</v>
      </c>
      <c r="L1371" s="2">
        <v>3</v>
      </c>
      <c r="M1371" s="2"/>
      <c r="N1371" s="8">
        <v>43140.124814814815</v>
      </c>
      <c r="O1371" s="4" t="s">
        <v>503</v>
      </c>
      <c r="P1371" s="3" t="s">
        <v>502</v>
      </c>
      <c r="Q1371" s="4"/>
      <c r="R1371" s="4"/>
      <c r="S1371" s="9" t="str">
        <f>HYPERLINK("https://pbs.twimg.com/profile_images/1041473808945881088/tH1-cEAa.jpg","View")</f>
        <v>View</v>
      </c>
    </row>
    <row r="1372" spans="1:19" ht="40">
      <c r="A1372" s="8">
        <v>43369.081562499996</v>
      </c>
      <c r="B1372" s="11" t="str">
        <f>HYPERLINK("https://twitter.com/rafeziiiii","@rafeziiiii")</f>
        <v>@rafeziiiii</v>
      </c>
      <c r="C1372" s="6" t="s">
        <v>501</v>
      </c>
      <c r="D1372" s="5" t="s">
        <v>72</v>
      </c>
      <c r="E1372" s="9" t="str">
        <f>HYPERLINK("https://twitter.com/rafeziiiii/status/1044715030271455233","1044715030271455233")</f>
        <v>1044715030271455233</v>
      </c>
      <c r="F1372" s="4"/>
      <c r="G1372" s="4"/>
      <c r="H1372" s="4"/>
      <c r="I1372" s="10" t="str">
        <f>HYPERLINK("http://twitter.com/download/android","Twitter for Android")</f>
        <v>Twitter for Android</v>
      </c>
      <c r="J1372" s="2">
        <v>72</v>
      </c>
      <c r="K1372" s="2">
        <v>71</v>
      </c>
      <c r="L1372" s="2">
        <v>0</v>
      </c>
      <c r="M1372" s="2"/>
      <c r="N1372" s="8">
        <v>43321.086423611108</v>
      </c>
      <c r="O1372" s="4" t="s">
        <v>500</v>
      </c>
      <c r="P1372" s="3" t="s">
        <v>499</v>
      </c>
      <c r="Q1372" s="4"/>
      <c r="R1372" s="4"/>
      <c r="S1372" s="9" t="str">
        <f>HYPERLINK("https://pbs.twimg.com/profile_images/1040750798995636224/Jdzvwkmr.jpg","View")</f>
        <v>View</v>
      </c>
    </row>
    <row r="1373" spans="1:19" ht="30">
      <c r="A1373" s="8">
        <v>43369.081435185188</v>
      </c>
      <c r="B1373" s="11" t="str">
        <f>HYPERLINK("https://twitter.com/azar_mansoori","@azar_mansoori")</f>
        <v>@azar_mansoori</v>
      </c>
      <c r="C1373" s="6" t="s">
        <v>498</v>
      </c>
      <c r="D1373" s="5" t="s">
        <v>497</v>
      </c>
      <c r="E1373" s="9" t="str">
        <f>HYPERLINK("https://twitter.com/azar_mansoori/status/1044714981609037824","1044714981609037824")</f>
        <v>1044714981609037824</v>
      </c>
      <c r="F1373" s="4"/>
      <c r="G1373" s="4"/>
      <c r="H1373" s="4"/>
      <c r="I1373" s="10" t="str">
        <f>HYPERLINK("http://twitter.com/download/iphone","Twitter for iPhone")</f>
        <v>Twitter for iPhone</v>
      </c>
      <c r="J1373" s="2">
        <v>19240</v>
      </c>
      <c r="K1373" s="2">
        <v>214</v>
      </c>
      <c r="L1373" s="2">
        <v>79</v>
      </c>
      <c r="M1373" s="2"/>
      <c r="N1373" s="8">
        <v>42721.758263888885</v>
      </c>
      <c r="O1373" s="4"/>
      <c r="P1373" s="3" t="s">
        <v>496</v>
      </c>
      <c r="Q1373" s="10" t="s">
        <v>495</v>
      </c>
      <c r="R1373" s="4"/>
      <c r="S1373" s="9" t="str">
        <f>HYPERLINK("https://pbs.twimg.com/profile_images/810140200638775296/JtUabc0w.jpg","View")</f>
        <v>View</v>
      </c>
    </row>
    <row r="1374" spans="1:19" ht="50">
      <c r="A1374" s="8">
        <v>43369.081400462965</v>
      </c>
      <c r="B1374" s="11" t="str">
        <f>HYPERLINK("https://twitter.com/SalomeSeyednia","@SalomeSeyednia")</f>
        <v>@SalomeSeyednia</v>
      </c>
      <c r="C1374" s="6" t="s">
        <v>494</v>
      </c>
      <c r="D1374" s="5" t="s">
        <v>202</v>
      </c>
      <c r="E1374" s="9" t="str">
        <f>HYPERLINK("https://twitter.com/SalomeSeyednia/status/1044714969311391744","1044714969311391744")</f>
        <v>1044714969311391744</v>
      </c>
      <c r="F1374" s="4"/>
      <c r="G1374" s="4"/>
      <c r="H1374" s="4"/>
      <c r="I1374" s="10" t="str">
        <f>HYPERLINK("http://twitter.com/download/iphone","Twitter for iPhone")</f>
        <v>Twitter for iPhone</v>
      </c>
      <c r="J1374" s="2">
        <v>28348</v>
      </c>
      <c r="K1374" s="2">
        <v>167</v>
      </c>
      <c r="L1374" s="2">
        <v>83</v>
      </c>
      <c r="M1374" s="2" t="s">
        <v>26</v>
      </c>
      <c r="N1374" s="8">
        <v>40302.161805555559</v>
      </c>
      <c r="O1374" s="4" t="s">
        <v>493</v>
      </c>
      <c r="P1374" s="3" t="s">
        <v>492</v>
      </c>
      <c r="Q1374" s="4"/>
      <c r="R1374" s="4"/>
      <c r="S1374" s="9" t="str">
        <f>HYPERLINK("https://pbs.twimg.com/profile_images/944267318141562886/P5gzaKRG.jpg","View")</f>
        <v>View</v>
      </c>
    </row>
    <row r="1375" spans="1:19" ht="30">
      <c r="A1375" s="8">
        <v>43369.081076388888</v>
      </c>
      <c r="B1375" s="11" t="str">
        <f>HYPERLINK("https://twitter.com/taxidriverrrr","@taxidriverrrr")</f>
        <v>@taxidriverrrr</v>
      </c>
      <c r="C1375" s="6" t="s">
        <v>491</v>
      </c>
      <c r="D1375" s="5" t="s">
        <v>481</v>
      </c>
      <c r="E1375" s="9" t="str">
        <f>HYPERLINK("https://twitter.com/taxidriverrrr/status/1044714851816407042","1044714851816407042")</f>
        <v>1044714851816407042</v>
      </c>
      <c r="F1375" s="4"/>
      <c r="G1375" s="10" t="s">
        <v>462</v>
      </c>
      <c r="H1375" s="4"/>
      <c r="I1375" s="10" t="str">
        <f>HYPERLINK("http://twitter.com/download/android","Twitter for Android")</f>
        <v>Twitter for Android</v>
      </c>
      <c r="J1375" s="2">
        <v>283</v>
      </c>
      <c r="K1375" s="2">
        <v>267</v>
      </c>
      <c r="L1375" s="2">
        <v>1</v>
      </c>
      <c r="M1375" s="2"/>
      <c r="N1375" s="8">
        <v>43097.075532407413</v>
      </c>
      <c r="O1375" s="4"/>
      <c r="P1375" s="3" t="s">
        <v>490</v>
      </c>
      <c r="Q1375" s="4"/>
      <c r="R1375" s="4"/>
      <c r="S1375" s="9" t="str">
        <f>HYPERLINK("https://pbs.twimg.com/profile_images/1031280112099098625/8e6s93UZ.jpg","View")</f>
        <v>View</v>
      </c>
    </row>
    <row r="1376" spans="1:19" ht="40">
      <c r="A1376" s="8">
        <v>43369.080925925926</v>
      </c>
      <c r="B1376" s="11" t="str">
        <f>HYPERLINK("https://twitter.com/kanalekomeil","@kanalekomeil")</f>
        <v>@kanalekomeil</v>
      </c>
      <c r="C1376" s="6" t="s">
        <v>489</v>
      </c>
      <c r="D1376" s="5" t="s">
        <v>72</v>
      </c>
      <c r="E1376" s="9" t="str">
        <f>HYPERLINK("https://twitter.com/kanalekomeil/status/1044714798896893953","1044714798896893953")</f>
        <v>1044714798896893953</v>
      </c>
      <c r="F1376" s="4"/>
      <c r="G1376" s="4"/>
      <c r="H1376" s="4"/>
      <c r="I1376" s="10" t="str">
        <f>HYPERLINK("http://twitter.com/download/android","Twitter for Android")</f>
        <v>Twitter for Android</v>
      </c>
      <c r="J1376" s="2">
        <v>228</v>
      </c>
      <c r="K1376" s="2">
        <v>246</v>
      </c>
      <c r="L1376" s="2">
        <v>1</v>
      </c>
      <c r="M1376" s="2"/>
      <c r="N1376" s="8">
        <v>42778.525624999995</v>
      </c>
      <c r="O1376" s="4"/>
      <c r="P1376" s="3" t="s">
        <v>488</v>
      </c>
      <c r="Q1376" s="4"/>
      <c r="R1376" s="4"/>
      <c r="S1376" s="9" t="str">
        <f>HYPERLINK("https://pbs.twimg.com/profile_images/854400521645457409/OLG7GKrV.jpg","View")</f>
        <v>View</v>
      </c>
    </row>
    <row r="1377" spans="1:19" ht="20">
      <c r="A1377" s="8">
        <v>43369.080833333333</v>
      </c>
      <c r="B1377" s="11" t="str">
        <f>HYPERLINK("https://twitter.com/Schahroch79","@Schahroch79")</f>
        <v>@Schahroch79</v>
      </c>
      <c r="C1377" s="6" t="s">
        <v>487</v>
      </c>
      <c r="D1377" s="5" t="s">
        <v>431</v>
      </c>
      <c r="E1377" s="9" t="str">
        <f>HYPERLINK("https://twitter.com/Schahroch79/status/1044714765103312896","1044714765103312896")</f>
        <v>1044714765103312896</v>
      </c>
      <c r="F1377" s="4"/>
      <c r="G1377" s="4"/>
      <c r="H1377" s="4"/>
      <c r="I1377" s="10" t="str">
        <f>HYPERLINK("http://twitter.com/download/iphone","Twitter for iPhone")</f>
        <v>Twitter for iPhone</v>
      </c>
      <c r="J1377" s="2">
        <v>224</v>
      </c>
      <c r="K1377" s="2">
        <v>272</v>
      </c>
      <c r="L1377" s="2">
        <v>0</v>
      </c>
      <c r="M1377" s="2"/>
      <c r="N1377" s="8">
        <v>42843.913553240738</v>
      </c>
      <c r="O1377" s="4" t="s">
        <v>486</v>
      </c>
      <c r="P1377" s="3" t="s">
        <v>485</v>
      </c>
      <c r="Q1377" s="4"/>
      <c r="R1377" s="4"/>
      <c r="S1377" s="9" t="str">
        <f>HYPERLINK("https://pbs.twimg.com/profile_images/1032055620021698560/ZcTZI6mF.jpg","View")</f>
        <v>View</v>
      </c>
    </row>
    <row r="1378" spans="1:19" ht="40">
      <c r="A1378" s="8">
        <v>43369.080729166672</v>
      </c>
      <c r="B1378" s="11" t="str">
        <f>HYPERLINK("https://twitter.com/omid_sheidaee","@omid_sheidaee")</f>
        <v>@omid_sheidaee</v>
      </c>
      <c r="C1378" s="6" t="s">
        <v>484</v>
      </c>
      <c r="D1378" s="5" t="s">
        <v>448</v>
      </c>
      <c r="E1378" s="9" t="str">
        <f>HYPERLINK("https://twitter.com/omid_sheidaee/status/1044714725815275527","1044714725815275527")</f>
        <v>1044714725815275527</v>
      </c>
      <c r="F1378" s="4"/>
      <c r="G1378" s="10" t="s">
        <v>368</v>
      </c>
      <c r="H1378" s="4"/>
      <c r="I1378" s="10" t="str">
        <f>HYPERLINK("http://twitter.com/download/android","Twitter for Android")</f>
        <v>Twitter for Android</v>
      </c>
      <c r="J1378" s="2">
        <v>64</v>
      </c>
      <c r="K1378" s="2">
        <v>120</v>
      </c>
      <c r="L1378" s="2">
        <v>0</v>
      </c>
      <c r="M1378" s="2"/>
      <c r="N1378" s="8">
        <v>43073.986875000002</v>
      </c>
      <c r="O1378" s="4"/>
      <c r="P1378" s="3" t="s">
        <v>483</v>
      </c>
      <c r="Q1378" s="4"/>
      <c r="R1378" s="4"/>
      <c r="S1378" s="9" t="str">
        <f>HYPERLINK("https://pbs.twimg.com/profile_images/981851840819159040/RFiaxfpA.jpg","View")</f>
        <v>View</v>
      </c>
    </row>
    <row r="1379" spans="1:19" ht="30">
      <c r="A1379" s="8">
        <v>43369.080590277779</v>
      </c>
      <c r="B1379" s="11" t="str">
        <f>HYPERLINK("https://twitter.com/Saman15216939","@Saman15216939")</f>
        <v>@Saman15216939</v>
      </c>
      <c r="C1379" s="6" t="s">
        <v>482</v>
      </c>
      <c r="D1379" s="5" t="s">
        <v>481</v>
      </c>
      <c r="E1379" s="9" t="str">
        <f>HYPERLINK("https://twitter.com/Saman15216939/status/1044714678088282113","1044714678088282113")</f>
        <v>1044714678088282113</v>
      </c>
      <c r="F1379" s="4"/>
      <c r="G1379" s="10" t="s">
        <v>462</v>
      </c>
      <c r="H1379" s="4"/>
      <c r="I1379" s="10" t="str">
        <f>HYPERLINK("http://twitter.com/download/android","Twitter for Android")</f>
        <v>Twitter for Android</v>
      </c>
      <c r="J1379" s="2">
        <v>104</v>
      </c>
      <c r="K1379" s="2">
        <v>164</v>
      </c>
      <c r="L1379" s="2">
        <v>0</v>
      </c>
      <c r="M1379" s="2"/>
      <c r="N1379" s="8">
        <v>43268.682037037041</v>
      </c>
      <c r="O1379" s="4"/>
      <c r="P1379" s="3" t="s">
        <v>480</v>
      </c>
      <c r="Q1379" s="4"/>
      <c r="R1379" s="4"/>
      <c r="S1379" s="9" t="str">
        <f>HYPERLINK("https://pbs.twimg.com/profile_images/1008317058122166272/9j5c2Ej7.jpg","View")</f>
        <v>View</v>
      </c>
    </row>
    <row r="1380" spans="1:19" ht="20">
      <c r="A1380" s="8">
        <v>43369.080347222218</v>
      </c>
      <c r="B1380" s="11" t="str">
        <f>HYPERLINK("https://twitter.com/shahrokh_hamid","@shahrokh_hamid")</f>
        <v>@shahrokh_hamid</v>
      </c>
      <c r="C1380" s="6" t="s">
        <v>318</v>
      </c>
      <c r="D1380" s="5" t="s">
        <v>102</v>
      </c>
      <c r="E1380" s="9" t="str">
        <f>HYPERLINK("https://twitter.com/shahrokh_hamid/status/1044714590498697217","1044714590498697217")</f>
        <v>1044714590498697217</v>
      </c>
      <c r="F1380" s="4"/>
      <c r="G1380" s="4"/>
      <c r="H1380" s="4"/>
      <c r="I1380" s="10" t="str">
        <f>HYPERLINK("http://twitter.com/download/android","Twitter for Android")</f>
        <v>Twitter for Android</v>
      </c>
      <c r="J1380" s="2">
        <v>462</v>
      </c>
      <c r="K1380" s="2">
        <v>285</v>
      </c>
      <c r="L1380" s="2">
        <v>0</v>
      </c>
      <c r="M1380" s="2"/>
      <c r="N1380" s="8">
        <v>43223.838784722218</v>
      </c>
      <c r="O1380" s="4" t="s">
        <v>7</v>
      </c>
      <c r="P1380" s="3" t="s">
        <v>317</v>
      </c>
      <c r="Q1380" s="4"/>
      <c r="R1380" s="4"/>
      <c r="S1380" s="9" t="str">
        <f>HYPERLINK("https://pbs.twimg.com/profile_images/1024013798032769024/cNOJ6NIn.jpg","View")</f>
        <v>View</v>
      </c>
    </row>
    <row r="1381" spans="1:19" ht="40">
      <c r="A1381" s="8">
        <v>43369.080081018517</v>
      </c>
      <c r="B1381" s="11" t="str">
        <f>HYPERLINK("https://twitter.com/drmalavi","@drmalavi")</f>
        <v>@drmalavi</v>
      </c>
      <c r="C1381" s="6" t="s">
        <v>479</v>
      </c>
      <c r="D1381" s="5" t="s">
        <v>128</v>
      </c>
      <c r="E1381" s="9" t="str">
        <f>HYPERLINK("https://twitter.com/drmalavi/status/1044714493341835264","1044714493341835264")</f>
        <v>1044714493341835264</v>
      </c>
      <c r="F1381" s="4"/>
      <c r="G1381" s="4"/>
      <c r="H1381" s="4"/>
      <c r="I1381" s="10" t="str">
        <f>HYPERLINK("http://twitter.com/download/iphone","Twitter for iPhone")</f>
        <v>Twitter for iPhone</v>
      </c>
      <c r="J1381" s="2">
        <v>839</v>
      </c>
      <c r="K1381" s="2">
        <v>400</v>
      </c>
      <c r="L1381" s="2">
        <v>5</v>
      </c>
      <c r="M1381" s="2"/>
      <c r="N1381" s="8">
        <v>41037.078993055555</v>
      </c>
      <c r="O1381" s="4" t="s">
        <v>48</v>
      </c>
      <c r="P1381" s="3" t="s">
        <v>478</v>
      </c>
      <c r="Q1381" s="10" t="s">
        <v>477</v>
      </c>
      <c r="R1381" s="4"/>
      <c r="S1381" s="9" t="str">
        <f>HYPERLINK("https://pbs.twimg.com/profile_images/378800000084459460/61ef42ed5f30230f9a853fd6b83b89bc.jpeg","View")</f>
        <v>View</v>
      </c>
    </row>
    <row r="1382" spans="1:19" ht="40">
      <c r="A1382" s="8">
        <v>43369.080046296294</v>
      </c>
      <c r="B1382" s="11" t="str">
        <f>HYPERLINK("https://twitter.com/TakinAghdashloo","@TakinAghdashloo")</f>
        <v>@TakinAghdashloo</v>
      </c>
      <c r="C1382" s="6" t="s">
        <v>476</v>
      </c>
      <c r="D1382" s="5" t="s">
        <v>475</v>
      </c>
      <c r="E1382" s="9" t="str">
        <f>HYPERLINK("https://twitter.com/TakinAghdashloo/status/1044714479911677952","1044714479911677952")</f>
        <v>1044714479911677952</v>
      </c>
      <c r="F1382" s="4"/>
      <c r="G1382" s="4"/>
      <c r="H1382" s="4"/>
      <c r="I1382" s="10" t="str">
        <f>HYPERLINK("http://twitter.com/download/iphone","Twitter for iPhone")</f>
        <v>Twitter for iPhone</v>
      </c>
      <c r="J1382" s="2">
        <v>437</v>
      </c>
      <c r="K1382" s="2">
        <v>150</v>
      </c>
      <c r="L1382" s="2">
        <v>2</v>
      </c>
      <c r="M1382" s="2"/>
      <c r="N1382" s="8">
        <v>43104.610138888893</v>
      </c>
      <c r="O1382" s="4" t="s">
        <v>474</v>
      </c>
      <c r="P1382" s="3" t="s">
        <v>473</v>
      </c>
      <c r="Q1382" s="4"/>
      <c r="R1382" s="4"/>
      <c r="S1382" s="9" t="str">
        <f>HYPERLINK("https://pbs.twimg.com/profile_images/949205889373884418/YkASkFnp.jpg","View")</f>
        <v>View</v>
      </c>
    </row>
    <row r="1383" spans="1:19" ht="50">
      <c r="A1383" s="8">
        <v>43369.078946759255</v>
      </c>
      <c r="B1383" s="11" t="str">
        <f>HYPERLINK("https://twitter.com/abfarideh","@abfarideh")</f>
        <v>@abfarideh</v>
      </c>
      <c r="C1383" s="6" t="s">
        <v>471</v>
      </c>
      <c r="D1383" s="5" t="s">
        <v>472</v>
      </c>
      <c r="E1383" s="9" t="str">
        <f>HYPERLINK("https://twitter.com/abfarideh/status/1044714081503129600","1044714081503129600")</f>
        <v>1044714081503129600</v>
      </c>
      <c r="F1383" s="4"/>
      <c r="G1383" s="10" t="s">
        <v>194</v>
      </c>
      <c r="H1383" s="4"/>
      <c r="I1383" s="10" t="str">
        <f>HYPERLINK("http://twitter.com/download/android","Twitter for Android")</f>
        <v>Twitter for Android</v>
      </c>
      <c r="J1383" s="2">
        <v>2314</v>
      </c>
      <c r="K1383" s="2">
        <v>2726</v>
      </c>
      <c r="L1383" s="2">
        <v>133</v>
      </c>
      <c r="M1383" s="2"/>
      <c r="N1383" s="8">
        <v>41613.398055555554</v>
      </c>
      <c r="O1383" s="4"/>
      <c r="P1383" s="3" t="s">
        <v>468</v>
      </c>
      <c r="Q1383" s="4"/>
      <c r="R1383" s="4"/>
      <c r="S1383" s="9" t="str">
        <f>HYPERLINK("https://pbs.twimg.com/profile_images/1011723028953116672/3miAly1V.jpg","View")</f>
        <v>View</v>
      </c>
    </row>
    <row r="1384" spans="1:19" ht="40">
      <c r="A1384" s="8">
        <v>43369.078738425931</v>
      </c>
      <c r="B1384" s="11" t="str">
        <f>HYPERLINK("https://twitter.com/abfarideh","@abfarideh")</f>
        <v>@abfarideh</v>
      </c>
      <c r="C1384" s="6" t="s">
        <v>471</v>
      </c>
      <c r="D1384" s="5" t="s">
        <v>470</v>
      </c>
      <c r="E1384" s="9" t="str">
        <f>HYPERLINK("https://twitter.com/abfarideh/status/1044714005053538304","1044714005053538304")</f>
        <v>1044714005053538304</v>
      </c>
      <c r="F1384" s="4"/>
      <c r="G1384" s="10" t="s">
        <v>469</v>
      </c>
      <c r="H1384" s="4"/>
      <c r="I1384" s="10" t="str">
        <f>HYPERLINK("http://twitter.com/download/android","Twitter for Android")</f>
        <v>Twitter for Android</v>
      </c>
      <c r="J1384" s="2">
        <v>2314</v>
      </c>
      <c r="K1384" s="2">
        <v>2726</v>
      </c>
      <c r="L1384" s="2">
        <v>133</v>
      </c>
      <c r="M1384" s="2"/>
      <c r="N1384" s="8">
        <v>41613.398055555554</v>
      </c>
      <c r="O1384" s="4"/>
      <c r="P1384" s="3" t="s">
        <v>468</v>
      </c>
      <c r="Q1384" s="4"/>
      <c r="R1384" s="4"/>
      <c r="S1384" s="9" t="str">
        <f>HYPERLINK("https://pbs.twimg.com/profile_images/1011723028953116672/3miAly1V.jpg","View")</f>
        <v>View</v>
      </c>
    </row>
    <row r="1385" spans="1:19" ht="30">
      <c r="A1385" s="8">
        <v>43369.078668981485</v>
      </c>
      <c r="B1385" s="11" t="str">
        <f>HYPERLINK("https://twitter.com/zhzhzhzhzhz666","@zhzhzhzhzhz666")</f>
        <v>@zhzhzhzhzhz666</v>
      </c>
      <c r="C1385" s="6" t="s">
        <v>467</v>
      </c>
      <c r="D1385" s="5" t="s">
        <v>49</v>
      </c>
      <c r="E1385" s="9" t="str">
        <f>HYPERLINK("https://twitter.com/zhzhzhzhzhz666/status/1044713979698970624","1044713979698970624")</f>
        <v>1044713979698970624</v>
      </c>
      <c r="F1385" s="4"/>
      <c r="G1385" s="4"/>
      <c r="H1385" s="4"/>
      <c r="I1385" s="10" t="str">
        <f>HYPERLINK("http://twitter.com","Twitter Web Client")</f>
        <v>Twitter Web Client</v>
      </c>
      <c r="J1385" s="2">
        <v>58</v>
      </c>
      <c r="K1385" s="2">
        <v>67</v>
      </c>
      <c r="L1385" s="2">
        <v>0</v>
      </c>
      <c r="M1385" s="2"/>
      <c r="N1385" s="8">
        <v>43242.024421296301</v>
      </c>
      <c r="O1385" s="4" t="s">
        <v>466</v>
      </c>
      <c r="P1385" s="3" t="s">
        <v>465</v>
      </c>
      <c r="Q1385" s="4"/>
      <c r="R1385" s="4"/>
      <c r="S1385" s="9" t="str">
        <f>HYPERLINK("https://pbs.twimg.com/profile_images/1033707666508406784/RA4pIVck.jpg","View")</f>
        <v>View</v>
      </c>
    </row>
    <row r="1386" spans="1:19" ht="20">
      <c r="A1386" s="8">
        <v>43369.078530092593</v>
      </c>
      <c r="B1386" s="11" t="str">
        <f>HYPERLINK("https://twitter.com/Nazdane15","@Nazdane15")</f>
        <v>@Nazdane15</v>
      </c>
      <c r="C1386" s="6" t="s">
        <v>464</v>
      </c>
      <c r="D1386" s="5" t="s">
        <v>463</v>
      </c>
      <c r="E1386" s="9" t="str">
        <f>HYPERLINK("https://twitter.com/Nazdane15/status/1044713928935329792","1044713928935329792")</f>
        <v>1044713928935329792</v>
      </c>
      <c r="F1386" s="4"/>
      <c r="G1386" s="10" t="s">
        <v>462</v>
      </c>
      <c r="H1386" s="4"/>
      <c r="I1386" s="10" t="str">
        <f>HYPERLINK("http://twitter.com/download/iphone","Twitter for iPhone")</f>
        <v>Twitter for iPhone</v>
      </c>
      <c r="J1386" s="2">
        <v>119</v>
      </c>
      <c r="K1386" s="2">
        <v>147</v>
      </c>
      <c r="L1386" s="2">
        <v>1</v>
      </c>
      <c r="M1386" s="2"/>
      <c r="N1386" s="8">
        <v>42286.965555555551</v>
      </c>
      <c r="O1386" s="4" t="s">
        <v>461</v>
      </c>
      <c r="P1386" s="3" t="s">
        <v>460</v>
      </c>
      <c r="Q1386" s="4"/>
      <c r="R1386" s="4"/>
      <c r="S1386" s="9" t="str">
        <f>HYPERLINK("https://pbs.twimg.com/profile_images/1037933360004444168/NmhsH3xk.jpg","View")</f>
        <v>View</v>
      </c>
    </row>
    <row r="1387" spans="1:19" ht="20">
      <c r="A1387" s="8">
        <v>43369.077627314815</v>
      </c>
      <c r="B1387" s="11" t="str">
        <f>HYPERLINK("https://twitter.com/madmaxxxxxx_66","@madmaxxxxxx_66")</f>
        <v>@madmaxxxxxx_66</v>
      </c>
      <c r="C1387" s="6" t="s">
        <v>297</v>
      </c>
      <c r="D1387" s="5" t="s">
        <v>431</v>
      </c>
      <c r="E1387" s="9" t="str">
        <f>HYPERLINK("https://twitter.com/madmaxxxxxx_66/status/1044713605244096513","1044713605244096513")</f>
        <v>1044713605244096513</v>
      </c>
      <c r="F1387" s="4"/>
      <c r="G1387" s="4"/>
      <c r="H1387" s="4"/>
      <c r="I1387" s="10" t="str">
        <f>HYPERLINK("http://twitter.com/download/android","Twitter for Android")</f>
        <v>Twitter for Android</v>
      </c>
      <c r="J1387" s="2">
        <v>277</v>
      </c>
      <c r="K1387" s="2">
        <v>772</v>
      </c>
      <c r="L1387" s="2">
        <v>0</v>
      </c>
      <c r="M1387" s="2"/>
      <c r="N1387" s="8">
        <v>42756.537962962961</v>
      </c>
      <c r="O1387" s="4" t="s">
        <v>295</v>
      </c>
      <c r="P1387" s="3" t="s">
        <v>294</v>
      </c>
      <c r="Q1387" s="4"/>
      <c r="R1387" s="4"/>
      <c r="S1387" s="9" t="str">
        <f>HYPERLINK("https://pbs.twimg.com/profile_images/1025776141947359232/Jcd1vF32.jpg","View")</f>
        <v>View</v>
      </c>
    </row>
    <row r="1388" spans="1:19" ht="30">
      <c r="A1388" s="8">
        <v>43369.076921296291</v>
      </c>
      <c r="B1388" s="11" t="str">
        <f>HYPERLINK("https://twitter.com/Maryamoone","@Maryamoone")</f>
        <v>@Maryamoone</v>
      </c>
      <c r="C1388" s="6" t="s">
        <v>459</v>
      </c>
      <c r="D1388" s="5" t="s">
        <v>94</v>
      </c>
      <c r="E1388" s="9" t="str">
        <f>HYPERLINK("https://twitter.com/Maryamoone/status/1044713347818622976","1044713347818622976")</f>
        <v>1044713347818622976</v>
      </c>
      <c r="F1388" s="4"/>
      <c r="G1388" s="4"/>
      <c r="H1388" s="4"/>
      <c r="I1388" s="10" t="str">
        <f>HYPERLINK("http://twitter.com/download/android","Twitter for Android")</f>
        <v>Twitter for Android</v>
      </c>
      <c r="J1388" s="2">
        <v>6094</v>
      </c>
      <c r="K1388" s="2">
        <v>2972</v>
      </c>
      <c r="L1388" s="2">
        <v>7</v>
      </c>
      <c r="M1388" s="2"/>
      <c r="N1388" s="8">
        <v>42769.114745370374</v>
      </c>
      <c r="O1388" s="4" t="s">
        <v>22</v>
      </c>
      <c r="P1388" s="3" t="s">
        <v>458</v>
      </c>
      <c r="Q1388" s="4"/>
      <c r="R1388" s="4"/>
      <c r="S1388" s="9" t="str">
        <f>HYPERLINK("https://pbs.twimg.com/profile_images/960655219146285058/JkAB-UcY.jpg","View")</f>
        <v>View</v>
      </c>
    </row>
    <row r="1389" spans="1:19" ht="20">
      <c r="A1389" s="8">
        <v>43369.076840277776</v>
      </c>
      <c r="B1389" s="11" t="str">
        <f>HYPERLINK("https://twitter.com/istadehdarmeh","@istadehdarmeh")</f>
        <v>@istadehdarmeh</v>
      </c>
      <c r="C1389" s="6" t="s">
        <v>457</v>
      </c>
      <c r="D1389" s="5" t="s">
        <v>431</v>
      </c>
      <c r="E1389" s="9" t="str">
        <f>HYPERLINK("https://twitter.com/istadehdarmeh/status/1044713319725232129","1044713319725232129")</f>
        <v>1044713319725232129</v>
      </c>
      <c r="F1389" s="4"/>
      <c r="G1389" s="4"/>
      <c r="H1389" s="4"/>
      <c r="I1389" s="10" t="str">
        <f>HYPERLINK("http://twitter.com/download/android","Twitter for Android")</f>
        <v>Twitter for Android</v>
      </c>
      <c r="J1389" s="2">
        <v>514</v>
      </c>
      <c r="K1389" s="2">
        <v>565</v>
      </c>
      <c r="L1389" s="2">
        <v>0</v>
      </c>
      <c r="M1389" s="2"/>
      <c r="N1389" s="8">
        <v>43225.213645833333</v>
      </c>
      <c r="O1389" s="4" t="s">
        <v>96</v>
      </c>
      <c r="P1389" s="3" t="s">
        <v>456</v>
      </c>
      <c r="Q1389" s="4"/>
      <c r="R1389" s="4"/>
      <c r="S1389" s="9" t="str">
        <f>HYPERLINK("https://pbs.twimg.com/profile_images/1032703047280017408/rD6eOxbG.jpg","View")</f>
        <v>View</v>
      </c>
    </row>
    <row r="1390" spans="1:19" ht="20">
      <c r="A1390" s="8">
        <v>43369.076215277775</v>
      </c>
      <c r="B1390" s="11" t="str">
        <f>HYPERLINK("https://twitter.com/fadaeevelayat","@fadaeevelayat")</f>
        <v>@fadaeevelayat</v>
      </c>
      <c r="C1390" s="6" t="s">
        <v>455</v>
      </c>
      <c r="D1390" s="5" t="s">
        <v>102</v>
      </c>
      <c r="E1390" s="9" t="str">
        <f>HYPERLINK("https://twitter.com/fadaeevelayat/status/1044713091676672002","1044713091676672002")</f>
        <v>1044713091676672002</v>
      </c>
      <c r="F1390" s="4"/>
      <c r="G1390" s="4"/>
      <c r="H1390" s="4"/>
      <c r="I1390" s="10" t="str">
        <f>HYPERLINK("http://twitter.com/download/android","Twitter for Android")</f>
        <v>Twitter for Android</v>
      </c>
      <c r="J1390" s="2">
        <v>24</v>
      </c>
      <c r="K1390" s="2">
        <v>12</v>
      </c>
      <c r="L1390" s="2">
        <v>0</v>
      </c>
      <c r="M1390" s="2"/>
      <c r="N1390" s="8">
        <v>43361.446215277778</v>
      </c>
      <c r="O1390" s="4" t="s">
        <v>16</v>
      </c>
      <c r="P1390" s="3" t="s">
        <v>454</v>
      </c>
      <c r="Q1390" s="4"/>
      <c r="R1390" s="4"/>
      <c r="S1390" s="9" t="str">
        <f>HYPERLINK("https://pbs.twimg.com/profile_images/1043761239409807365/up9kbV_T.jpg","View")</f>
        <v>View</v>
      </c>
    </row>
    <row r="1391" spans="1:19" ht="20">
      <c r="A1391" s="8">
        <v>43369.075694444444</v>
      </c>
      <c r="B1391" s="11" t="str">
        <f>HYPERLINK("https://twitter.com/alignmd","@alignmd")</f>
        <v>@alignmd</v>
      </c>
      <c r="C1391" s="6" t="s">
        <v>453</v>
      </c>
      <c r="D1391" s="5" t="s">
        <v>452</v>
      </c>
      <c r="E1391" s="9" t="str">
        <f>HYPERLINK("https://twitter.com/alignmd/status/1044712904560455680","1044712904560455680")</f>
        <v>1044712904560455680</v>
      </c>
      <c r="F1391" s="4"/>
      <c r="G1391" s="4"/>
      <c r="H1391" s="4"/>
      <c r="I1391" s="10" t="str">
        <f>HYPERLINK("http://twitter.com/download/iphone","Twitter for iPhone")</f>
        <v>Twitter for iPhone</v>
      </c>
      <c r="J1391" s="2">
        <v>226</v>
      </c>
      <c r="K1391" s="2">
        <v>545</v>
      </c>
      <c r="L1391" s="2">
        <v>0</v>
      </c>
      <c r="M1391" s="2"/>
      <c r="N1391" s="8">
        <v>39977.207141203704</v>
      </c>
      <c r="O1391" s="4"/>
      <c r="P1391" s="3"/>
      <c r="Q1391" s="4"/>
      <c r="R1391" s="4"/>
      <c r="S1391" s="9" t="str">
        <f>HYPERLINK("https://pbs.twimg.com/profile_images/1004626436148342784/OEnenyj5.jpg","View")</f>
        <v>View</v>
      </c>
    </row>
    <row r="1392" spans="1:19" ht="20">
      <c r="A1392" s="8">
        <v>43369.075601851851</v>
      </c>
      <c r="B1392" s="11" t="str">
        <f>HYPERLINK("https://twitter.com/parvaz_davani","@parvaz_davani")</f>
        <v>@parvaz_davani</v>
      </c>
      <c r="C1392" s="6" t="s">
        <v>451</v>
      </c>
      <c r="D1392" s="5" t="s">
        <v>63</v>
      </c>
      <c r="E1392" s="9" t="str">
        <f>HYPERLINK("https://twitter.com/parvaz_davani/status/1044712870716608514","1044712870716608514")</f>
        <v>1044712870716608514</v>
      </c>
      <c r="F1392" s="4"/>
      <c r="G1392" s="4"/>
      <c r="H1392" s="4"/>
      <c r="I1392" s="10" t="str">
        <f>HYPERLINK("http://twitter.com/download/android","Twitter for Android")</f>
        <v>Twitter for Android</v>
      </c>
      <c r="J1392" s="2">
        <v>160</v>
      </c>
      <c r="K1392" s="2">
        <v>61</v>
      </c>
      <c r="L1392" s="2">
        <v>0</v>
      </c>
      <c r="M1392" s="2"/>
      <c r="N1392" s="8">
        <v>42858.490717592591</v>
      </c>
      <c r="O1392" s="4" t="s">
        <v>7</v>
      </c>
      <c r="P1392" s="3" t="s">
        <v>450</v>
      </c>
      <c r="Q1392" s="4"/>
      <c r="R1392" s="4"/>
      <c r="S1392" s="9" t="str">
        <f>HYPERLINK("https://pbs.twimg.com/profile_images/859850938152087553/_ImTQO7f.jpg","View")</f>
        <v>View</v>
      </c>
    </row>
    <row r="1393" spans="1:19" ht="40">
      <c r="A1393" s="8">
        <v>43369.074942129635</v>
      </c>
      <c r="B1393" s="11" t="str">
        <f>HYPERLINK("https://twitter.com/Sushiant11","@Sushiant11")</f>
        <v>@Sushiant11</v>
      </c>
      <c r="C1393" s="6" t="s">
        <v>449</v>
      </c>
      <c r="D1393" s="5" t="s">
        <v>448</v>
      </c>
      <c r="E1393" s="9" t="str">
        <f>HYPERLINK("https://twitter.com/Sushiant11/status/1044712628331970560","1044712628331970560")</f>
        <v>1044712628331970560</v>
      </c>
      <c r="F1393" s="4"/>
      <c r="G1393" s="10" t="s">
        <v>368</v>
      </c>
      <c r="H1393" s="4"/>
      <c r="I1393" s="10" t="str">
        <f>HYPERLINK("http://twitter.com/download/android","Twitter for Android")</f>
        <v>Twitter for Android</v>
      </c>
      <c r="J1393" s="2">
        <v>272</v>
      </c>
      <c r="K1393" s="2">
        <v>468</v>
      </c>
      <c r="L1393" s="2">
        <v>1</v>
      </c>
      <c r="M1393" s="2"/>
      <c r="N1393" s="8">
        <v>43286.715868055559</v>
      </c>
      <c r="O1393" s="4"/>
      <c r="P1393" s="3" t="s">
        <v>447</v>
      </c>
      <c r="Q1393" s="4"/>
      <c r="R1393" s="4"/>
      <c r="S1393" s="9" t="str">
        <f>HYPERLINK("https://pbs.twimg.com/profile_images/1042518035821748230/zC545C26.jpg","View")</f>
        <v>View</v>
      </c>
    </row>
    <row r="1394" spans="1:19" ht="50">
      <c r="A1394" s="8">
        <v>43369.074780092589</v>
      </c>
      <c r="B1394" s="11" t="str">
        <f>HYPERLINK("https://twitter.com/springbymahdi","@springbymahdi")</f>
        <v>@springbymahdi</v>
      </c>
      <c r="C1394" s="6" t="s">
        <v>159</v>
      </c>
      <c r="D1394" s="5" t="s">
        <v>446</v>
      </c>
      <c r="E1394" s="9" t="str">
        <f>HYPERLINK("https://twitter.com/springbymahdi/status/1044712570698035202","1044712570698035202")</f>
        <v>1044712570698035202</v>
      </c>
      <c r="F1394" s="4"/>
      <c r="G1394" s="4"/>
      <c r="H1394" s="4"/>
      <c r="I1394" s="10" t="str">
        <f>HYPERLINK("http://twitter.com/download/android","Twitter for Android")</f>
        <v>Twitter for Android</v>
      </c>
      <c r="J1394" s="2">
        <v>823</v>
      </c>
      <c r="K1394" s="2">
        <v>873</v>
      </c>
      <c r="L1394" s="2">
        <v>1</v>
      </c>
      <c r="M1394" s="2"/>
      <c r="N1394" s="8">
        <v>43174.966412037036</v>
      </c>
      <c r="O1394" s="4" t="s">
        <v>158</v>
      </c>
      <c r="P1394" s="3" t="s">
        <v>157</v>
      </c>
      <c r="Q1394" s="4"/>
      <c r="R1394" s="4"/>
      <c r="S1394" s="9" t="str">
        <f>HYPERLINK("https://pbs.twimg.com/profile_images/1006248891950551040/NPxrChSo.jpg","View")</f>
        <v>View</v>
      </c>
    </row>
    <row r="1395" spans="1:19" ht="30">
      <c r="A1395" s="8">
        <v>43369.074641203704</v>
      </c>
      <c r="B1395" s="11" t="str">
        <f>HYPERLINK("https://twitter.com/Rezafakhari3","@Rezafakhari3")</f>
        <v>@Rezafakhari3</v>
      </c>
      <c r="C1395" s="6" t="s">
        <v>445</v>
      </c>
      <c r="D1395" s="5" t="s">
        <v>383</v>
      </c>
      <c r="E1395" s="9" t="str">
        <f>HYPERLINK("https://twitter.com/Rezafakhari3/status/1044712521112989696","1044712521112989696")</f>
        <v>1044712521112989696</v>
      </c>
      <c r="F1395" s="4"/>
      <c r="G1395" s="10" t="s">
        <v>382</v>
      </c>
      <c r="H1395" s="4"/>
      <c r="I1395" s="10" t="str">
        <f>HYPERLINK("http://twitter.com/download/android","Twitter for Android")</f>
        <v>Twitter for Android</v>
      </c>
      <c r="J1395" s="2">
        <v>218</v>
      </c>
      <c r="K1395" s="2">
        <v>696</v>
      </c>
      <c r="L1395" s="2">
        <v>3</v>
      </c>
      <c r="M1395" s="2"/>
      <c r="N1395" s="8">
        <v>43298.741064814814</v>
      </c>
      <c r="O1395" s="4"/>
      <c r="P1395" s="3" t="s">
        <v>444</v>
      </c>
      <c r="Q1395" s="4"/>
      <c r="R1395" s="4"/>
      <c r="S1395" s="9" t="str">
        <f>HYPERLINK("https://pbs.twimg.com/profile_images/1019212646292250624/CYkO4Fhl.jpg","View")</f>
        <v>View</v>
      </c>
    </row>
    <row r="1396" spans="1:19" ht="20">
      <c r="A1396" s="8">
        <v>43369.074108796296</v>
      </c>
      <c r="B1396" s="11" t="str">
        <f>HYPERLINK("https://twitter.com/MEnghelab","@MEnghelab")</f>
        <v>@MEnghelab</v>
      </c>
      <c r="C1396" s="6" t="s">
        <v>443</v>
      </c>
      <c r="D1396" s="5" t="s">
        <v>15</v>
      </c>
      <c r="E1396" s="9" t="str">
        <f>HYPERLINK("https://twitter.com/MEnghelab/status/1044712327457775616","1044712327457775616")</f>
        <v>1044712327457775616</v>
      </c>
      <c r="F1396" s="4"/>
      <c r="G1396" s="4"/>
      <c r="H1396" s="4"/>
      <c r="I1396" s="10" t="str">
        <f>HYPERLINK("http://twitter.com/download/android","Twitter for Android")</f>
        <v>Twitter for Android</v>
      </c>
      <c r="J1396" s="2">
        <v>992</v>
      </c>
      <c r="K1396" s="2">
        <v>1556</v>
      </c>
      <c r="L1396" s="2">
        <v>1</v>
      </c>
      <c r="M1396" s="2"/>
      <c r="N1396" s="8">
        <v>43287.78743055556</v>
      </c>
      <c r="O1396" s="4" t="s">
        <v>187</v>
      </c>
      <c r="P1396" s="3" t="s">
        <v>442</v>
      </c>
      <c r="Q1396" s="4"/>
      <c r="R1396" s="4"/>
      <c r="S1396" s="9" t="str">
        <f>HYPERLINK("https://pbs.twimg.com/profile_images/1039555213366046720/o-a_MdtX.jpg","View")</f>
        <v>View</v>
      </c>
    </row>
    <row r="1397" spans="1:19" ht="30">
      <c r="A1397" s="8">
        <v>43369.073912037042</v>
      </c>
      <c r="B1397" s="11" t="str">
        <f>HYPERLINK("https://twitter.com/firouzamm","@firouzamm")</f>
        <v>@firouzamm</v>
      </c>
      <c r="C1397" s="6" t="s">
        <v>441</v>
      </c>
      <c r="D1397" s="5" t="s">
        <v>49</v>
      </c>
      <c r="E1397" s="9" t="str">
        <f>HYPERLINK("https://twitter.com/firouzamm/status/1044712258637582337","1044712258637582337")</f>
        <v>1044712258637582337</v>
      </c>
      <c r="F1397" s="4"/>
      <c r="G1397" s="4"/>
      <c r="H1397" s="4"/>
      <c r="I1397" s="10" t="str">
        <f>HYPERLINK("http://twitter.com/download/android","Twitter for Android")</f>
        <v>Twitter for Android</v>
      </c>
      <c r="J1397" s="2">
        <v>1488</v>
      </c>
      <c r="K1397" s="2">
        <v>2858</v>
      </c>
      <c r="L1397" s="2">
        <v>0</v>
      </c>
      <c r="M1397" s="2"/>
      <c r="N1397" s="8">
        <v>43112.259456018517</v>
      </c>
      <c r="O1397" s="4" t="s">
        <v>440</v>
      </c>
      <c r="P1397" s="3" t="s">
        <v>439</v>
      </c>
      <c r="Q1397" s="4"/>
      <c r="R1397" s="4"/>
      <c r="S1397" s="9" t="str">
        <f>HYPERLINK("https://pbs.twimg.com/profile_images/1044718036098445314/TGJ3jP_v.jpg","View")</f>
        <v>View</v>
      </c>
    </row>
    <row r="1398" spans="1:19" ht="20">
      <c r="A1398" s="8">
        <v>43369.073692129634</v>
      </c>
      <c r="B1398" s="11" t="str">
        <f>HYPERLINK("https://twitter.com/Hooshan79089946","@Hooshan79089946")</f>
        <v>@Hooshan79089946</v>
      </c>
      <c r="C1398" s="6" t="s">
        <v>389</v>
      </c>
      <c r="D1398" s="5" t="s">
        <v>438</v>
      </c>
      <c r="E1398" s="9" t="str">
        <f>HYPERLINK("https://twitter.com/Hooshan79089946/status/1044712177494626304","1044712177494626304")</f>
        <v>1044712177494626304</v>
      </c>
      <c r="F1398" s="10" t="s">
        <v>437</v>
      </c>
      <c r="G1398" s="10" t="s">
        <v>436</v>
      </c>
      <c r="H1398" s="4"/>
      <c r="I1398" s="10" t="str">
        <f>HYPERLINK("http://twitter.com/download/android","Twitter for Android")</f>
        <v>Twitter for Android</v>
      </c>
      <c r="J1398" s="2">
        <v>31</v>
      </c>
      <c r="K1398" s="2">
        <v>71</v>
      </c>
      <c r="L1398" s="2">
        <v>0</v>
      </c>
      <c r="M1398" s="2"/>
      <c r="N1398" s="8">
        <v>43283.912210648152</v>
      </c>
      <c r="O1398" s="4"/>
      <c r="P1398" s="3"/>
      <c r="Q1398" s="4"/>
      <c r="R1398" s="4"/>
      <c r="S1398" s="2" t="s">
        <v>21</v>
      </c>
    </row>
    <row r="1399" spans="1:19" ht="40">
      <c r="A1399" s="8">
        <v>43369.073495370365</v>
      </c>
      <c r="B1399" s="11" t="str">
        <f>HYPERLINK("https://twitter.com/zink13798190","@zink13798190")</f>
        <v>@zink13798190</v>
      </c>
      <c r="C1399" s="6" t="s">
        <v>435</v>
      </c>
      <c r="D1399" s="5" t="s">
        <v>434</v>
      </c>
      <c r="E1399" s="9" t="str">
        <f>HYPERLINK("https://twitter.com/zink13798190/status/1044712106963161094","1044712106963161094")</f>
        <v>1044712106963161094</v>
      </c>
      <c r="F1399" s="4"/>
      <c r="G1399" s="4"/>
      <c r="H1399" s="4"/>
      <c r="I1399" s="10" t="str">
        <f>HYPERLINK("http://twitter.com/download/iphone","Twitter for iPhone")</f>
        <v>Twitter for iPhone</v>
      </c>
      <c r="J1399" s="2">
        <v>8</v>
      </c>
      <c r="K1399" s="2">
        <v>195</v>
      </c>
      <c r="L1399" s="2">
        <v>0</v>
      </c>
      <c r="M1399" s="2"/>
      <c r="N1399" s="8">
        <v>42955.89063657407</v>
      </c>
      <c r="O1399" s="4"/>
      <c r="P1399" s="3"/>
      <c r="Q1399" s="4"/>
      <c r="R1399" s="4"/>
      <c r="S1399" s="2" t="s">
        <v>21</v>
      </c>
    </row>
    <row r="1400" spans="1:19" ht="20">
      <c r="A1400" s="8">
        <v>43369.073148148149</v>
      </c>
      <c r="B1400" s="11" t="str">
        <f>HYPERLINK("https://twitter.com/AbediniBahram","@AbediniBahram")</f>
        <v>@AbediniBahram</v>
      </c>
      <c r="C1400" s="6" t="s">
        <v>433</v>
      </c>
      <c r="D1400" s="5" t="s">
        <v>431</v>
      </c>
      <c r="E1400" s="9" t="str">
        <f>HYPERLINK("https://twitter.com/AbediniBahram/status/1044711981188558849","1044711981188558849")</f>
        <v>1044711981188558849</v>
      </c>
      <c r="F1400" s="4"/>
      <c r="G1400" s="4"/>
      <c r="H1400" s="4"/>
      <c r="I1400" s="10" t="str">
        <f>HYPERLINK("http://twitter.com/download/iphone","Twitter for iPhone")</f>
        <v>Twitter for iPhone</v>
      </c>
      <c r="J1400" s="2">
        <v>38</v>
      </c>
      <c r="K1400" s="2">
        <v>94</v>
      </c>
      <c r="L1400" s="2">
        <v>0</v>
      </c>
      <c r="M1400" s="2"/>
      <c r="N1400" s="8">
        <v>43122.040879629625</v>
      </c>
      <c r="O1400" s="4"/>
      <c r="P1400" s="3"/>
      <c r="Q1400" s="4"/>
      <c r="R1400" s="4"/>
      <c r="S1400" s="2" t="s">
        <v>21</v>
      </c>
    </row>
    <row r="1401" spans="1:19" ht="20">
      <c r="A1401" s="8">
        <v>43369.072546296295</v>
      </c>
      <c r="B1401" s="11" t="str">
        <f>HYPERLINK("https://twitter.com/osskazem","@osskazem")</f>
        <v>@osskazem</v>
      </c>
      <c r="C1401" s="6" t="s">
        <v>432</v>
      </c>
      <c r="D1401" s="5" t="s">
        <v>431</v>
      </c>
      <c r="E1401" s="9" t="str">
        <f>HYPERLINK("https://twitter.com/osskazem/status/1044711763260985344","1044711763260985344")</f>
        <v>1044711763260985344</v>
      </c>
      <c r="F1401" s="4"/>
      <c r="G1401" s="4"/>
      <c r="H1401" s="4"/>
      <c r="I1401" s="10" t="str">
        <f>HYPERLINK("http://twitter.com/download/iphone","Twitter for iPhone")</f>
        <v>Twitter for iPhone</v>
      </c>
      <c r="J1401" s="2">
        <v>662</v>
      </c>
      <c r="K1401" s="2">
        <v>818</v>
      </c>
      <c r="L1401" s="2">
        <v>1</v>
      </c>
      <c r="M1401" s="2"/>
      <c r="N1401" s="8">
        <v>43305.182499999995</v>
      </c>
      <c r="O1401" s="4"/>
      <c r="P1401" s="3" t="s">
        <v>430</v>
      </c>
      <c r="Q1401" s="4"/>
      <c r="R1401" s="4"/>
      <c r="S1401" s="9" t="str">
        <f>HYPERLINK("https://pbs.twimg.com/profile_images/1032415199876317184/GiI2OAx0.jpg","View")</f>
        <v>View</v>
      </c>
    </row>
    <row r="1402" spans="1:19" ht="30">
      <c r="A1402" s="8">
        <v>43369.072013888886</v>
      </c>
      <c r="B1402" s="11" t="str">
        <f>HYPERLINK("https://twitter.com/atashirani7","@atashirani7")</f>
        <v>@atashirani7</v>
      </c>
      <c r="C1402" s="6" t="s">
        <v>429</v>
      </c>
      <c r="D1402" s="5" t="s">
        <v>49</v>
      </c>
      <c r="E1402" s="9" t="str">
        <f>HYPERLINK("https://twitter.com/atashirani7/status/1044711570826178560","1044711570826178560")</f>
        <v>1044711570826178560</v>
      </c>
      <c r="F1402" s="4"/>
      <c r="G1402" s="4"/>
      <c r="H1402" s="4"/>
      <c r="I1402" s="10" t="str">
        <f>HYPERLINK("http://twitter.com","Twitter Web Client")</f>
        <v>Twitter Web Client</v>
      </c>
      <c r="J1402" s="2">
        <v>251</v>
      </c>
      <c r="K1402" s="2">
        <v>223</v>
      </c>
      <c r="L1402" s="2">
        <v>0</v>
      </c>
      <c r="M1402" s="2"/>
      <c r="N1402" s="8">
        <v>43236.375844907408</v>
      </c>
      <c r="O1402" s="4" t="s">
        <v>428</v>
      </c>
      <c r="P1402" s="3"/>
      <c r="Q1402" s="4"/>
      <c r="R1402" s="4"/>
      <c r="S1402" s="9" t="str">
        <f>HYPERLINK("https://pbs.twimg.com/profile_images/996611317535424512/c-H9Dt3w.jpg","View")</f>
        <v>View</v>
      </c>
    </row>
    <row r="1403" spans="1:19" ht="20">
      <c r="A1403" s="8">
        <v>43369.07194444444</v>
      </c>
      <c r="B1403" s="11" t="str">
        <f>HYPERLINK("https://twitter.com/PejmanRezai","@PejmanRezai")</f>
        <v>@PejmanRezai</v>
      </c>
      <c r="C1403" s="6" t="s">
        <v>427</v>
      </c>
      <c r="D1403" s="5" t="s">
        <v>426</v>
      </c>
      <c r="E1403" s="9" t="str">
        <f>HYPERLINK("https://twitter.com/PejmanRezai/status/1044711542904815618","1044711542904815618")</f>
        <v>1044711542904815618</v>
      </c>
      <c r="F1403" s="4"/>
      <c r="G1403" s="4"/>
      <c r="H1403" s="4"/>
      <c r="I1403" s="10" t="str">
        <f>HYPERLINK("http://twitter.com/download/android","Twitter for Android")</f>
        <v>Twitter for Android</v>
      </c>
      <c r="J1403" s="2">
        <v>10</v>
      </c>
      <c r="K1403" s="2">
        <v>102</v>
      </c>
      <c r="L1403" s="2">
        <v>0</v>
      </c>
      <c r="M1403" s="2"/>
      <c r="N1403" s="8">
        <v>43337.472777777773</v>
      </c>
      <c r="O1403" s="4" t="s">
        <v>16</v>
      </c>
      <c r="P1403" s="3" t="s">
        <v>425</v>
      </c>
      <c r="Q1403" s="4"/>
      <c r="R1403" s="4"/>
      <c r="S1403" s="9" t="str">
        <f>HYPERLINK("https://pbs.twimg.com/profile_images/1044149315130798080/HQGN_tng.jpg","View")</f>
        <v>View</v>
      </c>
    </row>
    <row r="1404" spans="1:19" ht="20">
      <c r="A1404" s="8">
        <v>43369.071898148148</v>
      </c>
      <c r="B1404" s="11" t="str">
        <f>HYPERLINK("https://twitter.com/MeysamGhorbanz3","@MeysamGhorbanz3")</f>
        <v>@MeysamGhorbanz3</v>
      </c>
      <c r="C1404" s="6" t="s">
        <v>424</v>
      </c>
      <c r="D1404" s="5" t="s">
        <v>15</v>
      </c>
      <c r="E1404" s="9" t="str">
        <f>HYPERLINK("https://twitter.com/MeysamGhorbanz3/status/1044711526098178049","1044711526098178049")</f>
        <v>1044711526098178049</v>
      </c>
      <c r="F1404" s="4"/>
      <c r="G1404" s="4"/>
      <c r="H1404" s="4"/>
      <c r="I1404" s="10" t="str">
        <f>HYPERLINK("http://twitter.com/download/android","Twitter for Android")</f>
        <v>Twitter for Android</v>
      </c>
      <c r="J1404" s="2">
        <v>18</v>
      </c>
      <c r="K1404" s="2">
        <v>15</v>
      </c>
      <c r="L1404" s="2">
        <v>0</v>
      </c>
      <c r="M1404" s="2"/>
      <c r="N1404" s="8">
        <v>43309.871701388889</v>
      </c>
      <c r="O1404" s="4"/>
      <c r="P1404" s="3"/>
      <c r="Q1404" s="4"/>
      <c r="R1404" s="4"/>
      <c r="S1404" s="9" t="str">
        <f>HYPERLINK("https://pbs.twimg.com/profile_images/1023422674205384710/72gx4WoP.jpg","View")</f>
        <v>View</v>
      </c>
    </row>
    <row r="1405" spans="1:19" ht="30">
      <c r="A1405" s="8">
        <v>43369.071689814809</v>
      </c>
      <c r="B1405" s="11" t="str">
        <f>HYPERLINK("https://twitter.com/AtaBehnamian","@AtaBehnamian")</f>
        <v>@AtaBehnamian</v>
      </c>
      <c r="C1405" s="6" t="s">
        <v>423</v>
      </c>
      <c r="D1405" s="5" t="s">
        <v>422</v>
      </c>
      <c r="E1405" s="9" t="str">
        <f>HYPERLINK("https://twitter.com/AtaBehnamian/status/1044711450139414530","1044711450139414530")</f>
        <v>1044711450139414530</v>
      </c>
      <c r="F1405" s="4"/>
      <c r="G1405" s="4"/>
      <c r="H1405" s="4"/>
      <c r="I1405" s="10" t="str">
        <f>HYPERLINK("http://twitter.com/download/android","Twitter for Android")</f>
        <v>Twitter for Android</v>
      </c>
      <c r="J1405" s="2">
        <v>69</v>
      </c>
      <c r="K1405" s="2">
        <v>103</v>
      </c>
      <c r="L1405" s="2">
        <v>0</v>
      </c>
      <c r="M1405" s="2"/>
      <c r="N1405" s="8">
        <v>41572.582627314812</v>
      </c>
      <c r="O1405" s="4" t="s">
        <v>16</v>
      </c>
      <c r="P1405" s="3"/>
      <c r="Q1405" s="4"/>
      <c r="R1405" s="4"/>
      <c r="S1405" s="9" t="str">
        <f>HYPERLINK("https://pbs.twimg.com/profile_images/1017857970242191360/ZHbx8o3b.jpg","View")</f>
        <v>View</v>
      </c>
    </row>
    <row r="1406" spans="1:19" ht="20">
      <c r="A1406" s="8">
        <v>43369.070347222223</v>
      </c>
      <c r="B1406" s="11" t="str">
        <f>HYPERLINK("https://twitter.com/orchid_62","@orchid_62")</f>
        <v>@orchid_62</v>
      </c>
      <c r="C1406" s="6" t="s">
        <v>379</v>
      </c>
      <c r="D1406" s="5" t="s">
        <v>150</v>
      </c>
      <c r="E1406" s="9" t="str">
        <f>HYPERLINK("https://twitter.com/orchid_62/status/1044710966926151680","1044710966926151680")</f>
        <v>1044710966926151680</v>
      </c>
      <c r="F1406" s="4"/>
      <c r="G1406" s="4"/>
      <c r="H1406" s="4"/>
      <c r="I1406" s="10" t="str">
        <f>HYPERLINK("http://twitter.com/download/iphone","Twitter for iPhone")</f>
        <v>Twitter for iPhone</v>
      </c>
      <c r="J1406" s="2">
        <v>538</v>
      </c>
      <c r="K1406" s="2">
        <v>106</v>
      </c>
      <c r="L1406" s="2">
        <v>3</v>
      </c>
      <c r="M1406" s="2"/>
      <c r="N1406" s="8">
        <v>43153.364907407406</v>
      </c>
      <c r="O1406" s="4" t="s">
        <v>378</v>
      </c>
      <c r="P1406" s="3" t="s">
        <v>377</v>
      </c>
      <c r="Q1406" s="4"/>
      <c r="R1406" s="4"/>
      <c r="S1406" s="9" t="str">
        <f>HYPERLINK("https://pbs.twimg.com/profile_images/1044163921026928642/B4o0ZfOF.jpg","View")</f>
        <v>View</v>
      </c>
    </row>
    <row r="1407" spans="1:19" ht="40">
      <c r="A1407" s="8">
        <v>43369.070266203707</v>
      </c>
      <c r="B1407" s="11" t="str">
        <f>HYPERLINK("https://twitter.com/Mehrnoo55121501","@Mehrnoo55121501")</f>
        <v>@Mehrnoo55121501</v>
      </c>
      <c r="C1407" s="6" t="s">
        <v>173</v>
      </c>
      <c r="D1407" s="5" t="s">
        <v>58</v>
      </c>
      <c r="E1407" s="9" t="str">
        <f>HYPERLINK("https://twitter.com/Mehrnoo55121501/status/1044710933812178944","1044710933812178944")</f>
        <v>1044710933812178944</v>
      </c>
      <c r="F1407" s="4"/>
      <c r="G1407" s="10" t="s">
        <v>57</v>
      </c>
      <c r="H1407" s="4"/>
      <c r="I1407" s="10" t="str">
        <f>HYPERLINK("http://twitter.com/download/android","Twitter for Android")</f>
        <v>Twitter for Android</v>
      </c>
      <c r="J1407" s="2">
        <v>106</v>
      </c>
      <c r="K1407" s="2">
        <v>145</v>
      </c>
      <c r="L1407" s="2">
        <v>0</v>
      </c>
      <c r="M1407" s="2"/>
      <c r="N1407" s="8">
        <v>43250.936168981483</v>
      </c>
      <c r="O1407" s="4"/>
      <c r="P1407" s="3" t="s">
        <v>170</v>
      </c>
      <c r="Q1407" s="4"/>
      <c r="R1407" s="4"/>
      <c r="S1407" s="9" t="str">
        <f>HYPERLINK("https://pbs.twimg.com/profile_images/1001897228124991490/mY5TDuwn.jpg","View")</f>
        <v>View</v>
      </c>
    </row>
    <row r="1408" spans="1:19" ht="40">
      <c r="A1408" s="8">
        <v>43369.069780092592</v>
      </c>
      <c r="B1408" s="11" t="str">
        <f>HYPERLINK("https://twitter.com/oK3AOi9ll77EQ75","@oK3AOi9ll77EQ75")</f>
        <v>@oK3AOi9ll77EQ75</v>
      </c>
      <c r="C1408" s="6" t="s">
        <v>421</v>
      </c>
      <c r="D1408" s="5" t="s">
        <v>75</v>
      </c>
      <c r="E1408" s="9" t="str">
        <f>HYPERLINK("https://twitter.com/oK3AOi9ll77EQ75/status/1044710760214134784","1044710760214134784")</f>
        <v>1044710760214134784</v>
      </c>
      <c r="F1408" s="4"/>
      <c r="G1408" s="4"/>
      <c r="H1408" s="4"/>
      <c r="I1408" s="10" t="str">
        <f>HYPERLINK("http://twitter.com/download/android","Twitter for Android")</f>
        <v>Twitter for Android</v>
      </c>
      <c r="J1408" s="2">
        <v>22</v>
      </c>
      <c r="K1408" s="2">
        <v>22</v>
      </c>
      <c r="L1408" s="2">
        <v>0</v>
      </c>
      <c r="M1408" s="2"/>
      <c r="N1408" s="8">
        <v>43332.496944444443</v>
      </c>
      <c r="O1408" s="4"/>
      <c r="P1408" s="3"/>
      <c r="Q1408" s="4"/>
      <c r="R1408" s="4"/>
      <c r="S1408" s="2" t="s">
        <v>21</v>
      </c>
    </row>
    <row r="1409" spans="1:19" ht="40">
      <c r="A1409" s="8">
        <v>43369.069641203707</v>
      </c>
      <c r="B1409" s="11" t="str">
        <f>HYPERLINK("https://twitter.com/WestWing_77","@WestWing_77")</f>
        <v>@WestWing_77</v>
      </c>
      <c r="C1409" s="6" t="s">
        <v>420</v>
      </c>
      <c r="D1409" s="5" t="s">
        <v>163</v>
      </c>
      <c r="E1409" s="9" t="str">
        <f>HYPERLINK("https://twitter.com/WestWing_77/status/1044710707466506241","1044710707466506241")</f>
        <v>1044710707466506241</v>
      </c>
      <c r="F1409" s="4"/>
      <c r="G1409" s="10" t="s">
        <v>162</v>
      </c>
      <c r="H1409" s="4"/>
      <c r="I1409" s="10" t="str">
        <f>HYPERLINK("http://twitter.com/download/android","Twitter for Android")</f>
        <v>Twitter for Android</v>
      </c>
      <c r="J1409" s="2">
        <v>60</v>
      </c>
      <c r="K1409" s="2">
        <v>291</v>
      </c>
      <c r="L1409" s="2">
        <v>0</v>
      </c>
      <c r="M1409" s="2"/>
      <c r="N1409" s="8">
        <v>43101.849456018521</v>
      </c>
      <c r="O1409" s="4"/>
      <c r="P1409" s="3"/>
      <c r="Q1409" s="4"/>
      <c r="R1409" s="4"/>
      <c r="S1409" s="9" t="str">
        <f>HYPERLINK("https://pbs.twimg.com/profile_images/1042597422730493952/XrlRMdP0.jpg","View")</f>
        <v>View</v>
      </c>
    </row>
    <row r="1410" spans="1:19" ht="30">
      <c r="A1410" s="8">
        <v>43369.069421296299</v>
      </c>
      <c r="B1410" s="11" t="str">
        <f>HYPERLINK("https://twitter.com/Fnews_Persian","@Fnews_Persian")</f>
        <v>@Fnews_Persian</v>
      </c>
      <c r="C1410" s="6" t="s">
        <v>366</v>
      </c>
      <c r="D1410" s="5" t="s">
        <v>419</v>
      </c>
      <c r="E1410" s="9" t="str">
        <f>HYPERLINK("https://twitter.com/Fnews_Persian/status/1044710628148039681","1044710628148039681")</f>
        <v>1044710628148039681</v>
      </c>
      <c r="F1410" s="4"/>
      <c r="G1410" s="10" t="s">
        <v>418</v>
      </c>
      <c r="H1410" s="4"/>
      <c r="I1410" s="10" t="str">
        <f>HYPERLINK("http://twitter.com","Twitter Web Client")</f>
        <v>Twitter Web Client</v>
      </c>
      <c r="J1410" s="2">
        <v>58228</v>
      </c>
      <c r="K1410" s="2">
        <v>8</v>
      </c>
      <c r="L1410" s="2">
        <v>9</v>
      </c>
      <c r="M1410" s="2"/>
      <c r="N1410" s="8">
        <v>42445.668726851851</v>
      </c>
      <c r="O1410" s="4" t="s">
        <v>363</v>
      </c>
      <c r="P1410" s="3" t="s">
        <v>362</v>
      </c>
      <c r="Q1410" s="10" t="s">
        <v>361</v>
      </c>
      <c r="R1410" s="4"/>
      <c r="S1410" s="9" t="str">
        <f>HYPERLINK("https://pbs.twimg.com/profile_images/962248284151734272/-yEY7hhB.jpg","View")</f>
        <v>View</v>
      </c>
    </row>
    <row r="1411" spans="1:19" ht="30">
      <c r="A1411" s="8">
        <v>43369.068622685183</v>
      </c>
      <c r="B1411" s="11" t="str">
        <f>HYPERLINK("https://twitter.com/smith_6365","@smith_6365")</f>
        <v>@smith_6365</v>
      </c>
      <c r="C1411" s="6" t="s">
        <v>417</v>
      </c>
      <c r="D1411" s="5" t="s">
        <v>49</v>
      </c>
      <c r="E1411" s="9" t="str">
        <f>HYPERLINK("https://twitter.com/smith_6365/status/1044710339768709120","1044710339768709120")</f>
        <v>1044710339768709120</v>
      </c>
      <c r="F1411" s="4"/>
      <c r="G1411" s="4"/>
      <c r="H1411" s="4"/>
      <c r="I1411" s="10" t="str">
        <f>HYPERLINK("http://twitter.com/download/android","Twitter for Android")</f>
        <v>Twitter for Android</v>
      </c>
      <c r="J1411" s="2">
        <v>81</v>
      </c>
      <c r="K1411" s="2">
        <v>117</v>
      </c>
      <c r="L1411" s="2">
        <v>0</v>
      </c>
      <c r="M1411" s="2"/>
      <c r="N1411" s="8">
        <v>42769.682175925926</v>
      </c>
      <c r="O1411" s="4" t="s">
        <v>25</v>
      </c>
      <c r="P1411" s="3" t="s">
        <v>416</v>
      </c>
      <c r="Q1411" s="4"/>
      <c r="R1411" s="4"/>
      <c r="S1411" s="9" t="str">
        <f>HYPERLINK("https://pbs.twimg.com/profile_images/828541473863958528/Z_DxvnNC.jpg","View")</f>
        <v>View</v>
      </c>
    </row>
    <row r="1412" spans="1:19" ht="20">
      <c r="A1412" s="8">
        <v>43369.068414351852</v>
      </c>
      <c r="B1412" s="11" t="str">
        <f>HYPERLINK("https://twitter.com/esmaeelnasery1","@esmaeelnasery1")</f>
        <v>@esmaeelnasery1</v>
      </c>
      <c r="C1412" s="6" t="s">
        <v>415</v>
      </c>
      <c r="D1412" s="5" t="s">
        <v>414</v>
      </c>
      <c r="E1412" s="9" t="str">
        <f>HYPERLINK("https://twitter.com/esmaeelnasery1/status/1044710265395269632","1044710265395269632")</f>
        <v>1044710265395269632</v>
      </c>
      <c r="F1412" s="4"/>
      <c r="G1412" s="10" t="s">
        <v>413</v>
      </c>
      <c r="H1412" s="4"/>
      <c r="I1412" s="10" t="str">
        <f>HYPERLINK("http://twitter.com","Twitter Web Client")</f>
        <v>Twitter Web Client</v>
      </c>
      <c r="J1412" s="2">
        <v>232</v>
      </c>
      <c r="K1412" s="2">
        <v>216</v>
      </c>
      <c r="L1412" s="2">
        <v>0</v>
      </c>
      <c r="M1412" s="2"/>
      <c r="N1412" s="8">
        <v>42719.020636574074</v>
      </c>
      <c r="O1412" s="4"/>
      <c r="P1412" s="3" t="s">
        <v>412</v>
      </c>
      <c r="Q1412" s="4"/>
      <c r="R1412" s="4"/>
      <c r="S1412" s="9" t="str">
        <f>HYPERLINK("https://pbs.twimg.com/profile_images/1024758612848140289/IleUHSE9.jpg","View")</f>
        <v>View</v>
      </c>
    </row>
    <row r="1413" spans="1:19" ht="40">
      <c r="A1413" s="8">
        <v>43369.068113425921</v>
      </c>
      <c r="B1413" s="11" t="str">
        <f>HYPERLINK("https://twitter.com/Mrsl05588151","@Mrsl05588151")</f>
        <v>@Mrsl05588151</v>
      </c>
      <c r="C1413" s="6" t="s">
        <v>411</v>
      </c>
      <c r="D1413" s="5" t="s">
        <v>410</v>
      </c>
      <c r="E1413" s="9" t="str">
        <f>HYPERLINK("https://twitter.com/Mrsl05588151/status/1044710156833976321","1044710156833976321")</f>
        <v>1044710156833976321</v>
      </c>
      <c r="F1413" s="4"/>
      <c r="G1413" s="4"/>
      <c r="H1413" s="4"/>
      <c r="I1413" s="10" t="str">
        <f>HYPERLINK("http://twitter.com/download/android","Twitter for Android")</f>
        <v>Twitter for Android</v>
      </c>
      <c r="J1413" s="2">
        <v>11</v>
      </c>
      <c r="K1413" s="2">
        <v>115</v>
      </c>
      <c r="L1413" s="2">
        <v>0</v>
      </c>
      <c r="M1413" s="2"/>
      <c r="N1413" s="8">
        <v>43352.98101851852</v>
      </c>
      <c r="O1413" s="4"/>
      <c r="P1413" s="3" t="s">
        <v>205</v>
      </c>
      <c r="Q1413" s="4"/>
      <c r="R1413" s="4"/>
      <c r="S1413" s="2" t="s">
        <v>21</v>
      </c>
    </row>
    <row r="1414" spans="1:19" ht="40">
      <c r="A1414" s="8">
        <v>43369.068020833336</v>
      </c>
      <c r="B1414" s="11" t="str">
        <f>HYPERLINK("https://twitter.com/hFpCffWJsjtlzj8","@hFpCffWJsjtlzj8")</f>
        <v>@hFpCffWJsjtlzj8</v>
      </c>
      <c r="C1414" s="6" t="s">
        <v>31</v>
      </c>
      <c r="D1414" s="5" t="s">
        <v>409</v>
      </c>
      <c r="E1414" s="9" t="str">
        <f>HYPERLINK("https://twitter.com/hFpCffWJsjtlzj8/status/1044710122025611274","1044710122025611274")</f>
        <v>1044710122025611274</v>
      </c>
      <c r="F1414" s="4"/>
      <c r="G1414" s="4"/>
      <c r="H1414" s="4"/>
      <c r="I1414" s="10" t="str">
        <f>HYPERLINK("http://twitter.com/download/android","Twitter for Android")</f>
        <v>Twitter for Android</v>
      </c>
      <c r="J1414" s="2">
        <v>2</v>
      </c>
      <c r="K1414" s="2">
        <v>19</v>
      </c>
      <c r="L1414" s="2">
        <v>0</v>
      </c>
      <c r="M1414" s="2"/>
      <c r="N1414" s="8">
        <v>43365.538483796292</v>
      </c>
      <c r="O1414" s="4"/>
      <c r="P1414" s="3" t="s">
        <v>211</v>
      </c>
      <c r="Q1414" s="4"/>
      <c r="R1414" s="4"/>
      <c r="S1414" s="9" t="str">
        <f>HYPERLINK("https://pbs.twimg.com/profile_images/1043431700238426115/2-kB3Z0O.jpg","View")</f>
        <v>View</v>
      </c>
    </row>
    <row r="1415" spans="1:19" ht="20">
      <c r="A1415" s="8">
        <v>43369.066238425927</v>
      </c>
      <c r="B1415" s="11" t="str">
        <f>HYPERLINK("https://twitter.com/shahrokh_hamid","@shahrokh_hamid")</f>
        <v>@shahrokh_hamid</v>
      </c>
      <c r="C1415" s="6" t="s">
        <v>318</v>
      </c>
      <c r="D1415" s="5" t="s">
        <v>15</v>
      </c>
      <c r="E1415" s="9" t="str">
        <f>HYPERLINK("https://twitter.com/shahrokh_hamid/status/1044709473993084929","1044709473993084929")</f>
        <v>1044709473993084929</v>
      </c>
      <c r="F1415" s="4"/>
      <c r="G1415" s="4"/>
      <c r="H1415" s="4"/>
      <c r="I1415" s="10" t="str">
        <f>HYPERLINK("http://twitter.com/download/android","Twitter for Android")</f>
        <v>Twitter for Android</v>
      </c>
      <c r="J1415" s="2">
        <v>462</v>
      </c>
      <c r="K1415" s="2">
        <v>285</v>
      </c>
      <c r="L1415" s="2">
        <v>0</v>
      </c>
      <c r="M1415" s="2"/>
      <c r="N1415" s="8">
        <v>43223.838784722218</v>
      </c>
      <c r="O1415" s="4" t="s">
        <v>7</v>
      </c>
      <c r="P1415" s="3" t="s">
        <v>317</v>
      </c>
      <c r="Q1415" s="4"/>
      <c r="R1415" s="4"/>
      <c r="S1415" s="9" t="str">
        <f>HYPERLINK("https://pbs.twimg.com/profile_images/1024013798032769024/cNOJ6NIn.jpg","View")</f>
        <v>View</v>
      </c>
    </row>
    <row r="1416" spans="1:19" ht="20">
      <c r="A1416" s="8">
        <v>43369.066076388888</v>
      </c>
      <c r="B1416" s="11" t="str">
        <f>HYPERLINK("https://twitter.com/nixmix117","@nixmix117")</f>
        <v>@nixmix117</v>
      </c>
      <c r="C1416" s="6" t="s">
        <v>86</v>
      </c>
      <c r="D1416" s="5" t="s">
        <v>204</v>
      </c>
      <c r="E1416" s="9" t="str">
        <f>HYPERLINK("https://twitter.com/nixmix117/status/1044709416220667906","1044709416220667906")</f>
        <v>1044709416220667906</v>
      </c>
      <c r="F1416" s="4"/>
      <c r="G1416" s="10" t="s">
        <v>203</v>
      </c>
      <c r="H1416" s="4"/>
      <c r="I1416" s="10" t="str">
        <f>HYPERLINK("http://twitter.com/download/iphone","Twitter for iPhone")</f>
        <v>Twitter for iPhone</v>
      </c>
      <c r="J1416" s="2">
        <v>257</v>
      </c>
      <c r="K1416" s="2">
        <v>111</v>
      </c>
      <c r="L1416" s="2">
        <v>0</v>
      </c>
      <c r="M1416" s="2"/>
      <c r="N1416" s="8">
        <v>43125.586782407408</v>
      </c>
      <c r="O1416" s="4"/>
      <c r="P1416" s="3"/>
      <c r="Q1416" s="4"/>
      <c r="R1416" s="4"/>
      <c r="S1416" s="9" t="str">
        <f>HYPERLINK("https://pbs.twimg.com/profile_images/958704885083623425/pKGV5gbS.jpg","View")</f>
        <v>View</v>
      </c>
    </row>
    <row r="1417" spans="1:19" ht="40">
      <c r="A1417" s="8">
        <v>43369.065995370373</v>
      </c>
      <c r="B1417" s="11" t="str">
        <f>HYPERLINK("https://twitter.com/ali63mohandes","@ali63mohandes")</f>
        <v>@ali63mohandes</v>
      </c>
      <c r="C1417" s="6" t="s">
        <v>408</v>
      </c>
      <c r="D1417" s="5" t="s">
        <v>407</v>
      </c>
      <c r="E1417" s="9" t="str">
        <f>HYPERLINK("https://twitter.com/ali63mohandes/status/1044709387623964673","1044709387623964673")</f>
        <v>1044709387623964673</v>
      </c>
      <c r="F1417" s="4"/>
      <c r="G1417" s="10" t="s">
        <v>406</v>
      </c>
      <c r="H1417" s="4"/>
      <c r="I1417" s="10" t="str">
        <f>HYPERLINK("http://twitter.com/download/android","Twitter for Android")</f>
        <v>Twitter for Android</v>
      </c>
      <c r="J1417" s="2">
        <v>148</v>
      </c>
      <c r="K1417" s="2">
        <v>470</v>
      </c>
      <c r="L1417" s="2">
        <v>0</v>
      </c>
      <c r="M1417" s="2"/>
      <c r="N1417" s="8">
        <v>43328.67668981482</v>
      </c>
      <c r="O1417" s="4" t="s">
        <v>7</v>
      </c>
      <c r="P1417" s="3" t="s">
        <v>405</v>
      </c>
      <c r="Q1417" s="4"/>
      <c r="R1417" s="4"/>
      <c r="S1417" s="9" t="str">
        <f>HYPERLINK("https://pbs.twimg.com/profile_images/1030060895420829696/6raUrcwd.jpg","View")</f>
        <v>View</v>
      </c>
    </row>
    <row r="1418" spans="1:19" ht="80">
      <c r="A1418" s="8">
        <v>43369.06527777778</v>
      </c>
      <c r="B1418" s="11" t="str">
        <f>HYPERLINK("https://twitter.com/ReformistBoy","@ReformistBoy")</f>
        <v>@ReformistBoy</v>
      </c>
      <c r="C1418" s="6" t="s">
        <v>36</v>
      </c>
      <c r="D1418" s="5" t="s">
        <v>404</v>
      </c>
      <c r="E1418" s="9" t="str">
        <f>HYPERLINK("https://twitter.com/ReformistBoy/status/1044709129489715200","1044709129489715200")</f>
        <v>1044709129489715200</v>
      </c>
      <c r="F1418" s="10" t="s">
        <v>403</v>
      </c>
      <c r="G1418" s="10" t="s">
        <v>402</v>
      </c>
      <c r="H1418" s="4"/>
      <c r="I1418" s="10" t="str">
        <f>HYPERLINK("http://twitter.com/download/android","Twitter for Android")</f>
        <v>Twitter for Android</v>
      </c>
      <c r="J1418" s="2">
        <v>801</v>
      </c>
      <c r="K1418" s="2">
        <v>388</v>
      </c>
      <c r="L1418" s="2">
        <v>2</v>
      </c>
      <c r="M1418" s="2"/>
      <c r="N1418" s="8">
        <v>41841.961365740739</v>
      </c>
      <c r="O1418" s="4" t="s">
        <v>35</v>
      </c>
      <c r="P1418" s="3" t="s">
        <v>34</v>
      </c>
      <c r="Q1418" s="4"/>
      <c r="R1418" s="4"/>
      <c r="S1418" s="9" t="str">
        <f>HYPERLINK("https://pbs.twimg.com/profile_images/1024208644286701568/nb2BOkhE.jpg","View")</f>
        <v>View</v>
      </c>
    </row>
    <row r="1419" spans="1:19" ht="30">
      <c r="A1419" s="8">
        <v>43369.065034722225</v>
      </c>
      <c r="B1419" s="11" t="str">
        <f>HYPERLINK("https://twitter.com/merashidi","@merashidi")</f>
        <v>@merashidi</v>
      </c>
      <c r="C1419" s="6" t="s">
        <v>401</v>
      </c>
      <c r="D1419" s="5" t="s">
        <v>292</v>
      </c>
      <c r="E1419" s="9" t="str">
        <f>HYPERLINK("https://twitter.com/merashidi/status/1044709039026982915","1044709039026982915")</f>
        <v>1044709039026982915</v>
      </c>
      <c r="F1419" s="10" t="s">
        <v>216</v>
      </c>
      <c r="G1419" s="4"/>
      <c r="H1419" s="4"/>
      <c r="I1419" s="10" t="str">
        <f>HYPERLINK("http://twitter.com/download/android","Twitter for Android")</f>
        <v>Twitter for Android</v>
      </c>
      <c r="J1419" s="2">
        <v>1242</v>
      </c>
      <c r="K1419" s="2">
        <v>1151</v>
      </c>
      <c r="L1419" s="2">
        <v>15</v>
      </c>
      <c r="M1419" s="2"/>
      <c r="N1419" s="8">
        <v>42645.780532407407</v>
      </c>
      <c r="O1419" s="4"/>
      <c r="P1419" s="3"/>
      <c r="Q1419" s="4"/>
      <c r="R1419" s="4"/>
      <c r="S1419" s="9" t="str">
        <f>HYPERLINK("https://pbs.twimg.com/profile_images/817649944869928961/rXyHfGRw.jpg","View")</f>
        <v>View</v>
      </c>
    </row>
    <row r="1420" spans="1:19" ht="20">
      <c r="A1420" s="8">
        <v>43369.064918981487</v>
      </c>
      <c r="B1420" s="11" t="str">
        <f>HYPERLINK("https://twitter.com/_gohari_","@_gohari_")</f>
        <v>@_gohari_</v>
      </c>
      <c r="C1420" s="6" t="s">
        <v>400</v>
      </c>
      <c r="D1420" s="5" t="s">
        <v>399</v>
      </c>
      <c r="E1420" s="9" t="str">
        <f>HYPERLINK("https://twitter.com/_gohari_/status/1044708995913723906","1044708995913723906")</f>
        <v>1044708995913723906</v>
      </c>
      <c r="F1420" s="4"/>
      <c r="G1420" s="4"/>
      <c r="H1420" s="4"/>
      <c r="I1420" s="10" t="str">
        <f>HYPERLINK("http://t.me/RetweetBot","HsinBot")</f>
        <v>HsinBot</v>
      </c>
      <c r="J1420" s="2">
        <v>3174</v>
      </c>
      <c r="K1420" s="2">
        <v>4012</v>
      </c>
      <c r="L1420" s="2">
        <v>4</v>
      </c>
      <c r="M1420" s="2"/>
      <c r="N1420" s="8">
        <v>43016.089259259257</v>
      </c>
      <c r="O1420" s="4" t="s">
        <v>1</v>
      </c>
      <c r="P1420" s="3" t="s">
        <v>398</v>
      </c>
      <c r="Q1420" s="4"/>
      <c r="R1420" s="4"/>
      <c r="S1420" s="9" t="str">
        <f>HYPERLINK("https://pbs.twimg.com/profile_images/1033733235199668225/V9Dgs-B2.jpg","View")</f>
        <v>View</v>
      </c>
    </row>
    <row r="1421" spans="1:19" ht="30">
      <c r="A1421" s="8">
        <v>43369.064571759256</v>
      </c>
      <c r="B1421" s="11" t="str">
        <f>HYPERLINK("https://twitter.com/estadebamosht","@estadebamosht")</f>
        <v>@estadebamosht</v>
      </c>
      <c r="C1421" s="6" t="s">
        <v>397</v>
      </c>
      <c r="D1421" s="5" t="s">
        <v>106</v>
      </c>
      <c r="E1421" s="9" t="str">
        <f>HYPERLINK("https://twitter.com/estadebamosht/status/1044708871615520774","1044708871615520774")</f>
        <v>1044708871615520774</v>
      </c>
      <c r="F1421" s="4"/>
      <c r="G1421" s="10" t="s">
        <v>105</v>
      </c>
      <c r="H1421" s="4"/>
      <c r="I1421" s="10" t="str">
        <f>HYPERLINK("http://twitter.com/download/android","Twitter for Android")</f>
        <v>Twitter for Android</v>
      </c>
      <c r="J1421" s="2">
        <v>60</v>
      </c>
      <c r="K1421" s="2">
        <v>183</v>
      </c>
      <c r="L1421" s="2">
        <v>0</v>
      </c>
      <c r="M1421" s="2"/>
      <c r="N1421" s="8">
        <v>42685.848703703705</v>
      </c>
      <c r="O1421" s="4"/>
      <c r="P1421" s="3"/>
      <c r="Q1421" s="4"/>
      <c r="R1421" s="4"/>
      <c r="S1421" s="9" t="str">
        <f>HYPERLINK("https://pbs.twimg.com/profile_images/1027889163587280896/HH_YsQdn.jpg","View")</f>
        <v>View</v>
      </c>
    </row>
    <row r="1422" spans="1:19" ht="40">
      <c r="A1422" s="8">
        <v>43369.06417824074</v>
      </c>
      <c r="B1422" s="11" t="str">
        <f>HYPERLINK("https://twitter.com/iranshr_retwitt","@iranshr_retwitt")</f>
        <v>@iranshr_retwitt</v>
      </c>
      <c r="C1422" s="6" t="s">
        <v>396</v>
      </c>
      <c r="D1422" s="5" t="s">
        <v>167</v>
      </c>
      <c r="E1422" s="9" t="str">
        <f>HYPERLINK("https://twitter.com/iranshr_retwitt/status/1044708727738302465","1044708727738302465")</f>
        <v>1044708727738302465</v>
      </c>
      <c r="F1422" s="4"/>
      <c r="G1422" s="4"/>
      <c r="H1422" s="4"/>
      <c r="I1422" s="10" t="str">
        <f>HYPERLINK("http://twitter.com/download/android","Twitter for Android")</f>
        <v>Twitter for Android</v>
      </c>
      <c r="J1422" s="2">
        <v>238</v>
      </c>
      <c r="K1422" s="2">
        <v>194</v>
      </c>
      <c r="L1422" s="2">
        <v>0</v>
      </c>
      <c r="M1422" s="2"/>
      <c r="N1422" s="8">
        <v>43316.092164351852</v>
      </c>
      <c r="O1422" s="4" t="s">
        <v>395</v>
      </c>
      <c r="P1422" s="3"/>
      <c r="Q1422" s="4"/>
      <c r="R1422" s="4"/>
      <c r="S1422" s="9" t="str">
        <f>HYPERLINK("https://pbs.twimg.com/profile_images/1025499700684877824/a1u68AFL.jpg","View")</f>
        <v>View</v>
      </c>
    </row>
    <row r="1423" spans="1:19" ht="40">
      <c r="A1423" s="8">
        <v>43369.063645833332</v>
      </c>
      <c r="B1423" s="11" t="str">
        <f>HYPERLINK("https://twitter.com/persianghobad","@persianghobad")</f>
        <v>@persianghobad</v>
      </c>
      <c r="C1423" s="6" t="s">
        <v>394</v>
      </c>
      <c r="D1423" s="5" t="s">
        <v>393</v>
      </c>
      <c r="E1423" s="9" t="str">
        <f>HYPERLINK("https://twitter.com/persianghobad/status/1044708534984880128","1044708534984880128")</f>
        <v>1044708534984880128</v>
      </c>
      <c r="F1423" s="4"/>
      <c r="G1423" s="10" t="s">
        <v>392</v>
      </c>
      <c r="H1423" s="4"/>
      <c r="I1423" s="10" t="str">
        <f>HYPERLINK("http://twitter.com/download/android","Twitter for Android")</f>
        <v>Twitter for Android</v>
      </c>
      <c r="J1423" s="2">
        <v>301</v>
      </c>
      <c r="K1423" s="2">
        <v>99</v>
      </c>
      <c r="L1423" s="2">
        <v>29</v>
      </c>
      <c r="M1423" s="2"/>
      <c r="N1423" s="8">
        <v>39976.855543981481</v>
      </c>
      <c r="O1423" s="4" t="s">
        <v>70</v>
      </c>
      <c r="P1423" s="3" t="s">
        <v>391</v>
      </c>
      <c r="Q1423" s="4"/>
      <c r="R1423" s="4"/>
      <c r="S1423" s="9" t="str">
        <f>HYPERLINK("https://pbs.twimg.com/profile_images/378800000068352163/9d47d78fab604b3adc6ae6b5b37ab573.jpeg","View")</f>
        <v>View</v>
      </c>
    </row>
    <row r="1424" spans="1:19" ht="40">
      <c r="A1424" s="8">
        <v>43369.063379629632</v>
      </c>
      <c r="B1424" s="11" t="str">
        <f>HYPERLINK("https://twitter.com/Saraghasemi82","@Saraghasemi82")</f>
        <v>@Saraghasemi82</v>
      </c>
      <c r="C1424" s="6" t="s">
        <v>356</v>
      </c>
      <c r="D1424" s="5" t="s">
        <v>390</v>
      </c>
      <c r="E1424" s="9" t="str">
        <f>HYPERLINK("https://twitter.com/Saraghasemi82/status/1044708438427803648","1044708438427803648")</f>
        <v>1044708438427803648</v>
      </c>
      <c r="F1424" s="4"/>
      <c r="G1424" s="4"/>
      <c r="H1424" s="4"/>
      <c r="I1424" s="10" t="str">
        <f>HYPERLINK("http://twitter.com/download/iphone","Twitter for iPhone")</f>
        <v>Twitter for iPhone</v>
      </c>
      <c r="J1424" s="2">
        <v>62</v>
      </c>
      <c r="K1424" s="2">
        <v>140</v>
      </c>
      <c r="L1424" s="2">
        <v>0</v>
      </c>
      <c r="M1424" s="2"/>
      <c r="N1424" s="8">
        <v>42917.470057870371</v>
      </c>
      <c r="O1424" s="4" t="s">
        <v>22</v>
      </c>
      <c r="P1424" s="3"/>
      <c r="Q1424" s="4"/>
      <c r="R1424" s="4"/>
      <c r="S1424" s="9" t="str">
        <f>HYPERLINK("https://pbs.twimg.com/profile_images/941929320469102594/ipVd5E4r.jpg","View")</f>
        <v>View</v>
      </c>
    </row>
    <row r="1425" spans="1:19" ht="40">
      <c r="A1425" s="8">
        <v>43369.06318287037</v>
      </c>
      <c r="B1425" s="11" t="str">
        <f>HYPERLINK("https://twitter.com/ZZanjani90","@ZZanjani90")</f>
        <v>@ZZanjani90</v>
      </c>
      <c r="C1425" s="6" t="s">
        <v>354</v>
      </c>
      <c r="D1425" s="5" t="s">
        <v>209</v>
      </c>
      <c r="E1425" s="9" t="str">
        <f>HYPERLINK("https://twitter.com/ZZanjani90/status/1044708369712459777","1044708369712459777")</f>
        <v>1044708369712459777</v>
      </c>
      <c r="F1425" s="4"/>
      <c r="G1425" s="10" t="s">
        <v>208</v>
      </c>
      <c r="H1425" s="4"/>
      <c r="I1425" s="10" t="str">
        <f>HYPERLINK("http://twitter.com/download/android","Twitter for Android")</f>
        <v>Twitter for Android</v>
      </c>
      <c r="J1425" s="2">
        <v>132</v>
      </c>
      <c r="K1425" s="2">
        <v>86</v>
      </c>
      <c r="L1425" s="2">
        <v>3</v>
      </c>
      <c r="M1425" s="2"/>
      <c r="N1425" s="8">
        <v>41602.980312500003</v>
      </c>
      <c r="O1425" s="4"/>
      <c r="P1425" s="3"/>
      <c r="Q1425" s="4"/>
      <c r="R1425" s="4"/>
      <c r="S1425" s="9" t="str">
        <f>HYPERLINK("https://pbs.twimg.com/profile_images/435153135884328960/WVha9S_G.jpeg","View")</f>
        <v>View</v>
      </c>
    </row>
    <row r="1426" spans="1:19" ht="40">
      <c r="A1426" s="8">
        <v>43369.062604166669</v>
      </c>
      <c r="B1426" s="11" t="str">
        <f>HYPERLINK("https://twitter.com/Hooshan79089946","@Hooshan79089946")</f>
        <v>@Hooshan79089946</v>
      </c>
      <c r="C1426" s="6" t="s">
        <v>389</v>
      </c>
      <c r="D1426" s="5" t="s">
        <v>58</v>
      </c>
      <c r="E1426" s="9" t="str">
        <f>HYPERLINK("https://twitter.com/Hooshan79089946/status/1044708159019978752","1044708159019978752")</f>
        <v>1044708159019978752</v>
      </c>
      <c r="F1426" s="4"/>
      <c r="G1426" s="10" t="s">
        <v>57</v>
      </c>
      <c r="H1426" s="4"/>
      <c r="I1426" s="10" t="str">
        <f>HYPERLINK("http://twitter.com/download/android","Twitter for Android")</f>
        <v>Twitter for Android</v>
      </c>
      <c r="J1426" s="2">
        <v>31</v>
      </c>
      <c r="K1426" s="2">
        <v>71</v>
      </c>
      <c r="L1426" s="2">
        <v>0</v>
      </c>
      <c r="M1426" s="2"/>
      <c r="N1426" s="8">
        <v>43283.912210648152</v>
      </c>
      <c r="O1426" s="4"/>
      <c r="P1426" s="3"/>
      <c r="Q1426" s="4"/>
      <c r="R1426" s="4"/>
      <c r="S1426" s="2" t="s">
        <v>21</v>
      </c>
    </row>
    <row r="1427" spans="1:19" ht="40">
      <c r="A1427" s="8">
        <v>43369.061747685184</v>
      </c>
      <c r="B1427" s="11" t="str">
        <f>HYPERLINK("https://twitter.com/ardavan_sijani","@ardavan_sijani")</f>
        <v>@ardavan_sijani</v>
      </c>
      <c r="C1427" s="6" t="s">
        <v>388</v>
      </c>
      <c r="D1427" s="5" t="s">
        <v>128</v>
      </c>
      <c r="E1427" s="9" t="str">
        <f>HYPERLINK("https://twitter.com/ardavan_sijani/status/1044707849585266689","1044707849585266689")</f>
        <v>1044707849585266689</v>
      </c>
      <c r="F1427" s="4"/>
      <c r="G1427" s="4"/>
      <c r="H1427" s="4"/>
      <c r="I1427" s="10" t="str">
        <f>HYPERLINK("http://twitter.com/download/android","Twitter for Android")</f>
        <v>Twitter for Android</v>
      </c>
      <c r="J1427" s="2">
        <v>758</v>
      </c>
      <c r="K1427" s="2">
        <v>1421</v>
      </c>
      <c r="L1427" s="2">
        <v>1</v>
      </c>
      <c r="M1427" s="2"/>
      <c r="N1427" s="8">
        <v>42496.528865740736</v>
      </c>
      <c r="O1427" s="4" t="s">
        <v>387</v>
      </c>
      <c r="P1427" s="3" t="s">
        <v>386</v>
      </c>
      <c r="Q1427" s="10" t="s">
        <v>385</v>
      </c>
      <c r="R1427" s="4"/>
      <c r="S1427" s="9" t="str">
        <f>HYPERLINK("https://pbs.twimg.com/profile_images/871020529758720000/deDU-kB0.jpg","View")</f>
        <v>View</v>
      </c>
    </row>
    <row r="1428" spans="1:19" ht="30">
      <c r="A1428" s="8">
        <v>43369.061331018514</v>
      </c>
      <c r="B1428" s="11" t="str">
        <f>HYPERLINK("https://twitter.com/golamrezahassan","@golamrezahassan")</f>
        <v>@golamrezahassan</v>
      </c>
      <c r="C1428" s="6" t="s">
        <v>384</v>
      </c>
      <c r="D1428" s="5" t="s">
        <v>383</v>
      </c>
      <c r="E1428" s="9" t="str">
        <f>HYPERLINK("https://twitter.com/golamrezahassan/status/1044707698498043910","1044707698498043910")</f>
        <v>1044707698498043910</v>
      </c>
      <c r="F1428" s="4"/>
      <c r="G1428" s="10" t="s">
        <v>382</v>
      </c>
      <c r="H1428" s="4"/>
      <c r="I1428" s="10" t="str">
        <f>HYPERLINK("http://twitter.com","Twitter Web Client")</f>
        <v>Twitter Web Client</v>
      </c>
      <c r="J1428" s="2">
        <v>75</v>
      </c>
      <c r="K1428" s="2">
        <v>80</v>
      </c>
      <c r="L1428" s="2">
        <v>0</v>
      </c>
      <c r="M1428" s="2"/>
      <c r="N1428" s="8">
        <v>43301.507349537038</v>
      </c>
      <c r="O1428" s="4" t="s">
        <v>152</v>
      </c>
      <c r="P1428" s="3" t="s">
        <v>381</v>
      </c>
      <c r="Q1428" s="4"/>
      <c r="R1428" s="4"/>
      <c r="S1428" s="9" t="str">
        <f>HYPERLINK("https://pbs.twimg.com/profile_images/1038747469721624576/uWjP-1w6.jpg","View")</f>
        <v>View</v>
      </c>
    </row>
    <row r="1429" spans="1:19" ht="20">
      <c r="A1429" s="8">
        <v>43369.060925925922</v>
      </c>
      <c r="B1429" s="11" t="str">
        <f>HYPERLINK("https://twitter.com/hamidtorabii","@hamidtorabii")</f>
        <v>@hamidtorabii</v>
      </c>
      <c r="C1429" s="6" t="s">
        <v>201</v>
      </c>
      <c r="D1429" s="5" t="s">
        <v>380</v>
      </c>
      <c r="E1429" s="9" t="str">
        <f>HYPERLINK("https://twitter.com/hamidtorabii/status/1044707548761395205","1044707548761395205")</f>
        <v>1044707548761395205</v>
      </c>
      <c r="F1429" s="4"/>
      <c r="G1429" s="4"/>
      <c r="H1429" s="4"/>
      <c r="I1429" s="10" t="str">
        <f>HYPERLINK("http://twitter.com/download/android","Twitter for Android")</f>
        <v>Twitter for Android</v>
      </c>
      <c r="J1429" s="2">
        <v>4467</v>
      </c>
      <c r="K1429" s="2">
        <v>3713</v>
      </c>
      <c r="L1429" s="2">
        <v>15</v>
      </c>
      <c r="M1429" s="2"/>
      <c r="N1429" s="8">
        <v>43144.136354166665</v>
      </c>
      <c r="O1429" s="4" t="s">
        <v>199</v>
      </c>
      <c r="P1429" s="3" t="s">
        <v>198</v>
      </c>
      <c r="Q1429" s="4"/>
      <c r="R1429" s="4"/>
      <c r="S1429" s="9" t="str">
        <f>HYPERLINK("https://pbs.twimg.com/profile_images/1011537692817960960/AQkxJ_VW.jpg","View")</f>
        <v>View</v>
      </c>
    </row>
    <row r="1430" spans="1:19" ht="20">
      <c r="A1430" s="8">
        <v>43369.060150462959</v>
      </c>
      <c r="B1430" s="11" t="str">
        <f>HYPERLINK("https://twitter.com/orchid_62","@orchid_62")</f>
        <v>@orchid_62</v>
      </c>
      <c r="C1430" s="6" t="s">
        <v>379</v>
      </c>
      <c r="D1430" s="5" t="s">
        <v>320</v>
      </c>
      <c r="E1430" s="9" t="str">
        <f>HYPERLINK("https://twitter.com/orchid_62/status/1044707270590955520","1044707270590955520")</f>
        <v>1044707270590955520</v>
      </c>
      <c r="F1430" s="4"/>
      <c r="G1430" s="4"/>
      <c r="H1430" s="4"/>
      <c r="I1430" s="10" t="str">
        <f>HYPERLINK("http://twitter.com/download/iphone","Twitter for iPhone")</f>
        <v>Twitter for iPhone</v>
      </c>
      <c r="J1430" s="2">
        <v>538</v>
      </c>
      <c r="K1430" s="2">
        <v>106</v>
      </c>
      <c r="L1430" s="2">
        <v>3</v>
      </c>
      <c r="M1430" s="2"/>
      <c r="N1430" s="8">
        <v>43153.364907407406</v>
      </c>
      <c r="O1430" s="4" t="s">
        <v>378</v>
      </c>
      <c r="P1430" s="3" t="s">
        <v>377</v>
      </c>
      <c r="Q1430" s="4"/>
      <c r="R1430" s="4"/>
      <c r="S1430" s="9" t="str">
        <f>HYPERLINK("https://pbs.twimg.com/profile_images/1044163921026928642/B4o0ZfOF.jpg","View")</f>
        <v>View</v>
      </c>
    </row>
    <row r="1431" spans="1:19" ht="40">
      <c r="A1431" s="8">
        <v>43369.05976851852</v>
      </c>
      <c r="B1431" s="11" t="str">
        <f>HYPERLINK("https://twitter.com/Raha__ariya","@Raha__ariya")</f>
        <v>@Raha__ariya</v>
      </c>
      <c r="C1431" s="6" t="s">
        <v>376</v>
      </c>
      <c r="D1431" s="5" t="s">
        <v>163</v>
      </c>
      <c r="E1431" s="9" t="str">
        <f>HYPERLINK("https://twitter.com/Raha__ariya/status/1044707131293945857","1044707131293945857")</f>
        <v>1044707131293945857</v>
      </c>
      <c r="F1431" s="4"/>
      <c r="G1431" s="10" t="s">
        <v>162</v>
      </c>
      <c r="H1431" s="4"/>
      <c r="I1431" s="10" t="str">
        <f>HYPERLINK("http://twitter.com/download/android","Twitter for Android")</f>
        <v>Twitter for Android</v>
      </c>
      <c r="J1431" s="2">
        <v>118</v>
      </c>
      <c r="K1431" s="2">
        <v>47</v>
      </c>
      <c r="L1431" s="2">
        <v>1</v>
      </c>
      <c r="M1431" s="2"/>
      <c r="N1431" s="8">
        <v>43106.054386574076</v>
      </c>
      <c r="O1431" s="4"/>
      <c r="P1431" s="3"/>
      <c r="Q1431" s="4"/>
      <c r="R1431" s="4"/>
      <c r="S1431" s="9" t="str">
        <f>HYPERLINK("https://pbs.twimg.com/profile_images/991169634601783296/p2idQNC8.jpg","View")</f>
        <v>View</v>
      </c>
    </row>
    <row r="1432" spans="1:19" ht="20">
      <c r="A1432" s="8">
        <v>43369.059710648144</v>
      </c>
      <c r="B1432" s="11" t="str">
        <f>HYPERLINK("https://twitter.com/amir999amoon","@amir999amoon")</f>
        <v>@amir999amoon</v>
      </c>
      <c r="C1432" s="6" t="s">
        <v>375</v>
      </c>
      <c r="D1432" s="5" t="s">
        <v>307</v>
      </c>
      <c r="E1432" s="9" t="str">
        <f>HYPERLINK("https://twitter.com/amir999amoon/status/1044707111702212608","1044707111702212608")</f>
        <v>1044707111702212608</v>
      </c>
      <c r="F1432" s="4"/>
      <c r="G1432" s="10" t="s">
        <v>306</v>
      </c>
      <c r="H1432" s="4"/>
      <c r="I1432" s="10" t="str">
        <f>HYPERLINK("http://twitter.com","Twitter Web Client")</f>
        <v>Twitter Web Client</v>
      </c>
      <c r="J1432" s="2">
        <v>919</v>
      </c>
      <c r="K1432" s="2">
        <v>4954</v>
      </c>
      <c r="L1432" s="2">
        <v>0</v>
      </c>
      <c r="M1432" s="2"/>
      <c r="N1432" s="8">
        <v>43014.587824074071</v>
      </c>
      <c r="O1432" s="4" t="s">
        <v>374</v>
      </c>
      <c r="P1432" s="3" t="s">
        <v>373</v>
      </c>
      <c r="Q1432" s="4"/>
      <c r="R1432" s="4"/>
      <c r="S1432" s="9" t="str">
        <f>HYPERLINK("https://pbs.twimg.com/profile_images/934920532008603648/a9VyQ_h4.jpg","View")</f>
        <v>View</v>
      </c>
    </row>
    <row r="1433" spans="1:19" ht="40">
      <c r="A1433" s="8">
        <v>43369.059050925927</v>
      </c>
      <c r="B1433" s="11" t="str">
        <f>HYPERLINK("https://twitter.com/ag7MeICojAh3Jiy","@ag7MeICojAh3Jiy")</f>
        <v>@ag7MeICojAh3Jiy</v>
      </c>
      <c r="C1433" s="6" t="s">
        <v>372</v>
      </c>
      <c r="D1433" s="5" t="s">
        <v>72</v>
      </c>
      <c r="E1433" s="9" t="str">
        <f>HYPERLINK("https://twitter.com/ag7MeICojAh3Jiy/status/1044706872136278019","1044706872136278019")</f>
        <v>1044706872136278019</v>
      </c>
      <c r="F1433" s="4"/>
      <c r="G1433" s="4"/>
      <c r="H1433" s="4"/>
      <c r="I1433" s="10" t="str">
        <f>HYPERLINK("http://twitter.com/download/android","Twitter for Android")</f>
        <v>Twitter for Android</v>
      </c>
      <c r="J1433" s="2">
        <v>29</v>
      </c>
      <c r="K1433" s="2">
        <v>11</v>
      </c>
      <c r="L1433" s="2">
        <v>0</v>
      </c>
      <c r="M1433" s="2"/>
      <c r="N1433" s="8">
        <v>43314.052812499998</v>
      </c>
      <c r="O1433" s="4"/>
      <c r="P1433" s="3" t="s">
        <v>371</v>
      </c>
      <c r="Q1433" s="4"/>
      <c r="R1433" s="4"/>
      <c r="S1433" s="9" t="str">
        <f>HYPERLINK("https://pbs.twimg.com/profile_images/1038349811848814592/EmjFOUk0.jpg","View")</f>
        <v>View</v>
      </c>
    </row>
    <row r="1434" spans="1:19" ht="40">
      <c r="A1434" s="8">
        <v>43369.058923611112</v>
      </c>
      <c r="B1434" s="11" t="str">
        <f>HYPERLINK("https://twitter.com/shirdokht","@shirdokht")</f>
        <v>@shirdokht</v>
      </c>
      <c r="C1434" s="6" t="s">
        <v>370</v>
      </c>
      <c r="D1434" s="5" t="s">
        <v>369</v>
      </c>
      <c r="E1434" s="9" t="str">
        <f>HYPERLINK("https://twitter.com/shirdokht/status/1044706826594525184","1044706826594525184")</f>
        <v>1044706826594525184</v>
      </c>
      <c r="F1434" s="4"/>
      <c r="G1434" s="10" t="s">
        <v>368</v>
      </c>
      <c r="H1434" s="4"/>
      <c r="I1434" s="10" t="str">
        <f>HYPERLINK("http://twitter.com/download/android","Twitter for Android")</f>
        <v>Twitter for Android</v>
      </c>
      <c r="J1434" s="2">
        <v>261</v>
      </c>
      <c r="K1434" s="2">
        <v>224</v>
      </c>
      <c r="L1434" s="2">
        <v>1</v>
      </c>
      <c r="M1434" s="2"/>
      <c r="N1434" s="8">
        <v>43337.067187499997</v>
      </c>
      <c r="O1434" s="4"/>
      <c r="P1434" s="3" t="s">
        <v>367</v>
      </c>
      <c r="Q1434" s="4"/>
      <c r="R1434" s="4"/>
      <c r="S1434" s="9" t="str">
        <f>HYPERLINK("https://pbs.twimg.com/profile_images/1033102858688909313/mSlrb4Qp.jpg","View")</f>
        <v>View</v>
      </c>
    </row>
    <row r="1435" spans="1:19" ht="20">
      <c r="A1435" s="8">
        <v>43369.058530092589</v>
      </c>
      <c r="B1435" s="11" t="str">
        <f>HYPERLINK("https://twitter.com/Fnews_Persian","@Fnews_Persian")</f>
        <v>@Fnews_Persian</v>
      </c>
      <c r="C1435" s="6" t="s">
        <v>366</v>
      </c>
      <c r="D1435" s="5" t="s">
        <v>365</v>
      </c>
      <c r="E1435" s="9" t="str">
        <f>HYPERLINK("https://twitter.com/Fnews_Persian/status/1044706682515976192","1044706682515976192")</f>
        <v>1044706682515976192</v>
      </c>
      <c r="F1435" s="4"/>
      <c r="G1435" s="10" t="s">
        <v>364</v>
      </c>
      <c r="H1435" s="4"/>
      <c r="I1435" s="10" t="str">
        <f>HYPERLINK("http://twitter.com","Twitter Web Client")</f>
        <v>Twitter Web Client</v>
      </c>
      <c r="J1435" s="2">
        <v>58228</v>
      </c>
      <c r="K1435" s="2">
        <v>8</v>
      </c>
      <c r="L1435" s="2">
        <v>9</v>
      </c>
      <c r="M1435" s="2"/>
      <c r="N1435" s="8">
        <v>42445.668726851851</v>
      </c>
      <c r="O1435" s="4" t="s">
        <v>363</v>
      </c>
      <c r="P1435" s="3" t="s">
        <v>362</v>
      </c>
      <c r="Q1435" s="10" t="s">
        <v>361</v>
      </c>
      <c r="R1435" s="4"/>
      <c r="S1435" s="9" t="str">
        <f>HYPERLINK("https://pbs.twimg.com/profile_images/962248284151734272/-yEY7hhB.jpg","View")</f>
        <v>View</v>
      </c>
    </row>
    <row r="1436" spans="1:19" ht="40">
      <c r="A1436" s="8">
        <v>43369.058171296296</v>
      </c>
      <c r="B1436" s="11" t="str">
        <f>HYPERLINK("https://twitter.com/BenVahab","@BenVahab")</f>
        <v>@BenVahab</v>
      </c>
      <c r="C1436" s="6" t="s">
        <v>360</v>
      </c>
      <c r="D1436" s="5" t="s">
        <v>72</v>
      </c>
      <c r="E1436" s="9" t="str">
        <f>HYPERLINK("https://twitter.com/BenVahab/status/1044706553847255041","1044706553847255041")</f>
        <v>1044706553847255041</v>
      </c>
      <c r="F1436" s="4"/>
      <c r="G1436" s="4"/>
      <c r="H1436" s="4"/>
      <c r="I1436" s="10" t="str">
        <f>HYPERLINK("http://twitter.com/download/android","Twitter for Android")</f>
        <v>Twitter for Android</v>
      </c>
      <c r="J1436" s="2">
        <v>1085</v>
      </c>
      <c r="K1436" s="2">
        <v>1361</v>
      </c>
      <c r="L1436" s="2">
        <v>2</v>
      </c>
      <c r="M1436" s="2"/>
      <c r="N1436" s="8">
        <v>43125.011412037042</v>
      </c>
      <c r="O1436" s="4"/>
      <c r="P1436" s="3" t="s">
        <v>359</v>
      </c>
      <c r="Q1436" s="4"/>
      <c r="R1436" s="4"/>
      <c r="S1436" s="9" t="str">
        <f>HYPERLINK("https://pbs.twimg.com/profile_images/1044706052070084608/PkIUp6dI.jpg","View")</f>
        <v>View</v>
      </c>
    </row>
    <row r="1437" spans="1:19" ht="20">
      <c r="A1437" s="8">
        <v>43369.058136574073</v>
      </c>
      <c r="B1437" s="11" t="str">
        <f>HYPERLINK("https://twitter.com/mhd668","@mhd668")</f>
        <v>@mhd668</v>
      </c>
      <c r="C1437" s="6" t="s">
        <v>358</v>
      </c>
      <c r="D1437" s="5" t="s">
        <v>357</v>
      </c>
      <c r="E1437" s="9" t="str">
        <f>HYPERLINK("https://twitter.com/mhd668/status/1044706539687342080","1044706539687342080")</f>
        <v>1044706539687342080</v>
      </c>
      <c r="F1437" s="4"/>
      <c r="G1437" s="4"/>
      <c r="H1437" s="4"/>
      <c r="I1437" s="10" t="str">
        <f>HYPERLINK("http://twitter.com/download/iphone","Twitter for iPhone")</f>
        <v>Twitter for iPhone</v>
      </c>
      <c r="J1437" s="2">
        <v>0</v>
      </c>
      <c r="K1437" s="2">
        <v>4</v>
      </c>
      <c r="L1437" s="2">
        <v>0</v>
      </c>
      <c r="M1437" s="2"/>
      <c r="N1437" s="8">
        <v>43362.892604166671</v>
      </c>
      <c r="O1437" s="4"/>
      <c r="P1437" s="3"/>
      <c r="Q1437" s="4"/>
      <c r="R1437" s="4"/>
      <c r="S1437" s="2" t="s">
        <v>21</v>
      </c>
    </row>
    <row r="1438" spans="1:19" ht="40">
      <c r="A1438" s="8">
        <v>43369.054756944446</v>
      </c>
      <c r="B1438" s="11" t="str">
        <f>HYPERLINK("https://twitter.com/Saraghasemi82","@Saraghasemi82")</f>
        <v>@Saraghasemi82</v>
      </c>
      <c r="C1438" s="6" t="s">
        <v>356</v>
      </c>
      <c r="D1438" s="5" t="s">
        <v>355</v>
      </c>
      <c r="E1438" s="9" t="str">
        <f>HYPERLINK("https://twitter.com/Saraghasemi82/status/1044705313599959041","1044705313599959041")</f>
        <v>1044705313599959041</v>
      </c>
      <c r="F1438" s="4"/>
      <c r="G1438" s="4"/>
      <c r="H1438" s="4"/>
      <c r="I1438" s="10" t="str">
        <f>HYPERLINK("http://twitter.com/download/iphone","Twitter for iPhone")</f>
        <v>Twitter for iPhone</v>
      </c>
      <c r="J1438" s="2">
        <v>62</v>
      </c>
      <c r="K1438" s="2">
        <v>140</v>
      </c>
      <c r="L1438" s="2">
        <v>0</v>
      </c>
      <c r="M1438" s="2"/>
      <c r="N1438" s="8">
        <v>42917.470057870371</v>
      </c>
      <c r="O1438" s="4" t="s">
        <v>22</v>
      </c>
      <c r="P1438" s="3"/>
      <c r="Q1438" s="4"/>
      <c r="R1438" s="4"/>
      <c r="S1438" s="9" t="str">
        <f>HYPERLINK("https://pbs.twimg.com/profile_images/941929320469102594/ipVd5E4r.jpg","View")</f>
        <v>View</v>
      </c>
    </row>
    <row r="1439" spans="1:19" ht="20">
      <c r="A1439" s="8">
        <v>43369.054733796293</v>
      </c>
      <c r="B1439" s="11" t="str">
        <f>HYPERLINK("https://twitter.com/ZZanjani90","@ZZanjani90")</f>
        <v>@ZZanjani90</v>
      </c>
      <c r="C1439" s="6" t="s">
        <v>354</v>
      </c>
      <c r="D1439" s="5" t="s">
        <v>154</v>
      </c>
      <c r="E1439" s="9" t="str">
        <f>HYPERLINK("https://twitter.com/ZZanjani90/status/1044705306557714432","1044705306557714432")</f>
        <v>1044705306557714432</v>
      </c>
      <c r="F1439" s="10" t="s">
        <v>153</v>
      </c>
      <c r="G1439" s="4"/>
      <c r="H1439" s="4"/>
      <c r="I1439" s="10" t="str">
        <f>HYPERLINK("http://twitter.com/download/android","Twitter for Android")</f>
        <v>Twitter for Android</v>
      </c>
      <c r="J1439" s="2">
        <v>132</v>
      </c>
      <c r="K1439" s="2">
        <v>79</v>
      </c>
      <c r="L1439" s="2">
        <v>3</v>
      </c>
      <c r="M1439" s="2"/>
      <c r="N1439" s="8">
        <v>41602.980312500003</v>
      </c>
      <c r="O1439" s="4"/>
      <c r="P1439" s="3"/>
      <c r="Q1439" s="4"/>
      <c r="R1439" s="4"/>
      <c r="S1439" s="9" t="str">
        <f>HYPERLINK("https://pbs.twimg.com/profile_images/435153135884328960/WVha9S_G.jpeg","View")</f>
        <v>View</v>
      </c>
    </row>
    <row r="1440" spans="1:19" ht="40">
      <c r="A1440" s="8">
        <v>43369.054340277777</v>
      </c>
      <c r="B1440" s="11" t="str">
        <f>HYPERLINK("https://twitter.com/suroneye","@suroneye")</f>
        <v>@suroneye</v>
      </c>
      <c r="C1440" s="6" t="s">
        <v>353</v>
      </c>
      <c r="D1440" s="5" t="s">
        <v>352</v>
      </c>
      <c r="E1440" s="9" t="str">
        <f>HYPERLINK("https://twitter.com/suroneye/status/1044705163401981953","1044705163401981953")</f>
        <v>1044705163401981953</v>
      </c>
      <c r="F1440" s="4"/>
      <c r="G1440" s="4"/>
      <c r="H1440" s="4"/>
      <c r="I1440" s="10" t="str">
        <f>HYPERLINK("http://twitter.com/download/android","Twitter for Android")</f>
        <v>Twitter for Android</v>
      </c>
      <c r="J1440" s="2">
        <v>314</v>
      </c>
      <c r="K1440" s="2">
        <v>2008</v>
      </c>
      <c r="L1440" s="2">
        <v>1</v>
      </c>
      <c r="M1440" s="2"/>
      <c r="N1440" s="8">
        <v>43022.094618055555</v>
      </c>
      <c r="O1440" s="4" t="s">
        <v>351</v>
      </c>
      <c r="P1440" s="3" t="s">
        <v>350</v>
      </c>
      <c r="Q1440" s="4"/>
      <c r="R1440" s="4"/>
      <c r="S1440" s="9" t="str">
        <f>HYPERLINK("https://pbs.twimg.com/profile_images/1041528569447342080/4MNKLkvq.jpg","View")</f>
        <v>View</v>
      </c>
    </row>
    <row r="1441" spans="1:19" ht="30">
      <c r="A1441" s="8">
        <v>43369.053981481484</v>
      </c>
      <c r="B1441" s="11" t="str">
        <f>HYPERLINK("https://twitter.com/mzeus99","@mzeus99")</f>
        <v>@mzeus99</v>
      </c>
      <c r="C1441" s="6" t="s">
        <v>349</v>
      </c>
      <c r="D1441" s="5" t="s">
        <v>49</v>
      </c>
      <c r="E1441" s="9" t="str">
        <f>HYPERLINK("https://twitter.com/mzeus99/status/1044705035647627266","1044705035647627266")</f>
        <v>1044705035647627266</v>
      </c>
      <c r="F1441" s="4"/>
      <c r="G1441" s="4"/>
      <c r="H1441" s="4"/>
      <c r="I1441" s="10" t="str">
        <f>HYPERLINK("http://twitter.com/download/iphone","Twitter for iPhone")</f>
        <v>Twitter for iPhone</v>
      </c>
      <c r="J1441" s="2">
        <v>1365</v>
      </c>
      <c r="K1441" s="2">
        <v>2199</v>
      </c>
      <c r="L1441" s="2">
        <v>1</v>
      </c>
      <c r="M1441" s="2"/>
      <c r="N1441" s="8">
        <v>41519.519386574073</v>
      </c>
      <c r="O1441" s="4"/>
      <c r="P1441" s="3" t="s">
        <v>348</v>
      </c>
      <c r="Q1441" s="4"/>
      <c r="R1441" s="4"/>
      <c r="S1441" s="9" t="str">
        <f>HYPERLINK("https://pbs.twimg.com/profile_images/1042149106695716864/MeKvnnCa.jpg","View")</f>
        <v>View</v>
      </c>
    </row>
    <row r="1442" spans="1:19" ht="20">
      <c r="A1442" s="8">
        <v>43369.053518518514</v>
      </c>
      <c r="B1442" s="11" t="str">
        <f>HYPERLINK("https://twitter.com/Nouriega","@Nouriega")</f>
        <v>@Nouriega</v>
      </c>
      <c r="C1442" s="6" t="s">
        <v>347</v>
      </c>
      <c r="D1442" s="5" t="s">
        <v>156</v>
      </c>
      <c r="E1442" s="9" t="str">
        <f>HYPERLINK("https://twitter.com/Nouriega/status/1044704865333780480","1044704865333780480")</f>
        <v>1044704865333780480</v>
      </c>
      <c r="F1442" s="4"/>
      <c r="G1442" s="10" t="s">
        <v>155</v>
      </c>
      <c r="H1442" s="4"/>
      <c r="I1442" s="10" t="str">
        <f>HYPERLINK("http://twitter.com/download/iphone","Twitter for iPhone")</f>
        <v>Twitter for iPhone</v>
      </c>
      <c r="J1442" s="2">
        <v>146</v>
      </c>
      <c r="K1442" s="2">
        <v>635</v>
      </c>
      <c r="L1442" s="2">
        <v>0</v>
      </c>
      <c r="M1442" s="2"/>
      <c r="N1442" s="8">
        <v>39987.177094907405</v>
      </c>
      <c r="O1442" s="4" t="s">
        <v>346</v>
      </c>
      <c r="P1442" s="3" t="s">
        <v>345</v>
      </c>
      <c r="Q1442" s="4"/>
      <c r="R1442" s="4"/>
      <c r="S1442" s="9" t="str">
        <f>HYPERLINK("https://pbs.twimg.com/profile_images/1043741922928603136/VibiEeCH.jpg","View")</f>
        <v>View</v>
      </c>
    </row>
    <row r="1443" spans="1:19" ht="30">
      <c r="A1443" s="8">
        <v>43369.053344907406</v>
      </c>
      <c r="B1443" s="11" t="str">
        <f>HYPERLINK("https://twitter.com/shapoor1967","@shapoor1967")</f>
        <v>@shapoor1967</v>
      </c>
      <c r="C1443" s="6" t="s">
        <v>344</v>
      </c>
      <c r="D1443" s="5" t="s">
        <v>343</v>
      </c>
      <c r="E1443" s="9" t="str">
        <f>HYPERLINK("https://twitter.com/shapoor1967/status/1044704803388117002","1044704803388117002")</f>
        <v>1044704803388117002</v>
      </c>
      <c r="F1443" s="10" t="s">
        <v>216</v>
      </c>
      <c r="G1443" s="4"/>
      <c r="H1443" s="4"/>
      <c r="I1443" s="10" t="str">
        <f>HYPERLINK("http://twitter.com/download/android","Twitter for Android")</f>
        <v>Twitter for Android</v>
      </c>
      <c r="J1443" s="2">
        <v>528</v>
      </c>
      <c r="K1443" s="2">
        <v>623</v>
      </c>
      <c r="L1443" s="2">
        <v>1</v>
      </c>
      <c r="M1443" s="2"/>
      <c r="N1443" s="8">
        <v>43297.734351851846</v>
      </c>
      <c r="O1443" s="4" t="s">
        <v>16</v>
      </c>
      <c r="P1443" s="3" t="s">
        <v>342</v>
      </c>
      <c r="Q1443" s="4"/>
      <c r="R1443" s="4"/>
      <c r="S1443" s="9" t="str">
        <f>HYPERLINK("https://pbs.twimg.com/profile_images/1018853233157197826/ZUpcs4kn.jpg","View")</f>
        <v>View</v>
      </c>
    </row>
    <row r="1444" spans="1:19" ht="20">
      <c r="A1444" s="8">
        <v>43369.052824074075</v>
      </c>
      <c r="B1444" s="11" t="str">
        <f>HYPERLINK("https://twitter.com/ghasemsayadi011","@ghasemsayadi011")</f>
        <v>@ghasemsayadi011</v>
      </c>
      <c r="C1444" s="6" t="s">
        <v>334</v>
      </c>
      <c r="D1444" s="5" t="s">
        <v>103</v>
      </c>
      <c r="E1444" s="9" t="str">
        <f>HYPERLINK("https://twitter.com/ghasemsayadi011/status/1044704615235821569","1044704615235821569")</f>
        <v>1044704615235821569</v>
      </c>
      <c r="F1444" s="4"/>
      <c r="G1444" s="4"/>
      <c r="H1444" s="4"/>
      <c r="I1444" s="10" t="str">
        <f>HYPERLINK("http://twitter.com/download/android","Twitter for Android")</f>
        <v>Twitter for Android</v>
      </c>
      <c r="J1444" s="2">
        <v>0</v>
      </c>
      <c r="K1444" s="2">
        <v>8</v>
      </c>
      <c r="L1444" s="2">
        <v>0</v>
      </c>
      <c r="M1444" s="2"/>
      <c r="N1444" s="8">
        <v>43369.045555555553</v>
      </c>
      <c r="O1444" s="4"/>
      <c r="P1444" s="3"/>
      <c r="Q1444" s="4"/>
      <c r="R1444" s="4"/>
      <c r="S1444" s="2" t="s">
        <v>21</v>
      </c>
    </row>
    <row r="1445" spans="1:19" ht="20">
      <c r="A1445" s="8">
        <v>43369.052708333329</v>
      </c>
      <c r="B1445" s="11" t="str">
        <f>HYPERLINK("https://twitter.com/rezayehajali","@rezayehajali")</f>
        <v>@rezayehajali</v>
      </c>
      <c r="C1445" s="6" t="s">
        <v>341</v>
      </c>
      <c r="D1445" s="5" t="s">
        <v>340</v>
      </c>
      <c r="E1445" s="9" t="str">
        <f>HYPERLINK("https://twitter.com/rezayehajali/status/1044704573523456000","1044704573523456000")</f>
        <v>1044704573523456000</v>
      </c>
      <c r="F1445" s="4"/>
      <c r="G1445" s="4"/>
      <c r="H1445" s="4"/>
      <c r="I1445" s="10" t="str">
        <f>HYPERLINK("http://twitter.com/download/iphone","Twitter for iPhone")</f>
        <v>Twitter for iPhone</v>
      </c>
      <c r="J1445" s="2">
        <v>7</v>
      </c>
      <c r="K1445" s="2">
        <v>11</v>
      </c>
      <c r="L1445" s="2">
        <v>1</v>
      </c>
      <c r="M1445" s="2"/>
      <c r="N1445" s="8">
        <v>43257.929340277777</v>
      </c>
      <c r="O1445" s="4" t="s">
        <v>7</v>
      </c>
      <c r="P1445" s="3" t="s">
        <v>339</v>
      </c>
      <c r="Q1445" s="4"/>
      <c r="R1445" s="4"/>
      <c r="S1445" s="9" t="str">
        <f>HYPERLINK("https://pbs.twimg.com/profile_images/1004421794567204864/BS_7tZn5.jpg","View")</f>
        <v>View</v>
      </c>
    </row>
    <row r="1446" spans="1:19" ht="40">
      <c r="A1446" s="8">
        <v>43369.052152777775</v>
      </c>
      <c r="B1446" s="11" t="str">
        <f>HYPERLINK("https://twitter.com/mahboob103","@mahboob103")</f>
        <v>@mahboob103</v>
      </c>
      <c r="C1446" s="6" t="s">
        <v>338</v>
      </c>
      <c r="D1446" s="5" t="s">
        <v>337</v>
      </c>
      <c r="E1446" s="9" t="str">
        <f>HYPERLINK("https://twitter.com/mahboob103/status/1044704371857149952","1044704371857149952")</f>
        <v>1044704371857149952</v>
      </c>
      <c r="F1446" s="4"/>
      <c r="G1446" s="4"/>
      <c r="H1446" s="4"/>
      <c r="I1446" s="10" t="str">
        <f>HYPERLINK("http://twitter.com/download/android","Twitter for Android")</f>
        <v>Twitter for Android</v>
      </c>
      <c r="J1446" s="2">
        <v>357</v>
      </c>
      <c r="K1446" s="2">
        <v>751</v>
      </c>
      <c r="L1446" s="2">
        <v>1</v>
      </c>
      <c r="M1446" s="2"/>
      <c r="N1446" s="8">
        <v>43128.068194444444</v>
      </c>
      <c r="O1446" s="4" t="s">
        <v>336</v>
      </c>
      <c r="P1446" s="3" t="s">
        <v>335</v>
      </c>
      <c r="Q1446" s="4"/>
      <c r="R1446" s="4"/>
      <c r="S1446" s="9" t="str">
        <f>HYPERLINK("https://pbs.twimg.com/profile_images/994155414123098112/IMN81BJB.jpg","View")</f>
        <v>View</v>
      </c>
    </row>
    <row r="1447" spans="1:19" ht="20">
      <c r="A1447" s="8">
        <v>43369.052141203705</v>
      </c>
      <c r="B1447" s="11" t="str">
        <f>HYPERLINK("https://twitter.com/ghasemsayadi011","@ghasemsayadi011")</f>
        <v>@ghasemsayadi011</v>
      </c>
      <c r="C1447" s="6" t="s">
        <v>334</v>
      </c>
      <c r="D1447" s="5" t="s">
        <v>215</v>
      </c>
      <c r="E1447" s="9" t="str">
        <f>HYPERLINK("https://twitter.com/ghasemsayadi011/status/1044704369306996741","1044704369306996741")</f>
        <v>1044704369306996741</v>
      </c>
      <c r="F1447" s="4"/>
      <c r="G1447" s="4"/>
      <c r="H1447" s="4"/>
      <c r="I1447" s="10" t="str">
        <f>HYPERLINK("http://twitter.com/download/android","Twitter for Android")</f>
        <v>Twitter for Android</v>
      </c>
      <c r="J1447" s="2">
        <v>0</v>
      </c>
      <c r="K1447" s="2">
        <v>8</v>
      </c>
      <c r="L1447" s="2">
        <v>0</v>
      </c>
      <c r="M1447" s="2"/>
      <c r="N1447" s="8">
        <v>43369.045555555553</v>
      </c>
      <c r="O1447" s="4"/>
      <c r="P1447" s="3"/>
      <c r="Q1447" s="4"/>
      <c r="R1447" s="4"/>
      <c r="S1447" s="2" t="s">
        <v>21</v>
      </c>
    </row>
    <row r="1448" spans="1:19" ht="30">
      <c r="A1448" s="8">
        <v>43369.051944444444</v>
      </c>
      <c r="B1448" s="11" t="str">
        <f>HYPERLINK("https://twitter.com/Matador18145175","@Matador18145175")</f>
        <v>@Matador18145175</v>
      </c>
      <c r="C1448" s="6" t="s">
        <v>95</v>
      </c>
      <c r="D1448" s="5" t="s">
        <v>49</v>
      </c>
      <c r="E1448" s="9" t="str">
        <f>HYPERLINK("https://twitter.com/Matador18145175/status/1044704294048542721","1044704294048542721")</f>
        <v>1044704294048542721</v>
      </c>
      <c r="F1448" s="4"/>
      <c r="G1448" s="4"/>
      <c r="H1448" s="4"/>
      <c r="I1448" s="10" t="str">
        <f>HYPERLINK("http://twitter.com/download/android","Twitter for Android")</f>
        <v>Twitter for Android</v>
      </c>
      <c r="J1448" s="2">
        <v>890</v>
      </c>
      <c r="K1448" s="2">
        <v>1515</v>
      </c>
      <c r="L1448" s="2">
        <v>2</v>
      </c>
      <c r="M1448" s="2"/>
      <c r="N1448" s="8">
        <v>43237.615104166667</v>
      </c>
      <c r="O1448" s="4" t="s">
        <v>93</v>
      </c>
      <c r="P1448" s="3" t="s">
        <v>92</v>
      </c>
      <c r="Q1448" s="4"/>
      <c r="R1448" s="4"/>
      <c r="S1448" s="9" t="str">
        <f>HYPERLINK("https://pbs.twimg.com/profile_images/1038169182905540608/0ldGip2k.jpg","View")</f>
        <v>View</v>
      </c>
    </row>
    <row r="1449" spans="1:19" ht="20">
      <c r="A1449" s="8">
        <v>43369.051458333328</v>
      </c>
      <c r="B1449" s="11" t="str">
        <f>HYPERLINK("https://twitter.com/TRezaeian","@TRezaeian")</f>
        <v>@TRezaeian</v>
      </c>
      <c r="C1449" s="6" t="s">
        <v>333</v>
      </c>
      <c r="D1449" s="5" t="s">
        <v>320</v>
      </c>
      <c r="E1449" s="9" t="str">
        <f>HYPERLINK("https://twitter.com/TRezaeian/status/1044704118995128321","1044704118995128321")</f>
        <v>1044704118995128321</v>
      </c>
      <c r="F1449" s="4"/>
      <c r="G1449" s="4"/>
      <c r="H1449" s="4"/>
      <c r="I1449" s="10" t="str">
        <f>HYPERLINK("https://mobile.twitter.com","Twitter Lite")</f>
        <v>Twitter Lite</v>
      </c>
      <c r="J1449" s="2">
        <v>2</v>
      </c>
      <c r="K1449" s="2">
        <v>9</v>
      </c>
      <c r="L1449" s="2">
        <v>0</v>
      </c>
      <c r="M1449" s="2"/>
      <c r="N1449" s="8">
        <v>43368.824143518519</v>
      </c>
      <c r="O1449" s="4"/>
      <c r="P1449" s="3"/>
      <c r="Q1449" s="4"/>
      <c r="R1449" s="4"/>
      <c r="S1449" s="9" t="str">
        <f>HYPERLINK("https://pbs.twimg.com/profile_images/1044632408144957440/mIYv8MwW.jpg","View")</f>
        <v>View</v>
      </c>
    </row>
    <row r="1450" spans="1:19" ht="30">
      <c r="A1450" s="8">
        <v>43369.051400462966</v>
      </c>
      <c r="B1450" s="11" t="str">
        <f>HYPERLINK("https://twitter.com/diktatoram","@diktatoram")</f>
        <v>@diktatoram</v>
      </c>
      <c r="C1450" s="6" t="s">
        <v>332</v>
      </c>
      <c r="D1450" s="5" t="s">
        <v>49</v>
      </c>
      <c r="E1450" s="9" t="str">
        <f>HYPERLINK("https://twitter.com/diktatoram/status/1044704099831353344","1044704099831353344")</f>
        <v>1044704099831353344</v>
      </c>
      <c r="F1450" s="4"/>
      <c r="G1450" s="4"/>
      <c r="H1450" s="4"/>
      <c r="I1450" s="10" t="str">
        <f>HYPERLINK("http://twitter.com/download/android","Twitter for Android")</f>
        <v>Twitter for Android</v>
      </c>
      <c r="J1450" s="2">
        <v>454</v>
      </c>
      <c r="K1450" s="2">
        <v>854</v>
      </c>
      <c r="L1450" s="2">
        <v>0</v>
      </c>
      <c r="M1450" s="2"/>
      <c r="N1450" s="8">
        <v>43102.957962962959</v>
      </c>
      <c r="O1450" s="4"/>
      <c r="P1450" s="3" t="s">
        <v>331</v>
      </c>
      <c r="Q1450" s="4"/>
      <c r="R1450" s="4"/>
      <c r="S1450" s="9" t="str">
        <f>HYPERLINK("https://pbs.twimg.com/profile_images/976950221421797376/At7PUEKw.jpg","View")</f>
        <v>View</v>
      </c>
    </row>
    <row r="1451" spans="1:19" ht="50">
      <c r="A1451" s="8">
        <v>43369.051400462966</v>
      </c>
      <c r="B1451" s="11" t="str">
        <f>HYPERLINK("https://twitter.com/Mansor_mg","@Mansor_mg")</f>
        <v>@Mansor_mg</v>
      </c>
      <c r="C1451" s="6" t="s">
        <v>301</v>
      </c>
      <c r="D1451" s="5" t="s">
        <v>160</v>
      </c>
      <c r="E1451" s="9" t="str">
        <f>HYPERLINK("https://twitter.com/Mansor_mg/status/1044704099747418112","1044704099747418112")</f>
        <v>1044704099747418112</v>
      </c>
      <c r="F1451" s="4"/>
      <c r="G1451" s="4"/>
      <c r="H1451" s="4"/>
      <c r="I1451" s="10" t="str">
        <f>HYPERLINK("http://twitter.com/download/iphone","Twitter for iPhone")</f>
        <v>Twitter for iPhone</v>
      </c>
      <c r="J1451" s="2">
        <v>93</v>
      </c>
      <c r="K1451" s="2">
        <v>44</v>
      </c>
      <c r="L1451" s="2">
        <v>0</v>
      </c>
      <c r="M1451" s="2"/>
      <c r="N1451" s="8">
        <v>42203.443159722221</v>
      </c>
      <c r="O1451" s="4"/>
      <c r="P1451" s="3" t="s">
        <v>298</v>
      </c>
      <c r="Q1451" s="4"/>
      <c r="R1451" s="4"/>
      <c r="S1451" s="9" t="str">
        <f>HYPERLINK("https://pbs.twimg.com/profile_images/766759080190939136/vLTAq-ZM.jpg","View")</f>
        <v>View</v>
      </c>
    </row>
    <row r="1452" spans="1:19" ht="30">
      <c r="A1452" s="8">
        <v>43369.051388888889</v>
      </c>
      <c r="B1452" s="11" t="str">
        <f>HYPERLINK("https://twitter.com/ComunidadesI","@ComunidadesI")</f>
        <v>@ComunidadesI</v>
      </c>
      <c r="C1452" s="6" t="s">
        <v>330</v>
      </c>
      <c r="D1452" s="5" t="s">
        <v>154</v>
      </c>
      <c r="E1452" s="9" t="str">
        <f>HYPERLINK("https://twitter.com/ComunidadesI/status/1044704094777225217","1044704094777225217")</f>
        <v>1044704094777225217</v>
      </c>
      <c r="F1452" s="10" t="s">
        <v>153</v>
      </c>
      <c r="G1452" s="4"/>
      <c r="H1452" s="4"/>
      <c r="I1452" s="10" t="str">
        <f>HYPERLINK("http://twitter.com","Twitter Web Client")</f>
        <v>Twitter Web Client</v>
      </c>
      <c r="J1452" s="2">
        <v>670</v>
      </c>
      <c r="K1452" s="2">
        <v>1347</v>
      </c>
      <c r="L1452" s="2">
        <v>5</v>
      </c>
      <c r="M1452" s="2"/>
      <c r="N1452" s="8">
        <v>42797.979004629626</v>
      </c>
      <c r="O1452" s="4" t="s">
        <v>329</v>
      </c>
      <c r="P1452" s="3" t="s">
        <v>328</v>
      </c>
      <c r="Q1452" s="4"/>
      <c r="R1452" s="4"/>
      <c r="S1452" s="9" t="str">
        <f>HYPERLINK("https://pbs.twimg.com/profile_images/1033116355422302208/YMIY5cB3.jpg","View")</f>
        <v>View</v>
      </c>
    </row>
    <row r="1453" spans="1:19" ht="30">
      <c r="A1453" s="8">
        <v>43369.051250000004</v>
      </c>
      <c r="B1453" s="11" t="str">
        <f>HYPERLINK("https://twitter.com/gozaarnet","@gozaarnet")</f>
        <v>@gozaarnet</v>
      </c>
      <c r="C1453" s="6" t="s">
        <v>327</v>
      </c>
      <c r="D1453" s="5" t="s">
        <v>326</v>
      </c>
      <c r="E1453" s="9" t="str">
        <f>HYPERLINK("https://twitter.com/gozaarnet/status/1044704044135174145","1044704044135174145")</f>
        <v>1044704044135174145</v>
      </c>
      <c r="F1453" s="10" t="s">
        <v>325</v>
      </c>
      <c r="G1453" s="4"/>
      <c r="H1453" s="4"/>
      <c r="I1453" s="10" t="str">
        <f>HYPERLINK("http://twitter.com","Twitter Web Client")</f>
        <v>Twitter Web Client</v>
      </c>
      <c r="J1453" s="2">
        <v>102</v>
      </c>
      <c r="K1453" s="2">
        <v>892</v>
      </c>
      <c r="L1453" s="2">
        <v>0</v>
      </c>
      <c r="M1453" s="2"/>
      <c r="N1453" s="8">
        <v>42972.293344907404</v>
      </c>
      <c r="O1453" s="4"/>
      <c r="P1453" s="3" t="s">
        <v>324</v>
      </c>
      <c r="Q1453" s="4"/>
      <c r="R1453" s="4"/>
      <c r="S1453" s="9" t="str">
        <f>HYPERLINK("https://pbs.twimg.com/profile_images/900909364298399745/8WhGhJrh.jpg","View")</f>
        <v>View</v>
      </c>
    </row>
    <row r="1454" spans="1:19" ht="20">
      <c r="A1454" s="8">
        <v>43369.050798611112</v>
      </c>
      <c r="B1454" s="11" t="str">
        <f>HYPERLINK("https://twitter.com/MonirKia","@MonirKia")</f>
        <v>@MonirKia</v>
      </c>
      <c r="C1454" s="6" t="s">
        <v>279</v>
      </c>
      <c r="D1454" s="5" t="s">
        <v>74</v>
      </c>
      <c r="E1454" s="9" t="str">
        <f>HYPERLINK("https://twitter.com/MonirKia/status/1044703879831543808","1044703879831543808")</f>
        <v>1044703879831543808</v>
      </c>
      <c r="F1454" s="4"/>
      <c r="G1454" s="4"/>
      <c r="H1454" s="4"/>
      <c r="I1454" s="10" t="str">
        <f>HYPERLINK("http://twitter.com/download/iphone","Twitter for iPhone")</f>
        <v>Twitter for iPhone</v>
      </c>
      <c r="J1454" s="2">
        <v>458</v>
      </c>
      <c r="K1454" s="2">
        <v>279</v>
      </c>
      <c r="L1454" s="2">
        <v>1</v>
      </c>
      <c r="M1454" s="2"/>
      <c r="N1454" s="8">
        <v>40049.042222222226</v>
      </c>
      <c r="O1454" s="4" t="s">
        <v>16</v>
      </c>
      <c r="P1454" s="3" t="s">
        <v>277</v>
      </c>
      <c r="Q1454" s="4"/>
      <c r="R1454" s="4"/>
      <c r="S1454" s="9" t="str">
        <f>HYPERLINK("https://pbs.twimg.com/profile_images/812325280572379138/CUzNVXxv.jpg","View")</f>
        <v>View</v>
      </c>
    </row>
    <row r="1455" spans="1:19" ht="40">
      <c r="A1455" s="8">
        <v>43369.050381944442</v>
      </c>
      <c r="B1455" s="11" t="str">
        <f>HYPERLINK("https://twitter.com/seramanz","@seramanz")</f>
        <v>@seramanz</v>
      </c>
      <c r="C1455" s="6" t="s">
        <v>323</v>
      </c>
      <c r="D1455" s="5" t="s">
        <v>296</v>
      </c>
      <c r="E1455" s="9" t="str">
        <f>HYPERLINK("https://twitter.com/seramanz/status/1044703730631880705","1044703730631880705")</f>
        <v>1044703730631880705</v>
      </c>
      <c r="F1455" s="4"/>
      <c r="G1455" s="4"/>
      <c r="H1455" s="4"/>
      <c r="I1455" s="10" t="str">
        <f>HYPERLINK("http://twitter.com/download/android","Twitter for Android")</f>
        <v>Twitter for Android</v>
      </c>
      <c r="J1455" s="2">
        <v>56</v>
      </c>
      <c r="K1455" s="2">
        <v>152</v>
      </c>
      <c r="L1455" s="2">
        <v>0</v>
      </c>
      <c r="M1455" s="2"/>
      <c r="N1455" s="8">
        <v>42554.620682870373</v>
      </c>
      <c r="O1455" s="4" t="s">
        <v>48</v>
      </c>
      <c r="P1455" s="3" t="s">
        <v>322</v>
      </c>
      <c r="Q1455" s="4"/>
      <c r="R1455" s="4"/>
      <c r="S1455" s="9" t="str">
        <f>HYPERLINK("https://pbs.twimg.com/profile_images/1009115090568740864/DXGIxBLw.jpg","View")</f>
        <v>View</v>
      </c>
    </row>
    <row r="1456" spans="1:19" ht="30">
      <c r="A1456" s="8">
        <v>43369.050358796296</v>
      </c>
      <c r="B1456" s="11" t="str">
        <f>HYPERLINK("https://twitter.com/sima27762554","@sima27762554")</f>
        <v>@sima27762554</v>
      </c>
      <c r="C1456" s="6" t="s">
        <v>321</v>
      </c>
      <c r="D1456" s="5" t="s">
        <v>320</v>
      </c>
      <c r="E1456" s="9" t="str">
        <f>HYPERLINK("https://twitter.com/sima27762554/status/1044703719777087488","1044703719777087488")</f>
        <v>1044703719777087488</v>
      </c>
      <c r="F1456" s="4"/>
      <c r="G1456" s="4"/>
      <c r="H1456" s="4"/>
      <c r="I1456" s="10" t="str">
        <f>HYPERLINK("http://twitter.com/download/iphone","Twitter for iPhone")</f>
        <v>Twitter for iPhone</v>
      </c>
      <c r="J1456" s="2">
        <v>139</v>
      </c>
      <c r="K1456" s="2">
        <v>213</v>
      </c>
      <c r="L1456" s="2">
        <v>0</v>
      </c>
      <c r="M1456" s="2"/>
      <c r="N1456" s="8">
        <v>43293.188680555555</v>
      </c>
      <c r="O1456" s="4"/>
      <c r="P1456" s="3" t="s">
        <v>319</v>
      </c>
      <c r="Q1456" s="4"/>
      <c r="R1456" s="4"/>
      <c r="S1456" s="9" t="str">
        <f>HYPERLINK("https://pbs.twimg.com/profile_images/1021093667455610880/2ZmW0UAD.jpg","View")</f>
        <v>View</v>
      </c>
    </row>
    <row r="1457" spans="1:19" ht="40">
      <c r="A1457" s="8">
        <v>43369.050127314811</v>
      </c>
      <c r="B1457" s="11" t="str">
        <f>HYPERLINK("https://twitter.com/shahrokh_hamid","@shahrokh_hamid")</f>
        <v>@shahrokh_hamid</v>
      </c>
      <c r="C1457" s="6" t="s">
        <v>318</v>
      </c>
      <c r="D1457" s="5" t="s">
        <v>72</v>
      </c>
      <c r="E1457" s="9" t="str">
        <f>HYPERLINK("https://twitter.com/shahrokh_hamid/status/1044703636650110977","1044703636650110977")</f>
        <v>1044703636650110977</v>
      </c>
      <c r="F1457" s="4"/>
      <c r="G1457" s="4"/>
      <c r="H1457" s="4"/>
      <c r="I1457" s="10" t="str">
        <f>HYPERLINK("http://twitter.com/download/android","Twitter for Android")</f>
        <v>Twitter for Android</v>
      </c>
      <c r="J1457" s="2">
        <v>460</v>
      </c>
      <c r="K1457" s="2">
        <v>284</v>
      </c>
      <c r="L1457" s="2">
        <v>0</v>
      </c>
      <c r="M1457" s="2"/>
      <c r="N1457" s="8">
        <v>43223.838784722218</v>
      </c>
      <c r="O1457" s="4" t="s">
        <v>7</v>
      </c>
      <c r="P1457" s="3" t="s">
        <v>317</v>
      </c>
      <c r="Q1457" s="4"/>
      <c r="R1457" s="4"/>
      <c r="S1457" s="9" t="str">
        <f>HYPERLINK("https://pbs.twimg.com/profile_images/1024013798032769024/cNOJ6NIn.jpg","View")</f>
        <v>View</v>
      </c>
    </row>
    <row r="1458" spans="1:19" ht="30">
      <c r="A1458" s="8">
        <v>43369.049456018518</v>
      </c>
      <c r="B1458" s="11" t="str">
        <f>HYPERLINK("https://twitter.com/Kaarton_khaab","@Kaarton_khaab")</f>
        <v>@Kaarton_khaab</v>
      </c>
      <c r="C1458" s="6" t="s">
        <v>316</v>
      </c>
      <c r="D1458" s="5" t="s">
        <v>49</v>
      </c>
      <c r="E1458" s="9" t="str">
        <f>HYPERLINK("https://twitter.com/Kaarton_khaab/status/1044703393783123968","1044703393783123968")</f>
        <v>1044703393783123968</v>
      </c>
      <c r="F1458" s="4"/>
      <c r="G1458" s="4"/>
      <c r="H1458" s="4"/>
      <c r="I1458" s="10" t="str">
        <f>HYPERLINK("http://twitter.com/download/android","Twitter for Android")</f>
        <v>Twitter for Android</v>
      </c>
      <c r="J1458" s="2">
        <v>5041</v>
      </c>
      <c r="K1458" s="2">
        <v>5549</v>
      </c>
      <c r="L1458" s="2">
        <v>3</v>
      </c>
      <c r="M1458" s="2"/>
      <c r="N1458" s="8">
        <v>43321.482627314814</v>
      </c>
      <c r="O1458" s="4" t="s">
        <v>313</v>
      </c>
      <c r="P1458" s="3"/>
      <c r="Q1458" s="4"/>
      <c r="R1458" s="4"/>
      <c r="S1458" s="9" t="str">
        <f>HYPERLINK("https://pbs.twimg.com/profile_images/1044151998671671296/wiaq5EXd.jpg","View")</f>
        <v>View</v>
      </c>
    </row>
    <row r="1459" spans="1:19" ht="20">
      <c r="A1459" s="8">
        <v>43369.049409722225</v>
      </c>
      <c r="B1459" s="11" t="str">
        <f>HYPERLINK("https://twitter.com/Kaarton_khaab","@Kaarton_khaab")</f>
        <v>@Kaarton_khaab</v>
      </c>
      <c r="C1459" s="6" t="s">
        <v>316</v>
      </c>
      <c r="D1459" s="5" t="s">
        <v>315</v>
      </c>
      <c r="E1459" s="9" t="str">
        <f>HYPERLINK("https://twitter.com/Kaarton_khaab/status/1044703377035276293","1044703377035276293")</f>
        <v>1044703377035276293</v>
      </c>
      <c r="F1459" s="4"/>
      <c r="G1459" s="10" t="s">
        <v>314</v>
      </c>
      <c r="H1459" s="4"/>
      <c r="I1459" s="10" t="str">
        <f>HYPERLINK("http://twitter.com/download/android","Twitter for Android")</f>
        <v>Twitter for Android</v>
      </c>
      <c r="J1459" s="2">
        <v>5041</v>
      </c>
      <c r="K1459" s="2">
        <v>5549</v>
      </c>
      <c r="L1459" s="2">
        <v>3</v>
      </c>
      <c r="M1459" s="2"/>
      <c r="N1459" s="8">
        <v>43321.482627314814</v>
      </c>
      <c r="O1459" s="4" t="s">
        <v>313</v>
      </c>
      <c r="P1459" s="3"/>
      <c r="Q1459" s="4"/>
      <c r="R1459" s="4"/>
      <c r="S1459" s="9" t="str">
        <f>HYPERLINK("https://pbs.twimg.com/profile_images/1044151998671671296/wiaq5EXd.jpg","View")</f>
        <v>View</v>
      </c>
    </row>
    <row r="1460" spans="1:19" ht="40">
      <c r="A1460" s="8">
        <v>43369.049363425926</v>
      </c>
      <c r="B1460" s="11" t="str">
        <f>HYPERLINK("https://twitter.com/free_taheri","@free_taheri")</f>
        <v>@free_taheri</v>
      </c>
      <c r="C1460" s="6" t="s">
        <v>312</v>
      </c>
      <c r="D1460" s="5" t="s">
        <v>292</v>
      </c>
      <c r="E1460" s="9" t="str">
        <f>HYPERLINK("https://twitter.com/free_taheri/status/1044703362795675648","1044703362795675648")</f>
        <v>1044703362795675648</v>
      </c>
      <c r="F1460" s="10" t="s">
        <v>216</v>
      </c>
      <c r="G1460" s="4"/>
      <c r="H1460" s="4"/>
      <c r="I1460" s="10" t="str">
        <f>HYPERLINK("http://twitter.com/download/android","Twitter for Android")</f>
        <v>Twitter for Android</v>
      </c>
      <c r="J1460" s="2">
        <v>5444</v>
      </c>
      <c r="K1460" s="2">
        <v>827</v>
      </c>
      <c r="L1460" s="2">
        <v>32</v>
      </c>
      <c r="M1460" s="2"/>
      <c r="N1460" s="8">
        <v>42553.522268518514</v>
      </c>
      <c r="O1460" s="4"/>
      <c r="P1460" s="3" t="s">
        <v>311</v>
      </c>
      <c r="Q1460" s="10" t="s">
        <v>310</v>
      </c>
      <c r="R1460" s="4"/>
      <c r="S1460" s="9" t="str">
        <f>HYPERLINK("https://pbs.twimg.com/profile_images/927146086195761154/AYEnAuB3.jpg","View")</f>
        <v>View</v>
      </c>
    </row>
    <row r="1461" spans="1:19" ht="40">
      <c r="A1461" s="8">
        <v>43369.049120370371</v>
      </c>
      <c r="B1461" s="11" t="str">
        <f>HYPERLINK("https://twitter.com/Mojirani1388","@Mojirani1388")</f>
        <v>@Mojirani1388</v>
      </c>
      <c r="C1461" s="6" t="s">
        <v>309</v>
      </c>
      <c r="D1461" s="5" t="s">
        <v>296</v>
      </c>
      <c r="E1461" s="9" t="str">
        <f>HYPERLINK("https://twitter.com/Mojirani1388/status/1044703274371354625","1044703274371354625")</f>
        <v>1044703274371354625</v>
      </c>
      <c r="F1461" s="4"/>
      <c r="G1461" s="4"/>
      <c r="H1461" s="4"/>
      <c r="I1461" s="10" t="str">
        <f>HYPERLINK("http://twitter.com","Twitter Web Client")</f>
        <v>Twitter Web Client</v>
      </c>
      <c r="J1461" s="2">
        <v>164</v>
      </c>
      <c r="K1461" s="2">
        <v>41</v>
      </c>
      <c r="L1461" s="2">
        <v>0</v>
      </c>
      <c r="M1461" s="2"/>
      <c r="N1461" s="8">
        <v>42734.533472222218</v>
      </c>
      <c r="O1461" s="4"/>
      <c r="P1461" s="3"/>
      <c r="Q1461" s="4"/>
      <c r="R1461" s="4"/>
      <c r="S1461" s="9" t="str">
        <f>HYPERLINK("https://pbs.twimg.com/profile_images/1010082587493224448/YQBoAeU1.jpg","View")</f>
        <v>View</v>
      </c>
    </row>
    <row r="1462" spans="1:19" ht="20">
      <c r="A1462" s="8">
        <v>43369.048807870371</v>
      </c>
      <c r="B1462" s="11" t="str">
        <f>HYPERLINK("https://twitter.com/Kasrakhuzestani","@Kasrakhuzestani")</f>
        <v>@Kasrakhuzestani</v>
      </c>
      <c r="C1462" s="6" t="s">
        <v>308</v>
      </c>
      <c r="D1462" s="5" t="s">
        <v>307</v>
      </c>
      <c r="E1462" s="9" t="str">
        <f>HYPERLINK("https://twitter.com/Kasrakhuzestani/status/1044703158918938625","1044703158918938625")</f>
        <v>1044703158918938625</v>
      </c>
      <c r="F1462" s="4"/>
      <c r="G1462" s="10" t="s">
        <v>306</v>
      </c>
      <c r="H1462" s="4"/>
      <c r="I1462" s="10" t="str">
        <f>HYPERLINK("http://twitter.com","Twitter Web Client")</f>
        <v>Twitter Web Client</v>
      </c>
      <c r="J1462" s="2">
        <v>653</v>
      </c>
      <c r="K1462" s="2">
        <v>1085</v>
      </c>
      <c r="L1462" s="2">
        <v>0</v>
      </c>
      <c r="M1462" s="2"/>
      <c r="N1462" s="8">
        <v>40604.897789351853</v>
      </c>
      <c r="O1462" s="4" t="s">
        <v>305</v>
      </c>
      <c r="P1462" s="3" t="s">
        <v>304</v>
      </c>
      <c r="Q1462" s="10" t="s">
        <v>303</v>
      </c>
      <c r="R1462" s="4"/>
      <c r="S1462" s="9" t="str">
        <f>HYPERLINK("https://pbs.twimg.com/profile_images/1019692764269752320/B_zvon9f.jpg","View")</f>
        <v>View</v>
      </c>
    </row>
    <row r="1463" spans="1:19" ht="20">
      <c r="A1463" s="8">
        <v>43369.048726851848</v>
      </c>
      <c r="B1463" s="11" t="str">
        <f>HYPERLINK("https://twitter.com/MahmuodKia","@MahmuodKia")</f>
        <v>@MahmuodKia</v>
      </c>
      <c r="C1463" s="6" t="s">
        <v>124</v>
      </c>
      <c r="D1463" s="5" t="s">
        <v>185</v>
      </c>
      <c r="E1463" s="9" t="str">
        <f>HYPERLINK("https://twitter.com/MahmuodKia/status/1044703131966328832","1044703131966328832")</f>
        <v>1044703131966328832</v>
      </c>
      <c r="F1463" s="4"/>
      <c r="G1463" s="10" t="s">
        <v>177</v>
      </c>
      <c r="H1463" s="4"/>
      <c r="I1463" s="10" t="str">
        <f>HYPERLINK("http://twitter.com/download/android","Twitter for Android")</f>
        <v>Twitter for Android</v>
      </c>
      <c r="J1463" s="2">
        <v>243</v>
      </c>
      <c r="K1463" s="2">
        <v>412</v>
      </c>
      <c r="L1463" s="2">
        <v>2</v>
      </c>
      <c r="M1463" s="2"/>
      <c r="N1463" s="8">
        <v>42210.011412037042</v>
      </c>
      <c r="O1463" s="4" t="s">
        <v>33</v>
      </c>
      <c r="P1463" s="3" t="s">
        <v>123</v>
      </c>
      <c r="Q1463" s="10" t="s">
        <v>122</v>
      </c>
      <c r="R1463" s="4"/>
      <c r="S1463" s="9" t="str">
        <f>HYPERLINK("https://pbs.twimg.com/profile_images/885738544446177280/zd8KG7W6.jpg","View")</f>
        <v>View</v>
      </c>
    </row>
    <row r="1464" spans="1:19" ht="40">
      <c r="A1464" s="8">
        <v>43369.048067129625</v>
      </c>
      <c r="B1464" s="11" t="str">
        <f>HYPERLINK("https://twitter.com/EHS95470211","@EHS95470211")</f>
        <v>@EHS95470211</v>
      </c>
      <c r="C1464" s="6" t="s">
        <v>192</v>
      </c>
      <c r="D1464" s="5" t="s">
        <v>302</v>
      </c>
      <c r="E1464" s="9" t="str">
        <f>HYPERLINK("https://twitter.com/EHS95470211/status/1044702889459904512","1044702889459904512")</f>
        <v>1044702889459904512</v>
      </c>
      <c r="F1464" s="4"/>
      <c r="G1464" s="4"/>
      <c r="H1464" s="4"/>
      <c r="I1464" s="10" t="str">
        <f>HYPERLINK("http://twitter.com/download/android","Twitter for Android")</f>
        <v>Twitter for Android</v>
      </c>
      <c r="J1464" s="2">
        <v>167</v>
      </c>
      <c r="K1464" s="2">
        <v>214</v>
      </c>
      <c r="L1464" s="2">
        <v>0</v>
      </c>
      <c r="M1464" s="2"/>
      <c r="N1464" s="8">
        <v>42812.603541666671</v>
      </c>
      <c r="O1464" s="4"/>
      <c r="P1464" s="3" t="s">
        <v>191</v>
      </c>
      <c r="Q1464" s="4"/>
      <c r="R1464" s="4"/>
      <c r="S1464" s="9" t="str">
        <f>HYPERLINK("https://pbs.twimg.com/profile_images/843065353047543809/IsWQP-e5.jpg","View")</f>
        <v>View</v>
      </c>
    </row>
    <row r="1465" spans="1:19" ht="20">
      <c r="A1465" s="8">
        <v>43369.047916666663</v>
      </c>
      <c r="B1465" s="11" t="str">
        <f>HYPERLINK("https://twitter.com/Mansor_mg","@Mansor_mg")</f>
        <v>@Mansor_mg</v>
      </c>
      <c r="C1465" s="6" t="s">
        <v>301</v>
      </c>
      <c r="D1465" s="5" t="s">
        <v>300</v>
      </c>
      <c r="E1465" s="9" t="str">
        <f>HYPERLINK("https://twitter.com/Mansor_mg/status/1044702837719126016","1044702837719126016")</f>
        <v>1044702837719126016</v>
      </c>
      <c r="F1465" s="4"/>
      <c r="G1465" s="10" t="s">
        <v>299</v>
      </c>
      <c r="H1465" s="4"/>
      <c r="I1465" s="10" t="str">
        <f>HYPERLINK("http://twitter.com/download/iphone","Twitter for iPhone")</f>
        <v>Twitter for iPhone</v>
      </c>
      <c r="J1465" s="2">
        <v>93</v>
      </c>
      <c r="K1465" s="2">
        <v>44</v>
      </c>
      <c r="L1465" s="2">
        <v>0</v>
      </c>
      <c r="M1465" s="2"/>
      <c r="N1465" s="8">
        <v>42203.443159722221</v>
      </c>
      <c r="O1465" s="4"/>
      <c r="P1465" s="3" t="s">
        <v>298</v>
      </c>
      <c r="Q1465" s="4"/>
      <c r="R1465" s="4"/>
      <c r="S1465" s="9" t="str">
        <f>HYPERLINK("https://pbs.twimg.com/profile_images/766759080190939136/vLTAq-ZM.jpg","View")</f>
        <v>View</v>
      </c>
    </row>
    <row r="1466" spans="1:19" ht="40">
      <c r="A1466" s="8">
        <v>43369.047777777778</v>
      </c>
      <c r="B1466" s="11" t="str">
        <f>HYPERLINK("https://twitter.com/madmaxxxxxx_66","@madmaxxxxxx_66")</f>
        <v>@madmaxxxxxx_66</v>
      </c>
      <c r="C1466" s="6" t="s">
        <v>297</v>
      </c>
      <c r="D1466" s="5" t="s">
        <v>296</v>
      </c>
      <c r="E1466" s="9" t="str">
        <f>HYPERLINK("https://twitter.com/madmaxxxxxx_66/status/1044702787102281732","1044702787102281732")</f>
        <v>1044702787102281732</v>
      </c>
      <c r="F1466" s="4"/>
      <c r="G1466" s="4"/>
      <c r="H1466" s="4"/>
      <c r="I1466" s="10" t="str">
        <f>HYPERLINK("http://twitter.com/download/android","Twitter for Android")</f>
        <v>Twitter for Android</v>
      </c>
      <c r="J1466" s="2">
        <v>251</v>
      </c>
      <c r="K1466" s="2">
        <v>407</v>
      </c>
      <c r="L1466" s="2">
        <v>0</v>
      </c>
      <c r="M1466" s="2"/>
      <c r="N1466" s="8">
        <v>42756.537962962961</v>
      </c>
      <c r="O1466" s="4" t="s">
        <v>295</v>
      </c>
      <c r="P1466" s="3" t="s">
        <v>294</v>
      </c>
      <c r="Q1466" s="4"/>
      <c r="R1466" s="4"/>
      <c r="S1466" s="9" t="str">
        <f>HYPERLINK("https://pbs.twimg.com/profile_images/1025776141947359232/Jcd1vF32.jpg","View")</f>
        <v>View</v>
      </c>
    </row>
    <row r="1467" spans="1:19" ht="30">
      <c r="A1467" s="8">
        <v>43369.047662037032</v>
      </c>
      <c r="B1467" s="11" t="str">
        <f>HYPERLINK("https://twitter.com/IranW90","@IranW90")</f>
        <v>@IranW90</v>
      </c>
      <c r="C1467" s="6" t="s">
        <v>293</v>
      </c>
      <c r="D1467" s="5" t="s">
        <v>292</v>
      </c>
      <c r="E1467" s="9" t="str">
        <f>HYPERLINK("https://twitter.com/IranW90/status/1044702743699615745","1044702743699615745")</f>
        <v>1044702743699615745</v>
      </c>
      <c r="F1467" s="10" t="s">
        <v>216</v>
      </c>
      <c r="G1467" s="4"/>
      <c r="H1467" s="4"/>
      <c r="I1467" s="10" t="str">
        <f>HYPERLINK("http://twitter.com/download/android","Twitter for Android")</f>
        <v>Twitter for Android</v>
      </c>
      <c r="J1467" s="2">
        <v>132</v>
      </c>
      <c r="K1467" s="2">
        <v>32</v>
      </c>
      <c r="L1467" s="2">
        <v>0</v>
      </c>
      <c r="M1467" s="2"/>
      <c r="N1467" s="8">
        <v>41637.910995370374</v>
      </c>
      <c r="O1467" s="4"/>
      <c r="P1467" s="3" t="s">
        <v>291</v>
      </c>
      <c r="Q1467" s="4"/>
      <c r="R1467" s="4"/>
      <c r="S1467" s="9" t="str">
        <f>HYPERLINK("https://pbs.twimg.com/profile_images/827636373301633025/WVgdvUaD.jpg","View")</f>
        <v>View</v>
      </c>
    </row>
    <row r="1468" spans="1:19" ht="30">
      <c r="A1468" s="8">
        <v>43369.047569444447</v>
      </c>
      <c r="B1468" s="11" t="str">
        <f>HYPERLINK("https://twitter.com/Steven21555103","@Steven21555103")</f>
        <v>@Steven21555103</v>
      </c>
      <c r="C1468" s="6" t="s">
        <v>290</v>
      </c>
      <c r="D1468" s="5" t="s">
        <v>49</v>
      </c>
      <c r="E1468" s="9" t="str">
        <f>HYPERLINK("https://twitter.com/Steven21555103/status/1044702708844814336","1044702708844814336")</f>
        <v>1044702708844814336</v>
      </c>
      <c r="F1468" s="4"/>
      <c r="G1468" s="4"/>
      <c r="H1468" s="4"/>
      <c r="I1468" s="10" t="str">
        <f>HYPERLINK("http://twitter.com","Twitter Web Client")</f>
        <v>Twitter Web Client</v>
      </c>
      <c r="J1468" s="2">
        <v>722</v>
      </c>
      <c r="K1468" s="2">
        <v>188</v>
      </c>
      <c r="L1468" s="2">
        <v>0</v>
      </c>
      <c r="M1468" s="2"/>
      <c r="N1468" s="8">
        <v>43156.829537037032</v>
      </c>
      <c r="O1468" s="4"/>
      <c r="P1468" s="3" t="s">
        <v>289</v>
      </c>
      <c r="Q1468" s="4"/>
      <c r="R1468" s="4"/>
      <c r="S1468" s="9" t="str">
        <f>HYPERLINK("https://pbs.twimg.com/profile_images/989940346439204864/_ziwv5Z1.jpg","View")</f>
        <v>View</v>
      </c>
    </row>
    <row r="1469" spans="1:19" ht="40">
      <c r="A1469" s="8">
        <v>43369.047361111108</v>
      </c>
      <c r="B1469" s="11" t="str">
        <f>HYPERLINK("https://twitter.com/ashvazdanghe","@ashvazdanghe")</f>
        <v>@ashvazdanghe</v>
      </c>
      <c r="C1469" s="6" t="s">
        <v>225</v>
      </c>
      <c r="D1469" s="5" t="s">
        <v>75</v>
      </c>
      <c r="E1469" s="9" t="str">
        <f>HYPERLINK("https://twitter.com/ashvazdanghe/status/1044702633938759680","1044702633938759680")</f>
        <v>1044702633938759680</v>
      </c>
      <c r="F1469" s="4"/>
      <c r="G1469" s="4"/>
      <c r="H1469" s="4"/>
      <c r="I1469" s="10" t="str">
        <f>HYPERLINK("http://twitter.com/download/android","Twitter for Android")</f>
        <v>Twitter for Android</v>
      </c>
      <c r="J1469" s="2">
        <v>570</v>
      </c>
      <c r="K1469" s="2">
        <v>1143</v>
      </c>
      <c r="L1469" s="2">
        <v>1</v>
      </c>
      <c r="M1469" s="2"/>
      <c r="N1469" s="8">
        <v>41547.964259259257</v>
      </c>
      <c r="O1469" s="4" t="s">
        <v>214</v>
      </c>
      <c r="P1469" s="3"/>
      <c r="Q1469" s="10" t="s">
        <v>224</v>
      </c>
      <c r="R1469" s="4"/>
      <c r="S1469" s="9" t="str">
        <f>HYPERLINK("https://pbs.twimg.com/profile_images/1040276749357993985/a3AGlNEh.jpg","View")</f>
        <v>View</v>
      </c>
    </row>
    <row r="1470" spans="1:19" ht="30">
      <c r="A1470" s="8">
        <v>43369.047361111108</v>
      </c>
      <c r="B1470" s="11" t="str">
        <f>HYPERLINK("https://twitter.com/magic3230","@magic3230")</f>
        <v>@magic3230</v>
      </c>
      <c r="C1470" s="6" t="s">
        <v>288</v>
      </c>
      <c r="D1470" s="5" t="s">
        <v>287</v>
      </c>
      <c r="E1470" s="9" t="str">
        <f>HYPERLINK("https://twitter.com/magic3230/status/1044702633066463234","1044702633066463234")</f>
        <v>1044702633066463234</v>
      </c>
      <c r="F1470" s="4"/>
      <c r="G1470" s="4"/>
      <c r="H1470" s="4"/>
      <c r="I1470" s="10" t="str">
        <f>HYPERLINK("http://twitter.com/download/iphone","Twitter for iPhone")</f>
        <v>Twitter for iPhone</v>
      </c>
      <c r="J1470" s="2">
        <v>337</v>
      </c>
      <c r="K1470" s="2">
        <v>364</v>
      </c>
      <c r="L1470" s="2">
        <v>0</v>
      </c>
      <c r="M1470" s="2"/>
      <c r="N1470" s="8">
        <v>43295.100011574075</v>
      </c>
      <c r="O1470" s="4"/>
      <c r="P1470" s="3" t="s">
        <v>286</v>
      </c>
      <c r="Q1470" s="4"/>
      <c r="R1470" s="4"/>
      <c r="S1470" s="9" t="str">
        <f>HYPERLINK("https://pbs.twimg.com/profile_images/1039534052531990528/6bdKacsQ.jpg","View")</f>
        <v>View</v>
      </c>
    </row>
    <row r="1471" spans="1:19" ht="20">
      <c r="A1471" s="8">
        <v>43369.047326388885</v>
      </c>
      <c r="B1471" s="11" t="str">
        <f>HYPERLINK("https://twitter.com/souderad","@souderad")</f>
        <v>@souderad</v>
      </c>
      <c r="C1471" s="6" t="s">
        <v>285</v>
      </c>
      <c r="D1471" s="5" t="s">
        <v>284</v>
      </c>
      <c r="E1471" s="9" t="str">
        <f>HYPERLINK("https://twitter.com/souderad/status/1044702623545413632","1044702623545413632")</f>
        <v>1044702623545413632</v>
      </c>
      <c r="F1471" s="4"/>
      <c r="G1471" s="4"/>
      <c r="H1471" s="4"/>
      <c r="I1471" s="10" t="str">
        <f>HYPERLINK("http://twitter.com/download/iphone","Twitter for iPhone")</f>
        <v>Twitter for iPhone</v>
      </c>
      <c r="J1471" s="2">
        <v>18</v>
      </c>
      <c r="K1471" s="2">
        <v>80</v>
      </c>
      <c r="L1471" s="2">
        <v>0</v>
      </c>
      <c r="M1471" s="2"/>
      <c r="N1471" s="8">
        <v>43368.996018518519</v>
      </c>
      <c r="O1471" s="4"/>
      <c r="P1471" s="3" t="s">
        <v>283</v>
      </c>
      <c r="Q1471" s="4"/>
      <c r="R1471" s="4"/>
      <c r="S1471" s="9" t="str">
        <f>HYPERLINK("https://pbs.twimg.com/profile_images/1044692804394512385/n93s8Rbn.jpg","View")</f>
        <v>View</v>
      </c>
    </row>
    <row r="1472" spans="1:19" ht="30">
      <c r="A1472" s="8">
        <v>43369.047164351854</v>
      </c>
      <c r="B1472" s="11" t="str">
        <f>HYPERLINK("https://twitter.com/KamYar30677542","@KamYar30677542")</f>
        <v>@KamYar30677542</v>
      </c>
      <c r="C1472" s="6" t="s">
        <v>282</v>
      </c>
      <c r="D1472" s="5" t="s">
        <v>49</v>
      </c>
      <c r="E1472" s="9" t="str">
        <f>HYPERLINK("https://twitter.com/KamYar30677542/status/1044702564934127618","1044702564934127618")</f>
        <v>1044702564934127618</v>
      </c>
      <c r="F1472" s="4"/>
      <c r="G1472" s="4"/>
      <c r="H1472" s="4"/>
      <c r="I1472" s="10" t="str">
        <f>HYPERLINK("http://twitter.com/download/android","Twitter for Android")</f>
        <v>Twitter for Android</v>
      </c>
      <c r="J1472" s="2">
        <v>427</v>
      </c>
      <c r="K1472" s="2">
        <v>798</v>
      </c>
      <c r="L1472" s="2">
        <v>0</v>
      </c>
      <c r="M1472" s="2"/>
      <c r="N1472" s="8">
        <v>43151.081504629634</v>
      </c>
      <c r="O1472" s="4" t="s">
        <v>281</v>
      </c>
      <c r="P1472" s="3" t="s">
        <v>280</v>
      </c>
      <c r="Q1472" s="4"/>
      <c r="R1472" s="4"/>
      <c r="S1472" s="9" t="str">
        <f>HYPERLINK("https://pbs.twimg.com/profile_images/1021780249560993792/Z2rlTub_.jpg","View")</f>
        <v>View</v>
      </c>
    </row>
    <row r="1473" spans="1:19" ht="50">
      <c r="A1473" s="8">
        <v>43369.047048611115</v>
      </c>
      <c r="B1473" s="11" t="str">
        <f>HYPERLINK("https://twitter.com/MonirKia","@MonirKia")</f>
        <v>@MonirKia</v>
      </c>
      <c r="C1473" s="6" t="s">
        <v>279</v>
      </c>
      <c r="D1473" s="5" t="s">
        <v>278</v>
      </c>
      <c r="E1473" s="9" t="str">
        <f>HYPERLINK("https://twitter.com/MonirKia/status/1044702523074981890","1044702523074981890")</f>
        <v>1044702523074981890</v>
      </c>
      <c r="F1473" s="4"/>
      <c r="G1473" s="10" t="s">
        <v>196</v>
      </c>
      <c r="H1473" s="4"/>
      <c r="I1473" s="10" t="str">
        <f>HYPERLINK("http://twitter.com/download/iphone","Twitter for iPhone")</f>
        <v>Twitter for iPhone</v>
      </c>
      <c r="J1473" s="2">
        <v>458</v>
      </c>
      <c r="K1473" s="2">
        <v>279</v>
      </c>
      <c r="L1473" s="2">
        <v>1</v>
      </c>
      <c r="M1473" s="2"/>
      <c r="N1473" s="8">
        <v>40049.042222222226</v>
      </c>
      <c r="O1473" s="4" t="s">
        <v>16</v>
      </c>
      <c r="P1473" s="3" t="s">
        <v>277</v>
      </c>
      <c r="Q1473" s="4"/>
      <c r="R1473" s="4"/>
      <c r="S1473" s="9" t="str">
        <f>HYPERLINK("https://pbs.twimg.com/profile_images/812325280572379138/CUzNVXxv.jpg","View")</f>
        <v>View</v>
      </c>
    </row>
    <row r="1474" spans="1:19" ht="40">
      <c r="A1474" s="8">
        <v>43369.046956018516</v>
      </c>
      <c r="B1474" s="11" t="str">
        <f>HYPERLINK("https://twitter.com/hamed_hamedian","@hamed_hamedian")</f>
        <v>@hamed_hamedian</v>
      </c>
      <c r="C1474" s="6" t="s">
        <v>276</v>
      </c>
      <c r="D1474" s="5" t="s">
        <v>275</v>
      </c>
      <c r="E1474" s="9" t="str">
        <f>HYPERLINK("https://twitter.com/hamed_hamedian/status/1044702489243779072","1044702489243779072")</f>
        <v>1044702489243779072</v>
      </c>
      <c r="F1474" s="4"/>
      <c r="G1474" s="4"/>
      <c r="H1474" s="4"/>
      <c r="I1474" s="10" t="str">
        <f>HYPERLINK("http://twitter.com/download/iphone","Twitter for iPhone")</f>
        <v>Twitter for iPhone</v>
      </c>
      <c r="J1474" s="2">
        <v>142</v>
      </c>
      <c r="K1474" s="2">
        <v>360</v>
      </c>
      <c r="L1474" s="2">
        <v>0</v>
      </c>
      <c r="M1474" s="2"/>
      <c r="N1474" s="8">
        <v>42449.114722222221</v>
      </c>
      <c r="O1474" s="4" t="s">
        <v>22</v>
      </c>
      <c r="P1474" s="3" t="s">
        <v>274</v>
      </c>
      <c r="Q1474" s="10" t="s">
        <v>273</v>
      </c>
      <c r="R1474" s="4"/>
      <c r="S1474" s="9" t="str">
        <f>HYPERLINK("https://pbs.twimg.com/profile_images/925456854725156864/8FJFj18a.jpg","View")</f>
        <v>View</v>
      </c>
    </row>
    <row r="1475" spans="1:19" ht="50">
      <c r="A1475" s="8">
        <v>43369.046921296293</v>
      </c>
      <c r="B1475" s="11" t="str">
        <f>HYPERLINK("https://twitter.com/PouriaB2","@PouriaB2")</f>
        <v>@PouriaB2</v>
      </c>
      <c r="C1475" s="6" t="s">
        <v>272</v>
      </c>
      <c r="D1475" s="5" t="s">
        <v>202</v>
      </c>
      <c r="E1475" s="9" t="str">
        <f>HYPERLINK("https://twitter.com/PouriaB2/status/1044702477487083520","1044702477487083520")</f>
        <v>1044702477487083520</v>
      </c>
      <c r="F1475" s="4"/>
      <c r="G1475" s="4"/>
      <c r="H1475" s="4"/>
      <c r="I1475" s="10" t="str">
        <f>HYPERLINK("http://twitter.com/download/android","Twitter for Android")</f>
        <v>Twitter for Android</v>
      </c>
      <c r="J1475" s="2">
        <v>235</v>
      </c>
      <c r="K1475" s="2">
        <v>313</v>
      </c>
      <c r="L1475" s="2">
        <v>0</v>
      </c>
      <c r="M1475" s="2"/>
      <c r="N1475" s="8">
        <v>42904.562291666662</v>
      </c>
      <c r="O1475" s="4"/>
      <c r="P1475" s="3"/>
      <c r="Q1475" s="4"/>
      <c r="R1475" s="4"/>
      <c r="S1475" s="9" t="str">
        <f>HYPERLINK("https://pbs.twimg.com/profile_images/876372156879429632/Kp5yD6dU.jpg","View")</f>
        <v>View</v>
      </c>
    </row>
    <row r="1476" spans="1:19" ht="20">
      <c r="A1476" s="8">
        <v>43369.046782407408</v>
      </c>
      <c r="B1476" s="11" t="str">
        <f>HYPERLINK("https://twitter.com/Tabassom_Ak","@Tabassom_Ak")</f>
        <v>@Tabassom_Ak</v>
      </c>
      <c r="C1476" s="6" t="s">
        <v>227</v>
      </c>
      <c r="D1476" s="5" t="s">
        <v>271</v>
      </c>
      <c r="E1476" s="9" t="str">
        <f>HYPERLINK("https://twitter.com/Tabassom_Ak/status/1044702425121214465","1044702425121214465")</f>
        <v>1044702425121214465</v>
      </c>
      <c r="F1476" s="4"/>
      <c r="G1476" s="4"/>
      <c r="H1476" s="4"/>
      <c r="I1476" s="10" t="str">
        <f>HYPERLINK("http://twitter.com/download/iphone","Twitter for iPhone")</f>
        <v>Twitter for iPhone</v>
      </c>
      <c r="J1476" s="2">
        <v>18</v>
      </c>
      <c r="K1476" s="2">
        <v>27</v>
      </c>
      <c r="L1476" s="2">
        <v>0</v>
      </c>
      <c r="M1476" s="2"/>
      <c r="N1476" s="8">
        <v>43304.025057870371</v>
      </c>
      <c r="O1476" s="4" t="s">
        <v>7</v>
      </c>
      <c r="P1476" s="3" t="s">
        <v>226</v>
      </c>
      <c r="Q1476" s="4"/>
      <c r="R1476" s="4"/>
      <c r="S1476" s="9" t="str">
        <f>HYPERLINK("https://pbs.twimg.com/profile_images/1021126091585609728/ennwWb-y.jpg","View")</f>
        <v>View</v>
      </c>
    </row>
    <row r="1477" spans="1:19" ht="20">
      <c r="A1477" s="8">
        <v>43369.046701388885</v>
      </c>
      <c r="B1477" s="11" t="str">
        <f>HYPERLINK("https://twitter.com/ashvazdanghe","@ashvazdanghe")</f>
        <v>@ashvazdanghe</v>
      </c>
      <c r="C1477" s="6" t="s">
        <v>225</v>
      </c>
      <c r="D1477" s="5" t="s">
        <v>102</v>
      </c>
      <c r="E1477" s="9" t="str">
        <f>HYPERLINK("https://twitter.com/ashvazdanghe/status/1044702395911917568","1044702395911917568")</f>
        <v>1044702395911917568</v>
      </c>
      <c r="F1477" s="4"/>
      <c r="G1477" s="4"/>
      <c r="H1477" s="4"/>
      <c r="I1477" s="10" t="str">
        <f>HYPERLINK("http://twitter.com/download/android","Twitter for Android")</f>
        <v>Twitter for Android</v>
      </c>
      <c r="J1477" s="2">
        <v>570</v>
      </c>
      <c r="K1477" s="2">
        <v>1143</v>
      </c>
      <c r="L1477" s="2">
        <v>1</v>
      </c>
      <c r="M1477" s="2"/>
      <c r="N1477" s="8">
        <v>41547.964259259257</v>
      </c>
      <c r="O1477" s="4" t="s">
        <v>214</v>
      </c>
      <c r="P1477" s="3"/>
      <c r="Q1477" s="10" t="s">
        <v>224</v>
      </c>
      <c r="R1477" s="4"/>
      <c r="S1477" s="9" t="str">
        <f>HYPERLINK("https://pbs.twimg.com/profile_images/1040276749357993985/a3AGlNEh.jpg","View")</f>
        <v>View</v>
      </c>
    </row>
    <row r="1478" spans="1:19" ht="30">
      <c r="A1478" s="8">
        <v>43369.046226851853</v>
      </c>
      <c r="B1478" s="11" t="str">
        <f>HYPERLINK("https://twitter.com/pesare_badd","@pesare_badd")</f>
        <v>@pesare_badd</v>
      </c>
      <c r="C1478" s="6" t="s">
        <v>270</v>
      </c>
      <c r="D1478" s="5" t="s">
        <v>49</v>
      </c>
      <c r="E1478" s="9" t="str">
        <f>HYPERLINK("https://twitter.com/pesare_badd/status/1044702225740771328","1044702225740771328")</f>
        <v>1044702225740771328</v>
      </c>
      <c r="F1478" s="4"/>
      <c r="G1478" s="4"/>
      <c r="H1478" s="4"/>
      <c r="I1478" s="10" t="str">
        <f>HYPERLINK("http://twitter.com/download/android","Twitter for Android")</f>
        <v>Twitter for Android</v>
      </c>
      <c r="J1478" s="2">
        <v>355</v>
      </c>
      <c r="K1478" s="2">
        <v>299</v>
      </c>
      <c r="L1478" s="2">
        <v>0</v>
      </c>
      <c r="M1478" s="2"/>
      <c r="N1478" s="8">
        <v>43312.034675925926</v>
      </c>
      <c r="O1478" s="4" t="s">
        <v>269</v>
      </c>
      <c r="P1478" s="3" t="s">
        <v>268</v>
      </c>
      <c r="Q1478" s="4"/>
      <c r="R1478" s="4"/>
      <c r="S1478" s="9" t="str">
        <f>HYPERLINK("https://pbs.twimg.com/profile_images/1024745544126750720/Wrzh2Uja.jpg","View")</f>
        <v>View</v>
      </c>
    </row>
    <row r="1479" spans="1:19" ht="30">
      <c r="A1479" s="8">
        <v>43369.046018518522</v>
      </c>
      <c r="B1479" s="11" t="str">
        <f>HYPERLINK("https://twitter.com/mynameisLUTHIEN","@mynameisLUTHIEN")</f>
        <v>@mynameisLUTHIEN</v>
      </c>
      <c r="C1479" s="6" t="s">
        <v>267</v>
      </c>
      <c r="D1479" s="5" t="s">
        <v>49</v>
      </c>
      <c r="E1479" s="9" t="str">
        <f>HYPERLINK("https://twitter.com/mynameisLUTHIEN/status/1044702147672182786","1044702147672182786")</f>
        <v>1044702147672182786</v>
      </c>
      <c r="F1479" s="4"/>
      <c r="G1479" s="4"/>
      <c r="H1479" s="4"/>
      <c r="I1479" s="10" t="str">
        <f>HYPERLINK("http://twitter.com/download/android","Twitter for Android")</f>
        <v>Twitter for Android</v>
      </c>
      <c r="J1479" s="2">
        <v>392</v>
      </c>
      <c r="K1479" s="2">
        <v>419</v>
      </c>
      <c r="L1479" s="2">
        <v>8</v>
      </c>
      <c r="M1479" s="2"/>
      <c r="N1479" s="8">
        <v>41709.198865740742</v>
      </c>
      <c r="O1479" s="4" t="s">
        <v>266</v>
      </c>
      <c r="P1479" s="3" t="s">
        <v>265</v>
      </c>
      <c r="Q1479" s="4"/>
      <c r="R1479" s="4"/>
      <c r="S1479" s="9" t="str">
        <f>HYPERLINK("https://pbs.twimg.com/profile_images/1031274895462813704/ia8t3PKk.jpg","View")</f>
        <v>View</v>
      </c>
    </row>
    <row r="1480" spans="1:19" ht="40">
      <c r="A1480" s="8">
        <v>43369.045902777776</v>
      </c>
      <c r="B1480" s="11" t="str">
        <f>HYPERLINK("https://twitter.com/WhiteHat_SLA","@WhiteHat_SLA")</f>
        <v>@WhiteHat_SLA</v>
      </c>
      <c r="C1480" s="6" t="s">
        <v>264</v>
      </c>
      <c r="D1480" s="5" t="s">
        <v>163</v>
      </c>
      <c r="E1480" s="9" t="str">
        <f>HYPERLINK("https://twitter.com/WhiteHat_SLA/status/1044702104944869376","1044702104944869376")</f>
        <v>1044702104944869376</v>
      </c>
      <c r="F1480" s="4"/>
      <c r="G1480" s="10" t="s">
        <v>162</v>
      </c>
      <c r="H1480" s="4"/>
      <c r="I1480" s="10" t="str">
        <f>HYPERLINK("http://twitter.com/download/iphone","Twitter for iPhone")</f>
        <v>Twitter for iPhone</v>
      </c>
      <c r="J1480" s="2">
        <v>23</v>
      </c>
      <c r="K1480" s="2">
        <v>66</v>
      </c>
      <c r="L1480" s="2">
        <v>0</v>
      </c>
      <c r="M1480" s="2"/>
      <c r="N1480" s="8">
        <v>42373.220775462964</v>
      </c>
      <c r="O1480" s="4"/>
      <c r="P1480" s="3" t="s">
        <v>263</v>
      </c>
      <c r="Q1480" s="4"/>
      <c r="R1480" s="4"/>
      <c r="S1480" s="9" t="str">
        <f>HYPERLINK("https://pbs.twimg.com/profile_images/1001892439190368261/q7_gGqot.jpg","View")</f>
        <v>View</v>
      </c>
    </row>
    <row r="1481" spans="1:19" ht="30">
      <c r="A1481" s="8">
        <v>43369.045856481476</v>
      </c>
      <c r="B1481" s="11" t="str">
        <f>HYPERLINK("https://twitter.com/Deedidnadeedid","@Deedidnadeedid")</f>
        <v>@Deedidnadeedid</v>
      </c>
      <c r="C1481" s="6" t="s">
        <v>262</v>
      </c>
      <c r="D1481" s="5" t="s">
        <v>49</v>
      </c>
      <c r="E1481" s="9" t="str">
        <f>HYPERLINK("https://twitter.com/Deedidnadeedid/status/1044702088637423617","1044702088637423617")</f>
        <v>1044702088637423617</v>
      </c>
      <c r="F1481" s="4"/>
      <c r="G1481" s="4"/>
      <c r="H1481" s="4"/>
      <c r="I1481" s="10" t="str">
        <f>HYPERLINK("http://twitter.com/download/android","Twitter for Android")</f>
        <v>Twitter for Android</v>
      </c>
      <c r="J1481" s="2">
        <v>2754</v>
      </c>
      <c r="K1481" s="2">
        <v>3111</v>
      </c>
      <c r="L1481" s="2">
        <v>2</v>
      </c>
      <c r="M1481" s="2"/>
      <c r="N1481" s="8">
        <v>43126.950381944444</v>
      </c>
      <c r="O1481" s="4" t="s">
        <v>261</v>
      </c>
      <c r="P1481" s="3" t="s">
        <v>260</v>
      </c>
      <c r="Q1481" s="4"/>
      <c r="R1481" s="4"/>
      <c r="S1481" s="9" t="str">
        <f>HYPERLINK("https://pbs.twimg.com/profile_images/1020391026924695552/LTBvx4XV.jpg","View")</f>
        <v>View</v>
      </c>
    </row>
    <row r="1482" spans="1:19" ht="40">
      <c r="A1482" s="8">
        <v>43369.045844907407</v>
      </c>
      <c r="B1482" s="11" t="str">
        <f>HYPERLINK("https://twitter.com/alavi8668","@alavi8668")</f>
        <v>@alavi8668</v>
      </c>
      <c r="C1482" s="6" t="s">
        <v>259</v>
      </c>
      <c r="D1482" s="5" t="s">
        <v>163</v>
      </c>
      <c r="E1482" s="9" t="str">
        <f>HYPERLINK("https://twitter.com/alavi8668/status/1044702087232270336","1044702087232270336")</f>
        <v>1044702087232270336</v>
      </c>
      <c r="F1482" s="4"/>
      <c r="G1482" s="10" t="s">
        <v>162</v>
      </c>
      <c r="H1482" s="4"/>
      <c r="I1482" s="10" t="str">
        <f>HYPERLINK("http://twitter.com/download/android","Twitter for Android")</f>
        <v>Twitter for Android</v>
      </c>
      <c r="J1482" s="2">
        <v>4</v>
      </c>
      <c r="K1482" s="2">
        <v>134</v>
      </c>
      <c r="L1482" s="2">
        <v>0</v>
      </c>
      <c r="M1482" s="2"/>
      <c r="N1482" s="8">
        <v>43101.444895833338</v>
      </c>
      <c r="O1482" s="4"/>
      <c r="P1482" s="3"/>
      <c r="Q1482" s="4"/>
      <c r="R1482" s="4"/>
      <c r="S1482" s="2" t="s">
        <v>21</v>
      </c>
    </row>
    <row r="1483" spans="1:19" ht="30">
      <c r="A1483" s="8">
        <v>43369.04582175926</v>
      </c>
      <c r="B1483" s="11" t="str">
        <f>HYPERLINK("https://twitter.com/Ahmadah82590538","@Ahmadah82590538")</f>
        <v>@Ahmadah82590538</v>
      </c>
      <c r="C1483" s="6" t="s">
        <v>258</v>
      </c>
      <c r="D1483" s="5" t="s">
        <v>49</v>
      </c>
      <c r="E1483" s="9" t="str">
        <f>HYPERLINK("https://twitter.com/Ahmadah82590538/status/1044702075836407808","1044702075836407808")</f>
        <v>1044702075836407808</v>
      </c>
      <c r="F1483" s="4"/>
      <c r="G1483" s="4"/>
      <c r="H1483" s="4"/>
      <c r="I1483" s="10" t="str">
        <f>HYPERLINK("http://twitter.com/download/android","Twitter for Android")</f>
        <v>Twitter for Android</v>
      </c>
      <c r="J1483" s="2">
        <v>269</v>
      </c>
      <c r="K1483" s="2">
        <v>380</v>
      </c>
      <c r="L1483" s="2">
        <v>0</v>
      </c>
      <c r="M1483" s="2"/>
      <c r="N1483" s="8">
        <v>43016.725624999999</v>
      </c>
      <c r="O1483" s="4" t="s">
        <v>48</v>
      </c>
      <c r="P1483" s="3" t="s">
        <v>257</v>
      </c>
      <c r="Q1483" s="4"/>
      <c r="R1483" s="4"/>
      <c r="S1483" s="9" t="str">
        <f>HYPERLINK("https://pbs.twimg.com/profile_images/1033434696896659457/bmX8_HTm.jpg","View")</f>
        <v>View</v>
      </c>
    </row>
    <row r="1484" spans="1:19" ht="20">
      <c r="A1484" s="8">
        <v>43369.045763888891</v>
      </c>
      <c r="B1484" s="11" t="str">
        <f>HYPERLINK("https://twitter.com/shm98x","@shm98x")</f>
        <v>@shm98x</v>
      </c>
      <c r="C1484" s="6" t="s">
        <v>241</v>
      </c>
      <c r="D1484" s="5" t="s">
        <v>15</v>
      </c>
      <c r="E1484" s="9" t="str">
        <f>HYPERLINK("https://twitter.com/shm98x/status/1044702058308403201","1044702058308403201")</f>
        <v>1044702058308403201</v>
      </c>
      <c r="F1484" s="4"/>
      <c r="G1484" s="4"/>
      <c r="H1484" s="4"/>
      <c r="I1484" s="10" t="str">
        <f>HYPERLINK("http://twitter.com/download/android","Twitter for Android")</f>
        <v>Twitter for Android</v>
      </c>
      <c r="J1484" s="2">
        <v>79</v>
      </c>
      <c r="K1484" s="2">
        <v>143</v>
      </c>
      <c r="L1484" s="2">
        <v>0</v>
      </c>
      <c r="M1484" s="2"/>
      <c r="N1484" s="8">
        <v>43271.970590277779</v>
      </c>
      <c r="O1484" s="4"/>
      <c r="P1484" s="3"/>
      <c r="Q1484" s="4"/>
      <c r="R1484" s="4"/>
      <c r="S1484" s="9" t="str">
        <f>HYPERLINK("https://pbs.twimg.com/profile_images/1009532216119087104/D-SKp8aQ.jpg","View")</f>
        <v>View</v>
      </c>
    </row>
    <row r="1485" spans="1:19" ht="50">
      <c r="A1485" s="8">
        <v>43369.045405092591</v>
      </c>
      <c r="B1485" s="11" t="str">
        <f>HYPERLINK("https://twitter.com/Sepehr_Sky14","@Sepehr_Sky14")</f>
        <v>@Sepehr_Sky14</v>
      </c>
      <c r="C1485" s="6" t="s">
        <v>256</v>
      </c>
      <c r="D1485" s="5" t="s">
        <v>109</v>
      </c>
      <c r="E1485" s="9" t="str">
        <f>HYPERLINK("https://twitter.com/Sepehr_Sky14/status/1044701925961347072","1044701925961347072")</f>
        <v>1044701925961347072</v>
      </c>
      <c r="F1485" s="4"/>
      <c r="G1485" s="4"/>
      <c r="H1485" s="4"/>
      <c r="I1485" s="10" t="str">
        <f>HYPERLINK("http://twitter.com/download/iphone","Twitter for iPhone")</f>
        <v>Twitter for iPhone</v>
      </c>
      <c r="J1485" s="2">
        <v>160</v>
      </c>
      <c r="K1485" s="2">
        <v>248</v>
      </c>
      <c r="L1485" s="2">
        <v>1</v>
      </c>
      <c r="M1485" s="2"/>
      <c r="N1485" s="8">
        <v>40668.056145833332</v>
      </c>
      <c r="O1485" s="4" t="s">
        <v>255</v>
      </c>
      <c r="P1485" s="3" t="s">
        <v>254</v>
      </c>
      <c r="Q1485" s="4"/>
      <c r="R1485" s="4"/>
      <c r="S1485" s="9" t="str">
        <f>HYPERLINK("https://pbs.twimg.com/profile_images/1036676897516736512/VicGUqIy.jpg","View")</f>
        <v>View</v>
      </c>
    </row>
    <row r="1486" spans="1:19" ht="40">
      <c r="A1486" s="8">
        <v>43369.045173611114</v>
      </c>
      <c r="B1486" s="11" t="str">
        <f>HYPERLINK("https://twitter.com/Haniye92122985","@Haniye92122985")</f>
        <v>@Haniye92122985</v>
      </c>
      <c r="C1486" s="6" t="s">
        <v>251</v>
      </c>
      <c r="D1486" s="5" t="s">
        <v>253</v>
      </c>
      <c r="E1486" s="9" t="str">
        <f>HYPERLINK("https://twitter.com/Haniye92122985/status/1044701842943479808","1044701842943479808")</f>
        <v>1044701842943479808</v>
      </c>
      <c r="F1486" s="4"/>
      <c r="G1486" s="10" t="s">
        <v>252</v>
      </c>
      <c r="H1486" s="4"/>
      <c r="I1486" s="10" t="str">
        <f>HYPERLINK("http://twitter.com/download/android","Twitter for Android")</f>
        <v>Twitter for Android</v>
      </c>
      <c r="J1486" s="2">
        <v>205</v>
      </c>
      <c r="K1486" s="2">
        <v>239</v>
      </c>
      <c r="L1486" s="2">
        <v>0</v>
      </c>
      <c r="M1486" s="2"/>
      <c r="N1486" s="8">
        <v>43223.809004629627</v>
      </c>
      <c r="O1486" s="4" t="s">
        <v>96</v>
      </c>
      <c r="P1486" s="3" t="s">
        <v>248</v>
      </c>
      <c r="Q1486" s="4"/>
      <c r="R1486" s="4"/>
      <c r="S1486" s="9" t="str">
        <f>HYPERLINK("https://pbs.twimg.com/profile_images/1034691047878811648/ymLzZnqA.jpg","View")</f>
        <v>View</v>
      </c>
    </row>
    <row r="1487" spans="1:19" ht="20">
      <c r="A1487" s="8">
        <v>43369.045069444444</v>
      </c>
      <c r="B1487" s="11" t="str">
        <f>HYPERLINK("https://twitter.com/Haniye92122985","@Haniye92122985")</f>
        <v>@Haniye92122985</v>
      </c>
      <c r="C1487" s="6" t="s">
        <v>251</v>
      </c>
      <c r="D1487" s="5" t="s">
        <v>250</v>
      </c>
      <c r="E1487" s="9" t="str">
        <f>HYPERLINK("https://twitter.com/Haniye92122985/status/1044701803944849409","1044701803944849409")</f>
        <v>1044701803944849409</v>
      </c>
      <c r="F1487" s="10" t="s">
        <v>249</v>
      </c>
      <c r="G1487" s="4"/>
      <c r="H1487" s="4"/>
      <c r="I1487" s="10" t="str">
        <f>HYPERLINK("http://twitter.com/download/android","Twitter for Android")</f>
        <v>Twitter for Android</v>
      </c>
      <c r="J1487" s="2">
        <v>205</v>
      </c>
      <c r="K1487" s="2">
        <v>239</v>
      </c>
      <c r="L1487" s="2">
        <v>0</v>
      </c>
      <c r="M1487" s="2"/>
      <c r="N1487" s="8">
        <v>43223.809004629627</v>
      </c>
      <c r="O1487" s="4" t="s">
        <v>96</v>
      </c>
      <c r="P1487" s="3" t="s">
        <v>248</v>
      </c>
      <c r="Q1487" s="4"/>
      <c r="R1487" s="4"/>
      <c r="S1487" s="9" t="str">
        <f>HYPERLINK("https://pbs.twimg.com/profile_images/1034691047878811648/ymLzZnqA.jpg","View")</f>
        <v>View</v>
      </c>
    </row>
    <row r="1488" spans="1:19" ht="30">
      <c r="A1488" s="8">
        <v>43369.045034722221</v>
      </c>
      <c r="B1488" s="11" t="str">
        <f>HYPERLINK("https://twitter.com/MElyaszadeh","@MElyaszadeh")</f>
        <v>@MElyaszadeh</v>
      </c>
      <c r="C1488" s="6" t="s">
        <v>247</v>
      </c>
      <c r="D1488" s="5" t="s">
        <v>49</v>
      </c>
      <c r="E1488" s="9" t="str">
        <f>HYPERLINK("https://twitter.com/MElyaszadeh/status/1044701790518882305","1044701790518882305")</f>
        <v>1044701790518882305</v>
      </c>
      <c r="F1488" s="4"/>
      <c r="G1488" s="4"/>
      <c r="H1488" s="4"/>
      <c r="I1488" s="10" t="str">
        <f>HYPERLINK("http://twitter.com","Twitter Web Client")</f>
        <v>Twitter Web Client</v>
      </c>
      <c r="J1488" s="2">
        <v>175</v>
      </c>
      <c r="K1488" s="2">
        <v>767</v>
      </c>
      <c r="L1488" s="2">
        <v>0</v>
      </c>
      <c r="M1488" s="2"/>
      <c r="N1488" s="8">
        <v>43291.493831018517</v>
      </c>
      <c r="O1488" s="4"/>
      <c r="P1488" s="3"/>
      <c r="Q1488" s="4"/>
      <c r="R1488" s="4"/>
      <c r="S1488" s="9" t="str">
        <f>HYPERLINK("https://pbs.twimg.com/profile_images/1016584476804177920/E94RBEPg.jpg","View")</f>
        <v>View</v>
      </c>
    </row>
    <row r="1489" spans="1:19" ht="20">
      <c r="A1489" s="8">
        <v>43369.044895833329</v>
      </c>
      <c r="B1489" s="11" t="str">
        <f>HYPERLINK("https://twitter.com/ZohoreMahdi313","@ZohoreMahdi313")</f>
        <v>@ZohoreMahdi313</v>
      </c>
      <c r="C1489" s="6" t="s">
        <v>246</v>
      </c>
      <c r="D1489" s="5" t="s">
        <v>245</v>
      </c>
      <c r="E1489" s="9" t="str">
        <f>HYPERLINK("https://twitter.com/ZohoreMahdi313/status/1044701742682787840","1044701742682787840")</f>
        <v>1044701742682787840</v>
      </c>
      <c r="F1489" s="4"/>
      <c r="G1489" s="10" t="s">
        <v>188</v>
      </c>
      <c r="H1489" s="4"/>
      <c r="I1489" s="10" t="str">
        <f>HYPERLINK("http://twitter.com/download/android","Twitter for Android")</f>
        <v>Twitter for Android</v>
      </c>
      <c r="J1489" s="2">
        <v>1312</v>
      </c>
      <c r="K1489" s="2">
        <v>1448</v>
      </c>
      <c r="L1489" s="2">
        <v>2</v>
      </c>
      <c r="M1489" s="2"/>
      <c r="N1489" s="8">
        <v>42852.051134259258</v>
      </c>
      <c r="O1489" s="4" t="s">
        <v>244</v>
      </c>
      <c r="P1489" s="3" t="s">
        <v>243</v>
      </c>
      <c r="Q1489" s="10" t="s">
        <v>242</v>
      </c>
      <c r="R1489" s="4"/>
      <c r="S1489" s="9" t="str">
        <f>HYPERLINK("https://pbs.twimg.com/profile_images/913298006556004352/j6_GCfMB.jpg","View")</f>
        <v>View</v>
      </c>
    </row>
    <row r="1490" spans="1:19" ht="40">
      <c r="A1490" s="8">
        <v>43369.044722222221</v>
      </c>
      <c r="B1490" s="11" t="str">
        <f>HYPERLINK("https://twitter.com/shm98x","@shm98x")</f>
        <v>@shm98x</v>
      </c>
      <c r="C1490" s="6" t="s">
        <v>241</v>
      </c>
      <c r="D1490" s="5" t="s">
        <v>72</v>
      </c>
      <c r="E1490" s="9" t="str">
        <f>HYPERLINK("https://twitter.com/shm98x/status/1044701679566884864","1044701679566884864")</f>
        <v>1044701679566884864</v>
      </c>
      <c r="F1490" s="4"/>
      <c r="G1490" s="4"/>
      <c r="H1490" s="4"/>
      <c r="I1490" s="10" t="str">
        <f>HYPERLINK("http://twitter.com/download/android","Twitter for Android")</f>
        <v>Twitter for Android</v>
      </c>
      <c r="J1490" s="2">
        <v>79</v>
      </c>
      <c r="K1490" s="2">
        <v>143</v>
      </c>
      <c r="L1490" s="2">
        <v>0</v>
      </c>
      <c r="M1490" s="2"/>
      <c r="N1490" s="8">
        <v>43271.970590277779</v>
      </c>
      <c r="O1490" s="4"/>
      <c r="P1490" s="3"/>
      <c r="Q1490" s="4"/>
      <c r="R1490" s="4"/>
      <c r="S1490" s="9" t="str">
        <f>HYPERLINK("https://pbs.twimg.com/profile_images/1009532216119087104/D-SKp8aQ.jpg","View")</f>
        <v>View</v>
      </c>
    </row>
    <row r="1491" spans="1:19" ht="30">
      <c r="A1491" s="8">
        <v>43369.044675925921</v>
      </c>
      <c r="B1491" s="11" t="str">
        <f>HYPERLINK("https://twitter.com/dariushadim","@dariushadim")</f>
        <v>@dariushadim</v>
      </c>
      <c r="C1491" s="6" t="s">
        <v>240</v>
      </c>
      <c r="D1491" s="5" t="s">
        <v>239</v>
      </c>
      <c r="E1491" s="9" t="str">
        <f>HYPERLINK("https://twitter.com/dariushadim/status/1044701659950194689","1044701659950194689")</f>
        <v>1044701659950194689</v>
      </c>
      <c r="F1491" s="10" t="s">
        <v>216</v>
      </c>
      <c r="G1491" s="4"/>
      <c r="H1491" s="4"/>
      <c r="I1491" s="10" t="str">
        <f>HYPERLINK("http://twitter.com","Twitter Web Client")</f>
        <v>Twitter Web Client</v>
      </c>
      <c r="J1491" s="2">
        <v>1096</v>
      </c>
      <c r="K1491" s="2">
        <v>1767</v>
      </c>
      <c r="L1491" s="2">
        <v>0</v>
      </c>
      <c r="M1491" s="2"/>
      <c r="N1491" s="8">
        <v>40714.745775462965</v>
      </c>
      <c r="O1491" s="4" t="s">
        <v>125</v>
      </c>
      <c r="P1491" s="3" t="s">
        <v>238</v>
      </c>
      <c r="Q1491" s="10" t="s">
        <v>237</v>
      </c>
      <c r="R1491" s="4"/>
      <c r="S1491" s="9" t="str">
        <f>HYPERLINK("https://pbs.twimg.com/profile_images/922864340344213505/Upg-2NMM.jpg","View")</f>
        <v>View</v>
      </c>
    </row>
    <row r="1492" spans="1:19" ht="50">
      <c r="A1492" s="8">
        <v>43369.044618055559</v>
      </c>
      <c r="B1492" s="11" t="str">
        <f>HYPERLINK("https://twitter.com/B57238193","@B57238193")</f>
        <v>@B57238193</v>
      </c>
      <c r="C1492" s="6" t="s">
        <v>236</v>
      </c>
      <c r="D1492" s="5" t="s">
        <v>235</v>
      </c>
      <c r="E1492" s="9" t="str">
        <f>HYPERLINK("https://twitter.com/B57238193/status/1044701643101671424","1044701643101671424")</f>
        <v>1044701643101671424</v>
      </c>
      <c r="F1492" s="4"/>
      <c r="G1492" s="4"/>
      <c r="H1492" s="4"/>
      <c r="I1492" s="10" t="str">
        <f>HYPERLINK("http://twitter.com/download/android","Twitter for Android")</f>
        <v>Twitter for Android</v>
      </c>
      <c r="J1492" s="2">
        <v>74</v>
      </c>
      <c r="K1492" s="2">
        <v>201</v>
      </c>
      <c r="L1492" s="2">
        <v>0</v>
      </c>
      <c r="M1492" s="2"/>
      <c r="N1492" s="8">
        <v>43326.662962962961</v>
      </c>
      <c r="O1492" s="4" t="s">
        <v>234</v>
      </c>
      <c r="P1492" s="3" t="s">
        <v>233</v>
      </c>
      <c r="Q1492" s="4"/>
      <c r="R1492" s="4"/>
      <c r="S1492" s="9" t="str">
        <f>HYPERLINK("https://pbs.twimg.com/profile_images/1029331291269996544/k_W-X8qY.jpg","View")</f>
        <v>View</v>
      </c>
    </row>
    <row r="1493" spans="1:19" ht="20">
      <c r="A1493" s="8">
        <v>43369.044606481482</v>
      </c>
      <c r="B1493" s="11" t="str">
        <f>HYPERLINK("https://twitter.com/KhashayarBahram","@KhashayarBahram")</f>
        <v>@KhashayarBahram</v>
      </c>
      <c r="C1493" s="6" t="s">
        <v>131</v>
      </c>
      <c r="D1493" s="5" t="s">
        <v>63</v>
      </c>
      <c r="E1493" s="9" t="str">
        <f>HYPERLINK("https://twitter.com/KhashayarBahram/status/1044701635807784960","1044701635807784960")</f>
        <v>1044701635807784960</v>
      </c>
      <c r="F1493" s="4"/>
      <c r="G1493" s="4"/>
      <c r="H1493" s="4"/>
      <c r="I1493" s="10" t="str">
        <f>HYPERLINK("http://twitter.com/download/iphone","Twitter for iPhone")</f>
        <v>Twitter for iPhone</v>
      </c>
      <c r="J1493" s="2">
        <v>169</v>
      </c>
      <c r="K1493" s="2">
        <v>72</v>
      </c>
      <c r="L1493" s="2">
        <v>0</v>
      </c>
      <c r="M1493" s="2"/>
      <c r="N1493" s="8">
        <v>41097.858703703707</v>
      </c>
      <c r="O1493" s="4" t="s">
        <v>22</v>
      </c>
      <c r="P1493" s="3"/>
      <c r="Q1493" s="4"/>
      <c r="R1493" s="4"/>
      <c r="S1493" s="9" t="str">
        <f>HYPERLINK("https://pbs.twimg.com/profile_images/860036463022534656/mEI0nYFr.jpg","View")</f>
        <v>View</v>
      </c>
    </row>
    <row r="1494" spans="1:19" ht="20">
      <c r="A1494" s="8">
        <v>43369.044525462959</v>
      </c>
      <c r="B1494" s="11" t="str">
        <f>HYPERLINK("https://twitter.com/MaryamLayegh","@MaryamLayegh")</f>
        <v>@MaryamLayegh</v>
      </c>
      <c r="C1494" s="6" t="s">
        <v>232</v>
      </c>
      <c r="D1494" s="5" t="s">
        <v>185</v>
      </c>
      <c r="E1494" s="9" t="str">
        <f>HYPERLINK("https://twitter.com/MaryamLayegh/status/1044701608519618561","1044701608519618561")</f>
        <v>1044701608519618561</v>
      </c>
      <c r="F1494" s="4"/>
      <c r="G1494" s="10" t="s">
        <v>177</v>
      </c>
      <c r="H1494" s="4"/>
      <c r="I1494" s="10" t="str">
        <f>HYPERLINK("http://twitter.com/download/iphone","Twitter for iPhone")</f>
        <v>Twitter for iPhone</v>
      </c>
      <c r="J1494" s="2">
        <v>473</v>
      </c>
      <c r="K1494" s="2">
        <v>900</v>
      </c>
      <c r="L1494" s="2">
        <v>9</v>
      </c>
      <c r="M1494" s="2"/>
      <c r="N1494" s="8">
        <v>42733.982210648144</v>
      </c>
      <c r="O1494" s="4" t="s">
        <v>22</v>
      </c>
      <c r="P1494" s="3" t="s">
        <v>231</v>
      </c>
      <c r="Q1494" s="4"/>
      <c r="R1494" s="4"/>
      <c r="S1494" s="9" t="str">
        <f>HYPERLINK("https://pbs.twimg.com/profile_images/816393373103685632/8-gQ_FOZ.jpg","View")</f>
        <v>View</v>
      </c>
    </row>
    <row r="1495" spans="1:19" ht="30">
      <c r="A1495" s="8">
        <v>43369.044432870374</v>
      </c>
      <c r="B1495" s="11" t="str">
        <f>HYPERLINK("https://twitter.com/namiraa63","@namiraa63")</f>
        <v>@namiraa63</v>
      </c>
      <c r="C1495" s="6" t="s">
        <v>230</v>
      </c>
      <c r="D1495" s="5" t="s">
        <v>229</v>
      </c>
      <c r="E1495" s="9" t="str">
        <f>HYPERLINK("https://twitter.com/namiraa63/status/1044701573572702213","1044701573572702213")</f>
        <v>1044701573572702213</v>
      </c>
      <c r="F1495" s="4"/>
      <c r="G1495" s="4"/>
      <c r="H1495" s="4"/>
      <c r="I1495" s="10" t="str">
        <f>HYPERLINK("http://twitter.com/download/android","Twitter for Android")</f>
        <v>Twitter for Android</v>
      </c>
      <c r="J1495" s="2">
        <v>1128</v>
      </c>
      <c r="K1495" s="2">
        <v>1006</v>
      </c>
      <c r="L1495" s="2">
        <v>1</v>
      </c>
      <c r="M1495" s="2"/>
      <c r="N1495" s="8">
        <v>43300.632476851853</v>
      </c>
      <c r="O1495" s="4"/>
      <c r="P1495" s="3" t="s">
        <v>228</v>
      </c>
      <c r="Q1495" s="4"/>
      <c r="R1495" s="4"/>
      <c r="S1495" s="9" t="str">
        <f>HYPERLINK("https://pbs.twimg.com/profile_images/1044224588195012608/3Ke8Fffi.jpg","View")</f>
        <v>View</v>
      </c>
    </row>
    <row r="1496" spans="1:19" ht="40">
      <c r="A1496" s="8">
        <v>43369.044398148151</v>
      </c>
      <c r="B1496" s="11" t="str">
        <f>HYPERLINK("https://twitter.com/Tabassom_Ak","@Tabassom_Ak")</f>
        <v>@Tabassom_Ak</v>
      </c>
      <c r="C1496" s="6" t="s">
        <v>227</v>
      </c>
      <c r="D1496" s="5" t="s">
        <v>207</v>
      </c>
      <c r="E1496" s="9" t="str">
        <f>HYPERLINK("https://twitter.com/Tabassom_Ak/status/1044701561274986506","1044701561274986506")</f>
        <v>1044701561274986506</v>
      </c>
      <c r="F1496" s="4"/>
      <c r="G1496" s="10" t="s">
        <v>206</v>
      </c>
      <c r="H1496" s="4"/>
      <c r="I1496" s="10" t="str">
        <f>HYPERLINK("http://twitter.com/download/iphone","Twitter for iPhone")</f>
        <v>Twitter for iPhone</v>
      </c>
      <c r="J1496" s="2">
        <v>18</v>
      </c>
      <c r="K1496" s="2">
        <v>27</v>
      </c>
      <c r="L1496" s="2">
        <v>0</v>
      </c>
      <c r="M1496" s="2"/>
      <c r="N1496" s="8">
        <v>43304.025057870371</v>
      </c>
      <c r="O1496" s="4" t="s">
        <v>7</v>
      </c>
      <c r="P1496" s="3" t="s">
        <v>226</v>
      </c>
      <c r="Q1496" s="4"/>
      <c r="R1496" s="4"/>
      <c r="S1496" s="9" t="str">
        <f>HYPERLINK("https://pbs.twimg.com/profile_images/1021126091585609728/ennwWb-y.jpg","View")</f>
        <v>View</v>
      </c>
    </row>
    <row r="1497" spans="1:19" ht="20">
      <c r="A1497" s="8">
        <v>43369.044178240743</v>
      </c>
      <c r="B1497" s="11" t="str">
        <f>HYPERLINK("https://twitter.com/ashvazdanghe","@ashvazdanghe")</f>
        <v>@ashvazdanghe</v>
      </c>
      <c r="C1497" s="6" t="s">
        <v>225</v>
      </c>
      <c r="D1497" s="5" t="s">
        <v>15</v>
      </c>
      <c r="E1497" s="9" t="str">
        <f>HYPERLINK("https://twitter.com/ashvazdanghe/status/1044701479854993408","1044701479854993408")</f>
        <v>1044701479854993408</v>
      </c>
      <c r="F1497" s="4"/>
      <c r="G1497" s="4"/>
      <c r="H1497" s="4"/>
      <c r="I1497" s="10" t="str">
        <f>HYPERLINK("http://twitter.com/download/android","Twitter for Android")</f>
        <v>Twitter for Android</v>
      </c>
      <c r="J1497" s="2">
        <v>570</v>
      </c>
      <c r="K1497" s="2">
        <v>1143</v>
      </c>
      <c r="L1497" s="2">
        <v>1</v>
      </c>
      <c r="M1497" s="2"/>
      <c r="N1497" s="8">
        <v>41547.964259259257</v>
      </c>
      <c r="O1497" s="4" t="s">
        <v>214</v>
      </c>
      <c r="P1497" s="3"/>
      <c r="Q1497" s="10" t="s">
        <v>224</v>
      </c>
      <c r="R1497" s="4"/>
      <c r="S1497" s="9" t="str">
        <f>HYPERLINK("https://pbs.twimg.com/profile_images/1040276749357993985/a3AGlNEh.jpg","View")</f>
        <v>View</v>
      </c>
    </row>
    <row r="1498" spans="1:19" ht="40">
      <c r="A1498" s="8">
        <v>43369.044120370367</v>
      </c>
      <c r="B1498" s="11" t="str">
        <f>HYPERLINK("https://twitter.com/amir_markabii","@amir_markabii")</f>
        <v>@amir_markabii</v>
      </c>
      <c r="C1498" s="6" t="s">
        <v>223</v>
      </c>
      <c r="D1498" s="5" t="s">
        <v>222</v>
      </c>
      <c r="E1498" s="9" t="str">
        <f>HYPERLINK("https://twitter.com/amir_markabii/status/1044701461668614144","1044701461668614144")</f>
        <v>1044701461668614144</v>
      </c>
      <c r="F1498" s="4"/>
      <c r="G1498" s="4"/>
      <c r="H1498" s="4"/>
      <c r="I1498" s="10" t="str">
        <f>HYPERLINK("http://twitter.com/download/android","Twitter for Android")</f>
        <v>Twitter for Android</v>
      </c>
      <c r="J1498" s="2">
        <v>51</v>
      </c>
      <c r="K1498" s="2">
        <v>137</v>
      </c>
      <c r="L1498" s="2">
        <v>0</v>
      </c>
      <c r="M1498" s="2"/>
      <c r="N1498" s="8">
        <v>43096.021956018521</v>
      </c>
      <c r="O1498" s="4" t="s">
        <v>221</v>
      </c>
      <c r="P1498" s="3" t="s">
        <v>220</v>
      </c>
      <c r="Q1498" s="4"/>
      <c r="R1498" s="4"/>
      <c r="S1498" s="9" t="str">
        <f>HYPERLINK("https://pbs.twimg.com/profile_images/986945012763066370/av7uULnV.jpg","View")</f>
        <v>View</v>
      </c>
    </row>
    <row r="1499" spans="1:19" ht="40">
      <c r="A1499" s="8">
        <v>43369.043935185182</v>
      </c>
      <c r="B1499" s="11" t="str">
        <f>HYPERLINK("https://twitter.com/javadsalavat","@javadsalavat")</f>
        <v>@javadsalavat</v>
      </c>
      <c r="C1499" s="6" t="s">
        <v>219</v>
      </c>
      <c r="D1499" s="5" t="s">
        <v>72</v>
      </c>
      <c r="E1499" s="9" t="str">
        <f>HYPERLINK("https://twitter.com/javadsalavat/status/1044701395633541121","1044701395633541121")</f>
        <v>1044701395633541121</v>
      </c>
      <c r="F1499" s="4"/>
      <c r="G1499" s="4"/>
      <c r="H1499" s="4"/>
      <c r="I1499" s="10" t="str">
        <f>HYPERLINK("http://twitter.com/download/android","Twitter for Android")</f>
        <v>Twitter for Android</v>
      </c>
      <c r="J1499" s="2">
        <v>1864</v>
      </c>
      <c r="K1499" s="2">
        <v>2751</v>
      </c>
      <c r="L1499" s="2">
        <v>2</v>
      </c>
      <c r="M1499" s="2"/>
      <c r="N1499" s="8">
        <v>43312.987650462965</v>
      </c>
      <c r="O1499" s="4" t="s">
        <v>32</v>
      </c>
      <c r="P1499" s="3" t="s">
        <v>218</v>
      </c>
      <c r="Q1499" s="4"/>
      <c r="R1499" s="4"/>
      <c r="S1499" s="9" t="str">
        <f>HYPERLINK("https://pbs.twimg.com/profile_images/1024375745978748928/JDOqXzmQ.jpg","View")</f>
        <v>View</v>
      </c>
    </row>
    <row r="1500" spans="1:19" ht="12.5">
      <c r="A1500" s="8"/>
      <c r="B1500" s="6"/>
      <c r="C1500" s="6"/>
      <c r="D1500" s="5"/>
      <c r="E1500" s="2"/>
      <c r="F1500" s="4"/>
      <c r="G1500" s="4"/>
      <c r="H1500" s="4"/>
      <c r="I1500" s="4"/>
      <c r="J1500" s="2"/>
      <c r="K1500" s="2"/>
      <c r="L1500" s="2"/>
      <c r="M1500" s="2"/>
      <c r="N1500" s="8"/>
      <c r="O1500" s="4"/>
      <c r="P1500" s="3"/>
      <c r="Q1500" s="4"/>
      <c r="R1500" s="4"/>
      <c r="S1500" s="2"/>
    </row>
    <row r="1501" spans="1:19" ht="12.5">
      <c r="A1501" s="7"/>
      <c r="B1501" s="6"/>
      <c r="C1501" s="6"/>
      <c r="D1501" s="5"/>
      <c r="E1501" s="2"/>
      <c r="F1501" s="2"/>
      <c r="G1501" s="2"/>
      <c r="H1501" s="2"/>
      <c r="I1501" s="2"/>
      <c r="J1501" s="2"/>
      <c r="K1501" s="2"/>
      <c r="L1501" s="2"/>
      <c r="M1501" s="2"/>
      <c r="N1501" s="2"/>
      <c r="O1501" s="4"/>
      <c r="P1501" s="3"/>
      <c r="Q1501" s="2"/>
      <c r="R1501" s="2"/>
      <c r="S1501" s="2"/>
    </row>
    <row r="1502" spans="1:19" ht="12.5">
      <c r="A1502" s="7"/>
      <c r="B1502" s="6"/>
      <c r="C1502" s="6"/>
      <c r="D1502" s="5"/>
      <c r="E1502" s="2"/>
      <c r="F1502" s="2"/>
      <c r="G1502" s="2"/>
      <c r="H1502" s="2"/>
      <c r="I1502" s="2"/>
      <c r="J1502" s="2"/>
      <c r="K1502" s="2"/>
      <c r="L1502" s="2"/>
      <c r="M1502" s="2"/>
      <c r="N1502" s="2"/>
      <c r="O1502" s="4"/>
      <c r="P1502" s="3"/>
      <c r="Q1502" s="2"/>
      <c r="R1502" s="2"/>
      <c r="S1502" s="2"/>
    </row>
    <row r="1503" spans="1:19" ht="12.5">
      <c r="A1503" s="7"/>
      <c r="B1503" s="6"/>
      <c r="C1503" s="6"/>
      <c r="D1503" s="5"/>
      <c r="E1503" s="2"/>
      <c r="F1503" s="2"/>
      <c r="G1503" s="2"/>
      <c r="H1503" s="2"/>
      <c r="I1503" s="2"/>
      <c r="J1503" s="2"/>
      <c r="K1503" s="2"/>
      <c r="L1503" s="2"/>
      <c r="M1503" s="2"/>
      <c r="N1503" s="2"/>
      <c r="O1503" s="4"/>
      <c r="P1503" s="3"/>
      <c r="Q1503" s="2"/>
      <c r="R1503" s="2"/>
      <c r="S1503" s="2"/>
    </row>
    <row r="1504" spans="1:19" ht="12.5">
      <c r="A1504" s="7"/>
      <c r="B1504" s="6"/>
      <c r="C1504" s="6"/>
      <c r="D1504" s="5"/>
      <c r="E1504" s="2"/>
      <c r="F1504" s="2"/>
      <c r="G1504" s="2"/>
      <c r="H1504" s="2"/>
      <c r="I1504" s="2"/>
      <c r="J1504" s="2"/>
      <c r="K1504" s="2"/>
      <c r="L1504" s="2"/>
      <c r="M1504" s="2"/>
      <c r="N1504" s="2"/>
      <c r="O1504" s="4"/>
      <c r="P1504" s="3"/>
      <c r="Q1504" s="2"/>
      <c r="R1504" s="2"/>
      <c r="S1504" s="2"/>
    </row>
    <row r="1505" spans="1:19" ht="12.5">
      <c r="A1505" s="7"/>
      <c r="B1505" s="6"/>
      <c r="C1505" s="6"/>
      <c r="D1505" s="5"/>
      <c r="E1505" s="2"/>
      <c r="F1505" s="2"/>
      <c r="G1505" s="2"/>
      <c r="H1505" s="2"/>
      <c r="I1505" s="2"/>
      <c r="J1505" s="2"/>
      <c r="K1505" s="2"/>
      <c r="L1505" s="2"/>
      <c r="M1505" s="2"/>
      <c r="N1505" s="2"/>
      <c r="O1505" s="4"/>
      <c r="P1505" s="3"/>
      <c r="Q1505" s="2"/>
      <c r="R1505" s="2"/>
      <c r="S1505" s="2"/>
    </row>
    <row r="1506" spans="1:19" ht="12.5">
      <c r="A1506" s="7"/>
      <c r="B1506" s="6"/>
      <c r="C1506" s="6"/>
      <c r="D1506" s="5"/>
      <c r="E1506" s="2"/>
      <c r="F1506" s="2"/>
      <c r="G1506" s="2"/>
      <c r="H1506" s="2"/>
      <c r="I1506" s="2"/>
      <c r="J1506" s="2"/>
      <c r="K1506" s="2"/>
      <c r="L1506" s="2"/>
      <c r="M1506" s="2"/>
      <c r="N1506" s="2"/>
      <c r="O1506" s="4"/>
      <c r="P1506" s="3"/>
      <c r="Q1506" s="2"/>
      <c r="R1506" s="2"/>
      <c r="S1506" s="2"/>
    </row>
    <row r="1507" spans="1:19" ht="12.5">
      <c r="A1507" s="2"/>
      <c r="B1507" s="6"/>
      <c r="C1507" s="6"/>
      <c r="D1507" s="5"/>
      <c r="E1507" s="2"/>
      <c r="F1507" s="2"/>
      <c r="G1507" s="2"/>
      <c r="H1507" s="2"/>
      <c r="I1507" s="2"/>
      <c r="J1507" s="2"/>
      <c r="K1507" s="2"/>
      <c r="L1507" s="2"/>
      <c r="M1507" s="2"/>
      <c r="N1507" s="2"/>
      <c r="O1507" s="4"/>
      <c r="P1507" s="3"/>
      <c r="Q1507" s="2"/>
      <c r="R1507" s="2"/>
      <c r="S1507" s="2"/>
    </row>
    <row r="1508" spans="1:19" ht="12.5">
      <c r="A1508" s="7"/>
      <c r="B1508" s="6"/>
      <c r="C1508" s="6"/>
      <c r="D1508" s="5"/>
      <c r="E1508" s="2"/>
      <c r="F1508" s="2"/>
      <c r="G1508" s="2"/>
      <c r="H1508" s="2"/>
      <c r="I1508" s="2"/>
      <c r="J1508" s="2"/>
      <c r="K1508" s="2"/>
      <c r="L1508" s="2"/>
      <c r="M1508" s="2"/>
      <c r="N1508" s="2"/>
      <c r="O1508" s="4"/>
      <c r="P1508" s="3"/>
      <c r="Q1508" s="2"/>
      <c r="R1508" s="2"/>
      <c r="S1508" s="2"/>
    </row>
    <row r="1509" spans="1:19" ht="12.5">
      <c r="A1509" s="7"/>
      <c r="B1509" s="6"/>
      <c r="C1509" s="6"/>
      <c r="D1509" s="5"/>
      <c r="E1509" s="2"/>
      <c r="F1509" s="2"/>
      <c r="G1509" s="2"/>
      <c r="H1509" s="2"/>
      <c r="I1509" s="2"/>
      <c r="J1509" s="2"/>
      <c r="K1509" s="2"/>
      <c r="L1509" s="2"/>
      <c r="M1509" s="2"/>
      <c r="N1509" s="2"/>
      <c r="O1509" s="4"/>
      <c r="P1509" s="3"/>
      <c r="Q1509" s="2"/>
      <c r="R1509" s="2"/>
      <c r="S1509" s="2"/>
    </row>
    <row r="1510" spans="1:19" ht="12.5">
      <c r="A1510" s="7"/>
      <c r="B1510" s="6"/>
      <c r="C1510" s="6"/>
      <c r="D1510" s="5"/>
      <c r="E1510" s="2"/>
      <c r="F1510" s="2"/>
      <c r="G1510" s="2"/>
      <c r="H1510" s="2"/>
      <c r="I1510" s="2"/>
      <c r="J1510" s="2"/>
      <c r="K1510" s="2"/>
      <c r="L1510" s="2"/>
      <c r="M1510" s="2"/>
      <c r="N1510" s="2"/>
      <c r="O1510" s="4"/>
      <c r="P1510" s="3"/>
      <c r="Q1510" s="2"/>
      <c r="R1510" s="2"/>
      <c r="S1510" s="2"/>
    </row>
    <row r="1511" spans="1:19" ht="12.5">
      <c r="A1511" s="7"/>
      <c r="B1511" s="6"/>
      <c r="C1511" s="6"/>
      <c r="D1511" s="5"/>
      <c r="E1511" s="2"/>
      <c r="F1511" s="2"/>
      <c r="G1511" s="2"/>
      <c r="H1511" s="2"/>
      <c r="I1511" s="2"/>
      <c r="J1511" s="2"/>
      <c r="K1511" s="2"/>
      <c r="L1511" s="2"/>
      <c r="M1511" s="2"/>
      <c r="N1511" s="2"/>
      <c r="O1511" s="4"/>
      <c r="P1511" s="3"/>
      <c r="Q1511" s="2"/>
      <c r="R1511" s="2"/>
      <c r="S1511" s="2"/>
    </row>
    <row r="1512" spans="1:19" ht="12.5">
      <c r="A1512" s="7"/>
      <c r="B1512" s="6"/>
      <c r="C1512" s="6"/>
      <c r="D1512" s="5"/>
      <c r="E1512" s="2"/>
      <c r="F1512" s="2"/>
      <c r="G1512" s="2"/>
      <c r="H1512" s="2"/>
      <c r="I1512" s="2"/>
      <c r="J1512" s="2"/>
      <c r="K1512" s="2"/>
      <c r="L1512" s="2"/>
      <c r="M1512" s="2"/>
      <c r="N1512" s="2"/>
      <c r="O1512" s="4"/>
      <c r="P1512" s="3"/>
      <c r="Q1512" s="2"/>
      <c r="R1512" s="2"/>
      <c r="S1512" s="2"/>
    </row>
    <row r="1513" spans="1:19" ht="12.5">
      <c r="A1513" s="7"/>
      <c r="B1513" s="6"/>
      <c r="C1513" s="6"/>
      <c r="D1513" s="5"/>
      <c r="E1513" s="2"/>
      <c r="F1513" s="2"/>
      <c r="G1513" s="2"/>
      <c r="H1513" s="2"/>
      <c r="I1513" s="2"/>
      <c r="J1513" s="2"/>
      <c r="K1513" s="2"/>
      <c r="L1513" s="2"/>
      <c r="M1513" s="2"/>
      <c r="N1513" s="2"/>
      <c r="O1513" s="4"/>
      <c r="P1513" s="3"/>
      <c r="Q1513" s="2"/>
      <c r="R1513" s="2"/>
      <c r="S1513" s="2"/>
    </row>
    <row r="1514" spans="1:19" ht="12.5">
      <c r="A1514" s="7"/>
      <c r="B1514" s="6"/>
      <c r="C1514" s="6"/>
      <c r="D1514" s="5"/>
      <c r="E1514" s="2"/>
      <c r="F1514" s="2"/>
      <c r="G1514" s="2"/>
      <c r="H1514" s="2"/>
      <c r="I1514" s="2"/>
      <c r="J1514" s="2"/>
      <c r="K1514" s="2"/>
      <c r="L1514" s="2"/>
      <c r="M1514" s="2"/>
      <c r="N1514" s="2"/>
      <c r="O1514" s="4"/>
      <c r="P1514" s="3"/>
      <c r="Q1514" s="2"/>
      <c r="R1514" s="2"/>
      <c r="S1514" s="2"/>
    </row>
    <row r="1515" spans="1:19" ht="12.5">
      <c r="A1515" s="7"/>
      <c r="B1515" s="6"/>
      <c r="C1515" s="6"/>
      <c r="D1515" s="5"/>
      <c r="E1515" s="2"/>
      <c r="F1515" s="2"/>
      <c r="G1515" s="2"/>
      <c r="H1515" s="2"/>
      <c r="I1515" s="2"/>
      <c r="J1515" s="2"/>
      <c r="K1515" s="2"/>
      <c r="L1515" s="2"/>
      <c r="M1515" s="2"/>
      <c r="N1515" s="2"/>
      <c r="O1515" s="4"/>
      <c r="P1515" s="3"/>
      <c r="Q1515" s="2"/>
      <c r="R1515" s="2"/>
      <c r="S1515" s="2"/>
    </row>
    <row r="1516" spans="1:19" ht="12.5">
      <c r="A1516" s="7"/>
      <c r="B1516" s="6"/>
      <c r="C1516" s="6"/>
      <c r="D1516" s="5"/>
      <c r="E1516" s="2"/>
      <c r="F1516" s="2"/>
      <c r="G1516" s="2"/>
      <c r="H1516" s="2"/>
      <c r="I1516" s="2"/>
      <c r="J1516" s="2"/>
      <c r="K1516" s="2"/>
      <c r="L1516" s="2"/>
      <c r="M1516" s="2"/>
      <c r="N1516" s="2"/>
      <c r="O1516" s="4"/>
      <c r="P1516" s="3"/>
      <c r="Q1516" s="2"/>
      <c r="R1516" s="2"/>
      <c r="S1516" s="2"/>
    </row>
    <row r="1517" spans="1:19" ht="12.5">
      <c r="A1517" s="7"/>
      <c r="B1517" s="6"/>
      <c r="C1517" s="6"/>
      <c r="D1517" s="5"/>
      <c r="E1517" s="2"/>
      <c r="F1517" s="2"/>
      <c r="G1517" s="2"/>
      <c r="H1517" s="2"/>
      <c r="I1517" s="2"/>
      <c r="J1517" s="2"/>
      <c r="K1517" s="2"/>
      <c r="L1517" s="2"/>
      <c r="M1517" s="2"/>
      <c r="N1517" s="2"/>
      <c r="O1517" s="4"/>
      <c r="P1517" s="3"/>
      <c r="Q1517" s="2"/>
      <c r="R1517" s="2"/>
      <c r="S1517" s="2"/>
    </row>
    <row r="1518" spans="1:19" ht="12.5">
      <c r="A1518" s="7"/>
      <c r="B1518" s="6"/>
      <c r="C1518" s="6"/>
      <c r="D1518" s="5"/>
      <c r="E1518" s="2"/>
      <c r="F1518" s="2"/>
      <c r="G1518" s="2"/>
      <c r="H1518" s="2"/>
      <c r="I1518" s="2"/>
      <c r="J1518" s="2"/>
      <c r="K1518" s="2"/>
      <c r="L1518" s="2"/>
      <c r="M1518" s="2"/>
      <c r="N1518" s="2"/>
      <c r="O1518" s="4"/>
      <c r="P1518" s="3"/>
      <c r="Q1518" s="2"/>
      <c r="R1518" s="2"/>
      <c r="S1518" s="2"/>
    </row>
    <row r="1519" spans="1:19" ht="12.5">
      <c r="A1519" s="7"/>
      <c r="B1519" s="6"/>
      <c r="C1519" s="6"/>
      <c r="D1519" s="5"/>
      <c r="E1519" s="2"/>
      <c r="F1519" s="2"/>
      <c r="G1519" s="2"/>
      <c r="H1519" s="2"/>
      <c r="I1519" s="2"/>
      <c r="J1519" s="2"/>
      <c r="K1519" s="2"/>
      <c r="L1519" s="2"/>
      <c r="M1519" s="2"/>
      <c r="N1519" s="2"/>
      <c r="O1519" s="4"/>
      <c r="P1519" s="3"/>
      <c r="Q1519" s="2"/>
      <c r="R1519" s="2"/>
      <c r="S1519" s="2"/>
    </row>
    <row r="1520" spans="1:19" ht="12.5">
      <c r="A1520" s="7"/>
      <c r="B1520" s="6"/>
      <c r="C1520" s="6"/>
      <c r="D1520" s="5"/>
      <c r="E1520" s="2"/>
      <c r="F1520" s="2"/>
      <c r="G1520" s="2"/>
      <c r="H1520" s="2"/>
      <c r="I1520" s="2"/>
      <c r="J1520" s="2"/>
      <c r="K1520" s="2"/>
      <c r="L1520" s="2"/>
      <c r="M1520" s="2"/>
      <c r="N1520" s="2"/>
      <c r="O1520" s="4"/>
      <c r="P1520" s="3"/>
      <c r="Q1520" s="2"/>
      <c r="R1520" s="2"/>
      <c r="S1520" s="2"/>
    </row>
    <row r="1521" spans="1:19" ht="12.5">
      <c r="A1521" s="7"/>
      <c r="B1521" s="6"/>
      <c r="C1521" s="6"/>
      <c r="D1521" s="5"/>
      <c r="E1521" s="2"/>
      <c r="F1521" s="2"/>
      <c r="G1521" s="2"/>
      <c r="H1521" s="2"/>
      <c r="I1521" s="2"/>
      <c r="J1521" s="2"/>
      <c r="K1521" s="2"/>
      <c r="L1521" s="2"/>
      <c r="M1521" s="2"/>
      <c r="N1521" s="2"/>
      <c r="O1521" s="4"/>
      <c r="P1521" s="3"/>
      <c r="Q1521" s="2"/>
      <c r="R1521" s="2"/>
      <c r="S1521" s="2"/>
    </row>
    <row r="1522" spans="1:19" ht="12.5">
      <c r="A1522" s="7"/>
      <c r="B1522" s="6"/>
      <c r="C1522" s="6"/>
      <c r="D1522" s="5"/>
      <c r="E1522" s="2"/>
      <c r="F1522" s="2"/>
      <c r="G1522" s="2"/>
      <c r="H1522" s="2"/>
      <c r="I1522" s="2"/>
      <c r="J1522" s="2"/>
      <c r="K1522" s="2"/>
      <c r="L1522" s="2"/>
      <c r="M1522" s="2"/>
      <c r="N1522" s="2"/>
      <c r="O1522" s="4"/>
      <c r="P1522" s="3"/>
      <c r="Q1522" s="2"/>
      <c r="R1522" s="2"/>
      <c r="S1522" s="2"/>
    </row>
  </sheetData>
  <hyperlinks>
    <hyperlink ref="G3" r:id="rId1"/>
    <hyperlink ref="G9" r:id="rId2"/>
    <hyperlink ref="G12" r:id="rId3"/>
    <hyperlink ref="G13" r:id="rId4"/>
    <hyperlink ref="G14" r:id="rId5"/>
    <hyperlink ref="G16" r:id="rId6"/>
    <hyperlink ref="G17" r:id="rId7"/>
    <hyperlink ref="G18" r:id="rId8"/>
    <hyperlink ref="G20" r:id="rId9"/>
    <hyperlink ref="Q20" r:id="rId10"/>
    <hyperlink ref="G22" r:id="rId11"/>
    <hyperlink ref="G23" r:id="rId12"/>
    <hyperlink ref="G29" r:id="rId13"/>
    <hyperlink ref="G34" r:id="rId14"/>
    <hyperlink ref="G35" r:id="rId15"/>
    <hyperlink ref="G36" r:id="rId16"/>
    <hyperlink ref="G37" r:id="rId17"/>
    <hyperlink ref="G38" r:id="rId18"/>
    <hyperlink ref="G39" r:id="rId19"/>
    <hyperlink ref="G40" r:id="rId20"/>
    <hyperlink ref="G46" r:id="rId21"/>
    <hyperlink ref="G49" r:id="rId22"/>
    <hyperlink ref="G50" r:id="rId23"/>
    <hyperlink ref="G53" r:id="rId24"/>
    <hyperlink ref="G55" r:id="rId25"/>
    <hyperlink ref="G57" r:id="rId26"/>
    <hyperlink ref="G61" r:id="rId27"/>
    <hyperlink ref="G62" r:id="rId28"/>
    <hyperlink ref="G63" r:id="rId29"/>
    <hyperlink ref="G64" r:id="rId30"/>
    <hyperlink ref="Q66" r:id="rId31"/>
    <hyperlink ref="G68" r:id="rId32"/>
    <hyperlink ref="G69" r:id="rId33"/>
    <hyperlink ref="Q75" r:id="rId34"/>
    <hyperlink ref="G77" r:id="rId35"/>
    <hyperlink ref="G79" r:id="rId36"/>
    <hyperlink ref="G80" r:id="rId37"/>
    <hyperlink ref="Q84" r:id="rId38"/>
    <hyperlink ref="G87" r:id="rId39"/>
    <hyperlink ref="G88" r:id="rId40"/>
    <hyperlink ref="G89" r:id="rId41"/>
    <hyperlink ref="G90" r:id="rId42"/>
    <hyperlink ref="G91" r:id="rId43"/>
    <hyperlink ref="Q91" r:id="rId44"/>
    <hyperlink ref="G95" r:id="rId45"/>
    <hyperlink ref="G96" r:id="rId46"/>
    <hyperlink ref="G98" r:id="rId47"/>
    <hyperlink ref="G99" r:id="rId48"/>
    <hyperlink ref="Q99" r:id="rId49"/>
    <hyperlink ref="Q101" r:id="rId50"/>
    <hyperlink ref="G102" r:id="rId51"/>
    <hyperlink ref="G104" r:id="rId52"/>
    <hyperlink ref="G106" r:id="rId53"/>
    <hyperlink ref="G108" r:id="rId54"/>
    <hyperlink ref="G109" r:id="rId55"/>
    <hyperlink ref="G111" r:id="rId56"/>
    <hyperlink ref="G113" r:id="rId57"/>
    <hyperlink ref="G114" r:id="rId58"/>
    <hyperlink ref="G116" r:id="rId59"/>
    <hyperlink ref="Q116" r:id="rId60"/>
    <hyperlink ref="G117" r:id="rId61"/>
    <hyperlink ref="G118" r:id="rId62"/>
    <hyperlink ref="Q118" r:id="rId63" location="Free.Palestine"/>
    <hyperlink ref="G123" r:id="rId64"/>
    <hyperlink ref="G124" r:id="rId65"/>
    <hyperlink ref="G125" r:id="rId66"/>
    <hyperlink ref="G126" r:id="rId67"/>
    <hyperlink ref="G130" r:id="rId68"/>
    <hyperlink ref="F131" r:id="rId69"/>
    <hyperlink ref="G131" r:id="rId70"/>
    <hyperlink ref="Q131" r:id="rId71"/>
    <hyperlink ref="G132" r:id="rId72"/>
    <hyperlink ref="G133" r:id="rId73"/>
    <hyperlink ref="G134" r:id="rId74"/>
    <hyperlink ref="G138" r:id="rId75"/>
    <hyperlink ref="G140" r:id="rId76"/>
    <hyperlink ref="G144" r:id="rId77"/>
    <hyperlink ref="Q145" r:id="rId78"/>
    <hyperlink ref="G148" r:id="rId79"/>
    <hyperlink ref="G153" r:id="rId80"/>
    <hyperlink ref="Q153" r:id="rId81"/>
    <hyperlink ref="G158" r:id="rId82"/>
    <hyperlink ref="G159" r:id="rId83"/>
    <hyperlink ref="G160" r:id="rId84"/>
    <hyperlink ref="G161" r:id="rId85"/>
    <hyperlink ref="G162" r:id="rId86"/>
    <hyperlink ref="Q166" r:id="rId87"/>
    <hyperlink ref="G169" r:id="rId88"/>
    <hyperlink ref="G170" r:id="rId89"/>
    <hyperlink ref="G172" r:id="rId90"/>
    <hyperlink ref="G174" r:id="rId91"/>
    <hyperlink ref="G183" r:id="rId92"/>
    <hyperlink ref="G184" r:id="rId93"/>
    <hyperlink ref="G188" r:id="rId94"/>
    <hyperlink ref="G189" r:id="rId95"/>
    <hyperlink ref="G190" r:id="rId96"/>
    <hyperlink ref="G193" r:id="rId97"/>
    <hyperlink ref="F194" r:id="rId98"/>
    <hyperlink ref="G195" r:id="rId99"/>
    <hyperlink ref="Q198" r:id="rId100"/>
    <hyperlink ref="G199" r:id="rId101"/>
    <hyperlink ref="G200" r:id="rId102"/>
    <hyperlink ref="G202" r:id="rId103"/>
    <hyperlink ref="G204" r:id="rId104"/>
    <hyperlink ref="G205" r:id="rId105"/>
    <hyperlink ref="Q205" r:id="rId106"/>
    <hyperlink ref="G207" r:id="rId107"/>
    <hyperlink ref="G210" r:id="rId108"/>
    <hyperlink ref="G211" r:id="rId109"/>
    <hyperlink ref="G213" r:id="rId110"/>
    <hyperlink ref="G217" r:id="rId111"/>
    <hyperlink ref="G218" r:id="rId112"/>
    <hyperlink ref="G225" r:id="rId113"/>
    <hyperlink ref="G228" r:id="rId114"/>
    <hyperlink ref="Q231" r:id="rId115"/>
    <hyperlink ref="G232" r:id="rId116"/>
    <hyperlink ref="G236" r:id="rId117"/>
    <hyperlink ref="Q236" r:id="rId118"/>
    <hyperlink ref="G240" r:id="rId119"/>
    <hyperlink ref="G250" r:id="rId120"/>
    <hyperlink ref="G252" r:id="rId121"/>
    <hyperlink ref="G254" r:id="rId122"/>
    <hyperlink ref="F255" r:id="rId123"/>
    <hyperlink ref="G255" r:id="rId124"/>
    <hyperlink ref="G259" r:id="rId125"/>
    <hyperlink ref="G260" r:id="rId126"/>
    <hyperlink ref="G262" r:id="rId127"/>
    <hyperlink ref="Q262" r:id="rId128"/>
    <hyperlink ref="G264" r:id="rId129"/>
    <hyperlink ref="G266" r:id="rId130"/>
    <hyperlink ref="G268" r:id="rId131"/>
    <hyperlink ref="G269" r:id="rId132"/>
    <hyperlink ref="Q269" r:id="rId133"/>
    <hyperlink ref="G271" r:id="rId134"/>
    <hyperlink ref="G273" r:id="rId135"/>
    <hyperlink ref="G274" r:id="rId136"/>
    <hyperlink ref="G276" r:id="rId137"/>
    <hyperlink ref="G277" r:id="rId138"/>
    <hyperlink ref="F279" r:id="rId139"/>
    <hyperlink ref="G279" r:id="rId140"/>
    <hyperlink ref="G280" r:id="rId141"/>
    <hyperlink ref="G281" r:id="rId142"/>
    <hyperlink ref="F283" r:id="rId143"/>
    <hyperlink ref="G284" r:id="rId144"/>
    <hyperlink ref="G285" r:id="rId145"/>
    <hyperlink ref="G287" r:id="rId146"/>
    <hyperlink ref="F289" r:id="rId147"/>
    <hyperlink ref="G289" r:id="rId148"/>
    <hyperlink ref="F290" r:id="rId149"/>
    <hyperlink ref="Q290" r:id="rId150"/>
    <hyperlink ref="F292" r:id="rId151"/>
    <hyperlink ref="G292" r:id="rId152"/>
    <hyperlink ref="Q292" r:id="rId153"/>
    <hyperlink ref="G293" r:id="rId154"/>
    <hyperlink ref="G294" r:id="rId155"/>
    <hyperlink ref="G295" r:id="rId156"/>
    <hyperlink ref="G297" r:id="rId157"/>
    <hyperlink ref="G299" r:id="rId158"/>
    <hyperlink ref="Q299" r:id="rId159"/>
    <hyperlink ref="G300" r:id="rId160"/>
    <hyperlink ref="G302" r:id="rId161"/>
    <hyperlink ref="G304" r:id="rId162"/>
    <hyperlink ref="Q304" r:id="rId163"/>
    <hyperlink ref="G305" r:id="rId164"/>
    <hyperlink ref="Q305" r:id="rId165"/>
    <hyperlink ref="G307" r:id="rId166"/>
    <hyperlink ref="G308" r:id="rId167"/>
    <hyperlink ref="G309" r:id="rId168"/>
    <hyperlink ref="G310" r:id="rId169"/>
    <hyperlink ref="G312" r:id="rId170"/>
    <hyperlink ref="G313" r:id="rId171"/>
    <hyperlink ref="Q313" r:id="rId172"/>
    <hyperlink ref="G314" r:id="rId173"/>
    <hyperlink ref="G315" r:id="rId174"/>
    <hyperlink ref="G317" r:id="rId175"/>
    <hyperlink ref="G319" r:id="rId176"/>
    <hyperlink ref="G320" r:id="rId177"/>
    <hyperlink ref="G321" r:id="rId178"/>
    <hyperlink ref="G323" r:id="rId179"/>
    <hyperlink ref="G324" r:id="rId180"/>
    <hyperlink ref="G326" r:id="rId181"/>
    <hyperlink ref="G328" r:id="rId182"/>
    <hyperlink ref="G332" r:id="rId183"/>
    <hyperlink ref="G333" r:id="rId184"/>
    <hyperlink ref="G335" r:id="rId185"/>
    <hyperlink ref="G337" r:id="rId186"/>
    <hyperlink ref="G338" r:id="rId187"/>
    <hyperlink ref="G339" r:id="rId188"/>
    <hyperlink ref="G340" r:id="rId189"/>
    <hyperlink ref="Q340" r:id="rId190"/>
    <hyperlink ref="G341" r:id="rId191"/>
    <hyperlink ref="G342" r:id="rId192"/>
    <hyperlink ref="G343" r:id="rId193"/>
    <hyperlink ref="G344" r:id="rId194"/>
    <hyperlink ref="Q344" r:id="rId195"/>
    <hyperlink ref="G345" r:id="rId196"/>
    <hyperlink ref="G347" r:id="rId197"/>
    <hyperlink ref="G348" r:id="rId198"/>
    <hyperlink ref="G349" r:id="rId199"/>
    <hyperlink ref="G350" r:id="rId200"/>
    <hyperlink ref="G351" r:id="rId201"/>
    <hyperlink ref="G352" r:id="rId202"/>
    <hyperlink ref="G353" r:id="rId203"/>
    <hyperlink ref="G354" r:id="rId204"/>
    <hyperlink ref="G355" r:id="rId205"/>
    <hyperlink ref="G356" r:id="rId206"/>
    <hyperlink ref="G357" r:id="rId207"/>
    <hyperlink ref="G358" r:id="rId208"/>
    <hyperlink ref="G359" r:id="rId209"/>
    <hyperlink ref="Q359" r:id="rId210"/>
    <hyperlink ref="G360" r:id="rId211"/>
    <hyperlink ref="G361" r:id="rId212"/>
    <hyperlink ref="F362" r:id="rId213"/>
    <hyperlink ref="Q363" r:id="rId214"/>
    <hyperlink ref="G364" r:id="rId215"/>
    <hyperlink ref="G365" r:id="rId216"/>
    <hyperlink ref="G366" r:id="rId217"/>
    <hyperlink ref="G368" r:id="rId218"/>
    <hyperlink ref="G369" r:id="rId219"/>
    <hyperlink ref="G370" r:id="rId220"/>
    <hyperlink ref="G372" r:id="rId221"/>
    <hyperlink ref="G373" r:id="rId222"/>
    <hyperlink ref="G374" r:id="rId223"/>
    <hyperlink ref="Q375" r:id="rId224"/>
    <hyperlink ref="G376" r:id="rId225"/>
    <hyperlink ref="G379" r:id="rId226"/>
    <hyperlink ref="Q379" r:id="rId227"/>
    <hyperlink ref="G382" r:id="rId228"/>
    <hyperlink ref="G383" r:id="rId229"/>
    <hyperlink ref="G384" r:id="rId230"/>
    <hyperlink ref="Q385" r:id="rId231"/>
    <hyperlink ref="G386" r:id="rId232"/>
    <hyperlink ref="G387" r:id="rId233"/>
    <hyperlink ref="G388" r:id="rId234"/>
    <hyperlink ref="G389" r:id="rId235"/>
    <hyperlink ref="G390" r:id="rId236"/>
    <hyperlink ref="G391" r:id="rId237"/>
    <hyperlink ref="G393" r:id="rId238"/>
    <hyperlink ref="G394" r:id="rId239"/>
    <hyperlink ref="G396" r:id="rId240"/>
    <hyperlink ref="G398" r:id="rId241"/>
    <hyperlink ref="G400" r:id="rId242"/>
    <hyperlink ref="G401" r:id="rId243"/>
    <hyperlink ref="Q402" r:id="rId244"/>
    <hyperlink ref="G404" r:id="rId245"/>
    <hyperlink ref="G407" r:id="rId246"/>
    <hyperlink ref="G408" r:id="rId247"/>
    <hyperlink ref="G413" r:id="rId248"/>
    <hyperlink ref="G414" r:id="rId249"/>
    <hyperlink ref="G415" r:id="rId250"/>
    <hyperlink ref="G419" r:id="rId251"/>
    <hyperlink ref="Q419" r:id="rId252"/>
    <hyperlink ref="Q423" r:id="rId253"/>
    <hyperlink ref="G424" r:id="rId254"/>
    <hyperlink ref="G426" r:id="rId255"/>
    <hyperlink ref="G427" r:id="rId256"/>
    <hyperlink ref="C428" r:id="rId257"/>
    <hyperlink ref="G428" r:id="rId258"/>
    <hyperlink ref="Q431" r:id="rId259"/>
    <hyperlink ref="Q432" r:id="rId260"/>
    <hyperlink ref="G435" r:id="rId261"/>
    <hyperlink ref="F436" r:id="rId262"/>
    <hyperlink ref="G439" r:id="rId263"/>
    <hyperlink ref="Q440" r:id="rId264"/>
    <hyperlink ref="Q441" r:id="rId265"/>
    <hyperlink ref="Q443" r:id="rId266"/>
    <hyperlink ref="Q444" r:id="rId267"/>
    <hyperlink ref="Q445" r:id="rId268"/>
    <hyperlink ref="G452" r:id="rId269"/>
    <hyperlink ref="Q452" r:id="rId270"/>
    <hyperlink ref="Q454" r:id="rId271"/>
    <hyperlink ref="F468" r:id="rId272"/>
    <hyperlink ref="F470" r:id="rId273"/>
    <hyperlink ref="Q470" r:id="rId274"/>
    <hyperlink ref="G473" r:id="rId275"/>
    <hyperlink ref="Q473" r:id="rId276"/>
    <hyperlink ref="G475" r:id="rId277"/>
    <hyperlink ref="F477" r:id="rId278"/>
    <hyperlink ref="G477" r:id="rId279"/>
    <hyperlink ref="Q477" r:id="rId280"/>
    <hyperlink ref="Q480" r:id="rId281"/>
    <hyperlink ref="G481" r:id="rId282"/>
    <hyperlink ref="Q481" r:id="rId283"/>
    <hyperlink ref="G493" r:id="rId284"/>
    <hyperlink ref="G495" r:id="rId285"/>
    <hyperlink ref="G497" r:id="rId286"/>
    <hyperlink ref="G500" r:id="rId287"/>
    <hyperlink ref="F501" r:id="rId288"/>
    <hyperlink ref="G501" r:id="rId289"/>
    <hyperlink ref="G511" r:id="rId290"/>
    <hyperlink ref="G514" r:id="rId291"/>
    <hyperlink ref="F521" r:id="rId292"/>
    <hyperlink ref="F522" r:id="rId293"/>
    <hyperlink ref="G522" r:id="rId294"/>
    <hyperlink ref="G530" r:id="rId295"/>
    <hyperlink ref="G531" r:id="rId296"/>
    <hyperlink ref="C535" r:id="rId297"/>
    <hyperlink ref="Q539" r:id="rId298"/>
    <hyperlink ref="G547" r:id="rId299"/>
    <hyperlink ref="Q547" r:id="rId300"/>
    <hyperlink ref="F548" r:id="rId301"/>
    <hyperlink ref="G548" r:id="rId302"/>
    <hyperlink ref="G551" r:id="rId303"/>
    <hyperlink ref="Q551" r:id="rId304"/>
    <hyperlink ref="G552" r:id="rId305"/>
    <hyperlink ref="Q556" r:id="rId306"/>
    <hyperlink ref="G557" r:id="rId307"/>
    <hyperlink ref="Q560" r:id="rId308"/>
    <hyperlink ref="Q561" r:id="rId309"/>
    <hyperlink ref="Q562" r:id="rId310"/>
    <hyperlink ref="G567" r:id="rId311"/>
    <hyperlink ref="G570" r:id="rId312"/>
    <hyperlink ref="Q570" r:id="rId313"/>
    <hyperlink ref="Q572" r:id="rId314"/>
    <hyperlink ref="G577" r:id="rId315"/>
    <hyperlink ref="G578" r:id="rId316"/>
    <hyperlink ref="Q582" r:id="rId317"/>
    <hyperlink ref="Q584" r:id="rId318"/>
    <hyperlink ref="Q586" r:id="rId319"/>
    <hyperlink ref="Q588" r:id="rId320"/>
    <hyperlink ref="G590" r:id="rId321"/>
    <hyperlink ref="Q590" r:id="rId322"/>
    <hyperlink ref="F593" r:id="rId323"/>
    <hyperlink ref="G593" r:id="rId324"/>
    <hyperlink ref="G594" r:id="rId325"/>
    <hyperlink ref="G595" r:id="rId326"/>
    <hyperlink ref="G596" r:id="rId327"/>
    <hyperlink ref="Q603" r:id="rId328"/>
    <hyperlink ref="G607" r:id="rId329"/>
    <hyperlink ref="G608" r:id="rId330"/>
    <hyperlink ref="Q610" r:id="rId331"/>
    <hyperlink ref="Q613" r:id="rId332"/>
    <hyperlink ref="G614" r:id="rId333"/>
    <hyperlink ref="G620" r:id="rId334"/>
    <hyperlink ref="Q620" r:id="rId335"/>
    <hyperlink ref="G624" r:id="rId336"/>
    <hyperlink ref="G625" r:id="rId337"/>
    <hyperlink ref="G626" r:id="rId338"/>
    <hyperlink ref="G629" r:id="rId339"/>
    <hyperlink ref="G630" r:id="rId340"/>
    <hyperlink ref="G632" r:id="rId341"/>
    <hyperlink ref="Q633" r:id="rId342"/>
    <hyperlink ref="Q635" r:id="rId343"/>
    <hyperlink ref="G637" r:id="rId344"/>
    <hyperlink ref="Q640" r:id="rId345"/>
    <hyperlink ref="G642" r:id="rId346"/>
    <hyperlink ref="G643" r:id="rId347"/>
    <hyperlink ref="F644" r:id="rId348"/>
    <hyperlink ref="Q644" r:id="rId349"/>
    <hyperlink ref="G645" r:id="rId350"/>
    <hyperlink ref="G646" r:id="rId351"/>
    <hyperlink ref="Q649" r:id="rId352"/>
    <hyperlink ref="F652" r:id="rId353"/>
    <hyperlink ref="Q652" r:id="rId354"/>
    <hyperlink ref="Q653" r:id="rId355"/>
    <hyperlink ref="G658" r:id="rId356"/>
    <hyperlink ref="G660" r:id="rId357"/>
    <hyperlink ref="G665" r:id="rId358"/>
    <hyperlink ref="G670" r:id="rId359"/>
    <hyperlink ref="G671" r:id="rId360"/>
    <hyperlink ref="G672" r:id="rId361"/>
    <hyperlink ref="Q672" r:id="rId362"/>
    <hyperlink ref="G673" r:id="rId363"/>
    <hyperlink ref="G676" r:id="rId364"/>
    <hyperlink ref="Q676" r:id="rId365"/>
    <hyperlink ref="G679" r:id="rId366"/>
    <hyperlink ref="F682" r:id="rId367"/>
    <hyperlink ref="G682" r:id="rId368"/>
    <hyperlink ref="Q684" r:id="rId369"/>
    <hyperlink ref="G687" r:id="rId370"/>
    <hyperlink ref="G688" r:id="rId371"/>
    <hyperlink ref="Q688" r:id="rId372"/>
    <hyperlink ref="G696" r:id="rId373"/>
    <hyperlink ref="G698" r:id="rId374"/>
    <hyperlink ref="G701" r:id="rId375"/>
    <hyperlink ref="Q702" r:id="rId376"/>
    <hyperlink ref="G703" r:id="rId377"/>
    <hyperlink ref="Q703" r:id="rId378"/>
    <hyperlink ref="G706" r:id="rId379"/>
    <hyperlink ref="G707" r:id="rId380"/>
    <hyperlink ref="G708" r:id="rId381"/>
    <hyperlink ref="Q709" r:id="rId382"/>
    <hyperlink ref="G714" r:id="rId383"/>
    <hyperlink ref="G715" r:id="rId384"/>
    <hyperlink ref="G717" r:id="rId385"/>
    <hyperlink ref="G720" r:id="rId386"/>
    <hyperlink ref="Q723" r:id="rId387"/>
    <hyperlink ref="G724" r:id="rId388"/>
    <hyperlink ref="G730" r:id="rId389"/>
    <hyperlink ref="Q732" r:id="rId390"/>
    <hyperlink ref="G734" r:id="rId391"/>
    <hyperlink ref="G738" r:id="rId392"/>
    <hyperlink ref="G741" r:id="rId393"/>
    <hyperlink ref="Q742" r:id="rId394"/>
    <hyperlink ref="G745" r:id="rId395"/>
    <hyperlink ref="G746" r:id="rId396"/>
    <hyperlink ref="G747" r:id="rId397"/>
    <hyperlink ref="Q747" r:id="rId398"/>
    <hyperlink ref="G748" r:id="rId399"/>
    <hyperlink ref="G750" r:id="rId400"/>
    <hyperlink ref="G751" r:id="rId401"/>
    <hyperlink ref="Q752" r:id="rId402"/>
    <hyperlink ref="G754" r:id="rId403"/>
    <hyperlink ref="Q755" r:id="rId404"/>
    <hyperlink ref="G758" r:id="rId405"/>
    <hyperlink ref="Q760" r:id="rId406"/>
    <hyperlink ref="Q762" r:id="rId407"/>
    <hyperlink ref="Q763" r:id="rId408"/>
    <hyperlink ref="G764" r:id="rId409"/>
    <hyperlink ref="G765" r:id="rId410"/>
    <hyperlink ref="G769" r:id="rId411"/>
    <hyperlink ref="G770" r:id="rId412"/>
    <hyperlink ref="F775" r:id="rId413"/>
    <hyperlink ref="G775" r:id="rId414"/>
    <hyperlink ref="F777" r:id="rId415"/>
    <hyperlink ref="G777" r:id="rId416"/>
    <hyperlink ref="G778" r:id="rId417"/>
    <hyperlink ref="G794" r:id="rId418"/>
    <hyperlink ref="Q794" r:id="rId419"/>
    <hyperlink ref="G795" r:id="rId420"/>
    <hyperlink ref="F796" r:id="rId421"/>
    <hyperlink ref="Q796" r:id="rId422"/>
    <hyperlink ref="G797" r:id="rId423"/>
    <hyperlink ref="G798" r:id="rId424"/>
    <hyperlink ref="G799" r:id="rId425"/>
    <hyperlink ref="Q799" r:id="rId426"/>
    <hyperlink ref="G801" r:id="rId427"/>
    <hyperlink ref="G804" r:id="rId428"/>
    <hyperlink ref="G807" r:id="rId429"/>
    <hyperlink ref="Q807" r:id="rId430"/>
    <hyperlink ref="Q809" r:id="rId431"/>
    <hyperlink ref="G810" r:id="rId432"/>
    <hyperlink ref="G814" r:id="rId433"/>
    <hyperlink ref="G815" r:id="rId434"/>
    <hyperlink ref="G819" r:id="rId435"/>
    <hyperlink ref="Q821" r:id="rId436"/>
    <hyperlink ref="G825" r:id="rId437"/>
    <hyperlink ref="Q825" r:id="rId438"/>
    <hyperlink ref="G826" r:id="rId439"/>
    <hyperlink ref="G827" r:id="rId440"/>
    <hyperlink ref="Q828" r:id="rId441"/>
    <hyperlink ref="G832" r:id="rId442"/>
    <hyperlink ref="G838" r:id="rId443"/>
    <hyperlink ref="G839" r:id="rId444"/>
    <hyperlink ref="G840" r:id="rId445"/>
    <hyperlink ref="Q840" r:id="rId446"/>
    <hyperlink ref="G842" r:id="rId447"/>
    <hyperlink ref="Q842" r:id="rId448"/>
    <hyperlink ref="Q854" r:id="rId449"/>
    <hyperlink ref="G860" r:id="rId450"/>
    <hyperlink ref="G864" r:id="rId451"/>
    <hyperlink ref="Q868" r:id="rId452"/>
    <hyperlink ref="G874" r:id="rId453"/>
    <hyperlink ref="Q874" r:id="rId454"/>
    <hyperlink ref="Q875" r:id="rId455"/>
    <hyperlink ref="G880" r:id="rId456"/>
    <hyperlink ref="Q880" r:id="rId457"/>
    <hyperlink ref="G883" r:id="rId458"/>
    <hyperlink ref="G885" r:id="rId459"/>
    <hyperlink ref="G891" r:id="rId460"/>
    <hyperlink ref="G900" r:id="rId461"/>
    <hyperlink ref="G902" r:id="rId462"/>
    <hyperlink ref="Q902" r:id="rId463"/>
    <hyperlink ref="Q904" r:id="rId464"/>
    <hyperlink ref="G905" r:id="rId465"/>
    <hyperlink ref="G910" r:id="rId466"/>
    <hyperlink ref="G911" r:id="rId467"/>
    <hyperlink ref="F915" r:id="rId468"/>
    <hyperlink ref="G915" r:id="rId469"/>
    <hyperlink ref="G917" r:id="rId470"/>
    <hyperlink ref="Q918" r:id="rId471"/>
    <hyperlink ref="G920" r:id="rId472"/>
    <hyperlink ref="G925" r:id="rId473"/>
    <hyperlink ref="G927" r:id="rId474"/>
    <hyperlink ref="G929" r:id="rId475"/>
    <hyperlink ref="G930" r:id="rId476"/>
    <hyperlink ref="G934" r:id="rId477"/>
    <hyperlink ref="F935" r:id="rId478"/>
    <hyperlink ref="G935" r:id="rId479"/>
    <hyperlink ref="Q935" r:id="rId480"/>
    <hyperlink ref="Q936" r:id="rId481"/>
    <hyperlink ref="G938" r:id="rId482"/>
    <hyperlink ref="Q938" r:id="rId483"/>
    <hyperlink ref="G943" r:id="rId484"/>
    <hyperlink ref="Q943" r:id="rId485"/>
    <hyperlink ref="Q949" r:id="rId486"/>
    <hyperlink ref="Q950" r:id="rId487"/>
    <hyperlink ref="Q957" r:id="rId488"/>
    <hyperlink ref="Q961" r:id="rId489"/>
    <hyperlink ref="G968" r:id="rId490"/>
    <hyperlink ref="F969" r:id="rId491"/>
    <hyperlink ref="G970" r:id="rId492"/>
    <hyperlink ref="Q970" r:id="rId493"/>
    <hyperlink ref="F971" r:id="rId494"/>
    <hyperlink ref="G972" r:id="rId495"/>
    <hyperlink ref="G973" r:id="rId496"/>
    <hyperlink ref="Q974" r:id="rId497"/>
    <hyperlink ref="Q976" r:id="rId498"/>
    <hyperlink ref="F978" r:id="rId499"/>
    <hyperlink ref="G978" r:id="rId500"/>
    <hyperlink ref="G981" r:id="rId501"/>
    <hyperlink ref="G983" r:id="rId502"/>
    <hyperlink ref="F987" r:id="rId503"/>
    <hyperlink ref="Q989" r:id="rId504"/>
    <hyperlink ref="G992" r:id="rId505"/>
    <hyperlink ref="Q993" r:id="rId506"/>
    <hyperlink ref="Q994" r:id="rId507"/>
    <hyperlink ref="G996" r:id="rId508"/>
    <hyperlink ref="Q996" r:id="rId509"/>
    <hyperlink ref="G1010" r:id="rId510"/>
    <hyperlink ref="G1013" r:id="rId511"/>
    <hyperlink ref="G1019" r:id="rId512"/>
    <hyperlink ref="Q1025" r:id="rId513"/>
    <hyperlink ref="Q1026" r:id="rId514"/>
    <hyperlink ref="Q1029" r:id="rId515"/>
    <hyperlink ref="G1030" r:id="rId516"/>
    <hyperlink ref="G1036" r:id="rId517"/>
    <hyperlink ref="G1039" r:id="rId518"/>
    <hyperlink ref="C1040" r:id="rId519"/>
    <hyperlink ref="Q1046" r:id="rId520"/>
    <hyperlink ref="Q1051" r:id="rId521"/>
    <hyperlink ref="G1054" r:id="rId522"/>
    <hyperlink ref="G1056" r:id="rId523"/>
    <hyperlink ref="F1057" r:id="rId524"/>
    <hyperlink ref="Q1059" r:id="rId525"/>
    <hyperlink ref="G1064" r:id="rId526"/>
    <hyperlink ref="G1070" r:id="rId527"/>
    <hyperlink ref="Q1070" r:id="rId528"/>
    <hyperlink ref="Q1071" r:id="rId529"/>
    <hyperlink ref="Q1082" r:id="rId530"/>
    <hyperlink ref="G1085" r:id="rId531"/>
    <hyperlink ref="Q1091" r:id="rId532"/>
    <hyperlink ref="Q1092" r:id="rId533"/>
    <hyperlink ref="G1093" r:id="rId534"/>
    <hyperlink ref="G1097" r:id="rId535"/>
    <hyperlink ref="G1103" r:id="rId536"/>
    <hyperlink ref="G1105" r:id="rId537"/>
    <hyperlink ref="Q1106" r:id="rId538"/>
    <hyperlink ref="Q1109" r:id="rId539"/>
    <hyperlink ref="Q1110" r:id="rId540"/>
    <hyperlink ref="Q1116" r:id="rId541"/>
    <hyperlink ref="Q1120" r:id="rId542"/>
    <hyperlink ref="Q1122" r:id="rId543"/>
    <hyperlink ref="G1125" r:id="rId544"/>
    <hyperlink ref="G1128" r:id="rId545"/>
    <hyperlink ref="F1129" r:id="rId546"/>
    <hyperlink ref="G1129" r:id="rId547"/>
    <hyperlink ref="Q1131" r:id="rId548"/>
    <hyperlink ref="Q1143" r:id="rId549"/>
    <hyperlink ref="G1149" r:id="rId550"/>
    <hyperlink ref="F1152" r:id="rId551"/>
    <hyperlink ref="G1152" r:id="rId552"/>
    <hyperlink ref="Q1152" r:id="rId553"/>
    <hyperlink ref="G1155" r:id="rId554"/>
    <hyperlink ref="G1157" r:id="rId555"/>
    <hyperlink ref="G1161" r:id="rId556"/>
    <hyperlink ref="G1163" r:id="rId557"/>
    <hyperlink ref="G1164" r:id="rId558"/>
    <hyperlink ref="G1166" r:id="rId559"/>
    <hyperlink ref="G1167" r:id="rId560"/>
    <hyperlink ref="G1169" r:id="rId561"/>
    <hyperlink ref="G1170" r:id="rId562"/>
    <hyperlink ref="G1174" r:id="rId563"/>
    <hyperlink ref="Q1174" r:id="rId564"/>
    <hyperlink ref="Q1175" r:id="rId565"/>
    <hyperlink ref="G1177" r:id="rId566"/>
    <hyperlink ref="G1181" r:id="rId567"/>
    <hyperlink ref="F1182" r:id="rId568"/>
    <hyperlink ref="G1182" r:id="rId569"/>
    <hyperlink ref="F1183" r:id="rId570"/>
    <hyperlink ref="G1183" r:id="rId571"/>
    <hyperlink ref="G1184" r:id="rId572"/>
    <hyperlink ref="F1185" r:id="rId573"/>
    <hyperlink ref="G1185" r:id="rId574"/>
    <hyperlink ref="G1186" r:id="rId575"/>
    <hyperlink ref="Q1186" r:id="rId576"/>
    <hyperlink ref="G1189" r:id="rId577"/>
    <hyperlink ref="G1190" r:id="rId578"/>
    <hyperlink ref="G1191" r:id="rId579"/>
    <hyperlink ref="Q1191" r:id="rId580"/>
    <hyperlink ref="G1193" r:id="rId581"/>
    <hyperlink ref="G1195" r:id="rId582"/>
    <hyperlink ref="F1196" r:id="rId583"/>
    <hyperlink ref="G1197" r:id="rId584"/>
    <hyperlink ref="G1199" r:id="rId585"/>
    <hyperlink ref="G1200" r:id="rId586"/>
    <hyperlink ref="Q1201" r:id="rId587"/>
    <hyperlink ref="G1202" r:id="rId588"/>
    <hyperlink ref="Q1202" r:id="rId589"/>
    <hyperlink ref="Q1204" r:id="rId590"/>
    <hyperlink ref="G1206" r:id="rId591"/>
    <hyperlink ref="Q1206" r:id="rId592"/>
    <hyperlink ref="G1207" r:id="rId593"/>
    <hyperlink ref="Q1213" r:id="rId594"/>
    <hyperlink ref="Q1218" r:id="rId595"/>
    <hyperlink ref="G1219" r:id="rId596"/>
    <hyperlink ref="Q1219" r:id="rId597"/>
    <hyperlink ref="F1220" r:id="rId598"/>
    <hyperlink ref="G1220" r:id="rId599"/>
    <hyperlink ref="G1224" r:id="rId600"/>
    <hyperlink ref="G1226" r:id="rId601"/>
    <hyperlink ref="Q1226" r:id="rId602"/>
    <hyperlink ref="G1231" r:id="rId603"/>
    <hyperlink ref="G1232" r:id="rId604"/>
    <hyperlink ref="G1233" r:id="rId605"/>
    <hyperlink ref="G1234" r:id="rId606"/>
    <hyperlink ref="G1235" r:id="rId607"/>
    <hyperlink ref="G1236" r:id="rId608"/>
    <hyperlink ref="Q1236" r:id="rId609"/>
    <hyperlink ref="G1237" r:id="rId610"/>
    <hyperlink ref="G1239" r:id="rId611"/>
    <hyperlink ref="G1240" r:id="rId612"/>
    <hyperlink ref="G1241" r:id="rId613"/>
    <hyperlink ref="G1242" r:id="rId614"/>
    <hyperlink ref="G1243" r:id="rId615"/>
    <hyperlink ref="G1245" r:id="rId616"/>
    <hyperlink ref="F1246" r:id="rId617"/>
    <hyperlink ref="Q1252" r:id="rId618"/>
    <hyperlink ref="G1253" r:id="rId619"/>
    <hyperlink ref="G1254" r:id="rId620"/>
    <hyperlink ref="G1255" r:id="rId621"/>
    <hyperlink ref="G1256" r:id="rId622"/>
    <hyperlink ref="G1257" r:id="rId623"/>
    <hyperlink ref="G1258" r:id="rId624"/>
    <hyperlink ref="G1262" r:id="rId625"/>
    <hyperlink ref="G1263" r:id="rId626"/>
    <hyperlink ref="G1266" r:id="rId627"/>
    <hyperlink ref="Q1266" r:id="rId628"/>
    <hyperlink ref="Q1268" r:id="rId629"/>
    <hyperlink ref="G1271" r:id="rId630"/>
    <hyperlink ref="F1272" r:id="rId631"/>
    <hyperlink ref="Q1274" r:id="rId632"/>
    <hyperlink ref="Q1276" r:id="rId633"/>
    <hyperlink ref="G1278" r:id="rId634"/>
    <hyperlink ref="G1281" r:id="rId635"/>
    <hyperlink ref="G1283" r:id="rId636"/>
    <hyperlink ref="G1284" r:id="rId637"/>
    <hyperlink ref="G1285" r:id="rId638"/>
    <hyperlink ref="G1286" r:id="rId639"/>
    <hyperlink ref="Q1288" r:id="rId640"/>
    <hyperlink ref="G1291" r:id="rId641"/>
    <hyperlink ref="F1293" r:id="rId642"/>
    <hyperlink ref="G1294" r:id="rId643"/>
    <hyperlink ref="G1296" r:id="rId644"/>
    <hyperlink ref="G1297" r:id="rId645"/>
    <hyperlink ref="G1299" r:id="rId646"/>
    <hyperlink ref="G1300" r:id="rId647"/>
    <hyperlink ref="G1306" r:id="rId648"/>
    <hyperlink ref="G1308" r:id="rId649"/>
    <hyperlink ref="G1309" r:id="rId650"/>
    <hyperlink ref="F1311" r:id="rId651"/>
    <hyperlink ref="G1312" r:id="rId652"/>
    <hyperlink ref="G1314" r:id="rId653"/>
    <hyperlink ref="G1317" r:id="rId654"/>
    <hyperlink ref="G1318" r:id="rId655"/>
    <hyperlink ref="G1319" r:id="rId656"/>
    <hyperlink ref="G1320" r:id="rId657"/>
    <hyperlink ref="G1321" r:id="rId658"/>
    <hyperlink ref="G1323" r:id="rId659"/>
    <hyperlink ref="G1328" r:id="rId660"/>
    <hyperlink ref="F1329" r:id="rId661"/>
    <hyperlink ref="G1329" r:id="rId662"/>
    <hyperlink ref="Q1329" r:id="rId663"/>
    <hyperlink ref="G1330" r:id="rId664"/>
    <hyperlink ref="Q1330" r:id="rId665"/>
    <hyperlink ref="F1331" r:id="rId666"/>
    <hyperlink ref="Q1332" r:id="rId667"/>
    <hyperlink ref="G1337" r:id="rId668"/>
    <hyperlink ref="Q1338" r:id="rId669"/>
    <hyperlink ref="G1339" r:id="rId670"/>
    <hyperlink ref="G1340" r:id="rId671"/>
    <hyperlink ref="G1341" r:id="rId672"/>
    <hyperlink ref="G1342" r:id="rId673"/>
    <hyperlink ref="Q1344" r:id="rId674"/>
    <hyperlink ref="F1345" r:id="rId675"/>
    <hyperlink ref="G1345" r:id="rId676"/>
    <hyperlink ref="Q1348" r:id="rId677"/>
    <hyperlink ref="G1351" r:id="rId678"/>
    <hyperlink ref="G1352" r:id="rId679"/>
    <hyperlink ref="F1353" r:id="rId680"/>
    <hyperlink ref="F1358" r:id="rId681"/>
    <hyperlink ref="G1358" r:id="rId682"/>
    <hyperlink ref="G1359" r:id="rId683"/>
    <hyperlink ref="G1361" r:id="rId684"/>
    <hyperlink ref="G1363" r:id="rId685"/>
    <hyperlink ref="Q1364" r:id="rId686"/>
    <hyperlink ref="G1365" r:id="rId687"/>
    <hyperlink ref="G1370" r:id="rId688"/>
    <hyperlink ref="Q1373" r:id="rId689"/>
    <hyperlink ref="G1375" r:id="rId690"/>
    <hyperlink ref="G1378" r:id="rId691"/>
    <hyperlink ref="G1379" r:id="rId692"/>
    <hyperlink ref="Q1381" r:id="rId693"/>
    <hyperlink ref="G1383" r:id="rId694"/>
    <hyperlink ref="G1384" r:id="rId695"/>
    <hyperlink ref="G1386" r:id="rId696"/>
    <hyperlink ref="G1393" r:id="rId697"/>
    <hyperlink ref="G1395" r:id="rId698"/>
    <hyperlink ref="F1398" r:id="rId699"/>
    <hyperlink ref="G1398" r:id="rId700"/>
    <hyperlink ref="G1407" r:id="rId701"/>
    <hyperlink ref="G1409" r:id="rId702"/>
    <hyperlink ref="G1410" r:id="rId703"/>
    <hyperlink ref="Q1410" r:id="rId704"/>
    <hyperlink ref="G1412" r:id="rId705"/>
    <hyperlink ref="G1416" r:id="rId706"/>
    <hyperlink ref="G1417" r:id="rId707"/>
    <hyperlink ref="F1418" r:id="rId708"/>
    <hyperlink ref="G1418" r:id="rId709"/>
    <hyperlink ref="F1419" r:id="rId710"/>
    <hyperlink ref="G1421" r:id="rId711"/>
    <hyperlink ref="G1423" r:id="rId712"/>
    <hyperlink ref="G1425" r:id="rId713"/>
    <hyperlink ref="G1426" r:id="rId714"/>
    <hyperlink ref="Q1427" r:id="rId715"/>
    <hyperlink ref="G1428" r:id="rId716"/>
    <hyperlink ref="G1431" r:id="rId717"/>
    <hyperlink ref="G1432" r:id="rId718"/>
    <hyperlink ref="G1434" r:id="rId719"/>
    <hyperlink ref="G1435" r:id="rId720"/>
    <hyperlink ref="Q1435" r:id="rId721"/>
    <hyperlink ref="F1439" r:id="rId722"/>
    <hyperlink ref="G1442" r:id="rId723"/>
    <hyperlink ref="F1443" r:id="rId724"/>
    <hyperlink ref="F1452" r:id="rId725"/>
    <hyperlink ref="F1453" r:id="rId726"/>
    <hyperlink ref="G1459" r:id="rId727"/>
    <hyperlink ref="F1460" r:id="rId728"/>
    <hyperlink ref="Q1460" r:id="rId729"/>
    <hyperlink ref="G1462" r:id="rId730"/>
    <hyperlink ref="Q1462" r:id="rId731"/>
    <hyperlink ref="G1463" r:id="rId732"/>
    <hyperlink ref="Q1463" r:id="rId733"/>
    <hyperlink ref="G1465" r:id="rId734"/>
    <hyperlink ref="F1467" r:id="rId735"/>
    <hyperlink ref="Q1469" r:id="rId736"/>
    <hyperlink ref="G1473" r:id="rId737"/>
    <hyperlink ref="Q1474" r:id="rId738"/>
    <hyperlink ref="Q1477" r:id="rId739"/>
    <hyperlink ref="G1480" r:id="rId740"/>
    <hyperlink ref="G1482" r:id="rId741"/>
    <hyperlink ref="G1486" r:id="rId742"/>
    <hyperlink ref="F1487" r:id="rId743"/>
    <hyperlink ref="G1489" r:id="rId744"/>
    <hyperlink ref="Q1489" r:id="rId745"/>
    <hyperlink ref="F1491" r:id="rId746"/>
    <hyperlink ref="Q1491" r:id="rId747"/>
    <hyperlink ref="G1494" r:id="rId748"/>
    <hyperlink ref="G1496" r:id="rId749"/>
    <hyperlink ref="Q1497" r:id="rId7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سخنرانی رئیس‌جمهور-سازمان ملل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Moein</dc:creator>
  <cp:lastModifiedBy>Moein</cp:lastModifiedBy>
  <dcterms:created xsi:type="dcterms:W3CDTF">2018-09-29T20:13:55Z</dcterms:created>
  <dcterms:modified xsi:type="dcterms:W3CDTF">2018-09-29T20:17:01Z</dcterms:modified>
</cp:coreProperties>
</file>