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oein\Desktop\"/>
    </mc:Choice>
  </mc:AlternateContent>
  <bookViews>
    <workbookView xWindow="0" yWindow="0" windowWidth="19200" windowHeight="7190"/>
  </bookViews>
  <sheets>
    <sheet name="دربی"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 l="1"/>
  <c r="E2" i="1"/>
  <c r="I2" i="1"/>
  <c r="S2" i="1"/>
  <c r="B3" i="1"/>
  <c r="E3" i="1"/>
  <c r="I3" i="1"/>
  <c r="S3" i="1"/>
  <c r="B4" i="1"/>
  <c r="E4" i="1"/>
  <c r="I4" i="1"/>
  <c r="S4" i="1"/>
  <c r="B5" i="1"/>
  <c r="E5" i="1"/>
  <c r="I5" i="1"/>
  <c r="S5" i="1"/>
  <c r="B6" i="1"/>
  <c r="E6" i="1"/>
  <c r="I6" i="1"/>
  <c r="S6" i="1"/>
  <c r="B7" i="1"/>
  <c r="E7" i="1"/>
  <c r="I7" i="1"/>
  <c r="S7" i="1"/>
  <c r="B8" i="1"/>
  <c r="E8" i="1"/>
  <c r="I8" i="1"/>
  <c r="S8" i="1"/>
  <c r="B9" i="1"/>
  <c r="E9" i="1"/>
  <c r="I9" i="1"/>
  <c r="S9" i="1"/>
  <c r="B10" i="1"/>
  <c r="E10" i="1"/>
  <c r="I10" i="1"/>
  <c r="S10" i="1"/>
  <c r="B11" i="1"/>
  <c r="E11" i="1"/>
  <c r="I11" i="1"/>
  <c r="S11" i="1"/>
  <c r="B12" i="1"/>
  <c r="E12" i="1"/>
  <c r="I12" i="1"/>
  <c r="S12" i="1"/>
  <c r="B13" i="1"/>
  <c r="E13" i="1"/>
  <c r="I13" i="1"/>
  <c r="S13" i="1"/>
  <c r="B14" i="1"/>
  <c r="E14" i="1"/>
  <c r="I14" i="1"/>
  <c r="S14" i="1"/>
  <c r="B15" i="1"/>
  <c r="E15" i="1"/>
  <c r="I15" i="1"/>
  <c r="S15" i="1"/>
  <c r="B16" i="1"/>
  <c r="E16" i="1"/>
  <c r="I16" i="1"/>
  <c r="S16" i="1"/>
  <c r="B17" i="1"/>
  <c r="E17" i="1"/>
  <c r="I17" i="1"/>
  <c r="S17" i="1"/>
  <c r="B18" i="1"/>
  <c r="E18" i="1"/>
  <c r="I18" i="1"/>
  <c r="S18" i="1"/>
  <c r="B19" i="1"/>
  <c r="E19" i="1"/>
  <c r="I19" i="1"/>
  <c r="S19" i="1"/>
  <c r="B20" i="1"/>
  <c r="E20" i="1"/>
  <c r="I20" i="1"/>
  <c r="S20" i="1"/>
  <c r="B21" i="1"/>
  <c r="E21" i="1"/>
  <c r="I21" i="1"/>
  <c r="S21" i="1"/>
  <c r="B22" i="1"/>
  <c r="E22" i="1"/>
  <c r="I22" i="1"/>
  <c r="S22" i="1"/>
  <c r="B23" i="1"/>
  <c r="E23" i="1"/>
  <c r="I23" i="1"/>
  <c r="S23" i="1"/>
  <c r="B24" i="1"/>
  <c r="E24" i="1"/>
  <c r="I24" i="1"/>
  <c r="S24" i="1"/>
  <c r="B25" i="1"/>
  <c r="E25" i="1"/>
  <c r="I25" i="1"/>
  <c r="S25" i="1"/>
  <c r="B26" i="1"/>
  <c r="E26" i="1"/>
  <c r="I26" i="1"/>
  <c r="S26" i="1"/>
  <c r="B27" i="1"/>
  <c r="E27" i="1"/>
  <c r="I27" i="1"/>
  <c r="S27" i="1"/>
  <c r="B28" i="1"/>
  <c r="E28" i="1"/>
  <c r="I28" i="1"/>
  <c r="S28" i="1"/>
  <c r="B29" i="1"/>
  <c r="E29" i="1"/>
  <c r="I29" i="1"/>
  <c r="S29" i="1"/>
  <c r="B30" i="1"/>
  <c r="E30" i="1"/>
  <c r="I30" i="1"/>
  <c r="S30" i="1"/>
  <c r="B31" i="1"/>
  <c r="E31" i="1"/>
  <c r="I31" i="1"/>
  <c r="S31" i="1"/>
  <c r="B32" i="1"/>
  <c r="E32" i="1"/>
  <c r="I32" i="1"/>
  <c r="S32" i="1"/>
  <c r="B33" i="1"/>
  <c r="E33" i="1"/>
  <c r="I33" i="1"/>
  <c r="S33" i="1"/>
  <c r="B34" i="1"/>
  <c r="E34" i="1"/>
  <c r="I34" i="1"/>
  <c r="S34" i="1"/>
  <c r="B35" i="1"/>
  <c r="E35" i="1"/>
  <c r="I35" i="1"/>
  <c r="S35" i="1"/>
  <c r="B36" i="1"/>
  <c r="E36" i="1"/>
  <c r="I36" i="1"/>
  <c r="S36" i="1"/>
  <c r="B37" i="1"/>
  <c r="E37" i="1"/>
  <c r="I37" i="1"/>
  <c r="S37" i="1"/>
  <c r="B38" i="1"/>
  <c r="E38" i="1"/>
  <c r="I38" i="1"/>
  <c r="S38" i="1"/>
  <c r="B39" i="1"/>
  <c r="E39" i="1"/>
  <c r="I39" i="1"/>
  <c r="S39" i="1"/>
  <c r="B40" i="1"/>
  <c r="E40" i="1"/>
  <c r="I40" i="1"/>
  <c r="S40" i="1"/>
  <c r="B41" i="1"/>
  <c r="E41" i="1"/>
  <c r="I41" i="1"/>
  <c r="B42" i="1"/>
  <c r="E42" i="1"/>
  <c r="I42" i="1"/>
  <c r="S42" i="1"/>
  <c r="B43" i="1"/>
  <c r="E43" i="1"/>
  <c r="I43" i="1"/>
  <c r="S43" i="1"/>
  <c r="B44" i="1"/>
  <c r="E44" i="1"/>
  <c r="I44" i="1"/>
  <c r="S44" i="1"/>
  <c r="B45" i="1"/>
  <c r="E45" i="1"/>
  <c r="I45" i="1"/>
  <c r="S45" i="1"/>
  <c r="B46" i="1"/>
  <c r="E46" i="1"/>
  <c r="I46" i="1"/>
  <c r="S46" i="1"/>
  <c r="B47" i="1"/>
  <c r="E47" i="1"/>
  <c r="I47" i="1"/>
  <c r="S47" i="1"/>
  <c r="B48" i="1"/>
  <c r="E48" i="1"/>
  <c r="I48" i="1"/>
  <c r="S48" i="1"/>
  <c r="B49" i="1"/>
  <c r="E49" i="1"/>
  <c r="I49" i="1"/>
  <c r="S49" i="1"/>
  <c r="B50" i="1"/>
  <c r="E50" i="1"/>
  <c r="I50" i="1"/>
  <c r="S50" i="1"/>
  <c r="B51" i="1"/>
  <c r="E51" i="1"/>
  <c r="I51" i="1"/>
  <c r="S51" i="1"/>
  <c r="B52" i="1"/>
  <c r="E52" i="1"/>
  <c r="I52" i="1"/>
  <c r="S52" i="1"/>
  <c r="B53" i="1"/>
  <c r="E53" i="1"/>
  <c r="I53" i="1"/>
  <c r="S53" i="1"/>
  <c r="B54" i="1"/>
  <c r="E54" i="1"/>
  <c r="I54" i="1"/>
  <c r="S54" i="1"/>
  <c r="B55" i="1"/>
  <c r="E55" i="1"/>
  <c r="I55" i="1"/>
  <c r="S55" i="1"/>
  <c r="B56" i="1"/>
  <c r="E56" i="1"/>
  <c r="I56" i="1"/>
  <c r="S56" i="1"/>
  <c r="B57" i="1"/>
  <c r="E57" i="1"/>
  <c r="I57" i="1"/>
  <c r="S57" i="1"/>
  <c r="B58" i="1"/>
  <c r="E58" i="1"/>
  <c r="I58" i="1"/>
  <c r="S58" i="1"/>
  <c r="B59" i="1"/>
  <c r="E59" i="1"/>
  <c r="I59" i="1"/>
  <c r="S59" i="1"/>
  <c r="B60" i="1"/>
  <c r="E60" i="1"/>
  <c r="I60" i="1"/>
  <c r="S60" i="1"/>
  <c r="B61" i="1"/>
  <c r="E61" i="1"/>
  <c r="I61" i="1"/>
  <c r="S61" i="1"/>
  <c r="B62" i="1"/>
  <c r="E62" i="1"/>
  <c r="I62" i="1"/>
  <c r="S62" i="1"/>
  <c r="B63" i="1"/>
  <c r="E63" i="1"/>
  <c r="I63" i="1"/>
  <c r="S63" i="1"/>
  <c r="B64" i="1"/>
  <c r="E64" i="1"/>
  <c r="I64" i="1"/>
  <c r="S64" i="1"/>
  <c r="B65" i="1"/>
  <c r="E65" i="1"/>
  <c r="I65" i="1"/>
  <c r="S65" i="1"/>
  <c r="B66" i="1"/>
  <c r="E66" i="1"/>
  <c r="I66" i="1"/>
  <c r="S66" i="1"/>
  <c r="B67" i="1"/>
  <c r="E67" i="1"/>
  <c r="I67" i="1"/>
  <c r="S67" i="1"/>
  <c r="B68" i="1"/>
  <c r="E68" i="1"/>
  <c r="I68" i="1"/>
  <c r="S68" i="1"/>
  <c r="B69" i="1"/>
  <c r="E69" i="1"/>
  <c r="I69" i="1"/>
  <c r="S69" i="1"/>
  <c r="B70" i="1"/>
  <c r="E70" i="1"/>
  <c r="I70" i="1"/>
  <c r="S70" i="1"/>
  <c r="B71" i="1"/>
  <c r="E71" i="1"/>
  <c r="I71" i="1"/>
  <c r="S71" i="1"/>
  <c r="B72" i="1"/>
  <c r="E72" i="1"/>
  <c r="I72" i="1"/>
  <c r="S72" i="1"/>
  <c r="B73" i="1"/>
  <c r="E73" i="1"/>
  <c r="I73" i="1"/>
  <c r="S73" i="1"/>
  <c r="B74" i="1"/>
  <c r="E74" i="1"/>
  <c r="I74" i="1"/>
  <c r="S74" i="1"/>
  <c r="B75" i="1"/>
  <c r="E75" i="1"/>
  <c r="I75" i="1"/>
  <c r="S75" i="1"/>
  <c r="B76" i="1"/>
  <c r="E76" i="1"/>
  <c r="I76" i="1"/>
  <c r="S76" i="1"/>
  <c r="B77" i="1"/>
  <c r="E77" i="1"/>
  <c r="I77" i="1"/>
  <c r="S77" i="1"/>
  <c r="B78" i="1"/>
  <c r="E78" i="1"/>
  <c r="I78" i="1"/>
  <c r="S78" i="1"/>
  <c r="B79" i="1"/>
  <c r="E79" i="1"/>
  <c r="I79" i="1"/>
  <c r="S79" i="1"/>
  <c r="B80" i="1"/>
  <c r="E80" i="1"/>
  <c r="I80" i="1"/>
  <c r="S80" i="1"/>
  <c r="B81" i="1"/>
  <c r="E81" i="1"/>
  <c r="I81" i="1"/>
  <c r="S81" i="1"/>
  <c r="B82" i="1"/>
  <c r="E82" i="1"/>
  <c r="I82" i="1"/>
  <c r="S82" i="1"/>
  <c r="B83" i="1"/>
  <c r="E83" i="1"/>
  <c r="I83" i="1"/>
  <c r="S83" i="1"/>
  <c r="B84" i="1"/>
  <c r="E84" i="1"/>
  <c r="I84" i="1"/>
  <c r="S84" i="1"/>
  <c r="B85" i="1"/>
  <c r="E85" i="1"/>
  <c r="I85" i="1"/>
  <c r="S85" i="1"/>
  <c r="B86" i="1"/>
  <c r="E86" i="1"/>
  <c r="I86" i="1"/>
  <c r="S86" i="1"/>
  <c r="B87" i="1"/>
  <c r="E87" i="1"/>
  <c r="I87" i="1"/>
  <c r="S87" i="1"/>
  <c r="B88" i="1"/>
  <c r="E88" i="1"/>
  <c r="I88" i="1"/>
  <c r="S88" i="1"/>
  <c r="B89" i="1"/>
  <c r="E89" i="1"/>
  <c r="I89" i="1"/>
  <c r="S89" i="1"/>
  <c r="B90" i="1"/>
  <c r="E90" i="1"/>
  <c r="I90" i="1"/>
  <c r="S90" i="1"/>
  <c r="B91" i="1"/>
  <c r="E91" i="1"/>
  <c r="I91" i="1"/>
  <c r="S91" i="1"/>
  <c r="B92" i="1"/>
  <c r="E92" i="1"/>
  <c r="H92" i="1"/>
  <c r="I92" i="1"/>
  <c r="S92" i="1"/>
  <c r="B93" i="1"/>
  <c r="E93" i="1"/>
  <c r="I93" i="1"/>
  <c r="S93" i="1"/>
  <c r="B94" i="1"/>
  <c r="E94" i="1"/>
  <c r="I94" i="1"/>
  <c r="S94" i="1"/>
  <c r="B95" i="1"/>
  <c r="E95" i="1"/>
  <c r="I95" i="1"/>
  <c r="S95" i="1"/>
  <c r="B96" i="1"/>
  <c r="E96" i="1"/>
  <c r="I96" i="1"/>
  <c r="S96" i="1"/>
  <c r="B97" i="1"/>
  <c r="E97" i="1"/>
  <c r="I97" i="1"/>
  <c r="S97" i="1"/>
  <c r="B98" i="1"/>
  <c r="E98" i="1"/>
  <c r="I98" i="1"/>
  <c r="S98" i="1"/>
  <c r="B99" i="1"/>
  <c r="E99" i="1"/>
  <c r="I99" i="1"/>
  <c r="S99" i="1"/>
  <c r="B100" i="1"/>
  <c r="E100" i="1"/>
  <c r="I100" i="1"/>
  <c r="S100" i="1"/>
  <c r="B101" i="1"/>
  <c r="E101" i="1"/>
  <c r="I101" i="1"/>
  <c r="S101" i="1"/>
  <c r="B102" i="1"/>
  <c r="E102" i="1"/>
  <c r="I102" i="1"/>
  <c r="S102" i="1"/>
  <c r="B103" i="1"/>
  <c r="E103" i="1"/>
  <c r="I103" i="1"/>
  <c r="B104" i="1"/>
  <c r="E104" i="1"/>
  <c r="I104" i="1"/>
  <c r="S104" i="1"/>
  <c r="B105" i="1"/>
  <c r="E105" i="1"/>
  <c r="I105" i="1"/>
  <c r="S105" i="1"/>
  <c r="B106" i="1"/>
  <c r="E106" i="1"/>
  <c r="I106" i="1"/>
  <c r="S106" i="1"/>
  <c r="B107" i="1"/>
  <c r="E107" i="1"/>
  <c r="I107" i="1"/>
  <c r="S107" i="1"/>
  <c r="B108" i="1"/>
  <c r="E108" i="1"/>
  <c r="I108" i="1"/>
  <c r="S108" i="1"/>
  <c r="B109" i="1"/>
  <c r="E109" i="1"/>
  <c r="I109" i="1"/>
  <c r="S109" i="1"/>
  <c r="B110" i="1"/>
  <c r="E110" i="1"/>
  <c r="I110" i="1"/>
  <c r="S110" i="1"/>
  <c r="B111" i="1"/>
  <c r="E111" i="1"/>
  <c r="I111" i="1"/>
  <c r="S111" i="1"/>
  <c r="B112" i="1"/>
  <c r="E112" i="1"/>
  <c r="I112" i="1"/>
  <c r="S112" i="1"/>
  <c r="B113" i="1"/>
  <c r="E113" i="1"/>
  <c r="I113" i="1"/>
  <c r="S113" i="1"/>
  <c r="B114" i="1"/>
  <c r="E114" i="1"/>
  <c r="I114" i="1"/>
  <c r="S114" i="1"/>
  <c r="B115" i="1"/>
  <c r="E115" i="1"/>
  <c r="I115" i="1"/>
  <c r="S115" i="1"/>
  <c r="B116" i="1"/>
  <c r="E116" i="1"/>
  <c r="I116" i="1"/>
  <c r="S116" i="1"/>
  <c r="B117" i="1"/>
  <c r="E117" i="1"/>
  <c r="I117" i="1"/>
  <c r="S117" i="1"/>
  <c r="B118" i="1"/>
  <c r="E118" i="1"/>
  <c r="I118" i="1"/>
  <c r="S118" i="1"/>
  <c r="B119" i="1"/>
  <c r="E119" i="1"/>
  <c r="I119" i="1"/>
  <c r="S119" i="1"/>
  <c r="B120" i="1"/>
  <c r="E120" i="1"/>
  <c r="I120" i="1"/>
  <c r="S120" i="1"/>
  <c r="B121" i="1"/>
  <c r="E121" i="1"/>
  <c r="I121" i="1"/>
  <c r="S121" i="1"/>
  <c r="B122" i="1"/>
  <c r="E122" i="1"/>
  <c r="I122" i="1"/>
  <c r="S122" i="1"/>
  <c r="B123" i="1"/>
  <c r="E123" i="1"/>
  <c r="I123" i="1"/>
  <c r="S123" i="1"/>
  <c r="B124" i="1"/>
  <c r="E124" i="1"/>
  <c r="I124" i="1"/>
  <c r="S124" i="1"/>
  <c r="B125" i="1"/>
  <c r="E125" i="1"/>
  <c r="I125" i="1"/>
  <c r="S125" i="1"/>
  <c r="B126" i="1"/>
  <c r="E126" i="1"/>
  <c r="I126" i="1"/>
  <c r="S126" i="1"/>
  <c r="B127" i="1"/>
  <c r="E127" i="1"/>
  <c r="I127" i="1"/>
  <c r="S127" i="1"/>
  <c r="B128" i="1"/>
  <c r="E128" i="1"/>
  <c r="I128" i="1"/>
  <c r="S128" i="1"/>
  <c r="B129" i="1"/>
  <c r="E129" i="1"/>
  <c r="I129" i="1"/>
  <c r="S129" i="1"/>
  <c r="B130" i="1"/>
  <c r="E130" i="1"/>
  <c r="I130" i="1"/>
  <c r="S130" i="1"/>
  <c r="B131" i="1"/>
  <c r="E131" i="1"/>
  <c r="I131" i="1"/>
  <c r="S131" i="1"/>
  <c r="B132" i="1"/>
  <c r="E132" i="1"/>
  <c r="I132" i="1"/>
  <c r="S132" i="1"/>
  <c r="B133" i="1"/>
  <c r="E133" i="1"/>
  <c r="I133" i="1"/>
  <c r="S133" i="1"/>
  <c r="B134" i="1"/>
  <c r="E134" i="1"/>
  <c r="I134" i="1"/>
  <c r="S134" i="1"/>
  <c r="B135" i="1"/>
  <c r="E135" i="1"/>
  <c r="I135" i="1"/>
  <c r="S135" i="1"/>
  <c r="B136" i="1"/>
  <c r="E136" i="1"/>
  <c r="I136" i="1"/>
  <c r="S136" i="1"/>
  <c r="B137" i="1"/>
  <c r="E137" i="1"/>
  <c r="I137" i="1"/>
  <c r="S137" i="1"/>
  <c r="B138" i="1"/>
  <c r="E138" i="1"/>
  <c r="I138" i="1"/>
  <c r="S138" i="1"/>
  <c r="B139" i="1"/>
  <c r="E139" i="1"/>
  <c r="I139" i="1"/>
  <c r="S139" i="1"/>
  <c r="B140" i="1"/>
  <c r="E140" i="1"/>
  <c r="I140" i="1"/>
  <c r="S140" i="1"/>
  <c r="B141" i="1"/>
  <c r="E141" i="1"/>
  <c r="I141" i="1"/>
  <c r="S141" i="1"/>
  <c r="B142" i="1"/>
  <c r="E142" i="1"/>
  <c r="I142" i="1"/>
  <c r="S142" i="1"/>
  <c r="B143" i="1"/>
  <c r="E143" i="1"/>
  <c r="I143" i="1"/>
  <c r="S143" i="1"/>
  <c r="B144" i="1"/>
  <c r="E144" i="1"/>
  <c r="I144" i="1"/>
  <c r="S144" i="1"/>
  <c r="B145" i="1"/>
  <c r="E145" i="1"/>
  <c r="I145" i="1"/>
  <c r="S145" i="1"/>
  <c r="B146" i="1"/>
  <c r="E146" i="1"/>
  <c r="I146" i="1"/>
  <c r="S146" i="1"/>
  <c r="B147" i="1"/>
  <c r="E147" i="1"/>
  <c r="I147" i="1"/>
  <c r="S147" i="1"/>
  <c r="B148" i="1"/>
  <c r="E148" i="1"/>
  <c r="I148" i="1"/>
  <c r="S148" i="1"/>
  <c r="B149" i="1"/>
  <c r="E149" i="1"/>
  <c r="I149" i="1"/>
  <c r="S149" i="1"/>
  <c r="B150" i="1"/>
  <c r="E150" i="1"/>
  <c r="I150" i="1"/>
  <c r="S150" i="1"/>
  <c r="B151" i="1"/>
  <c r="E151" i="1"/>
  <c r="I151" i="1"/>
  <c r="S151" i="1"/>
  <c r="B152" i="1"/>
  <c r="E152" i="1"/>
  <c r="I152" i="1"/>
  <c r="S152" i="1"/>
  <c r="B153" i="1"/>
  <c r="E153" i="1"/>
  <c r="I153" i="1"/>
  <c r="S153" i="1"/>
  <c r="B154" i="1"/>
  <c r="E154" i="1"/>
  <c r="I154" i="1"/>
  <c r="S154" i="1"/>
  <c r="B155" i="1"/>
  <c r="E155" i="1"/>
  <c r="I155" i="1"/>
  <c r="S155" i="1"/>
  <c r="B156" i="1"/>
  <c r="E156" i="1"/>
  <c r="I156" i="1"/>
  <c r="S156" i="1"/>
  <c r="B157" i="1"/>
  <c r="E157" i="1"/>
  <c r="I157" i="1"/>
  <c r="S157" i="1"/>
  <c r="B158" i="1"/>
  <c r="E158" i="1"/>
  <c r="I158" i="1"/>
  <c r="S158" i="1"/>
  <c r="B159" i="1"/>
  <c r="E159" i="1"/>
  <c r="I159" i="1"/>
  <c r="S159" i="1"/>
  <c r="B160" i="1"/>
  <c r="E160" i="1"/>
  <c r="I160" i="1"/>
  <c r="S160" i="1"/>
  <c r="B161" i="1"/>
  <c r="E161" i="1"/>
  <c r="I161" i="1"/>
  <c r="S161" i="1"/>
  <c r="B162" i="1"/>
  <c r="E162" i="1"/>
  <c r="I162" i="1"/>
  <c r="S162" i="1"/>
  <c r="B163" i="1"/>
  <c r="E163" i="1"/>
  <c r="I163" i="1"/>
  <c r="S163" i="1"/>
  <c r="B164" i="1"/>
  <c r="E164" i="1"/>
  <c r="I164" i="1"/>
  <c r="S164" i="1"/>
  <c r="B165" i="1"/>
  <c r="E165" i="1"/>
  <c r="I165" i="1"/>
  <c r="S165" i="1"/>
  <c r="B166" i="1"/>
  <c r="E166" i="1"/>
  <c r="I166" i="1"/>
  <c r="S166" i="1"/>
  <c r="B167" i="1"/>
  <c r="E167" i="1"/>
  <c r="I167" i="1"/>
  <c r="S167" i="1"/>
  <c r="B168" i="1"/>
  <c r="E168" i="1"/>
  <c r="I168" i="1"/>
  <c r="S168" i="1"/>
  <c r="B169" i="1"/>
  <c r="E169" i="1"/>
  <c r="I169" i="1"/>
  <c r="S169" i="1"/>
  <c r="B170" i="1"/>
  <c r="E170" i="1"/>
  <c r="I170" i="1"/>
  <c r="S170" i="1"/>
  <c r="B171" i="1"/>
  <c r="E171" i="1"/>
  <c r="I171" i="1"/>
  <c r="S171" i="1"/>
  <c r="B172" i="1"/>
  <c r="E172" i="1"/>
  <c r="I172" i="1"/>
  <c r="S172" i="1"/>
  <c r="B173" i="1"/>
  <c r="E173" i="1"/>
  <c r="I173" i="1"/>
  <c r="S173" i="1"/>
  <c r="B174" i="1"/>
  <c r="E174" i="1"/>
  <c r="I174" i="1"/>
  <c r="S174" i="1"/>
  <c r="B175" i="1"/>
  <c r="E175" i="1"/>
  <c r="I175" i="1"/>
  <c r="S175" i="1"/>
  <c r="B176" i="1"/>
  <c r="E176" i="1"/>
  <c r="I176" i="1"/>
  <c r="S176" i="1"/>
  <c r="B177" i="1"/>
  <c r="E177" i="1"/>
  <c r="I177" i="1"/>
  <c r="S177" i="1"/>
  <c r="B178" i="1"/>
  <c r="E178" i="1"/>
  <c r="I178" i="1"/>
  <c r="S178" i="1"/>
  <c r="B179" i="1"/>
  <c r="E179" i="1"/>
  <c r="I179" i="1"/>
  <c r="S179" i="1"/>
  <c r="B180" i="1"/>
  <c r="E180" i="1"/>
  <c r="I180" i="1"/>
  <c r="S180" i="1"/>
  <c r="B181" i="1"/>
  <c r="E181" i="1"/>
  <c r="I181" i="1"/>
  <c r="S181" i="1"/>
  <c r="B182" i="1"/>
  <c r="E182" i="1"/>
  <c r="I182" i="1"/>
  <c r="S182" i="1"/>
  <c r="B183" i="1"/>
  <c r="E183" i="1"/>
  <c r="I183" i="1"/>
  <c r="S183" i="1"/>
  <c r="B184" i="1"/>
  <c r="E184" i="1"/>
  <c r="I184" i="1"/>
  <c r="S184" i="1"/>
  <c r="B185" i="1"/>
  <c r="E185" i="1"/>
  <c r="I185" i="1"/>
  <c r="S185" i="1"/>
  <c r="B186" i="1"/>
  <c r="E186" i="1"/>
  <c r="I186" i="1"/>
  <c r="S186" i="1"/>
  <c r="B187" i="1"/>
  <c r="E187" i="1"/>
  <c r="I187" i="1"/>
  <c r="S187" i="1"/>
  <c r="B188" i="1"/>
  <c r="E188" i="1"/>
  <c r="I188" i="1"/>
  <c r="S188" i="1"/>
  <c r="B189" i="1"/>
  <c r="E189" i="1"/>
  <c r="I189" i="1"/>
  <c r="S189" i="1"/>
  <c r="B190" i="1"/>
  <c r="E190" i="1"/>
  <c r="I190" i="1"/>
  <c r="S190" i="1"/>
  <c r="B191" i="1"/>
  <c r="E191" i="1"/>
  <c r="I191" i="1"/>
  <c r="S191" i="1"/>
  <c r="B192" i="1"/>
  <c r="E192" i="1"/>
  <c r="I192" i="1"/>
  <c r="S192" i="1"/>
  <c r="B193" i="1"/>
  <c r="E193" i="1"/>
  <c r="I193" i="1"/>
  <c r="S193" i="1"/>
  <c r="B194" i="1"/>
  <c r="E194" i="1"/>
  <c r="I194" i="1"/>
  <c r="S194" i="1"/>
  <c r="B195" i="1"/>
  <c r="E195" i="1"/>
  <c r="I195" i="1"/>
  <c r="S195" i="1"/>
  <c r="B196" i="1"/>
  <c r="E196" i="1"/>
  <c r="I196" i="1"/>
  <c r="S196" i="1"/>
  <c r="B197" i="1"/>
  <c r="E197" i="1"/>
  <c r="I197" i="1"/>
  <c r="S197" i="1"/>
  <c r="B198" i="1"/>
  <c r="E198" i="1"/>
  <c r="I198" i="1"/>
  <c r="S198" i="1"/>
  <c r="B199" i="1"/>
  <c r="E199" i="1"/>
  <c r="I199" i="1"/>
  <c r="S199" i="1"/>
  <c r="B200" i="1"/>
  <c r="E200" i="1"/>
  <c r="I200" i="1"/>
  <c r="S200" i="1"/>
  <c r="B201" i="1"/>
  <c r="E201" i="1"/>
  <c r="I201" i="1"/>
  <c r="S201" i="1"/>
  <c r="B202" i="1"/>
  <c r="E202" i="1"/>
  <c r="I202" i="1"/>
  <c r="S202" i="1"/>
  <c r="B203" i="1"/>
  <c r="E203" i="1"/>
  <c r="I203" i="1"/>
  <c r="S203" i="1"/>
  <c r="B204" i="1"/>
  <c r="E204" i="1"/>
  <c r="I204" i="1"/>
  <c r="S204" i="1"/>
  <c r="B205" i="1"/>
  <c r="E205" i="1"/>
  <c r="I205" i="1"/>
  <c r="S205" i="1"/>
  <c r="B206" i="1"/>
  <c r="E206" i="1"/>
  <c r="I206" i="1"/>
  <c r="S206" i="1"/>
  <c r="B207" i="1"/>
  <c r="E207" i="1"/>
  <c r="I207" i="1"/>
  <c r="S207" i="1"/>
  <c r="B208" i="1"/>
  <c r="E208" i="1"/>
  <c r="I208" i="1"/>
  <c r="S208" i="1"/>
  <c r="B209" i="1"/>
  <c r="E209" i="1"/>
  <c r="I209" i="1"/>
  <c r="S209" i="1"/>
  <c r="B210" i="1"/>
  <c r="E210" i="1"/>
  <c r="I210" i="1"/>
  <c r="S210" i="1"/>
  <c r="B211" i="1"/>
  <c r="E211" i="1"/>
  <c r="I211" i="1"/>
  <c r="S211" i="1"/>
  <c r="B212" i="1"/>
  <c r="E212" i="1"/>
  <c r="I212" i="1"/>
  <c r="S212" i="1"/>
  <c r="B213" i="1"/>
  <c r="E213" i="1"/>
  <c r="I213" i="1"/>
  <c r="S213" i="1"/>
  <c r="B214" i="1"/>
  <c r="E214" i="1"/>
  <c r="I214" i="1"/>
  <c r="S214" i="1"/>
  <c r="B215" i="1"/>
  <c r="E215" i="1"/>
  <c r="I215" i="1"/>
  <c r="S215" i="1"/>
  <c r="B216" i="1"/>
  <c r="E216" i="1"/>
  <c r="I216" i="1"/>
  <c r="S216" i="1"/>
  <c r="B217" i="1"/>
  <c r="E217" i="1"/>
  <c r="I217" i="1"/>
  <c r="S217" i="1"/>
  <c r="B218" i="1"/>
  <c r="E218" i="1"/>
  <c r="I218" i="1"/>
  <c r="S218" i="1"/>
  <c r="B219" i="1"/>
  <c r="E219" i="1"/>
  <c r="I219" i="1"/>
  <c r="S219" i="1"/>
  <c r="B220" i="1"/>
  <c r="E220" i="1"/>
  <c r="I220" i="1"/>
  <c r="S220" i="1"/>
  <c r="B221" i="1"/>
  <c r="E221" i="1"/>
  <c r="I221" i="1"/>
  <c r="S221" i="1"/>
  <c r="B222" i="1"/>
  <c r="E222" i="1"/>
  <c r="I222" i="1"/>
  <c r="S222" i="1"/>
  <c r="B223" i="1"/>
  <c r="E223" i="1"/>
  <c r="I223" i="1"/>
  <c r="S223" i="1"/>
  <c r="B224" i="1"/>
  <c r="E224" i="1"/>
  <c r="I224" i="1"/>
  <c r="S224" i="1"/>
  <c r="B225" i="1"/>
  <c r="E225" i="1"/>
  <c r="I225" i="1"/>
  <c r="S225" i="1"/>
  <c r="B226" i="1"/>
  <c r="E226" i="1"/>
  <c r="I226" i="1"/>
  <c r="S226" i="1"/>
  <c r="B227" i="1"/>
  <c r="E227" i="1"/>
  <c r="I227" i="1"/>
  <c r="S227" i="1"/>
  <c r="B228" i="1"/>
  <c r="E228" i="1"/>
  <c r="I228" i="1"/>
  <c r="S228" i="1"/>
  <c r="B229" i="1"/>
  <c r="E229" i="1"/>
  <c r="I229" i="1"/>
  <c r="S229" i="1"/>
  <c r="B230" i="1"/>
  <c r="E230" i="1"/>
  <c r="I230" i="1"/>
  <c r="S230" i="1"/>
  <c r="B231" i="1"/>
  <c r="E231" i="1"/>
  <c r="I231" i="1"/>
  <c r="S231" i="1"/>
  <c r="B232" i="1"/>
  <c r="E232" i="1"/>
  <c r="I232" i="1"/>
  <c r="S232" i="1"/>
  <c r="B233" i="1"/>
  <c r="E233" i="1"/>
  <c r="I233" i="1"/>
  <c r="S233" i="1"/>
  <c r="B234" i="1"/>
  <c r="E234" i="1"/>
  <c r="I234" i="1"/>
  <c r="S234" i="1"/>
  <c r="B235" i="1"/>
  <c r="E235" i="1"/>
  <c r="I235" i="1"/>
  <c r="S235" i="1"/>
  <c r="B236" i="1"/>
  <c r="E236" i="1"/>
  <c r="I236" i="1"/>
  <c r="S236" i="1"/>
  <c r="B237" i="1"/>
  <c r="E237" i="1"/>
  <c r="I237" i="1"/>
  <c r="S237" i="1"/>
  <c r="B238" i="1"/>
  <c r="E238" i="1"/>
  <c r="I238" i="1"/>
  <c r="S238" i="1"/>
  <c r="B239" i="1"/>
  <c r="E239" i="1"/>
  <c r="I239" i="1"/>
  <c r="S239" i="1"/>
  <c r="B240" i="1"/>
  <c r="E240" i="1"/>
  <c r="I240" i="1"/>
  <c r="S240" i="1"/>
  <c r="B241" i="1"/>
  <c r="E241" i="1"/>
  <c r="I241" i="1"/>
  <c r="S241" i="1"/>
  <c r="B242" i="1"/>
  <c r="E242" i="1"/>
  <c r="I242" i="1"/>
  <c r="S242" i="1"/>
  <c r="B243" i="1"/>
  <c r="E243" i="1"/>
  <c r="I243" i="1"/>
  <c r="S243" i="1"/>
  <c r="B244" i="1"/>
  <c r="E244" i="1"/>
  <c r="I244" i="1"/>
  <c r="S244" i="1"/>
  <c r="B245" i="1"/>
  <c r="E245" i="1"/>
  <c r="I245" i="1"/>
  <c r="S245" i="1"/>
  <c r="B246" i="1"/>
  <c r="E246" i="1"/>
  <c r="I246" i="1"/>
  <c r="S246" i="1"/>
  <c r="B247" i="1"/>
  <c r="E247" i="1"/>
  <c r="I247" i="1"/>
  <c r="S247" i="1"/>
  <c r="B248" i="1"/>
  <c r="E248" i="1"/>
  <c r="I248" i="1"/>
  <c r="S248" i="1"/>
  <c r="B249" i="1"/>
  <c r="E249" i="1"/>
  <c r="I249" i="1"/>
  <c r="S249" i="1"/>
  <c r="B250" i="1"/>
  <c r="E250" i="1"/>
  <c r="I250" i="1"/>
  <c r="S250" i="1"/>
  <c r="B251" i="1"/>
  <c r="E251" i="1"/>
  <c r="I251" i="1"/>
  <c r="S251" i="1"/>
  <c r="B252" i="1"/>
  <c r="E252" i="1"/>
  <c r="I252" i="1"/>
  <c r="S252" i="1"/>
  <c r="B253" i="1"/>
  <c r="E253" i="1"/>
  <c r="I253" i="1"/>
  <c r="S253" i="1"/>
  <c r="B254" i="1"/>
  <c r="E254" i="1"/>
  <c r="I254" i="1"/>
  <c r="S254" i="1"/>
  <c r="B255" i="1"/>
  <c r="E255" i="1"/>
  <c r="I255" i="1"/>
  <c r="S255" i="1"/>
  <c r="B256" i="1"/>
  <c r="E256" i="1"/>
  <c r="I256" i="1"/>
  <c r="S256" i="1"/>
  <c r="B257" i="1"/>
  <c r="E257" i="1"/>
  <c r="I257" i="1"/>
  <c r="S257" i="1"/>
  <c r="B258" i="1"/>
  <c r="E258" i="1"/>
  <c r="I258" i="1"/>
  <c r="S258" i="1"/>
  <c r="B259" i="1"/>
  <c r="E259" i="1"/>
  <c r="I259" i="1"/>
  <c r="S259" i="1"/>
  <c r="B260" i="1"/>
  <c r="E260" i="1"/>
  <c r="I260" i="1"/>
  <c r="S260" i="1"/>
  <c r="B261" i="1"/>
  <c r="E261" i="1"/>
  <c r="I261" i="1"/>
  <c r="S261" i="1"/>
  <c r="B262" i="1"/>
  <c r="E262" i="1"/>
  <c r="I262" i="1"/>
  <c r="S262" i="1"/>
  <c r="B263" i="1"/>
  <c r="E263" i="1"/>
  <c r="I263" i="1"/>
  <c r="S263" i="1"/>
  <c r="B264" i="1"/>
  <c r="E264" i="1"/>
  <c r="I264" i="1"/>
  <c r="S264" i="1"/>
  <c r="B265" i="1"/>
  <c r="E265" i="1"/>
  <c r="I265" i="1"/>
  <c r="S265" i="1"/>
  <c r="B266" i="1"/>
  <c r="E266" i="1"/>
  <c r="I266" i="1"/>
  <c r="S266" i="1"/>
  <c r="B267" i="1"/>
  <c r="E267" i="1"/>
  <c r="I267" i="1"/>
  <c r="S267" i="1"/>
  <c r="B268" i="1"/>
  <c r="E268" i="1"/>
  <c r="I268" i="1"/>
  <c r="S268" i="1"/>
  <c r="B269" i="1"/>
  <c r="E269" i="1"/>
  <c r="I269" i="1"/>
  <c r="S269" i="1"/>
  <c r="B270" i="1"/>
  <c r="E270" i="1"/>
  <c r="I270" i="1"/>
  <c r="S270" i="1"/>
  <c r="B271" i="1"/>
  <c r="E271" i="1"/>
  <c r="I271" i="1"/>
  <c r="S271" i="1"/>
  <c r="B272" i="1"/>
  <c r="E272" i="1"/>
  <c r="I272" i="1"/>
  <c r="S272" i="1"/>
  <c r="B273" i="1"/>
  <c r="E273" i="1"/>
  <c r="I273" i="1"/>
  <c r="S273" i="1"/>
  <c r="B274" i="1"/>
  <c r="E274" i="1"/>
  <c r="I274" i="1"/>
  <c r="S274" i="1"/>
  <c r="B275" i="1"/>
  <c r="E275" i="1"/>
  <c r="I275" i="1"/>
  <c r="S275" i="1"/>
  <c r="B276" i="1"/>
  <c r="E276" i="1"/>
  <c r="I276" i="1"/>
  <c r="S276" i="1"/>
  <c r="B277" i="1"/>
  <c r="E277" i="1"/>
  <c r="I277" i="1"/>
  <c r="S277" i="1"/>
  <c r="B278" i="1"/>
  <c r="E278" i="1"/>
  <c r="I278" i="1"/>
  <c r="S278" i="1"/>
  <c r="B279" i="1"/>
  <c r="E279" i="1"/>
  <c r="I279" i="1"/>
  <c r="S279" i="1"/>
  <c r="B280" i="1"/>
  <c r="E280" i="1"/>
  <c r="I280" i="1"/>
  <c r="S280" i="1"/>
  <c r="B281" i="1"/>
  <c r="E281" i="1"/>
  <c r="I281" i="1"/>
  <c r="S281" i="1"/>
  <c r="B282" i="1"/>
  <c r="E282" i="1"/>
  <c r="I282" i="1"/>
  <c r="S282" i="1"/>
  <c r="B283" i="1"/>
  <c r="E283" i="1"/>
  <c r="I283" i="1"/>
  <c r="S283" i="1"/>
  <c r="B284" i="1"/>
  <c r="E284" i="1"/>
  <c r="I284" i="1"/>
  <c r="S284" i="1"/>
  <c r="B285" i="1"/>
  <c r="E285" i="1"/>
  <c r="I285" i="1"/>
  <c r="S285" i="1"/>
  <c r="B286" i="1"/>
  <c r="E286" i="1"/>
  <c r="I286" i="1"/>
  <c r="S286" i="1"/>
  <c r="B287" i="1"/>
  <c r="E287" i="1"/>
  <c r="I287" i="1"/>
  <c r="S287" i="1"/>
  <c r="B288" i="1"/>
  <c r="E288" i="1"/>
  <c r="I288" i="1"/>
  <c r="S288" i="1"/>
  <c r="B289" i="1"/>
  <c r="E289" i="1"/>
  <c r="I289" i="1"/>
  <c r="S289" i="1"/>
  <c r="B290" i="1"/>
  <c r="E290" i="1"/>
  <c r="I290" i="1"/>
  <c r="S290" i="1"/>
  <c r="B291" i="1"/>
  <c r="E291" i="1"/>
  <c r="I291" i="1"/>
  <c r="S291" i="1"/>
  <c r="B292" i="1"/>
  <c r="E292" i="1"/>
  <c r="I292" i="1"/>
  <c r="S292" i="1"/>
  <c r="B293" i="1"/>
  <c r="E293" i="1"/>
  <c r="I293" i="1"/>
  <c r="S293" i="1"/>
  <c r="B294" i="1"/>
  <c r="E294" i="1"/>
  <c r="I294" i="1"/>
  <c r="S294" i="1"/>
  <c r="B295" i="1"/>
  <c r="E295" i="1"/>
  <c r="I295" i="1"/>
  <c r="S295" i="1"/>
  <c r="B296" i="1"/>
  <c r="E296" i="1"/>
  <c r="I296" i="1"/>
  <c r="S296" i="1"/>
  <c r="B297" i="1"/>
  <c r="E297" i="1"/>
  <c r="I297" i="1"/>
  <c r="S297" i="1"/>
  <c r="B298" i="1"/>
  <c r="E298" i="1"/>
  <c r="I298" i="1"/>
  <c r="S298" i="1"/>
  <c r="B299" i="1"/>
  <c r="E299" i="1"/>
  <c r="I299" i="1"/>
  <c r="S299" i="1"/>
  <c r="B300" i="1"/>
  <c r="E300" i="1"/>
  <c r="I300" i="1"/>
  <c r="S300" i="1"/>
  <c r="B301" i="1"/>
  <c r="E301" i="1"/>
  <c r="I301" i="1"/>
  <c r="S301" i="1"/>
  <c r="B302" i="1"/>
  <c r="E302" i="1"/>
  <c r="I302" i="1"/>
  <c r="S302" i="1"/>
  <c r="B303" i="1"/>
  <c r="E303" i="1"/>
  <c r="I303" i="1"/>
  <c r="S303" i="1"/>
  <c r="B304" i="1"/>
  <c r="E304" i="1"/>
  <c r="I304" i="1"/>
  <c r="S304" i="1"/>
  <c r="B305" i="1"/>
  <c r="E305" i="1"/>
  <c r="I305" i="1"/>
  <c r="S305" i="1"/>
  <c r="B306" i="1"/>
  <c r="E306" i="1"/>
  <c r="I306" i="1"/>
  <c r="S306" i="1"/>
  <c r="B307" i="1"/>
  <c r="E307" i="1"/>
  <c r="I307" i="1"/>
  <c r="B308" i="1"/>
  <c r="E308" i="1"/>
  <c r="I308" i="1"/>
  <c r="S308" i="1"/>
  <c r="B309" i="1"/>
  <c r="E309" i="1"/>
  <c r="I309" i="1"/>
  <c r="S309" i="1"/>
  <c r="B310" i="1"/>
  <c r="E310" i="1"/>
  <c r="I310" i="1"/>
  <c r="S310" i="1"/>
  <c r="B311" i="1"/>
  <c r="E311" i="1"/>
  <c r="I311" i="1"/>
  <c r="S311" i="1"/>
  <c r="B312" i="1"/>
  <c r="E312" i="1"/>
  <c r="I312" i="1"/>
  <c r="S312" i="1"/>
  <c r="B313" i="1"/>
  <c r="E313" i="1"/>
  <c r="I313" i="1"/>
  <c r="S313" i="1"/>
  <c r="B314" i="1"/>
  <c r="E314" i="1"/>
  <c r="I314" i="1"/>
  <c r="S314" i="1"/>
  <c r="B315" i="1"/>
  <c r="E315" i="1"/>
  <c r="I315" i="1"/>
  <c r="S315" i="1"/>
  <c r="B316" i="1"/>
  <c r="E316" i="1"/>
  <c r="I316" i="1"/>
  <c r="S316" i="1"/>
  <c r="B317" i="1"/>
  <c r="E317" i="1"/>
  <c r="I317" i="1"/>
  <c r="S317" i="1"/>
  <c r="B318" i="1"/>
  <c r="E318" i="1"/>
  <c r="I318" i="1"/>
  <c r="S318" i="1"/>
  <c r="B319" i="1"/>
  <c r="E319" i="1"/>
  <c r="I319" i="1"/>
  <c r="S319" i="1"/>
  <c r="B320" i="1"/>
  <c r="E320" i="1"/>
  <c r="I320" i="1"/>
  <c r="S320" i="1"/>
  <c r="B321" i="1"/>
  <c r="E321" i="1"/>
  <c r="I321" i="1"/>
  <c r="S321" i="1"/>
  <c r="B322" i="1"/>
  <c r="E322" i="1"/>
  <c r="I322" i="1"/>
  <c r="S322" i="1"/>
  <c r="B323" i="1"/>
  <c r="E323" i="1"/>
  <c r="I323" i="1"/>
  <c r="S323" i="1"/>
  <c r="B324" i="1"/>
  <c r="E324" i="1"/>
  <c r="I324" i="1"/>
  <c r="S324" i="1"/>
  <c r="B325" i="1"/>
  <c r="E325" i="1"/>
  <c r="I325" i="1"/>
  <c r="S325" i="1"/>
  <c r="B326" i="1"/>
  <c r="E326" i="1"/>
  <c r="I326" i="1"/>
  <c r="S326" i="1"/>
  <c r="B327" i="1"/>
  <c r="E327" i="1"/>
  <c r="I327" i="1"/>
  <c r="S327" i="1"/>
  <c r="B328" i="1"/>
  <c r="E328" i="1"/>
  <c r="I328" i="1"/>
  <c r="S328" i="1"/>
  <c r="B329" i="1"/>
  <c r="E329" i="1"/>
  <c r="I329" i="1"/>
  <c r="S329" i="1"/>
  <c r="B330" i="1"/>
  <c r="E330" i="1"/>
  <c r="I330" i="1"/>
  <c r="S330" i="1"/>
  <c r="B331" i="1"/>
  <c r="E331" i="1"/>
  <c r="I331" i="1"/>
  <c r="S331" i="1"/>
  <c r="B332" i="1"/>
  <c r="E332" i="1"/>
  <c r="I332" i="1"/>
  <c r="S332" i="1"/>
  <c r="B333" i="1"/>
  <c r="E333" i="1"/>
  <c r="I333" i="1"/>
  <c r="S333" i="1"/>
  <c r="B334" i="1"/>
  <c r="E334" i="1"/>
  <c r="I334" i="1"/>
  <c r="S334" i="1"/>
  <c r="B335" i="1"/>
  <c r="E335" i="1"/>
  <c r="I335" i="1"/>
  <c r="S335" i="1"/>
  <c r="B336" i="1"/>
  <c r="E336" i="1"/>
  <c r="I336" i="1"/>
  <c r="S336" i="1"/>
  <c r="B337" i="1"/>
  <c r="E337" i="1"/>
  <c r="I337" i="1"/>
  <c r="S337" i="1"/>
  <c r="B338" i="1"/>
  <c r="E338" i="1"/>
  <c r="I338" i="1"/>
  <c r="S338" i="1"/>
  <c r="B339" i="1"/>
  <c r="E339" i="1"/>
  <c r="I339" i="1"/>
  <c r="S339" i="1"/>
  <c r="B340" i="1"/>
  <c r="E340" i="1"/>
  <c r="I340" i="1"/>
  <c r="S340" i="1"/>
  <c r="B341" i="1"/>
  <c r="E341" i="1"/>
  <c r="I341" i="1"/>
  <c r="S341" i="1"/>
  <c r="B342" i="1"/>
  <c r="E342" i="1"/>
  <c r="I342" i="1"/>
  <c r="S342" i="1"/>
  <c r="B343" i="1"/>
  <c r="E343" i="1"/>
  <c r="I343" i="1"/>
  <c r="S343" i="1"/>
  <c r="B344" i="1"/>
  <c r="E344" i="1"/>
  <c r="I344" i="1"/>
  <c r="S344" i="1"/>
  <c r="B345" i="1"/>
  <c r="E345" i="1"/>
  <c r="I345" i="1"/>
  <c r="S345" i="1"/>
  <c r="B346" i="1"/>
  <c r="E346" i="1"/>
  <c r="I346" i="1"/>
  <c r="S346" i="1"/>
  <c r="B347" i="1"/>
  <c r="E347" i="1"/>
  <c r="I347" i="1"/>
  <c r="S347" i="1"/>
  <c r="B348" i="1"/>
  <c r="E348" i="1"/>
  <c r="I348" i="1"/>
  <c r="S348" i="1"/>
  <c r="B349" i="1"/>
  <c r="E349" i="1"/>
  <c r="I349" i="1"/>
  <c r="S349" i="1"/>
  <c r="B350" i="1"/>
  <c r="E350" i="1"/>
  <c r="I350" i="1"/>
  <c r="S350" i="1"/>
  <c r="B351" i="1"/>
  <c r="E351" i="1"/>
  <c r="I351" i="1"/>
  <c r="S351" i="1"/>
  <c r="B352" i="1"/>
  <c r="E352" i="1"/>
  <c r="I352" i="1"/>
  <c r="S352" i="1"/>
  <c r="B353" i="1"/>
  <c r="E353" i="1"/>
  <c r="I353" i="1"/>
  <c r="S353" i="1"/>
  <c r="B354" i="1"/>
  <c r="E354" i="1"/>
  <c r="I354" i="1"/>
  <c r="S354" i="1"/>
  <c r="B355" i="1"/>
  <c r="E355" i="1"/>
  <c r="I355" i="1"/>
  <c r="S355" i="1"/>
  <c r="B356" i="1"/>
  <c r="E356" i="1"/>
  <c r="I356" i="1"/>
  <c r="S356" i="1"/>
  <c r="B357" i="1"/>
  <c r="E357" i="1"/>
  <c r="I357" i="1"/>
  <c r="S357" i="1"/>
  <c r="B358" i="1"/>
  <c r="E358" i="1"/>
  <c r="I358" i="1"/>
  <c r="S358" i="1"/>
  <c r="B359" i="1"/>
  <c r="E359" i="1"/>
  <c r="I359" i="1"/>
  <c r="S359" i="1"/>
  <c r="B360" i="1"/>
  <c r="E360" i="1"/>
  <c r="I360" i="1"/>
  <c r="S360" i="1"/>
  <c r="B361" i="1"/>
  <c r="E361" i="1"/>
  <c r="I361" i="1"/>
  <c r="S361" i="1"/>
  <c r="B362" i="1"/>
  <c r="E362" i="1"/>
  <c r="I362" i="1"/>
  <c r="S362" i="1"/>
  <c r="B363" i="1"/>
  <c r="E363" i="1"/>
  <c r="I363" i="1"/>
  <c r="S363" i="1"/>
  <c r="B364" i="1"/>
  <c r="E364" i="1"/>
  <c r="I364" i="1"/>
  <c r="S364" i="1"/>
  <c r="B365" i="1"/>
  <c r="E365" i="1"/>
  <c r="I365" i="1"/>
  <c r="S365" i="1"/>
  <c r="B366" i="1"/>
  <c r="E366" i="1"/>
  <c r="I366" i="1"/>
  <c r="S366" i="1"/>
  <c r="B367" i="1"/>
  <c r="E367" i="1"/>
  <c r="I367" i="1"/>
  <c r="S367" i="1"/>
  <c r="B368" i="1"/>
  <c r="E368" i="1"/>
  <c r="I368" i="1"/>
  <c r="S368" i="1"/>
  <c r="B369" i="1"/>
  <c r="E369" i="1"/>
  <c r="I369" i="1"/>
  <c r="S369" i="1"/>
  <c r="B370" i="1"/>
  <c r="E370" i="1"/>
  <c r="I370" i="1"/>
  <c r="S370" i="1"/>
  <c r="B371" i="1"/>
  <c r="E371" i="1"/>
  <c r="I371" i="1"/>
  <c r="S371" i="1"/>
  <c r="B372" i="1"/>
  <c r="E372" i="1"/>
  <c r="I372" i="1"/>
  <c r="S372" i="1"/>
  <c r="B373" i="1"/>
  <c r="E373" i="1"/>
  <c r="I373" i="1"/>
  <c r="S373" i="1"/>
  <c r="B374" i="1"/>
  <c r="E374" i="1"/>
  <c r="I374" i="1"/>
  <c r="S374" i="1"/>
  <c r="B375" i="1"/>
  <c r="E375" i="1"/>
  <c r="I375" i="1"/>
  <c r="S375" i="1"/>
  <c r="B376" i="1"/>
  <c r="E376" i="1"/>
  <c r="I376" i="1"/>
  <c r="S376" i="1"/>
  <c r="B377" i="1"/>
  <c r="E377" i="1"/>
  <c r="I377" i="1"/>
  <c r="S377" i="1"/>
  <c r="B378" i="1"/>
  <c r="E378" i="1"/>
  <c r="I378" i="1"/>
  <c r="S378" i="1"/>
  <c r="B379" i="1"/>
  <c r="E379" i="1"/>
  <c r="I379" i="1"/>
  <c r="S379" i="1"/>
  <c r="B380" i="1"/>
  <c r="E380" i="1"/>
  <c r="I380" i="1"/>
  <c r="S380" i="1"/>
  <c r="B381" i="1"/>
  <c r="E381" i="1"/>
  <c r="I381" i="1"/>
  <c r="S381" i="1"/>
  <c r="B382" i="1"/>
  <c r="E382" i="1"/>
  <c r="I382" i="1"/>
  <c r="S382" i="1"/>
  <c r="B383" i="1"/>
  <c r="E383" i="1"/>
  <c r="I383" i="1"/>
  <c r="S383" i="1"/>
  <c r="B384" i="1"/>
  <c r="E384" i="1"/>
  <c r="I384" i="1"/>
  <c r="S384" i="1"/>
  <c r="B385" i="1"/>
  <c r="E385" i="1"/>
  <c r="I385" i="1"/>
  <c r="S385" i="1"/>
  <c r="B386" i="1"/>
  <c r="E386" i="1"/>
  <c r="I386" i="1"/>
  <c r="S386" i="1"/>
  <c r="B387" i="1"/>
  <c r="E387" i="1"/>
  <c r="I387" i="1"/>
  <c r="S387" i="1"/>
  <c r="B388" i="1"/>
  <c r="E388" i="1"/>
  <c r="I388" i="1"/>
  <c r="S388" i="1"/>
  <c r="B389" i="1"/>
  <c r="E389" i="1"/>
  <c r="I389" i="1"/>
  <c r="S389" i="1"/>
  <c r="B390" i="1"/>
  <c r="E390" i="1"/>
  <c r="I390" i="1"/>
  <c r="S390" i="1"/>
  <c r="B391" i="1"/>
  <c r="E391" i="1"/>
  <c r="I391" i="1"/>
  <c r="S391" i="1"/>
  <c r="B392" i="1"/>
  <c r="E392" i="1"/>
  <c r="I392" i="1"/>
  <c r="S392" i="1"/>
  <c r="B393" i="1"/>
  <c r="E393" i="1"/>
  <c r="I393" i="1"/>
  <c r="S393" i="1"/>
  <c r="B394" i="1"/>
  <c r="E394" i="1"/>
  <c r="I394" i="1"/>
  <c r="S394" i="1"/>
  <c r="B395" i="1"/>
  <c r="E395" i="1"/>
  <c r="I395" i="1"/>
  <c r="S395" i="1"/>
  <c r="B396" i="1"/>
  <c r="E396" i="1"/>
  <c r="I396" i="1"/>
  <c r="S396" i="1"/>
  <c r="B397" i="1"/>
  <c r="E397" i="1"/>
  <c r="I397" i="1"/>
  <c r="S397" i="1"/>
  <c r="B398" i="1"/>
  <c r="E398" i="1"/>
  <c r="I398" i="1"/>
  <c r="S398" i="1"/>
  <c r="B399" i="1"/>
  <c r="E399" i="1"/>
  <c r="I399" i="1"/>
  <c r="S399" i="1"/>
  <c r="B400" i="1"/>
  <c r="E400" i="1"/>
  <c r="I400" i="1"/>
  <c r="S400" i="1"/>
  <c r="B401" i="1"/>
  <c r="E401" i="1"/>
  <c r="I401" i="1"/>
  <c r="S401" i="1"/>
  <c r="B402" i="1"/>
  <c r="E402" i="1"/>
  <c r="I402" i="1"/>
  <c r="S402" i="1"/>
  <c r="B403" i="1"/>
  <c r="E403" i="1"/>
  <c r="I403" i="1"/>
  <c r="S403" i="1"/>
  <c r="B404" i="1"/>
  <c r="E404" i="1"/>
  <c r="I404" i="1"/>
  <c r="B405" i="1"/>
  <c r="E405" i="1"/>
  <c r="I405" i="1"/>
  <c r="B406" i="1"/>
  <c r="E406" i="1"/>
  <c r="I406" i="1"/>
  <c r="B407" i="1"/>
  <c r="E407" i="1"/>
  <c r="I407" i="1"/>
  <c r="B408" i="1"/>
  <c r="E408" i="1"/>
  <c r="I408" i="1"/>
  <c r="B409" i="1"/>
  <c r="E409" i="1"/>
  <c r="I409" i="1"/>
  <c r="S409" i="1"/>
  <c r="B410" i="1"/>
  <c r="E410" i="1"/>
  <c r="I410" i="1"/>
  <c r="S410" i="1"/>
  <c r="B411" i="1"/>
  <c r="E411" i="1"/>
  <c r="I411" i="1"/>
  <c r="S411" i="1"/>
  <c r="B412" i="1"/>
  <c r="E412" i="1"/>
  <c r="I412" i="1"/>
  <c r="S412" i="1"/>
  <c r="B413" i="1"/>
  <c r="E413" i="1"/>
  <c r="I413" i="1"/>
  <c r="S413" i="1"/>
  <c r="B414" i="1"/>
  <c r="E414" i="1"/>
  <c r="I414" i="1"/>
  <c r="S414" i="1"/>
  <c r="B415" i="1"/>
  <c r="E415" i="1"/>
  <c r="I415" i="1"/>
  <c r="S415" i="1"/>
  <c r="B416" i="1"/>
  <c r="E416" i="1"/>
  <c r="I416" i="1"/>
  <c r="S416" i="1"/>
  <c r="B417" i="1"/>
  <c r="E417" i="1"/>
  <c r="I417" i="1"/>
  <c r="S417" i="1"/>
  <c r="B418" i="1"/>
  <c r="E418" i="1"/>
  <c r="I418" i="1"/>
  <c r="S418" i="1"/>
  <c r="B419" i="1"/>
  <c r="E419" i="1"/>
  <c r="I419" i="1"/>
  <c r="S419" i="1"/>
  <c r="B420" i="1"/>
  <c r="E420" i="1"/>
  <c r="I420" i="1"/>
  <c r="S420" i="1"/>
  <c r="B421" i="1"/>
  <c r="E421" i="1"/>
  <c r="I421" i="1"/>
  <c r="S421" i="1"/>
  <c r="B422" i="1"/>
  <c r="E422" i="1"/>
  <c r="I422" i="1"/>
  <c r="S422" i="1"/>
  <c r="B423" i="1"/>
  <c r="E423" i="1"/>
  <c r="I423" i="1"/>
  <c r="S423" i="1"/>
  <c r="B424" i="1"/>
  <c r="E424" i="1"/>
  <c r="I424" i="1"/>
  <c r="S424" i="1"/>
  <c r="B425" i="1"/>
  <c r="E425" i="1"/>
  <c r="I425" i="1"/>
  <c r="S425" i="1"/>
  <c r="B426" i="1"/>
  <c r="E426" i="1"/>
  <c r="I426" i="1"/>
  <c r="S426" i="1"/>
  <c r="B427" i="1"/>
  <c r="E427" i="1"/>
  <c r="I427" i="1"/>
  <c r="S427" i="1"/>
  <c r="B428" i="1"/>
  <c r="E428" i="1"/>
  <c r="I428" i="1"/>
  <c r="S428" i="1"/>
  <c r="B429" i="1"/>
  <c r="E429" i="1"/>
  <c r="I429" i="1"/>
  <c r="S429" i="1"/>
  <c r="B430" i="1"/>
  <c r="E430" i="1"/>
  <c r="I430" i="1"/>
  <c r="S430" i="1"/>
  <c r="B431" i="1"/>
  <c r="E431" i="1"/>
  <c r="I431" i="1"/>
  <c r="S431" i="1"/>
  <c r="B432" i="1"/>
  <c r="E432" i="1"/>
  <c r="I432" i="1"/>
  <c r="S432" i="1"/>
  <c r="B433" i="1"/>
  <c r="E433" i="1"/>
  <c r="I433" i="1"/>
  <c r="S433" i="1"/>
  <c r="B434" i="1"/>
  <c r="E434" i="1"/>
  <c r="I434" i="1"/>
  <c r="S434" i="1"/>
  <c r="B435" i="1"/>
  <c r="E435" i="1"/>
  <c r="I435" i="1"/>
  <c r="S435" i="1"/>
  <c r="B436" i="1"/>
  <c r="E436" i="1"/>
  <c r="I436" i="1"/>
  <c r="S436" i="1"/>
  <c r="B437" i="1"/>
  <c r="E437" i="1"/>
  <c r="I437" i="1"/>
  <c r="S437" i="1"/>
  <c r="B438" i="1"/>
  <c r="E438" i="1"/>
  <c r="I438" i="1"/>
  <c r="S438" i="1"/>
  <c r="B439" i="1"/>
  <c r="E439" i="1"/>
  <c r="I439" i="1"/>
  <c r="S439" i="1"/>
  <c r="B440" i="1"/>
  <c r="E440" i="1"/>
  <c r="I440" i="1"/>
  <c r="S440" i="1"/>
  <c r="B441" i="1"/>
  <c r="E441" i="1"/>
  <c r="I441" i="1"/>
  <c r="S441" i="1"/>
  <c r="B442" i="1"/>
  <c r="E442" i="1"/>
  <c r="I442" i="1"/>
  <c r="S442" i="1"/>
  <c r="B443" i="1"/>
  <c r="E443" i="1"/>
  <c r="I443" i="1"/>
  <c r="S443" i="1"/>
  <c r="B444" i="1"/>
  <c r="E444" i="1"/>
  <c r="I444" i="1"/>
  <c r="S444" i="1"/>
  <c r="B445" i="1"/>
  <c r="E445" i="1"/>
  <c r="I445" i="1"/>
  <c r="S445" i="1"/>
  <c r="B446" i="1"/>
  <c r="E446" i="1"/>
  <c r="I446" i="1"/>
  <c r="S446" i="1"/>
  <c r="B447" i="1"/>
  <c r="E447" i="1"/>
  <c r="I447" i="1"/>
  <c r="S447" i="1"/>
  <c r="B448" i="1"/>
  <c r="E448" i="1"/>
  <c r="I448" i="1"/>
  <c r="S448" i="1"/>
  <c r="B449" i="1"/>
  <c r="E449" i="1"/>
  <c r="I449" i="1"/>
  <c r="S449" i="1"/>
  <c r="B450" i="1"/>
  <c r="E450" i="1"/>
  <c r="I450" i="1"/>
  <c r="S450" i="1"/>
  <c r="B451" i="1"/>
  <c r="E451" i="1"/>
  <c r="I451" i="1"/>
  <c r="S451" i="1"/>
  <c r="B452" i="1"/>
  <c r="E452" i="1"/>
  <c r="I452" i="1"/>
  <c r="S452" i="1"/>
  <c r="B453" i="1"/>
  <c r="E453" i="1"/>
  <c r="I453" i="1"/>
  <c r="S453" i="1"/>
  <c r="B454" i="1"/>
  <c r="E454" i="1"/>
  <c r="I454" i="1"/>
  <c r="S454" i="1"/>
  <c r="B455" i="1"/>
  <c r="E455" i="1"/>
  <c r="I455" i="1"/>
  <c r="S455" i="1"/>
  <c r="B456" i="1"/>
  <c r="E456" i="1"/>
  <c r="I456" i="1"/>
  <c r="S456" i="1"/>
  <c r="B457" i="1"/>
  <c r="E457" i="1"/>
  <c r="I457" i="1"/>
  <c r="S457" i="1"/>
  <c r="B458" i="1"/>
  <c r="E458" i="1"/>
  <c r="I458" i="1"/>
  <c r="S458" i="1"/>
  <c r="B459" i="1"/>
  <c r="E459" i="1"/>
  <c r="I459" i="1"/>
  <c r="S459" i="1"/>
  <c r="B460" i="1"/>
  <c r="E460" i="1"/>
  <c r="I460" i="1"/>
  <c r="S460" i="1"/>
  <c r="B461" i="1"/>
  <c r="E461" i="1"/>
  <c r="I461" i="1"/>
  <c r="S461" i="1"/>
  <c r="B462" i="1"/>
  <c r="E462" i="1"/>
  <c r="I462" i="1"/>
  <c r="S462" i="1"/>
  <c r="B463" i="1"/>
  <c r="E463" i="1"/>
  <c r="I463" i="1"/>
  <c r="S463" i="1"/>
  <c r="B464" i="1"/>
  <c r="E464" i="1"/>
  <c r="I464" i="1"/>
  <c r="S464" i="1"/>
  <c r="B465" i="1"/>
  <c r="E465" i="1"/>
  <c r="I465" i="1"/>
  <c r="S465" i="1"/>
  <c r="B466" i="1"/>
  <c r="E466" i="1"/>
  <c r="I466" i="1"/>
  <c r="S466" i="1"/>
  <c r="B467" i="1"/>
  <c r="E467" i="1"/>
  <c r="I467" i="1"/>
  <c r="S467" i="1"/>
  <c r="B468" i="1"/>
  <c r="E468" i="1"/>
  <c r="I468" i="1"/>
  <c r="S468" i="1"/>
  <c r="B469" i="1"/>
  <c r="E469" i="1"/>
  <c r="I469" i="1"/>
  <c r="S469" i="1"/>
  <c r="B470" i="1"/>
  <c r="E470" i="1"/>
  <c r="I470" i="1"/>
  <c r="S470" i="1"/>
  <c r="B471" i="1"/>
  <c r="E471" i="1"/>
  <c r="I471" i="1"/>
  <c r="S471" i="1"/>
  <c r="B472" i="1"/>
  <c r="E472" i="1"/>
  <c r="I472" i="1"/>
  <c r="S472" i="1"/>
  <c r="B473" i="1"/>
  <c r="E473" i="1"/>
  <c r="I473" i="1"/>
  <c r="S473" i="1"/>
  <c r="B474" i="1"/>
  <c r="E474" i="1"/>
  <c r="I474" i="1"/>
  <c r="S474" i="1"/>
  <c r="B475" i="1"/>
  <c r="E475" i="1"/>
  <c r="I475" i="1"/>
  <c r="S475" i="1"/>
  <c r="B476" i="1"/>
  <c r="E476" i="1"/>
  <c r="I476" i="1"/>
  <c r="S476" i="1"/>
  <c r="B477" i="1"/>
  <c r="E477" i="1"/>
  <c r="I477" i="1"/>
  <c r="S477" i="1"/>
  <c r="B478" i="1"/>
  <c r="E478" i="1"/>
  <c r="I478" i="1"/>
  <c r="S478" i="1"/>
  <c r="B479" i="1"/>
  <c r="E479" i="1"/>
  <c r="I479" i="1"/>
  <c r="S479" i="1"/>
  <c r="B480" i="1"/>
  <c r="E480" i="1"/>
  <c r="I480" i="1"/>
  <c r="S480" i="1"/>
  <c r="B481" i="1"/>
  <c r="E481" i="1"/>
  <c r="I481" i="1"/>
  <c r="S481" i="1"/>
  <c r="B482" i="1"/>
  <c r="E482" i="1"/>
  <c r="I482" i="1"/>
  <c r="S482" i="1"/>
  <c r="B483" i="1"/>
  <c r="E483" i="1"/>
  <c r="I483" i="1"/>
  <c r="S483" i="1"/>
  <c r="B484" i="1"/>
  <c r="E484" i="1"/>
  <c r="I484" i="1"/>
  <c r="S484" i="1"/>
  <c r="B485" i="1"/>
  <c r="E485" i="1"/>
  <c r="I485" i="1"/>
  <c r="S485" i="1"/>
  <c r="B486" i="1"/>
  <c r="E486" i="1"/>
  <c r="I486" i="1"/>
  <c r="S486" i="1"/>
  <c r="B487" i="1"/>
  <c r="E487" i="1"/>
  <c r="I487" i="1"/>
  <c r="S487" i="1"/>
  <c r="B488" i="1"/>
  <c r="E488" i="1"/>
  <c r="I488" i="1"/>
  <c r="S488" i="1"/>
  <c r="B489" i="1"/>
  <c r="E489" i="1"/>
  <c r="I489" i="1"/>
  <c r="S489" i="1"/>
  <c r="B490" i="1"/>
  <c r="E490" i="1"/>
  <c r="I490" i="1"/>
  <c r="S490" i="1"/>
  <c r="B491" i="1"/>
  <c r="E491" i="1"/>
  <c r="I491" i="1"/>
  <c r="S491" i="1"/>
  <c r="B492" i="1"/>
  <c r="E492" i="1"/>
  <c r="I492" i="1"/>
  <c r="S492" i="1"/>
  <c r="B493" i="1"/>
  <c r="E493" i="1"/>
  <c r="I493" i="1"/>
  <c r="S493" i="1"/>
  <c r="B494" i="1"/>
  <c r="E494" i="1"/>
  <c r="I494" i="1"/>
  <c r="S494" i="1"/>
  <c r="B495" i="1"/>
  <c r="E495" i="1"/>
  <c r="I495" i="1"/>
  <c r="S495" i="1"/>
  <c r="B496" i="1"/>
  <c r="E496" i="1"/>
  <c r="I496" i="1"/>
  <c r="S496" i="1"/>
  <c r="B497" i="1"/>
  <c r="E497" i="1"/>
  <c r="I497" i="1"/>
  <c r="S497" i="1"/>
  <c r="B498" i="1"/>
  <c r="E498" i="1"/>
  <c r="I498" i="1"/>
  <c r="S498" i="1"/>
  <c r="B499" i="1"/>
  <c r="E499" i="1"/>
  <c r="I499" i="1"/>
  <c r="S499" i="1"/>
  <c r="B500" i="1"/>
  <c r="E500" i="1"/>
  <c r="I500" i="1"/>
  <c r="S500" i="1"/>
  <c r="B501" i="1"/>
  <c r="E501" i="1"/>
  <c r="I501" i="1"/>
  <c r="S501" i="1"/>
  <c r="B502" i="1"/>
  <c r="E502" i="1"/>
  <c r="I502" i="1"/>
  <c r="S502" i="1"/>
  <c r="B503" i="1"/>
  <c r="E503" i="1"/>
  <c r="I503" i="1"/>
  <c r="S503" i="1"/>
  <c r="B504" i="1"/>
  <c r="E504" i="1"/>
  <c r="I504" i="1"/>
  <c r="S504" i="1"/>
  <c r="B505" i="1"/>
  <c r="E505" i="1"/>
  <c r="I505" i="1"/>
  <c r="S505" i="1"/>
  <c r="B506" i="1"/>
  <c r="E506" i="1"/>
  <c r="I506" i="1"/>
  <c r="S506" i="1"/>
  <c r="B507" i="1"/>
  <c r="E507" i="1"/>
  <c r="I507" i="1"/>
  <c r="S507" i="1"/>
  <c r="B508" i="1"/>
  <c r="E508" i="1"/>
  <c r="I508" i="1"/>
  <c r="S508" i="1"/>
  <c r="B509" i="1"/>
  <c r="E509" i="1"/>
  <c r="I509" i="1"/>
  <c r="S509" i="1"/>
  <c r="B510" i="1"/>
  <c r="E510" i="1"/>
  <c r="I510" i="1"/>
  <c r="S510" i="1"/>
  <c r="B511" i="1"/>
  <c r="E511" i="1"/>
  <c r="I511" i="1"/>
  <c r="S511" i="1"/>
  <c r="B512" i="1"/>
  <c r="E512" i="1"/>
  <c r="I512" i="1"/>
  <c r="S512" i="1"/>
  <c r="B513" i="1"/>
  <c r="E513" i="1"/>
  <c r="I513" i="1"/>
  <c r="S513" i="1"/>
  <c r="B514" i="1"/>
  <c r="E514" i="1"/>
  <c r="I514" i="1"/>
  <c r="S514" i="1"/>
  <c r="B515" i="1"/>
  <c r="E515" i="1"/>
  <c r="I515" i="1"/>
  <c r="S515" i="1"/>
  <c r="B516" i="1"/>
  <c r="E516" i="1"/>
  <c r="I516" i="1"/>
  <c r="S516" i="1"/>
  <c r="B517" i="1"/>
  <c r="E517" i="1"/>
  <c r="I517" i="1"/>
  <c r="S517" i="1"/>
  <c r="B518" i="1"/>
  <c r="E518" i="1"/>
  <c r="I518" i="1"/>
  <c r="B519" i="1"/>
  <c r="E519" i="1"/>
  <c r="I519" i="1"/>
  <c r="S519" i="1"/>
  <c r="B520" i="1"/>
  <c r="E520" i="1"/>
  <c r="I520" i="1"/>
  <c r="S520" i="1"/>
  <c r="B521" i="1"/>
  <c r="E521" i="1"/>
  <c r="I521" i="1"/>
  <c r="S521" i="1"/>
  <c r="B522" i="1"/>
  <c r="E522" i="1"/>
  <c r="I522" i="1"/>
  <c r="B523" i="1"/>
  <c r="E523" i="1"/>
  <c r="I523" i="1"/>
  <c r="B524" i="1"/>
  <c r="E524" i="1"/>
  <c r="I524" i="1"/>
  <c r="B525" i="1"/>
  <c r="E525" i="1"/>
  <c r="I525" i="1"/>
  <c r="B526" i="1"/>
  <c r="E526" i="1"/>
  <c r="I526" i="1"/>
  <c r="S526" i="1"/>
  <c r="B527" i="1"/>
  <c r="E527" i="1"/>
  <c r="I527" i="1"/>
  <c r="S527" i="1"/>
  <c r="B528" i="1"/>
  <c r="E528" i="1"/>
  <c r="I528" i="1"/>
  <c r="S528" i="1"/>
  <c r="B529" i="1"/>
  <c r="E529" i="1"/>
  <c r="I529" i="1"/>
  <c r="S529" i="1"/>
  <c r="B530" i="1"/>
  <c r="E530" i="1"/>
  <c r="I530" i="1"/>
  <c r="S530" i="1"/>
  <c r="B531" i="1"/>
  <c r="E531" i="1"/>
  <c r="I531" i="1"/>
  <c r="S531" i="1"/>
  <c r="B532" i="1"/>
  <c r="E532" i="1"/>
  <c r="I532" i="1"/>
  <c r="S532" i="1"/>
  <c r="B533" i="1"/>
  <c r="E533" i="1"/>
  <c r="I533" i="1"/>
  <c r="S533" i="1"/>
  <c r="B534" i="1"/>
  <c r="E534" i="1"/>
  <c r="I534" i="1"/>
  <c r="S534" i="1"/>
  <c r="B535" i="1"/>
  <c r="E535" i="1"/>
  <c r="I535" i="1"/>
  <c r="S535" i="1"/>
  <c r="B536" i="1"/>
  <c r="E536" i="1"/>
  <c r="I536" i="1"/>
  <c r="B537" i="1"/>
  <c r="E537" i="1"/>
  <c r="I537" i="1"/>
  <c r="S537" i="1"/>
  <c r="B538" i="1"/>
  <c r="E538" i="1"/>
  <c r="I538" i="1"/>
  <c r="S538" i="1"/>
  <c r="B539" i="1"/>
  <c r="E539" i="1"/>
  <c r="I539" i="1"/>
  <c r="S539" i="1"/>
  <c r="B540" i="1"/>
  <c r="E540" i="1"/>
  <c r="I540" i="1"/>
  <c r="S540" i="1"/>
  <c r="B541" i="1"/>
  <c r="E541" i="1"/>
  <c r="I541" i="1"/>
  <c r="S541" i="1"/>
  <c r="B542" i="1"/>
  <c r="E542" i="1"/>
  <c r="I542" i="1"/>
  <c r="S542" i="1"/>
  <c r="B543" i="1"/>
  <c r="E543" i="1"/>
  <c r="I543" i="1"/>
  <c r="S543" i="1"/>
  <c r="B544" i="1"/>
  <c r="E544" i="1"/>
  <c r="I544" i="1"/>
  <c r="S544" i="1"/>
  <c r="B545" i="1"/>
  <c r="E545" i="1"/>
  <c r="I545" i="1"/>
  <c r="S545" i="1"/>
  <c r="B546" i="1"/>
  <c r="E546" i="1"/>
  <c r="I546" i="1"/>
  <c r="S546" i="1"/>
  <c r="B547" i="1"/>
  <c r="E547" i="1"/>
  <c r="I547" i="1"/>
  <c r="S547" i="1"/>
  <c r="B548" i="1"/>
  <c r="E548" i="1"/>
  <c r="I548" i="1"/>
  <c r="S548" i="1"/>
  <c r="B549" i="1"/>
  <c r="E549" i="1"/>
  <c r="I549" i="1"/>
  <c r="S549" i="1"/>
  <c r="B550" i="1"/>
  <c r="E550" i="1"/>
  <c r="I550" i="1"/>
  <c r="S550" i="1"/>
  <c r="B551" i="1"/>
  <c r="E551" i="1"/>
  <c r="I551" i="1"/>
  <c r="S551" i="1"/>
  <c r="B552" i="1"/>
  <c r="E552" i="1"/>
  <c r="I552" i="1"/>
  <c r="B553" i="1"/>
  <c r="E553" i="1"/>
  <c r="I553" i="1"/>
  <c r="S553" i="1"/>
  <c r="B554" i="1"/>
  <c r="E554" i="1"/>
  <c r="I554" i="1"/>
  <c r="S554" i="1"/>
  <c r="B555" i="1"/>
  <c r="E555" i="1"/>
  <c r="I555" i="1"/>
  <c r="S555" i="1"/>
  <c r="B556" i="1"/>
  <c r="E556" i="1"/>
  <c r="I556" i="1"/>
  <c r="S556" i="1"/>
  <c r="B557" i="1"/>
  <c r="E557" i="1"/>
  <c r="I557" i="1"/>
  <c r="S557" i="1"/>
  <c r="B558" i="1"/>
  <c r="E558" i="1"/>
  <c r="I558" i="1"/>
  <c r="S558" i="1"/>
  <c r="B559" i="1"/>
  <c r="E559" i="1"/>
  <c r="I559" i="1"/>
  <c r="S559" i="1"/>
  <c r="B560" i="1"/>
  <c r="E560" i="1"/>
  <c r="I560" i="1"/>
  <c r="S560" i="1"/>
  <c r="B561" i="1"/>
  <c r="E561" i="1"/>
  <c r="I561" i="1"/>
  <c r="S561" i="1"/>
  <c r="B562" i="1"/>
  <c r="E562" i="1"/>
  <c r="I562" i="1"/>
  <c r="S562" i="1"/>
  <c r="B563" i="1"/>
  <c r="E563" i="1"/>
  <c r="I563" i="1"/>
  <c r="S563" i="1"/>
  <c r="B564" i="1"/>
  <c r="E564" i="1"/>
  <c r="I564" i="1"/>
  <c r="S564" i="1"/>
  <c r="B565" i="1"/>
  <c r="E565" i="1"/>
  <c r="I565" i="1"/>
  <c r="S565" i="1"/>
  <c r="B566" i="1"/>
  <c r="E566" i="1"/>
  <c r="I566" i="1"/>
  <c r="S566" i="1"/>
  <c r="B567" i="1"/>
  <c r="E567" i="1"/>
  <c r="I567" i="1"/>
  <c r="S567" i="1"/>
  <c r="B568" i="1"/>
  <c r="E568" i="1"/>
  <c r="I568" i="1"/>
  <c r="S568" i="1"/>
  <c r="B569" i="1"/>
  <c r="E569" i="1"/>
  <c r="I569" i="1"/>
  <c r="S569" i="1"/>
  <c r="B570" i="1"/>
  <c r="E570" i="1"/>
  <c r="I570" i="1"/>
  <c r="S570" i="1"/>
  <c r="B571" i="1"/>
  <c r="E571" i="1"/>
  <c r="I571" i="1"/>
  <c r="S571" i="1"/>
  <c r="B572" i="1"/>
  <c r="E572" i="1"/>
  <c r="I572" i="1"/>
  <c r="S572" i="1"/>
  <c r="B573" i="1"/>
  <c r="E573" i="1"/>
  <c r="I573" i="1"/>
  <c r="S573" i="1"/>
  <c r="B574" i="1"/>
  <c r="E574" i="1"/>
  <c r="I574" i="1"/>
  <c r="S574" i="1"/>
  <c r="B575" i="1"/>
  <c r="E575" i="1"/>
  <c r="I575" i="1"/>
  <c r="S575" i="1"/>
  <c r="B576" i="1"/>
  <c r="E576" i="1"/>
  <c r="I576" i="1"/>
  <c r="S576" i="1"/>
  <c r="B577" i="1"/>
  <c r="E577" i="1"/>
  <c r="I577" i="1"/>
  <c r="S577" i="1"/>
  <c r="B578" i="1"/>
  <c r="E578" i="1"/>
  <c r="I578" i="1"/>
  <c r="S578" i="1"/>
  <c r="B579" i="1"/>
  <c r="E579" i="1"/>
  <c r="I579" i="1"/>
  <c r="S579" i="1"/>
  <c r="B580" i="1"/>
  <c r="E580" i="1"/>
  <c r="I580" i="1"/>
  <c r="S580" i="1"/>
  <c r="B581" i="1"/>
  <c r="E581" i="1"/>
  <c r="I581" i="1"/>
  <c r="S581" i="1"/>
  <c r="B582" i="1"/>
  <c r="E582" i="1"/>
  <c r="I582" i="1"/>
  <c r="S582" i="1"/>
  <c r="B583" i="1"/>
  <c r="E583" i="1"/>
  <c r="I583" i="1"/>
  <c r="S583" i="1"/>
  <c r="B584" i="1"/>
  <c r="E584" i="1"/>
  <c r="I584" i="1"/>
  <c r="S584" i="1"/>
  <c r="B585" i="1"/>
  <c r="E585" i="1"/>
  <c r="I585" i="1"/>
  <c r="S585" i="1"/>
  <c r="B586" i="1"/>
  <c r="E586" i="1"/>
  <c r="I586" i="1"/>
  <c r="S586" i="1"/>
  <c r="B587" i="1"/>
  <c r="E587" i="1"/>
  <c r="I587" i="1"/>
  <c r="S587" i="1"/>
  <c r="B588" i="1"/>
  <c r="E588" i="1"/>
  <c r="I588" i="1"/>
  <c r="S588" i="1"/>
  <c r="B589" i="1"/>
  <c r="E589" i="1"/>
  <c r="I589" i="1"/>
  <c r="S589" i="1"/>
  <c r="B590" i="1"/>
  <c r="E590" i="1"/>
  <c r="I590" i="1"/>
  <c r="S590" i="1"/>
  <c r="B591" i="1"/>
  <c r="E591" i="1"/>
  <c r="I591" i="1"/>
  <c r="S591" i="1"/>
  <c r="B592" i="1"/>
  <c r="E592" i="1"/>
  <c r="I592" i="1"/>
  <c r="S592" i="1"/>
  <c r="B593" i="1"/>
  <c r="E593" i="1"/>
  <c r="I593" i="1"/>
  <c r="S593" i="1"/>
  <c r="B594" i="1"/>
  <c r="E594" i="1"/>
  <c r="I594" i="1"/>
  <c r="S594" i="1"/>
  <c r="B595" i="1"/>
  <c r="E595" i="1"/>
  <c r="I595" i="1"/>
  <c r="S595" i="1"/>
  <c r="B596" i="1"/>
  <c r="E596" i="1"/>
  <c r="I596" i="1"/>
  <c r="S596" i="1"/>
  <c r="B597" i="1"/>
  <c r="E597" i="1"/>
  <c r="I597" i="1"/>
  <c r="S597" i="1"/>
  <c r="B598" i="1"/>
  <c r="E598" i="1"/>
  <c r="I598" i="1"/>
  <c r="S598" i="1"/>
  <c r="B599" i="1"/>
  <c r="E599" i="1"/>
  <c r="I599" i="1"/>
  <c r="S599" i="1"/>
  <c r="B600" i="1"/>
  <c r="E600" i="1"/>
  <c r="I600" i="1"/>
  <c r="S600" i="1"/>
  <c r="B601" i="1"/>
  <c r="E601" i="1"/>
  <c r="I601" i="1"/>
  <c r="S601" i="1"/>
  <c r="B602" i="1"/>
  <c r="E602" i="1"/>
  <c r="I602" i="1"/>
  <c r="S602" i="1"/>
  <c r="B603" i="1"/>
  <c r="E603" i="1"/>
  <c r="I603" i="1"/>
  <c r="S603" i="1"/>
  <c r="B604" i="1"/>
  <c r="E604" i="1"/>
  <c r="I604" i="1"/>
  <c r="S604" i="1"/>
  <c r="B605" i="1"/>
  <c r="E605" i="1"/>
  <c r="I605" i="1"/>
  <c r="S605" i="1"/>
  <c r="B606" i="1"/>
  <c r="E606" i="1"/>
  <c r="I606" i="1"/>
  <c r="S606" i="1"/>
  <c r="B607" i="1"/>
  <c r="E607" i="1"/>
  <c r="I607" i="1"/>
  <c r="S607" i="1"/>
  <c r="B608" i="1"/>
  <c r="E608" i="1"/>
  <c r="I608" i="1"/>
  <c r="S608" i="1"/>
  <c r="B609" i="1"/>
  <c r="E609" i="1"/>
  <c r="I609" i="1"/>
  <c r="S609" i="1"/>
  <c r="B610" i="1"/>
  <c r="E610" i="1"/>
  <c r="I610" i="1"/>
  <c r="S610" i="1"/>
  <c r="B611" i="1"/>
  <c r="E611" i="1"/>
  <c r="I611" i="1"/>
  <c r="S611" i="1"/>
  <c r="B612" i="1"/>
  <c r="E612" i="1"/>
  <c r="I612" i="1"/>
  <c r="S612" i="1"/>
  <c r="B613" i="1"/>
  <c r="E613" i="1"/>
  <c r="I613" i="1"/>
  <c r="S613" i="1"/>
  <c r="B614" i="1"/>
  <c r="E614" i="1"/>
  <c r="I614" i="1"/>
  <c r="S614" i="1"/>
  <c r="B615" i="1"/>
  <c r="E615" i="1"/>
  <c r="I615" i="1"/>
  <c r="S615" i="1"/>
  <c r="B616" i="1"/>
  <c r="E616" i="1"/>
  <c r="I616" i="1"/>
  <c r="S616" i="1"/>
  <c r="B617" i="1"/>
  <c r="E617" i="1"/>
  <c r="I617" i="1"/>
  <c r="S617" i="1"/>
  <c r="B618" i="1"/>
  <c r="E618" i="1"/>
  <c r="I618" i="1"/>
  <c r="S618" i="1"/>
  <c r="B619" i="1"/>
  <c r="E619" i="1"/>
  <c r="I619" i="1"/>
  <c r="S619" i="1"/>
  <c r="B620" i="1"/>
  <c r="E620" i="1"/>
  <c r="I620" i="1"/>
  <c r="S620" i="1"/>
  <c r="B621" i="1"/>
  <c r="E621" i="1"/>
  <c r="I621" i="1"/>
  <c r="S621" i="1"/>
  <c r="B622" i="1"/>
  <c r="E622" i="1"/>
  <c r="I622" i="1"/>
  <c r="S622" i="1"/>
  <c r="B623" i="1"/>
  <c r="E623" i="1"/>
  <c r="I623" i="1"/>
  <c r="S623" i="1"/>
  <c r="B624" i="1"/>
  <c r="E624" i="1"/>
  <c r="I624" i="1"/>
  <c r="S624" i="1"/>
  <c r="B625" i="1"/>
  <c r="E625" i="1"/>
  <c r="I625" i="1"/>
  <c r="S625" i="1"/>
  <c r="B626" i="1"/>
  <c r="E626" i="1"/>
  <c r="I626" i="1"/>
  <c r="S626" i="1"/>
  <c r="B627" i="1"/>
  <c r="E627" i="1"/>
  <c r="I627" i="1"/>
  <c r="S627" i="1"/>
  <c r="B628" i="1"/>
  <c r="E628" i="1"/>
  <c r="I628" i="1"/>
  <c r="S628" i="1"/>
  <c r="B629" i="1"/>
  <c r="E629" i="1"/>
  <c r="I629" i="1"/>
  <c r="S629" i="1"/>
  <c r="B630" i="1"/>
  <c r="E630" i="1"/>
  <c r="I630" i="1"/>
  <c r="S630" i="1"/>
  <c r="B631" i="1"/>
  <c r="E631" i="1"/>
  <c r="I631" i="1"/>
  <c r="S631" i="1"/>
  <c r="B632" i="1"/>
  <c r="E632" i="1"/>
  <c r="I632" i="1"/>
  <c r="S632" i="1"/>
  <c r="B633" i="1"/>
  <c r="E633" i="1"/>
  <c r="I633" i="1"/>
  <c r="S633" i="1"/>
  <c r="B634" i="1"/>
  <c r="E634" i="1"/>
  <c r="I634" i="1"/>
  <c r="S634" i="1"/>
  <c r="B635" i="1"/>
  <c r="E635" i="1"/>
  <c r="I635" i="1"/>
  <c r="S635" i="1"/>
  <c r="B636" i="1"/>
  <c r="E636" i="1"/>
  <c r="I636" i="1"/>
  <c r="S636" i="1"/>
  <c r="B637" i="1"/>
  <c r="E637" i="1"/>
  <c r="I637" i="1"/>
  <c r="S637" i="1"/>
  <c r="B638" i="1"/>
  <c r="E638" i="1"/>
  <c r="I638" i="1"/>
  <c r="S638" i="1"/>
  <c r="B639" i="1"/>
  <c r="E639" i="1"/>
  <c r="I639" i="1"/>
  <c r="S639" i="1"/>
  <c r="B640" i="1"/>
  <c r="E640" i="1"/>
  <c r="I640" i="1"/>
  <c r="S640" i="1"/>
  <c r="B641" i="1"/>
  <c r="E641" i="1"/>
  <c r="I641" i="1"/>
  <c r="S641" i="1"/>
  <c r="B642" i="1"/>
  <c r="E642" i="1"/>
  <c r="I642" i="1"/>
  <c r="S642" i="1"/>
  <c r="B643" i="1"/>
  <c r="E643" i="1"/>
  <c r="I643" i="1"/>
  <c r="S643" i="1"/>
  <c r="B644" i="1"/>
  <c r="E644" i="1"/>
  <c r="I644" i="1"/>
  <c r="S644" i="1"/>
  <c r="B645" i="1"/>
  <c r="E645" i="1"/>
  <c r="I645" i="1"/>
  <c r="S645" i="1"/>
  <c r="B646" i="1"/>
  <c r="E646" i="1"/>
  <c r="I646" i="1"/>
  <c r="S646" i="1"/>
  <c r="B647" i="1"/>
  <c r="E647" i="1"/>
  <c r="I647" i="1"/>
  <c r="S647" i="1"/>
  <c r="B648" i="1"/>
  <c r="E648" i="1"/>
  <c r="I648" i="1"/>
  <c r="S648" i="1"/>
  <c r="B649" i="1"/>
  <c r="E649" i="1"/>
  <c r="I649" i="1"/>
  <c r="S649" i="1"/>
  <c r="B650" i="1"/>
  <c r="E650" i="1"/>
  <c r="I650" i="1"/>
  <c r="S650" i="1"/>
  <c r="B651" i="1"/>
  <c r="E651" i="1"/>
  <c r="I651" i="1"/>
  <c r="S651" i="1"/>
  <c r="B652" i="1"/>
  <c r="E652" i="1"/>
  <c r="I652" i="1"/>
  <c r="S652" i="1"/>
  <c r="B653" i="1"/>
  <c r="E653" i="1"/>
  <c r="I653" i="1"/>
  <c r="S653" i="1"/>
  <c r="B654" i="1"/>
  <c r="E654" i="1"/>
  <c r="I654" i="1"/>
  <c r="S654" i="1"/>
  <c r="B655" i="1"/>
  <c r="E655" i="1"/>
  <c r="I655" i="1"/>
  <c r="S655" i="1"/>
  <c r="B656" i="1"/>
  <c r="E656" i="1"/>
  <c r="I656" i="1"/>
  <c r="S656" i="1"/>
  <c r="B657" i="1"/>
  <c r="E657" i="1"/>
  <c r="I657" i="1"/>
  <c r="S657" i="1"/>
  <c r="B658" i="1"/>
  <c r="E658" i="1"/>
  <c r="I658" i="1"/>
  <c r="S658" i="1"/>
  <c r="B659" i="1"/>
  <c r="E659" i="1"/>
  <c r="I659" i="1"/>
  <c r="S659" i="1"/>
  <c r="B660" i="1"/>
  <c r="E660" i="1"/>
  <c r="I660" i="1"/>
  <c r="S660" i="1"/>
  <c r="B661" i="1"/>
  <c r="E661" i="1"/>
  <c r="I661" i="1"/>
  <c r="S661" i="1"/>
  <c r="B662" i="1"/>
  <c r="E662" i="1"/>
  <c r="I662" i="1"/>
  <c r="S662" i="1"/>
  <c r="B663" i="1"/>
  <c r="E663" i="1"/>
  <c r="I663" i="1"/>
  <c r="S663" i="1"/>
  <c r="B664" i="1"/>
  <c r="E664" i="1"/>
  <c r="I664" i="1"/>
  <c r="S664" i="1"/>
  <c r="B665" i="1"/>
  <c r="E665" i="1"/>
  <c r="I665" i="1"/>
  <c r="S665" i="1"/>
  <c r="B666" i="1"/>
  <c r="E666" i="1"/>
  <c r="I666" i="1"/>
  <c r="S666" i="1"/>
  <c r="B667" i="1"/>
  <c r="E667" i="1"/>
  <c r="I667" i="1"/>
  <c r="S667" i="1"/>
  <c r="B668" i="1"/>
  <c r="E668" i="1"/>
  <c r="I668" i="1"/>
  <c r="S668" i="1"/>
  <c r="B669" i="1"/>
  <c r="E669" i="1"/>
  <c r="I669" i="1"/>
  <c r="S669" i="1"/>
  <c r="B670" i="1"/>
  <c r="E670" i="1"/>
  <c r="I670" i="1"/>
  <c r="S670" i="1"/>
  <c r="B671" i="1"/>
  <c r="E671" i="1"/>
  <c r="I671" i="1"/>
  <c r="S671" i="1"/>
  <c r="B672" i="1"/>
  <c r="E672" i="1"/>
  <c r="I672" i="1"/>
  <c r="S672" i="1"/>
  <c r="B673" i="1"/>
  <c r="E673" i="1"/>
  <c r="I673" i="1"/>
  <c r="S673" i="1"/>
  <c r="B674" i="1"/>
  <c r="E674" i="1"/>
  <c r="I674" i="1"/>
  <c r="S674" i="1"/>
  <c r="B675" i="1"/>
  <c r="E675" i="1"/>
  <c r="I675" i="1"/>
  <c r="S675" i="1"/>
  <c r="B676" i="1"/>
  <c r="E676" i="1"/>
  <c r="I676" i="1"/>
  <c r="S676" i="1"/>
  <c r="B677" i="1"/>
  <c r="E677" i="1"/>
  <c r="I677" i="1"/>
  <c r="S677" i="1"/>
  <c r="B678" i="1"/>
  <c r="E678" i="1"/>
  <c r="I678" i="1"/>
  <c r="S678" i="1"/>
  <c r="B679" i="1"/>
  <c r="E679" i="1"/>
  <c r="I679" i="1"/>
  <c r="S679" i="1"/>
  <c r="B680" i="1"/>
  <c r="E680" i="1"/>
  <c r="I680" i="1"/>
  <c r="S680" i="1"/>
  <c r="B681" i="1"/>
  <c r="E681" i="1"/>
  <c r="I681" i="1"/>
  <c r="S681" i="1"/>
  <c r="B682" i="1"/>
  <c r="E682" i="1"/>
  <c r="I682" i="1"/>
  <c r="S682" i="1"/>
  <c r="B683" i="1"/>
  <c r="E683" i="1"/>
  <c r="I683" i="1"/>
  <c r="S683" i="1"/>
  <c r="B684" i="1"/>
  <c r="E684" i="1"/>
  <c r="I684" i="1"/>
  <c r="S684" i="1"/>
  <c r="B685" i="1"/>
  <c r="E685" i="1"/>
  <c r="I685" i="1"/>
  <c r="S685" i="1"/>
  <c r="B686" i="1"/>
  <c r="E686" i="1"/>
  <c r="I686" i="1"/>
  <c r="S686" i="1"/>
  <c r="B687" i="1"/>
  <c r="E687" i="1"/>
  <c r="I687" i="1"/>
  <c r="S687" i="1"/>
  <c r="B688" i="1"/>
  <c r="E688" i="1"/>
  <c r="I688" i="1"/>
  <c r="S688" i="1"/>
  <c r="B689" i="1"/>
  <c r="E689" i="1"/>
  <c r="I689" i="1"/>
  <c r="S689" i="1"/>
  <c r="B690" i="1"/>
  <c r="E690" i="1"/>
  <c r="I690" i="1"/>
  <c r="S690" i="1"/>
  <c r="B691" i="1"/>
  <c r="E691" i="1"/>
  <c r="I691" i="1"/>
  <c r="S691" i="1"/>
  <c r="B692" i="1"/>
  <c r="E692" i="1"/>
  <c r="I692" i="1"/>
  <c r="S692" i="1"/>
  <c r="B693" i="1"/>
  <c r="E693" i="1"/>
  <c r="I693" i="1"/>
  <c r="S693" i="1"/>
  <c r="B694" i="1"/>
  <c r="E694" i="1"/>
  <c r="I694" i="1"/>
  <c r="S694" i="1"/>
  <c r="B695" i="1"/>
  <c r="E695" i="1"/>
  <c r="I695" i="1"/>
  <c r="S695" i="1"/>
  <c r="B696" i="1"/>
  <c r="E696" i="1"/>
  <c r="I696" i="1"/>
  <c r="S696" i="1"/>
  <c r="B697" i="1"/>
  <c r="E697" i="1"/>
  <c r="I697" i="1"/>
  <c r="S697" i="1"/>
  <c r="B698" i="1"/>
  <c r="E698" i="1"/>
  <c r="I698" i="1"/>
  <c r="S698" i="1"/>
  <c r="B699" i="1"/>
  <c r="E699" i="1"/>
  <c r="I699" i="1"/>
  <c r="S699" i="1"/>
  <c r="B700" i="1"/>
  <c r="E700" i="1"/>
  <c r="I700" i="1"/>
  <c r="S700" i="1"/>
  <c r="B701" i="1"/>
  <c r="E701" i="1"/>
  <c r="I701" i="1"/>
  <c r="S701" i="1"/>
  <c r="B702" i="1"/>
  <c r="E702" i="1"/>
  <c r="I702" i="1"/>
  <c r="S702" i="1"/>
  <c r="B703" i="1"/>
  <c r="E703" i="1"/>
  <c r="I703" i="1"/>
  <c r="S703" i="1"/>
  <c r="B704" i="1"/>
  <c r="E704" i="1"/>
  <c r="I704" i="1"/>
  <c r="S704" i="1"/>
  <c r="B705" i="1"/>
  <c r="E705" i="1"/>
  <c r="I705" i="1"/>
  <c r="S705" i="1"/>
  <c r="B706" i="1"/>
  <c r="E706" i="1"/>
  <c r="I706" i="1"/>
  <c r="S706" i="1"/>
  <c r="B707" i="1"/>
  <c r="E707" i="1"/>
  <c r="I707" i="1"/>
  <c r="S707" i="1"/>
  <c r="B708" i="1"/>
  <c r="E708" i="1"/>
  <c r="I708" i="1"/>
  <c r="S708" i="1"/>
  <c r="B709" i="1"/>
  <c r="E709" i="1"/>
  <c r="I709" i="1"/>
  <c r="S709" i="1"/>
  <c r="B710" i="1"/>
  <c r="E710" i="1"/>
  <c r="I710" i="1"/>
  <c r="S710" i="1"/>
  <c r="B711" i="1"/>
  <c r="E711" i="1"/>
  <c r="I711" i="1"/>
  <c r="S711" i="1"/>
  <c r="B712" i="1"/>
  <c r="E712" i="1"/>
  <c r="I712" i="1"/>
  <c r="S712" i="1"/>
  <c r="B713" i="1"/>
  <c r="E713" i="1"/>
  <c r="I713" i="1"/>
  <c r="S713" i="1"/>
  <c r="B714" i="1"/>
  <c r="E714" i="1"/>
  <c r="I714" i="1"/>
  <c r="S714" i="1"/>
  <c r="B715" i="1"/>
  <c r="E715" i="1"/>
  <c r="I715" i="1"/>
  <c r="S715" i="1"/>
  <c r="B716" i="1"/>
  <c r="E716" i="1"/>
  <c r="I716" i="1"/>
  <c r="S716" i="1"/>
  <c r="B717" i="1"/>
  <c r="E717" i="1"/>
  <c r="I717" i="1"/>
  <c r="S717" i="1"/>
  <c r="B718" i="1"/>
  <c r="E718" i="1"/>
  <c r="I718" i="1"/>
  <c r="S718" i="1"/>
  <c r="B719" i="1"/>
  <c r="E719" i="1"/>
  <c r="I719" i="1"/>
  <c r="S719" i="1"/>
  <c r="B720" i="1"/>
  <c r="E720" i="1"/>
  <c r="I720" i="1"/>
  <c r="S720" i="1"/>
  <c r="B721" i="1"/>
  <c r="E721" i="1"/>
  <c r="I721" i="1"/>
  <c r="S721" i="1"/>
  <c r="B722" i="1"/>
  <c r="E722" i="1"/>
  <c r="I722" i="1"/>
  <c r="S722" i="1"/>
  <c r="B723" i="1"/>
  <c r="E723" i="1"/>
  <c r="I723" i="1"/>
  <c r="S723" i="1"/>
  <c r="B724" i="1"/>
  <c r="E724" i="1"/>
  <c r="I724" i="1"/>
  <c r="S724" i="1"/>
  <c r="B725" i="1"/>
  <c r="E725" i="1"/>
  <c r="I725" i="1"/>
  <c r="S725" i="1"/>
  <c r="B726" i="1"/>
  <c r="E726" i="1"/>
  <c r="I726" i="1"/>
  <c r="S726" i="1"/>
  <c r="B727" i="1"/>
  <c r="E727" i="1"/>
  <c r="I727" i="1"/>
  <c r="S727" i="1"/>
  <c r="B728" i="1"/>
  <c r="E728" i="1"/>
  <c r="I728" i="1"/>
  <c r="S728" i="1"/>
  <c r="B729" i="1"/>
  <c r="E729" i="1"/>
  <c r="I729" i="1"/>
  <c r="S729" i="1"/>
  <c r="B730" i="1"/>
  <c r="E730" i="1"/>
  <c r="I730" i="1"/>
  <c r="S730" i="1"/>
  <c r="B731" i="1"/>
  <c r="E731" i="1"/>
  <c r="I731" i="1"/>
  <c r="S731" i="1"/>
  <c r="B732" i="1"/>
  <c r="E732" i="1"/>
  <c r="I732" i="1"/>
  <c r="S732" i="1"/>
  <c r="B733" i="1"/>
  <c r="E733" i="1"/>
  <c r="I733" i="1"/>
  <c r="S733" i="1"/>
  <c r="B734" i="1"/>
  <c r="E734" i="1"/>
  <c r="I734" i="1"/>
  <c r="S734" i="1"/>
  <c r="B735" i="1"/>
  <c r="E735" i="1"/>
  <c r="I735" i="1"/>
  <c r="S735" i="1"/>
  <c r="B736" i="1"/>
  <c r="E736" i="1"/>
  <c r="I736" i="1"/>
  <c r="S736" i="1"/>
  <c r="B737" i="1"/>
  <c r="E737" i="1"/>
  <c r="I737" i="1"/>
  <c r="S737" i="1"/>
  <c r="B738" i="1"/>
  <c r="E738" i="1"/>
  <c r="I738" i="1"/>
  <c r="S738" i="1"/>
  <c r="B739" i="1"/>
  <c r="E739" i="1"/>
  <c r="I739" i="1"/>
  <c r="S739" i="1"/>
  <c r="B740" i="1"/>
  <c r="E740" i="1"/>
  <c r="I740" i="1"/>
  <c r="S740" i="1"/>
  <c r="B741" i="1"/>
  <c r="E741" i="1"/>
  <c r="I741" i="1"/>
  <c r="S741" i="1"/>
  <c r="B742" i="1"/>
  <c r="E742" i="1"/>
  <c r="I742" i="1"/>
  <c r="S742" i="1"/>
  <c r="B743" i="1"/>
  <c r="E743" i="1"/>
  <c r="I743" i="1"/>
  <c r="S743" i="1"/>
  <c r="B744" i="1"/>
  <c r="E744" i="1"/>
  <c r="I744" i="1"/>
  <c r="S744" i="1"/>
  <c r="B745" i="1"/>
  <c r="E745" i="1"/>
  <c r="I745" i="1"/>
  <c r="S745" i="1"/>
  <c r="B746" i="1"/>
  <c r="E746" i="1"/>
  <c r="I746" i="1"/>
  <c r="S746" i="1"/>
  <c r="B747" i="1"/>
  <c r="E747" i="1"/>
  <c r="I747" i="1"/>
  <c r="S747" i="1"/>
  <c r="B748" i="1"/>
  <c r="E748" i="1"/>
  <c r="I748" i="1"/>
  <c r="S748" i="1"/>
  <c r="B749" i="1"/>
  <c r="E749" i="1"/>
  <c r="I749" i="1"/>
  <c r="S749" i="1"/>
  <c r="B750" i="1"/>
  <c r="E750" i="1"/>
  <c r="I750" i="1"/>
  <c r="S750" i="1"/>
  <c r="B751" i="1"/>
  <c r="E751" i="1"/>
  <c r="I751" i="1"/>
  <c r="S751" i="1"/>
  <c r="B752" i="1"/>
  <c r="E752" i="1"/>
  <c r="I752" i="1"/>
  <c r="S752" i="1"/>
  <c r="B753" i="1"/>
  <c r="E753" i="1"/>
  <c r="I753" i="1"/>
  <c r="S753" i="1"/>
  <c r="B754" i="1"/>
  <c r="E754" i="1"/>
  <c r="I754" i="1"/>
  <c r="S754" i="1"/>
  <c r="B755" i="1"/>
  <c r="E755" i="1"/>
  <c r="I755" i="1"/>
  <c r="S755" i="1"/>
  <c r="B756" i="1"/>
  <c r="E756" i="1"/>
  <c r="I756" i="1"/>
  <c r="S756" i="1"/>
  <c r="B757" i="1"/>
  <c r="E757" i="1"/>
  <c r="I757" i="1"/>
  <c r="S757" i="1"/>
  <c r="B758" i="1"/>
  <c r="E758" i="1"/>
  <c r="I758" i="1"/>
  <c r="S758" i="1"/>
  <c r="B759" i="1"/>
  <c r="E759" i="1"/>
  <c r="I759" i="1"/>
  <c r="S759" i="1"/>
  <c r="B760" i="1"/>
  <c r="E760" i="1"/>
  <c r="I760" i="1"/>
  <c r="S760" i="1"/>
  <c r="B761" i="1"/>
  <c r="E761" i="1"/>
  <c r="I761" i="1"/>
  <c r="S761" i="1"/>
  <c r="B762" i="1"/>
  <c r="E762" i="1"/>
  <c r="I762" i="1"/>
  <c r="S762" i="1"/>
  <c r="B763" i="1"/>
  <c r="E763" i="1"/>
  <c r="I763" i="1"/>
  <c r="S763" i="1"/>
  <c r="B764" i="1"/>
  <c r="E764" i="1"/>
  <c r="I764" i="1"/>
  <c r="S764" i="1"/>
  <c r="B765" i="1"/>
  <c r="E765" i="1"/>
  <c r="I765" i="1"/>
  <c r="S765" i="1"/>
  <c r="B766" i="1"/>
  <c r="E766" i="1"/>
  <c r="I766" i="1"/>
  <c r="S766" i="1"/>
  <c r="B767" i="1"/>
  <c r="E767" i="1"/>
  <c r="I767" i="1"/>
  <c r="S767" i="1"/>
  <c r="B768" i="1"/>
  <c r="E768" i="1"/>
  <c r="I768" i="1"/>
  <c r="S768" i="1"/>
  <c r="B769" i="1"/>
  <c r="E769" i="1"/>
  <c r="I769" i="1"/>
  <c r="S769" i="1"/>
  <c r="B770" i="1"/>
  <c r="E770" i="1"/>
  <c r="I770" i="1"/>
  <c r="S770" i="1"/>
  <c r="B771" i="1"/>
  <c r="E771" i="1"/>
  <c r="I771" i="1"/>
  <c r="S771" i="1"/>
  <c r="B772" i="1"/>
  <c r="E772" i="1"/>
  <c r="I772" i="1"/>
  <c r="S772" i="1"/>
  <c r="B773" i="1"/>
  <c r="E773" i="1"/>
  <c r="I773" i="1"/>
  <c r="S773" i="1"/>
  <c r="B774" i="1"/>
  <c r="E774" i="1"/>
  <c r="I774" i="1"/>
  <c r="S774" i="1"/>
  <c r="B775" i="1"/>
  <c r="E775" i="1"/>
  <c r="I775" i="1"/>
  <c r="S775" i="1"/>
  <c r="B776" i="1"/>
  <c r="E776" i="1"/>
  <c r="I776" i="1"/>
  <c r="S776" i="1"/>
  <c r="B777" i="1"/>
  <c r="E777" i="1"/>
  <c r="I777" i="1"/>
  <c r="S777" i="1"/>
  <c r="B778" i="1"/>
  <c r="E778" i="1"/>
  <c r="I778" i="1"/>
  <c r="S778" i="1"/>
  <c r="B779" i="1"/>
  <c r="E779" i="1"/>
  <c r="I779" i="1"/>
  <c r="S779" i="1"/>
  <c r="B780" i="1"/>
  <c r="E780" i="1"/>
  <c r="I780" i="1"/>
  <c r="S780" i="1"/>
  <c r="B781" i="1"/>
  <c r="E781" i="1"/>
  <c r="I781" i="1"/>
  <c r="S781" i="1"/>
  <c r="B782" i="1"/>
  <c r="E782" i="1"/>
  <c r="I782" i="1"/>
  <c r="S782" i="1"/>
  <c r="B783" i="1"/>
  <c r="E783" i="1"/>
  <c r="I783" i="1"/>
  <c r="S783" i="1"/>
  <c r="B784" i="1"/>
  <c r="E784" i="1"/>
  <c r="I784" i="1"/>
  <c r="S784" i="1"/>
  <c r="B785" i="1"/>
  <c r="E785" i="1"/>
  <c r="I785" i="1"/>
  <c r="S785" i="1"/>
  <c r="B786" i="1"/>
  <c r="E786" i="1"/>
  <c r="I786" i="1"/>
  <c r="S786" i="1"/>
  <c r="B787" i="1"/>
  <c r="E787" i="1"/>
  <c r="I787" i="1"/>
  <c r="S787" i="1"/>
  <c r="B788" i="1"/>
  <c r="E788" i="1"/>
  <c r="I788" i="1"/>
  <c r="S788" i="1"/>
  <c r="B789" i="1"/>
  <c r="E789" i="1"/>
  <c r="I789" i="1"/>
  <c r="S789" i="1"/>
  <c r="B790" i="1"/>
  <c r="E790" i="1"/>
  <c r="I790" i="1"/>
  <c r="S790" i="1"/>
  <c r="B791" i="1"/>
  <c r="E791" i="1"/>
  <c r="I791" i="1"/>
  <c r="S791" i="1"/>
  <c r="B792" i="1"/>
  <c r="E792" i="1"/>
  <c r="I792" i="1"/>
  <c r="S792" i="1"/>
  <c r="B793" i="1"/>
  <c r="E793" i="1"/>
  <c r="I793" i="1"/>
  <c r="S793" i="1"/>
  <c r="B794" i="1"/>
  <c r="E794" i="1"/>
  <c r="I794" i="1"/>
  <c r="S794" i="1"/>
  <c r="B795" i="1"/>
  <c r="E795" i="1"/>
  <c r="I795" i="1"/>
  <c r="S795" i="1"/>
  <c r="B796" i="1"/>
  <c r="E796" i="1"/>
  <c r="I796" i="1"/>
  <c r="S796" i="1"/>
  <c r="B797" i="1"/>
  <c r="E797" i="1"/>
  <c r="I797" i="1"/>
  <c r="S797" i="1"/>
  <c r="B798" i="1"/>
  <c r="E798" i="1"/>
  <c r="I798" i="1"/>
  <c r="S798" i="1"/>
  <c r="B799" i="1"/>
  <c r="E799" i="1"/>
  <c r="I799" i="1"/>
  <c r="S799" i="1"/>
  <c r="B800" i="1"/>
  <c r="E800" i="1"/>
  <c r="I800" i="1"/>
  <c r="S800" i="1"/>
  <c r="B801" i="1"/>
  <c r="E801" i="1"/>
  <c r="I801" i="1"/>
  <c r="S801" i="1"/>
  <c r="B802" i="1"/>
  <c r="E802" i="1"/>
  <c r="I802" i="1"/>
  <c r="S802" i="1"/>
  <c r="B803" i="1"/>
  <c r="E803" i="1"/>
  <c r="I803" i="1"/>
  <c r="S803" i="1"/>
  <c r="B804" i="1"/>
  <c r="E804" i="1"/>
  <c r="I804" i="1"/>
  <c r="S804" i="1"/>
  <c r="B805" i="1"/>
  <c r="E805" i="1"/>
  <c r="I805" i="1"/>
  <c r="S805" i="1"/>
  <c r="B806" i="1"/>
  <c r="E806" i="1"/>
  <c r="I806" i="1"/>
  <c r="S806" i="1"/>
  <c r="B807" i="1"/>
  <c r="E807" i="1"/>
  <c r="I807" i="1"/>
  <c r="S807" i="1"/>
  <c r="B808" i="1"/>
  <c r="E808" i="1"/>
  <c r="I808" i="1"/>
  <c r="S808" i="1"/>
  <c r="B809" i="1"/>
  <c r="E809" i="1"/>
  <c r="I809" i="1"/>
  <c r="S809" i="1"/>
  <c r="B810" i="1"/>
  <c r="E810" i="1"/>
  <c r="I810" i="1"/>
  <c r="S810" i="1"/>
  <c r="B811" i="1"/>
  <c r="E811" i="1"/>
  <c r="I811" i="1"/>
  <c r="S811" i="1"/>
  <c r="B812" i="1"/>
  <c r="E812" i="1"/>
  <c r="I812" i="1"/>
  <c r="S812" i="1"/>
  <c r="B813" i="1"/>
  <c r="E813" i="1"/>
  <c r="I813" i="1"/>
  <c r="S813" i="1"/>
  <c r="B814" i="1"/>
  <c r="E814" i="1"/>
  <c r="I814" i="1"/>
  <c r="S814" i="1"/>
  <c r="B815" i="1"/>
  <c r="E815" i="1"/>
  <c r="I815" i="1"/>
  <c r="S815" i="1"/>
  <c r="B816" i="1"/>
  <c r="E816" i="1"/>
  <c r="I816" i="1"/>
  <c r="S816" i="1"/>
  <c r="B817" i="1"/>
  <c r="E817" i="1"/>
  <c r="I817" i="1"/>
  <c r="S817" i="1"/>
  <c r="B818" i="1"/>
  <c r="E818" i="1"/>
  <c r="I818" i="1"/>
  <c r="S818" i="1"/>
  <c r="B819" i="1"/>
  <c r="E819" i="1"/>
  <c r="I819" i="1"/>
  <c r="S819" i="1"/>
  <c r="B820" i="1"/>
  <c r="E820" i="1"/>
  <c r="I820" i="1"/>
  <c r="S820" i="1"/>
  <c r="B821" i="1"/>
  <c r="E821" i="1"/>
  <c r="I821" i="1"/>
  <c r="S821" i="1"/>
  <c r="B822" i="1"/>
  <c r="E822" i="1"/>
  <c r="I822" i="1"/>
  <c r="S822" i="1"/>
  <c r="B823" i="1"/>
  <c r="E823" i="1"/>
  <c r="I823" i="1"/>
  <c r="S823" i="1"/>
  <c r="B824" i="1"/>
  <c r="E824" i="1"/>
  <c r="I824" i="1"/>
  <c r="S824" i="1"/>
  <c r="B825" i="1"/>
  <c r="E825" i="1"/>
  <c r="I825" i="1"/>
  <c r="S825" i="1"/>
  <c r="B826" i="1"/>
  <c r="E826" i="1"/>
  <c r="I826" i="1"/>
  <c r="S826" i="1"/>
  <c r="B827" i="1"/>
  <c r="E827" i="1"/>
  <c r="I827" i="1"/>
  <c r="S827" i="1"/>
  <c r="B828" i="1"/>
  <c r="E828" i="1"/>
  <c r="I828" i="1"/>
  <c r="S828" i="1"/>
  <c r="B829" i="1"/>
  <c r="E829" i="1"/>
  <c r="I829" i="1"/>
  <c r="S829" i="1"/>
  <c r="B830" i="1"/>
  <c r="E830" i="1"/>
  <c r="I830" i="1"/>
  <c r="S830" i="1"/>
  <c r="B831" i="1"/>
  <c r="E831" i="1"/>
  <c r="I831" i="1"/>
  <c r="S831" i="1"/>
  <c r="B832" i="1"/>
  <c r="E832" i="1"/>
  <c r="I832" i="1"/>
  <c r="S832" i="1"/>
  <c r="B833" i="1"/>
  <c r="E833" i="1"/>
  <c r="I833" i="1"/>
  <c r="S833" i="1"/>
  <c r="B834" i="1"/>
  <c r="E834" i="1"/>
  <c r="I834" i="1"/>
  <c r="S834" i="1"/>
  <c r="B835" i="1"/>
  <c r="E835" i="1"/>
  <c r="I835" i="1"/>
  <c r="S835" i="1"/>
  <c r="B836" i="1"/>
  <c r="E836" i="1"/>
  <c r="I836" i="1"/>
  <c r="S836" i="1"/>
  <c r="B837" i="1"/>
  <c r="E837" i="1"/>
  <c r="I837" i="1"/>
  <c r="S837" i="1"/>
  <c r="B838" i="1"/>
  <c r="E838" i="1"/>
  <c r="I838" i="1"/>
  <c r="S838" i="1"/>
  <c r="B839" i="1"/>
  <c r="E839" i="1"/>
  <c r="I839" i="1"/>
  <c r="S839" i="1"/>
  <c r="B840" i="1"/>
  <c r="E840" i="1"/>
  <c r="I840" i="1"/>
  <c r="S840" i="1"/>
  <c r="B841" i="1"/>
  <c r="E841" i="1"/>
  <c r="I841" i="1"/>
  <c r="S841" i="1"/>
  <c r="B842" i="1"/>
  <c r="E842" i="1"/>
  <c r="I842" i="1"/>
  <c r="S842" i="1"/>
  <c r="B843" i="1"/>
  <c r="E843" i="1"/>
  <c r="I843" i="1"/>
  <c r="S843" i="1"/>
  <c r="B844" i="1"/>
  <c r="E844" i="1"/>
  <c r="I844" i="1"/>
  <c r="S844" i="1"/>
  <c r="B845" i="1"/>
  <c r="E845" i="1"/>
  <c r="I845" i="1"/>
  <c r="S845" i="1"/>
  <c r="B846" i="1"/>
  <c r="E846" i="1"/>
  <c r="I846" i="1"/>
  <c r="S846" i="1"/>
  <c r="B847" i="1"/>
  <c r="E847" i="1"/>
  <c r="I847" i="1"/>
  <c r="S847" i="1"/>
  <c r="B848" i="1"/>
  <c r="E848" i="1"/>
  <c r="I848" i="1"/>
  <c r="S848" i="1"/>
  <c r="B849" i="1"/>
  <c r="E849" i="1"/>
  <c r="I849" i="1"/>
  <c r="S849" i="1"/>
  <c r="B850" i="1"/>
  <c r="E850" i="1"/>
  <c r="I850" i="1"/>
  <c r="S850" i="1"/>
  <c r="B851" i="1"/>
  <c r="E851" i="1"/>
  <c r="I851" i="1"/>
  <c r="S851" i="1"/>
  <c r="B852" i="1"/>
  <c r="E852" i="1"/>
  <c r="I852" i="1"/>
  <c r="S852" i="1"/>
  <c r="B853" i="1"/>
  <c r="E853" i="1"/>
  <c r="I853" i="1"/>
  <c r="S853" i="1"/>
  <c r="B854" i="1"/>
  <c r="E854" i="1"/>
  <c r="I854" i="1"/>
  <c r="S854" i="1"/>
  <c r="B855" i="1"/>
  <c r="E855" i="1"/>
  <c r="I855" i="1"/>
  <c r="S855" i="1"/>
  <c r="B856" i="1"/>
  <c r="E856" i="1"/>
  <c r="I856" i="1"/>
  <c r="S856" i="1"/>
  <c r="B857" i="1"/>
  <c r="E857" i="1"/>
  <c r="I857" i="1"/>
  <c r="S857" i="1"/>
  <c r="B858" i="1"/>
  <c r="E858" i="1"/>
  <c r="I858" i="1"/>
  <c r="S858" i="1"/>
  <c r="B859" i="1"/>
  <c r="E859" i="1"/>
  <c r="I859" i="1"/>
  <c r="S859" i="1"/>
  <c r="B860" i="1"/>
  <c r="E860" i="1"/>
  <c r="I860" i="1"/>
  <c r="S860" i="1"/>
  <c r="B861" i="1"/>
  <c r="E861" i="1"/>
  <c r="I861" i="1"/>
  <c r="S861" i="1"/>
  <c r="B862" i="1"/>
  <c r="E862" i="1"/>
  <c r="I862" i="1"/>
  <c r="S862" i="1"/>
  <c r="B863" i="1"/>
  <c r="E863" i="1"/>
  <c r="I863" i="1"/>
  <c r="S863" i="1"/>
  <c r="B864" i="1"/>
  <c r="E864" i="1"/>
  <c r="I864" i="1"/>
  <c r="S864" i="1"/>
  <c r="B865" i="1"/>
  <c r="E865" i="1"/>
  <c r="I865" i="1"/>
  <c r="S865" i="1"/>
  <c r="B866" i="1"/>
  <c r="E866" i="1"/>
  <c r="I866" i="1"/>
  <c r="S866" i="1"/>
  <c r="B867" i="1"/>
  <c r="E867" i="1"/>
  <c r="I867" i="1"/>
  <c r="S867" i="1"/>
  <c r="B868" i="1"/>
  <c r="E868" i="1"/>
  <c r="I868" i="1"/>
  <c r="S868" i="1"/>
  <c r="B869" i="1"/>
  <c r="E869" i="1"/>
  <c r="I869" i="1"/>
  <c r="S869" i="1"/>
  <c r="B870" i="1"/>
  <c r="E870" i="1"/>
  <c r="I870" i="1"/>
  <c r="S870" i="1"/>
  <c r="B871" i="1"/>
  <c r="E871" i="1"/>
  <c r="I871" i="1"/>
  <c r="S871" i="1"/>
  <c r="B872" i="1"/>
  <c r="E872" i="1"/>
  <c r="I872" i="1"/>
  <c r="S872" i="1"/>
  <c r="B873" i="1"/>
  <c r="E873" i="1"/>
  <c r="I873" i="1"/>
  <c r="S873" i="1"/>
  <c r="B874" i="1"/>
  <c r="E874" i="1"/>
  <c r="I874" i="1"/>
  <c r="S874" i="1"/>
  <c r="B875" i="1"/>
  <c r="E875" i="1"/>
  <c r="I875" i="1"/>
  <c r="S875" i="1"/>
  <c r="B876" i="1"/>
  <c r="E876" i="1"/>
  <c r="I876" i="1"/>
  <c r="S876" i="1"/>
  <c r="B877" i="1"/>
  <c r="E877" i="1"/>
  <c r="I877" i="1"/>
  <c r="B878" i="1"/>
  <c r="E878" i="1"/>
  <c r="I878" i="1"/>
  <c r="S878" i="1"/>
  <c r="B879" i="1"/>
  <c r="E879" i="1"/>
  <c r="I879" i="1"/>
  <c r="S879" i="1"/>
  <c r="B880" i="1"/>
  <c r="E880" i="1"/>
  <c r="I880" i="1"/>
  <c r="S880" i="1"/>
  <c r="B881" i="1"/>
  <c r="E881" i="1"/>
  <c r="I881" i="1"/>
  <c r="S881" i="1"/>
  <c r="B882" i="1"/>
  <c r="E882" i="1"/>
  <c r="I882" i="1"/>
  <c r="S882" i="1"/>
  <c r="B883" i="1"/>
  <c r="E883" i="1"/>
  <c r="I883" i="1"/>
  <c r="S883" i="1"/>
  <c r="B884" i="1"/>
  <c r="E884" i="1"/>
  <c r="I884" i="1"/>
  <c r="S884" i="1"/>
  <c r="B885" i="1"/>
  <c r="E885" i="1"/>
  <c r="I885" i="1"/>
  <c r="S885" i="1"/>
  <c r="B886" i="1"/>
  <c r="E886" i="1"/>
  <c r="I886" i="1"/>
  <c r="S886" i="1"/>
  <c r="B887" i="1"/>
  <c r="E887" i="1"/>
  <c r="I887" i="1"/>
  <c r="S887" i="1"/>
  <c r="B888" i="1"/>
  <c r="E888" i="1"/>
  <c r="I888" i="1"/>
  <c r="S888" i="1"/>
  <c r="B889" i="1"/>
  <c r="E889" i="1"/>
  <c r="I889" i="1"/>
  <c r="S889" i="1"/>
  <c r="B890" i="1"/>
  <c r="E890" i="1"/>
  <c r="I890" i="1"/>
  <c r="S890" i="1"/>
  <c r="B891" i="1"/>
  <c r="E891" i="1"/>
  <c r="I891" i="1"/>
  <c r="S891" i="1"/>
  <c r="B892" i="1"/>
  <c r="E892" i="1"/>
  <c r="I892" i="1"/>
  <c r="S892" i="1"/>
  <c r="B893" i="1"/>
  <c r="E893" i="1"/>
  <c r="I893" i="1"/>
  <c r="S893" i="1"/>
  <c r="B894" i="1"/>
  <c r="E894" i="1"/>
  <c r="I894" i="1"/>
  <c r="S894" i="1"/>
  <c r="B895" i="1"/>
  <c r="E895" i="1"/>
  <c r="I895" i="1"/>
  <c r="S895" i="1"/>
  <c r="B896" i="1"/>
  <c r="E896" i="1"/>
  <c r="I896" i="1"/>
  <c r="S896" i="1"/>
  <c r="B897" i="1"/>
  <c r="E897" i="1"/>
  <c r="I897" i="1"/>
  <c r="S897" i="1"/>
  <c r="B898" i="1"/>
  <c r="E898" i="1"/>
  <c r="I898" i="1"/>
  <c r="S898" i="1"/>
  <c r="B899" i="1"/>
  <c r="E899" i="1"/>
  <c r="I899" i="1"/>
  <c r="S899" i="1"/>
  <c r="B900" i="1"/>
  <c r="E900" i="1"/>
  <c r="I900" i="1"/>
  <c r="S900" i="1"/>
  <c r="B901" i="1"/>
  <c r="E901" i="1"/>
  <c r="I901" i="1"/>
  <c r="S901" i="1"/>
  <c r="B902" i="1"/>
  <c r="E902" i="1"/>
  <c r="I902" i="1"/>
  <c r="S902" i="1"/>
  <c r="B903" i="1"/>
  <c r="E903" i="1"/>
  <c r="I903" i="1"/>
  <c r="S903" i="1"/>
  <c r="B904" i="1"/>
  <c r="E904" i="1"/>
  <c r="I904" i="1"/>
  <c r="S904" i="1"/>
  <c r="B905" i="1"/>
  <c r="E905" i="1"/>
  <c r="I905" i="1"/>
  <c r="S905" i="1"/>
  <c r="B906" i="1"/>
  <c r="E906" i="1"/>
  <c r="I906" i="1"/>
  <c r="S906" i="1"/>
  <c r="B907" i="1"/>
  <c r="E907" i="1"/>
  <c r="I907" i="1"/>
  <c r="S907" i="1"/>
  <c r="B908" i="1"/>
  <c r="E908" i="1"/>
  <c r="I908" i="1"/>
  <c r="S908" i="1"/>
  <c r="B909" i="1"/>
  <c r="E909" i="1"/>
  <c r="I909" i="1"/>
  <c r="S909" i="1"/>
  <c r="B910" i="1"/>
  <c r="E910" i="1"/>
  <c r="I910" i="1"/>
  <c r="S910" i="1"/>
  <c r="B911" i="1"/>
  <c r="E911" i="1"/>
  <c r="I911" i="1"/>
  <c r="S911" i="1"/>
  <c r="B912" i="1"/>
  <c r="E912" i="1"/>
  <c r="I912" i="1"/>
  <c r="S912" i="1"/>
  <c r="B913" i="1"/>
  <c r="E913" i="1"/>
  <c r="I913" i="1"/>
  <c r="S913" i="1"/>
  <c r="B914" i="1"/>
  <c r="E914" i="1"/>
  <c r="I914" i="1"/>
  <c r="S914" i="1"/>
  <c r="B915" i="1"/>
  <c r="E915" i="1"/>
  <c r="I915" i="1"/>
  <c r="S915" i="1"/>
  <c r="B916" i="1"/>
  <c r="E916" i="1"/>
  <c r="I916" i="1"/>
  <c r="S916" i="1"/>
  <c r="B917" i="1"/>
  <c r="E917" i="1"/>
  <c r="I917" i="1"/>
  <c r="S917" i="1"/>
  <c r="B918" i="1"/>
  <c r="E918" i="1"/>
  <c r="I918" i="1"/>
  <c r="S918" i="1"/>
  <c r="B919" i="1"/>
  <c r="E919" i="1"/>
  <c r="I919" i="1"/>
  <c r="S919" i="1"/>
  <c r="B920" i="1"/>
  <c r="E920" i="1"/>
  <c r="I920" i="1"/>
  <c r="S920" i="1"/>
  <c r="B921" i="1"/>
  <c r="E921" i="1"/>
  <c r="I921" i="1"/>
  <c r="S921" i="1"/>
  <c r="B922" i="1"/>
  <c r="E922" i="1"/>
  <c r="I922" i="1"/>
  <c r="S922" i="1"/>
  <c r="B923" i="1"/>
  <c r="E923" i="1"/>
  <c r="I923" i="1"/>
  <c r="S923" i="1"/>
  <c r="B924" i="1"/>
  <c r="E924" i="1"/>
  <c r="I924" i="1"/>
  <c r="S924" i="1"/>
  <c r="B925" i="1"/>
  <c r="E925" i="1"/>
  <c r="I925" i="1"/>
  <c r="S925" i="1"/>
  <c r="B926" i="1"/>
  <c r="E926" i="1"/>
  <c r="I926" i="1"/>
  <c r="S926" i="1"/>
  <c r="B927" i="1"/>
  <c r="E927" i="1"/>
  <c r="I927" i="1"/>
  <c r="S927" i="1"/>
  <c r="B928" i="1"/>
  <c r="E928" i="1"/>
  <c r="I928" i="1"/>
  <c r="S928" i="1"/>
  <c r="B929" i="1"/>
  <c r="E929" i="1"/>
  <c r="I929" i="1"/>
  <c r="S929" i="1"/>
  <c r="B930" i="1"/>
  <c r="E930" i="1"/>
  <c r="I930" i="1"/>
  <c r="S930" i="1"/>
  <c r="B931" i="1"/>
  <c r="E931" i="1"/>
  <c r="I931" i="1"/>
  <c r="S931" i="1"/>
  <c r="B932" i="1"/>
  <c r="E932" i="1"/>
  <c r="I932" i="1"/>
  <c r="S932" i="1"/>
  <c r="B933" i="1"/>
  <c r="E933" i="1"/>
  <c r="I933" i="1"/>
  <c r="S933" i="1"/>
  <c r="B934" i="1"/>
  <c r="E934" i="1"/>
  <c r="I934" i="1"/>
  <c r="S934" i="1"/>
  <c r="B935" i="1"/>
  <c r="E935" i="1"/>
  <c r="I935" i="1"/>
  <c r="S935" i="1"/>
  <c r="B936" i="1"/>
  <c r="E936" i="1"/>
  <c r="I936" i="1"/>
  <c r="S936" i="1"/>
  <c r="B937" i="1"/>
  <c r="E937" i="1"/>
  <c r="I937" i="1"/>
  <c r="S937" i="1"/>
  <c r="B938" i="1"/>
  <c r="E938" i="1"/>
  <c r="I938" i="1"/>
  <c r="S938" i="1"/>
  <c r="B939" i="1"/>
  <c r="E939" i="1"/>
  <c r="I939" i="1"/>
  <c r="S939" i="1"/>
  <c r="B940" i="1"/>
  <c r="E940" i="1"/>
  <c r="I940" i="1"/>
  <c r="S940" i="1"/>
  <c r="B941" i="1"/>
  <c r="E941" i="1"/>
  <c r="I941" i="1"/>
  <c r="S941" i="1"/>
  <c r="B942" i="1"/>
  <c r="E942" i="1"/>
  <c r="I942" i="1"/>
  <c r="S942" i="1"/>
  <c r="B943" i="1"/>
  <c r="E943" i="1"/>
  <c r="I943" i="1"/>
  <c r="S943" i="1"/>
  <c r="B944" i="1"/>
  <c r="E944" i="1"/>
  <c r="I944" i="1"/>
  <c r="S944" i="1"/>
  <c r="B945" i="1"/>
  <c r="E945" i="1"/>
  <c r="I945" i="1"/>
  <c r="S945" i="1"/>
  <c r="B946" i="1"/>
  <c r="E946" i="1"/>
  <c r="I946" i="1"/>
  <c r="S946" i="1"/>
  <c r="B947" i="1"/>
  <c r="E947" i="1"/>
  <c r="I947" i="1"/>
  <c r="S947" i="1"/>
  <c r="B948" i="1"/>
  <c r="E948" i="1"/>
  <c r="I948" i="1"/>
  <c r="S948" i="1"/>
  <c r="B949" i="1"/>
  <c r="E949" i="1"/>
  <c r="I949" i="1"/>
  <c r="S949" i="1"/>
  <c r="B950" i="1"/>
  <c r="E950" i="1"/>
  <c r="I950" i="1"/>
  <c r="S950" i="1"/>
  <c r="B951" i="1"/>
  <c r="E951" i="1"/>
  <c r="I951" i="1"/>
  <c r="S951" i="1"/>
  <c r="B952" i="1"/>
  <c r="E952" i="1"/>
  <c r="I952" i="1"/>
  <c r="S952" i="1"/>
  <c r="B953" i="1"/>
  <c r="E953" i="1"/>
  <c r="I953" i="1"/>
  <c r="S953" i="1"/>
  <c r="B954" i="1"/>
  <c r="E954" i="1"/>
  <c r="I954" i="1"/>
  <c r="S954" i="1"/>
  <c r="B955" i="1"/>
  <c r="E955" i="1"/>
  <c r="I955" i="1"/>
  <c r="S955" i="1"/>
  <c r="B956" i="1"/>
  <c r="E956" i="1"/>
  <c r="I956" i="1"/>
  <c r="S956" i="1"/>
  <c r="B957" i="1"/>
  <c r="E957" i="1"/>
  <c r="I957" i="1"/>
  <c r="S957" i="1"/>
  <c r="B958" i="1"/>
  <c r="E958" i="1"/>
  <c r="I958" i="1"/>
  <c r="S958" i="1"/>
  <c r="B959" i="1"/>
  <c r="E959" i="1"/>
  <c r="I959" i="1"/>
  <c r="S959" i="1"/>
  <c r="B960" i="1"/>
  <c r="E960" i="1"/>
  <c r="I960" i="1"/>
  <c r="S960" i="1"/>
  <c r="B961" i="1"/>
  <c r="E961" i="1"/>
  <c r="I961" i="1"/>
  <c r="S961" i="1"/>
  <c r="B962" i="1"/>
  <c r="E962" i="1"/>
  <c r="I962" i="1"/>
  <c r="S962" i="1"/>
  <c r="B963" i="1"/>
  <c r="E963" i="1"/>
  <c r="I963" i="1"/>
  <c r="S963" i="1"/>
  <c r="B964" i="1"/>
  <c r="E964" i="1"/>
  <c r="I964" i="1"/>
  <c r="S964" i="1"/>
  <c r="B965" i="1"/>
  <c r="E965" i="1"/>
  <c r="I965" i="1"/>
  <c r="S965" i="1"/>
  <c r="B966" i="1"/>
  <c r="E966" i="1"/>
  <c r="I966" i="1"/>
  <c r="S966" i="1"/>
  <c r="B967" i="1"/>
  <c r="E967" i="1"/>
  <c r="I967" i="1"/>
  <c r="S967" i="1"/>
  <c r="B968" i="1"/>
  <c r="E968" i="1"/>
  <c r="I968" i="1"/>
  <c r="S968" i="1"/>
  <c r="B969" i="1"/>
  <c r="E969" i="1"/>
  <c r="I969" i="1"/>
  <c r="S969" i="1"/>
  <c r="B970" i="1"/>
  <c r="E970" i="1"/>
  <c r="I970" i="1"/>
  <c r="S970" i="1"/>
  <c r="B971" i="1"/>
  <c r="E971" i="1"/>
  <c r="I971" i="1"/>
  <c r="S971" i="1"/>
  <c r="B972" i="1"/>
  <c r="E972" i="1"/>
  <c r="I972" i="1"/>
  <c r="S972" i="1"/>
  <c r="B973" i="1"/>
  <c r="E973" i="1"/>
  <c r="I973" i="1"/>
  <c r="S973" i="1"/>
  <c r="B974" i="1"/>
  <c r="E974" i="1"/>
  <c r="I974" i="1"/>
  <c r="S974" i="1"/>
  <c r="B975" i="1"/>
  <c r="E975" i="1"/>
  <c r="I975" i="1"/>
  <c r="S975" i="1"/>
  <c r="B976" i="1"/>
  <c r="E976" i="1"/>
  <c r="I976" i="1"/>
  <c r="S976" i="1"/>
  <c r="B977" i="1"/>
  <c r="E977" i="1"/>
  <c r="I977" i="1"/>
  <c r="S977" i="1"/>
  <c r="B978" i="1"/>
  <c r="E978" i="1"/>
  <c r="I978" i="1"/>
  <c r="S978" i="1"/>
  <c r="B979" i="1"/>
  <c r="E979" i="1"/>
  <c r="I979" i="1"/>
  <c r="S979" i="1"/>
  <c r="B980" i="1"/>
  <c r="E980" i="1"/>
  <c r="I980" i="1"/>
  <c r="S980" i="1"/>
  <c r="B981" i="1"/>
  <c r="E981" i="1"/>
  <c r="I981" i="1"/>
  <c r="S981" i="1"/>
  <c r="B982" i="1"/>
  <c r="E982" i="1"/>
  <c r="I982" i="1"/>
  <c r="S982" i="1"/>
  <c r="B983" i="1"/>
  <c r="E983" i="1"/>
  <c r="I983" i="1"/>
  <c r="S983" i="1"/>
  <c r="B984" i="1"/>
  <c r="E984" i="1"/>
  <c r="I984" i="1"/>
  <c r="S984" i="1"/>
  <c r="B985" i="1"/>
  <c r="E985" i="1"/>
  <c r="I985" i="1"/>
  <c r="S985" i="1"/>
  <c r="B986" i="1"/>
  <c r="E986" i="1"/>
  <c r="I986" i="1"/>
  <c r="S986" i="1"/>
  <c r="B987" i="1"/>
  <c r="E987" i="1"/>
  <c r="I987" i="1"/>
  <c r="S987" i="1"/>
  <c r="B988" i="1"/>
  <c r="E988" i="1"/>
  <c r="I988" i="1"/>
  <c r="S988" i="1"/>
  <c r="B989" i="1"/>
  <c r="E989" i="1"/>
  <c r="I989" i="1"/>
  <c r="S989" i="1"/>
  <c r="B990" i="1"/>
  <c r="E990" i="1"/>
  <c r="I990" i="1"/>
  <c r="S990" i="1"/>
  <c r="B991" i="1"/>
  <c r="E991" i="1"/>
  <c r="I991" i="1"/>
  <c r="S991" i="1"/>
  <c r="B992" i="1"/>
  <c r="E992" i="1"/>
  <c r="I992" i="1"/>
  <c r="S992" i="1"/>
  <c r="B993" i="1"/>
  <c r="E993" i="1"/>
  <c r="I993" i="1"/>
  <c r="S993" i="1"/>
  <c r="B994" i="1"/>
  <c r="E994" i="1"/>
  <c r="I994" i="1"/>
  <c r="S994" i="1"/>
  <c r="B995" i="1"/>
  <c r="E995" i="1"/>
  <c r="I995" i="1"/>
  <c r="S995" i="1"/>
  <c r="B996" i="1"/>
  <c r="E996" i="1"/>
  <c r="I996" i="1"/>
  <c r="S996" i="1"/>
  <c r="B997" i="1"/>
  <c r="E997" i="1"/>
  <c r="I997" i="1"/>
  <c r="S997" i="1"/>
  <c r="B998" i="1"/>
  <c r="E998" i="1"/>
  <c r="I998" i="1"/>
  <c r="S998" i="1"/>
  <c r="B999" i="1"/>
  <c r="E999" i="1"/>
  <c r="I999" i="1"/>
  <c r="S999" i="1"/>
  <c r="B1000" i="1"/>
  <c r="E1000" i="1"/>
  <c r="I1000" i="1"/>
  <c r="S1000" i="1"/>
  <c r="B1001" i="1"/>
  <c r="E1001" i="1"/>
  <c r="I1001" i="1"/>
  <c r="S1001" i="1"/>
  <c r="B1002" i="1"/>
  <c r="E1002" i="1"/>
  <c r="I1002" i="1"/>
  <c r="S1002" i="1"/>
  <c r="B1003" i="1"/>
  <c r="E1003" i="1"/>
  <c r="I1003" i="1"/>
  <c r="S1003" i="1"/>
  <c r="B1004" i="1"/>
  <c r="E1004" i="1"/>
  <c r="I1004" i="1"/>
  <c r="S1004" i="1"/>
  <c r="B1005" i="1"/>
  <c r="E1005" i="1"/>
  <c r="I1005" i="1"/>
  <c r="S1005" i="1"/>
  <c r="B1006" i="1"/>
  <c r="E1006" i="1"/>
  <c r="I1006" i="1"/>
  <c r="S1006" i="1"/>
  <c r="B1007" i="1"/>
  <c r="E1007" i="1"/>
  <c r="I1007" i="1"/>
  <c r="S1007" i="1"/>
  <c r="B1008" i="1"/>
  <c r="E1008" i="1"/>
  <c r="I1008" i="1"/>
  <c r="S1008" i="1"/>
  <c r="B1009" i="1"/>
  <c r="E1009" i="1"/>
  <c r="I1009" i="1"/>
  <c r="S1009" i="1"/>
  <c r="B1010" i="1"/>
  <c r="E1010" i="1"/>
  <c r="I1010" i="1"/>
  <c r="S1010" i="1"/>
  <c r="B1011" i="1"/>
  <c r="E1011" i="1"/>
  <c r="I1011" i="1"/>
  <c r="S1011" i="1"/>
  <c r="B1012" i="1"/>
  <c r="E1012" i="1"/>
  <c r="I1012" i="1"/>
  <c r="S1012" i="1"/>
  <c r="B1013" i="1"/>
  <c r="E1013" i="1"/>
  <c r="I1013" i="1"/>
  <c r="S1013" i="1"/>
  <c r="B1014" i="1"/>
  <c r="E1014" i="1"/>
  <c r="I1014" i="1"/>
  <c r="S1014" i="1"/>
  <c r="B1015" i="1"/>
  <c r="E1015" i="1"/>
  <c r="I1015" i="1"/>
  <c r="S1015" i="1"/>
  <c r="B1016" i="1"/>
  <c r="E1016" i="1"/>
  <c r="I1016" i="1"/>
  <c r="S1016" i="1"/>
  <c r="B1017" i="1"/>
  <c r="E1017" i="1"/>
  <c r="I1017" i="1"/>
  <c r="S1017" i="1"/>
  <c r="B1018" i="1"/>
  <c r="E1018" i="1"/>
  <c r="I1018" i="1"/>
  <c r="S1018" i="1"/>
  <c r="B1019" i="1"/>
  <c r="E1019" i="1"/>
  <c r="I1019" i="1"/>
  <c r="S1019" i="1"/>
  <c r="B1020" i="1"/>
  <c r="E1020" i="1"/>
  <c r="I1020" i="1"/>
  <c r="S1020" i="1"/>
  <c r="B1021" i="1"/>
  <c r="E1021" i="1"/>
  <c r="I1021" i="1"/>
  <c r="S1021" i="1"/>
  <c r="B1022" i="1"/>
  <c r="E1022" i="1"/>
  <c r="I1022" i="1"/>
  <c r="S1022" i="1"/>
  <c r="B1023" i="1"/>
  <c r="E1023" i="1"/>
  <c r="I1023" i="1"/>
  <c r="S1023" i="1"/>
  <c r="B1024" i="1"/>
  <c r="E1024" i="1"/>
  <c r="I1024" i="1"/>
  <c r="S1024" i="1"/>
  <c r="B1025" i="1"/>
  <c r="E1025" i="1"/>
  <c r="I1025" i="1"/>
  <c r="S1025" i="1"/>
  <c r="B1026" i="1"/>
  <c r="E1026" i="1"/>
  <c r="I1026" i="1"/>
  <c r="S1026" i="1"/>
  <c r="B1027" i="1"/>
  <c r="E1027" i="1"/>
  <c r="I1027" i="1"/>
  <c r="S1027" i="1"/>
  <c r="B1028" i="1"/>
  <c r="E1028" i="1"/>
  <c r="I1028" i="1"/>
  <c r="S1028" i="1"/>
  <c r="B1029" i="1"/>
  <c r="E1029" i="1"/>
  <c r="I1029" i="1"/>
  <c r="S1029" i="1"/>
  <c r="B1030" i="1"/>
  <c r="E1030" i="1"/>
  <c r="I1030" i="1"/>
  <c r="S1030" i="1"/>
  <c r="B1031" i="1"/>
  <c r="E1031" i="1"/>
  <c r="I1031" i="1"/>
  <c r="S1031" i="1"/>
  <c r="B1032" i="1"/>
  <c r="E1032" i="1"/>
  <c r="I1032" i="1"/>
  <c r="S1032" i="1"/>
  <c r="B1033" i="1"/>
  <c r="E1033" i="1"/>
  <c r="I1033" i="1"/>
  <c r="S1033" i="1"/>
  <c r="B1034" i="1"/>
  <c r="E1034" i="1"/>
  <c r="I1034" i="1"/>
  <c r="S1034" i="1"/>
  <c r="B1035" i="1"/>
  <c r="E1035" i="1"/>
  <c r="I1035" i="1"/>
  <c r="S1035" i="1"/>
  <c r="B1036" i="1"/>
  <c r="E1036" i="1"/>
  <c r="I1036" i="1"/>
  <c r="S1036" i="1"/>
  <c r="B1037" i="1"/>
  <c r="E1037" i="1"/>
  <c r="I1037" i="1"/>
  <c r="S1037" i="1"/>
  <c r="B1038" i="1"/>
  <c r="E1038" i="1"/>
  <c r="I1038" i="1"/>
  <c r="S1038" i="1"/>
  <c r="B1039" i="1"/>
  <c r="E1039" i="1"/>
  <c r="I1039" i="1"/>
  <c r="S1039" i="1"/>
  <c r="B1040" i="1"/>
  <c r="E1040" i="1"/>
  <c r="I1040" i="1"/>
  <c r="S1040" i="1"/>
  <c r="B1041" i="1"/>
  <c r="E1041" i="1"/>
  <c r="I1041" i="1"/>
  <c r="S1041" i="1"/>
  <c r="B1042" i="1"/>
  <c r="E1042" i="1"/>
  <c r="I1042" i="1"/>
  <c r="S1042" i="1"/>
  <c r="B1043" i="1"/>
  <c r="E1043" i="1"/>
  <c r="I1043" i="1"/>
  <c r="S1043" i="1"/>
  <c r="B1044" i="1"/>
  <c r="E1044" i="1"/>
  <c r="I1044" i="1"/>
  <c r="S1044" i="1"/>
  <c r="B1045" i="1"/>
  <c r="E1045" i="1"/>
  <c r="I1045" i="1"/>
  <c r="S1045" i="1"/>
  <c r="B1046" i="1"/>
  <c r="E1046" i="1"/>
  <c r="I1046" i="1"/>
  <c r="S1046" i="1"/>
  <c r="B1047" i="1"/>
  <c r="E1047" i="1"/>
  <c r="I1047" i="1"/>
  <c r="S1047" i="1"/>
  <c r="B1048" i="1"/>
  <c r="E1048" i="1"/>
  <c r="I1048" i="1"/>
  <c r="S1048" i="1"/>
  <c r="B1049" i="1"/>
  <c r="E1049" i="1"/>
  <c r="I1049" i="1"/>
  <c r="S1049" i="1"/>
  <c r="B1050" i="1"/>
  <c r="E1050" i="1"/>
  <c r="I1050" i="1"/>
  <c r="S1050" i="1"/>
  <c r="B1051" i="1"/>
  <c r="E1051" i="1"/>
  <c r="I1051" i="1"/>
  <c r="S1051" i="1"/>
  <c r="B1052" i="1"/>
  <c r="E1052" i="1"/>
  <c r="I1052" i="1"/>
  <c r="S1052" i="1"/>
  <c r="B1053" i="1"/>
  <c r="E1053" i="1"/>
  <c r="I1053" i="1"/>
  <c r="S1053" i="1"/>
  <c r="B1054" i="1"/>
  <c r="E1054" i="1"/>
  <c r="I1054" i="1"/>
  <c r="S1054" i="1"/>
  <c r="B1055" i="1"/>
  <c r="E1055" i="1"/>
  <c r="I1055" i="1"/>
  <c r="S1055" i="1"/>
  <c r="B1056" i="1"/>
  <c r="E1056" i="1"/>
  <c r="I1056" i="1"/>
  <c r="S1056" i="1"/>
  <c r="B1057" i="1"/>
  <c r="E1057" i="1"/>
  <c r="I1057" i="1"/>
  <c r="S1057" i="1"/>
  <c r="B1058" i="1"/>
  <c r="E1058" i="1"/>
  <c r="I1058" i="1"/>
  <c r="S1058" i="1"/>
  <c r="B1059" i="1"/>
  <c r="E1059" i="1"/>
  <c r="I1059" i="1"/>
  <c r="S1059" i="1"/>
  <c r="B1060" i="1"/>
  <c r="E1060" i="1"/>
  <c r="I1060" i="1"/>
  <c r="S1060" i="1"/>
  <c r="B1061" i="1"/>
  <c r="E1061" i="1"/>
  <c r="I1061" i="1"/>
  <c r="S1061" i="1"/>
  <c r="B1062" i="1"/>
  <c r="E1062" i="1"/>
  <c r="I1062" i="1"/>
  <c r="S1062" i="1"/>
  <c r="B1063" i="1"/>
  <c r="E1063" i="1"/>
  <c r="I1063" i="1"/>
  <c r="S1063" i="1"/>
  <c r="B1064" i="1"/>
  <c r="E1064" i="1"/>
  <c r="I1064" i="1"/>
  <c r="S1064" i="1"/>
  <c r="B1065" i="1"/>
  <c r="E1065" i="1"/>
  <c r="I1065" i="1"/>
  <c r="S1065" i="1"/>
  <c r="B1066" i="1"/>
  <c r="E1066" i="1"/>
  <c r="I1066" i="1"/>
  <c r="S1066" i="1"/>
  <c r="B1067" i="1"/>
  <c r="E1067" i="1"/>
  <c r="I1067" i="1"/>
  <c r="S1067" i="1"/>
  <c r="B1068" i="1"/>
  <c r="E1068" i="1"/>
  <c r="I1068" i="1"/>
  <c r="S1068" i="1"/>
  <c r="B1069" i="1"/>
  <c r="E1069" i="1"/>
  <c r="I1069" i="1"/>
  <c r="S1069" i="1"/>
  <c r="B1070" i="1"/>
  <c r="E1070" i="1"/>
  <c r="I1070" i="1"/>
  <c r="S1070" i="1"/>
  <c r="B1071" i="1"/>
  <c r="E1071" i="1"/>
  <c r="I1071" i="1"/>
  <c r="S1071" i="1"/>
  <c r="B1072" i="1"/>
  <c r="E1072" i="1"/>
  <c r="I1072" i="1"/>
  <c r="S1072" i="1"/>
  <c r="B1073" i="1"/>
  <c r="E1073" i="1"/>
  <c r="I1073" i="1"/>
  <c r="S1073" i="1"/>
  <c r="B1074" i="1"/>
  <c r="E1074" i="1"/>
  <c r="I1074" i="1"/>
  <c r="S1074" i="1"/>
  <c r="B1075" i="1"/>
  <c r="E1075" i="1"/>
  <c r="I1075" i="1"/>
  <c r="S1075" i="1"/>
  <c r="B1076" i="1"/>
  <c r="E1076" i="1"/>
  <c r="I1076" i="1"/>
  <c r="S1076" i="1"/>
  <c r="B1077" i="1"/>
  <c r="E1077" i="1"/>
  <c r="I1077" i="1"/>
  <c r="S1077" i="1"/>
  <c r="B1078" i="1"/>
  <c r="E1078" i="1"/>
  <c r="I1078" i="1"/>
  <c r="S1078" i="1"/>
  <c r="B1079" i="1"/>
  <c r="E1079" i="1"/>
  <c r="I1079" i="1"/>
  <c r="S1079" i="1"/>
  <c r="B1080" i="1"/>
  <c r="E1080" i="1"/>
  <c r="I1080" i="1"/>
  <c r="S1080" i="1"/>
  <c r="B1081" i="1"/>
  <c r="E1081" i="1"/>
  <c r="I1081" i="1"/>
  <c r="S1081" i="1"/>
  <c r="B1082" i="1"/>
  <c r="E1082" i="1"/>
  <c r="I1082" i="1"/>
  <c r="S1082" i="1"/>
  <c r="B1083" i="1"/>
  <c r="E1083" i="1"/>
  <c r="I1083" i="1"/>
  <c r="S1083" i="1"/>
  <c r="B1084" i="1"/>
  <c r="E1084" i="1"/>
  <c r="I1084" i="1"/>
  <c r="S1084" i="1"/>
  <c r="B1085" i="1"/>
  <c r="E1085" i="1"/>
  <c r="I1085" i="1"/>
  <c r="S1085" i="1"/>
  <c r="B1086" i="1"/>
  <c r="E1086" i="1"/>
  <c r="I1086" i="1"/>
  <c r="S1086" i="1"/>
  <c r="B1087" i="1"/>
  <c r="E1087" i="1"/>
  <c r="I1087" i="1"/>
  <c r="S1087" i="1"/>
  <c r="B1088" i="1"/>
  <c r="E1088" i="1"/>
  <c r="I1088" i="1"/>
  <c r="S1088" i="1"/>
  <c r="B1089" i="1"/>
  <c r="E1089" i="1"/>
  <c r="I1089" i="1"/>
  <c r="S1089" i="1"/>
  <c r="B1090" i="1"/>
  <c r="E1090" i="1"/>
  <c r="I1090" i="1"/>
  <c r="S1090" i="1"/>
  <c r="B1091" i="1"/>
  <c r="E1091" i="1"/>
  <c r="I1091" i="1"/>
  <c r="S1091" i="1"/>
  <c r="B1092" i="1"/>
  <c r="E1092" i="1"/>
  <c r="I1092" i="1"/>
  <c r="S1092" i="1"/>
  <c r="B1093" i="1"/>
  <c r="E1093" i="1"/>
  <c r="I1093" i="1"/>
  <c r="S1093" i="1"/>
  <c r="B1094" i="1"/>
  <c r="E1094" i="1"/>
  <c r="I1094" i="1"/>
  <c r="S1094" i="1"/>
  <c r="B1095" i="1"/>
  <c r="E1095" i="1"/>
  <c r="I1095" i="1"/>
  <c r="S1095" i="1"/>
  <c r="B1096" i="1"/>
  <c r="E1096" i="1"/>
  <c r="I1096" i="1"/>
  <c r="S1096" i="1"/>
  <c r="B1097" i="1"/>
  <c r="E1097" i="1"/>
  <c r="I1097" i="1"/>
  <c r="S1097" i="1"/>
  <c r="B1098" i="1"/>
  <c r="E1098" i="1"/>
  <c r="I1098" i="1"/>
  <c r="S1098" i="1"/>
  <c r="B1099" i="1"/>
  <c r="E1099" i="1"/>
  <c r="I1099" i="1"/>
  <c r="S1099" i="1"/>
  <c r="B1100" i="1"/>
  <c r="E1100" i="1"/>
  <c r="I1100" i="1"/>
  <c r="S1100" i="1"/>
  <c r="B1101" i="1"/>
  <c r="E1101" i="1"/>
  <c r="I1101" i="1"/>
  <c r="S1101" i="1"/>
  <c r="B1102" i="1"/>
  <c r="E1102" i="1"/>
  <c r="I1102" i="1"/>
  <c r="S1102" i="1"/>
  <c r="B1103" i="1"/>
  <c r="E1103" i="1"/>
  <c r="I1103" i="1"/>
  <c r="S1103" i="1"/>
  <c r="B1104" i="1"/>
  <c r="E1104" i="1"/>
  <c r="I1104" i="1"/>
  <c r="S1104" i="1"/>
  <c r="B1105" i="1"/>
  <c r="E1105" i="1"/>
  <c r="I1105" i="1"/>
  <c r="S1105" i="1"/>
  <c r="B1106" i="1"/>
  <c r="E1106" i="1"/>
  <c r="I1106" i="1"/>
  <c r="S1106" i="1"/>
  <c r="B1107" i="1"/>
  <c r="E1107" i="1"/>
  <c r="I1107" i="1"/>
  <c r="S1107" i="1"/>
  <c r="B1108" i="1"/>
  <c r="E1108" i="1"/>
  <c r="I1108" i="1"/>
  <c r="S1108" i="1"/>
  <c r="B1109" i="1"/>
  <c r="E1109" i="1"/>
  <c r="I1109" i="1"/>
  <c r="S1109" i="1"/>
  <c r="B1110" i="1"/>
  <c r="E1110" i="1"/>
  <c r="I1110" i="1"/>
  <c r="S1110" i="1"/>
  <c r="B1111" i="1"/>
  <c r="E1111" i="1"/>
  <c r="I1111" i="1"/>
  <c r="S1111" i="1"/>
  <c r="B1112" i="1"/>
  <c r="E1112" i="1"/>
  <c r="I1112" i="1"/>
  <c r="S1112" i="1"/>
  <c r="B1113" i="1"/>
  <c r="E1113" i="1"/>
  <c r="I1113" i="1"/>
  <c r="S1113" i="1"/>
  <c r="B1114" i="1"/>
  <c r="E1114" i="1"/>
  <c r="I1114" i="1"/>
  <c r="S1114" i="1"/>
  <c r="B1115" i="1"/>
  <c r="E1115" i="1"/>
  <c r="I1115" i="1"/>
  <c r="S1115" i="1"/>
  <c r="B1116" i="1"/>
  <c r="E1116" i="1"/>
  <c r="I1116" i="1"/>
  <c r="S1116" i="1"/>
  <c r="B1117" i="1"/>
  <c r="E1117" i="1"/>
  <c r="I1117" i="1"/>
  <c r="S1117" i="1"/>
  <c r="B1118" i="1"/>
  <c r="E1118" i="1"/>
  <c r="I1118" i="1"/>
  <c r="S1118" i="1"/>
  <c r="B1119" i="1"/>
  <c r="E1119" i="1"/>
  <c r="I1119" i="1"/>
  <c r="S1119" i="1"/>
  <c r="B1120" i="1"/>
  <c r="E1120" i="1"/>
  <c r="I1120" i="1"/>
  <c r="S1120" i="1"/>
  <c r="B1121" i="1"/>
  <c r="E1121" i="1"/>
  <c r="I1121" i="1"/>
  <c r="S1121" i="1"/>
  <c r="B1122" i="1"/>
  <c r="E1122" i="1"/>
  <c r="I1122" i="1"/>
  <c r="S1122" i="1"/>
  <c r="B1123" i="1"/>
  <c r="E1123" i="1"/>
  <c r="I1123" i="1"/>
  <c r="S1123" i="1"/>
  <c r="B1124" i="1"/>
  <c r="E1124" i="1"/>
  <c r="I1124" i="1"/>
  <c r="S1124" i="1"/>
  <c r="B1125" i="1"/>
  <c r="E1125" i="1"/>
  <c r="I1125" i="1"/>
  <c r="S1125" i="1"/>
  <c r="B1126" i="1"/>
  <c r="E1126" i="1"/>
  <c r="I1126" i="1"/>
  <c r="S1126" i="1"/>
  <c r="B1127" i="1"/>
  <c r="E1127" i="1"/>
  <c r="I1127" i="1"/>
  <c r="S1127" i="1"/>
  <c r="B1128" i="1"/>
  <c r="E1128" i="1"/>
  <c r="I1128" i="1"/>
  <c r="S1128" i="1"/>
  <c r="B1129" i="1"/>
  <c r="E1129" i="1"/>
  <c r="I1129" i="1"/>
  <c r="S1129" i="1"/>
  <c r="B1130" i="1"/>
  <c r="E1130" i="1"/>
  <c r="I1130" i="1"/>
  <c r="S1130" i="1"/>
  <c r="B1131" i="1"/>
  <c r="E1131" i="1"/>
  <c r="I1131" i="1"/>
  <c r="S1131" i="1"/>
  <c r="B1132" i="1"/>
  <c r="E1132" i="1"/>
  <c r="I1132" i="1"/>
  <c r="S1132" i="1"/>
  <c r="B1133" i="1"/>
  <c r="E1133" i="1"/>
  <c r="I1133" i="1"/>
  <c r="S1133" i="1"/>
  <c r="B1134" i="1"/>
  <c r="E1134" i="1"/>
  <c r="I1134" i="1"/>
  <c r="S1134" i="1"/>
  <c r="B1135" i="1"/>
  <c r="E1135" i="1"/>
  <c r="I1135" i="1"/>
  <c r="S1135" i="1"/>
  <c r="B1136" i="1"/>
  <c r="E1136" i="1"/>
  <c r="I1136" i="1"/>
  <c r="S1136" i="1"/>
  <c r="B1137" i="1"/>
  <c r="E1137" i="1"/>
  <c r="I1137" i="1"/>
  <c r="S1137" i="1"/>
  <c r="B1138" i="1"/>
  <c r="E1138" i="1"/>
  <c r="I1138" i="1"/>
  <c r="S1138" i="1"/>
  <c r="B1139" i="1"/>
  <c r="E1139" i="1"/>
  <c r="I1139" i="1"/>
  <c r="S1139" i="1"/>
  <c r="B1140" i="1"/>
  <c r="E1140" i="1"/>
  <c r="I1140" i="1"/>
  <c r="S1140" i="1"/>
  <c r="B1141" i="1"/>
  <c r="E1141" i="1"/>
  <c r="I1141" i="1"/>
  <c r="S1141" i="1"/>
  <c r="B1142" i="1"/>
  <c r="E1142" i="1"/>
  <c r="I1142" i="1"/>
  <c r="S1142" i="1"/>
  <c r="B1143" i="1"/>
  <c r="E1143" i="1"/>
  <c r="I1143" i="1"/>
  <c r="S1143" i="1"/>
  <c r="B1144" i="1"/>
  <c r="E1144" i="1"/>
  <c r="I1144" i="1"/>
  <c r="S1144" i="1"/>
  <c r="B1145" i="1"/>
  <c r="E1145" i="1"/>
  <c r="I1145" i="1"/>
  <c r="S1145" i="1"/>
  <c r="B1146" i="1"/>
  <c r="E1146" i="1"/>
  <c r="I1146" i="1"/>
  <c r="S1146" i="1"/>
  <c r="B1147" i="1"/>
  <c r="E1147" i="1"/>
  <c r="I1147" i="1"/>
  <c r="S1147" i="1"/>
  <c r="B1148" i="1"/>
  <c r="E1148" i="1"/>
  <c r="I1148" i="1"/>
  <c r="S1148" i="1"/>
  <c r="B1149" i="1"/>
  <c r="E1149" i="1"/>
  <c r="I1149" i="1"/>
  <c r="S1149" i="1"/>
  <c r="B1150" i="1"/>
  <c r="E1150" i="1"/>
  <c r="I1150" i="1"/>
  <c r="S1150" i="1"/>
  <c r="B1151" i="1"/>
  <c r="E1151" i="1"/>
  <c r="I1151" i="1"/>
  <c r="S1151" i="1"/>
  <c r="B1152" i="1"/>
  <c r="E1152" i="1"/>
  <c r="I1152" i="1"/>
  <c r="S1152" i="1"/>
  <c r="B1153" i="1"/>
  <c r="E1153" i="1"/>
  <c r="I1153" i="1"/>
  <c r="S1153" i="1"/>
  <c r="B1154" i="1"/>
  <c r="E1154" i="1"/>
  <c r="I1154" i="1"/>
  <c r="S1154" i="1"/>
  <c r="B1155" i="1"/>
  <c r="E1155" i="1"/>
  <c r="I1155" i="1"/>
  <c r="S1155" i="1"/>
  <c r="B1156" i="1"/>
  <c r="E1156" i="1"/>
  <c r="I1156" i="1"/>
  <c r="S1156" i="1"/>
  <c r="B1157" i="1"/>
  <c r="E1157" i="1"/>
  <c r="I1157" i="1"/>
  <c r="S1157" i="1"/>
  <c r="B1158" i="1"/>
  <c r="E1158" i="1"/>
  <c r="I1158" i="1"/>
  <c r="S1158" i="1"/>
  <c r="B1159" i="1"/>
  <c r="E1159" i="1"/>
  <c r="I1159" i="1"/>
  <c r="S1159" i="1"/>
  <c r="B1160" i="1"/>
  <c r="E1160" i="1"/>
  <c r="I1160" i="1"/>
  <c r="S1160" i="1"/>
  <c r="B1161" i="1"/>
  <c r="E1161" i="1"/>
  <c r="I1161" i="1"/>
  <c r="S1161" i="1"/>
  <c r="B1162" i="1"/>
  <c r="E1162" i="1"/>
  <c r="I1162" i="1"/>
  <c r="S1162" i="1"/>
  <c r="B1163" i="1"/>
  <c r="E1163" i="1"/>
  <c r="I1163" i="1"/>
  <c r="S1163" i="1"/>
  <c r="B1164" i="1"/>
  <c r="E1164" i="1"/>
  <c r="I1164" i="1"/>
  <c r="S1164" i="1"/>
  <c r="B1165" i="1"/>
  <c r="E1165" i="1"/>
  <c r="I1165" i="1"/>
  <c r="S1165" i="1"/>
  <c r="B1166" i="1"/>
  <c r="E1166" i="1"/>
  <c r="I1166" i="1"/>
  <c r="S1166" i="1"/>
  <c r="B1167" i="1"/>
  <c r="E1167" i="1"/>
  <c r="I1167" i="1"/>
  <c r="S1167" i="1"/>
  <c r="B1168" i="1"/>
  <c r="E1168" i="1"/>
  <c r="I1168" i="1"/>
  <c r="S1168" i="1"/>
  <c r="B1169" i="1"/>
  <c r="E1169" i="1"/>
  <c r="I1169" i="1"/>
  <c r="S1169" i="1"/>
  <c r="B1170" i="1"/>
  <c r="E1170" i="1"/>
  <c r="I1170" i="1"/>
  <c r="S1170" i="1"/>
  <c r="B1171" i="1"/>
  <c r="E1171" i="1"/>
  <c r="I1171" i="1"/>
  <c r="S1171" i="1"/>
  <c r="B1172" i="1"/>
  <c r="E1172" i="1"/>
  <c r="I1172" i="1"/>
  <c r="S1172" i="1"/>
  <c r="B1173" i="1"/>
  <c r="E1173" i="1"/>
  <c r="I1173" i="1"/>
  <c r="S1173" i="1"/>
  <c r="B1174" i="1"/>
  <c r="E1174" i="1"/>
  <c r="I1174" i="1"/>
  <c r="S1174" i="1"/>
  <c r="B1175" i="1"/>
  <c r="E1175" i="1"/>
  <c r="I1175" i="1"/>
  <c r="S1175" i="1"/>
  <c r="B1176" i="1"/>
  <c r="E1176" i="1"/>
  <c r="I1176" i="1"/>
  <c r="S1176" i="1"/>
  <c r="B1177" i="1"/>
  <c r="E1177" i="1"/>
  <c r="I1177" i="1"/>
  <c r="S1177" i="1"/>
  <c r="B1178" i="1"/>
  <c r="E1178" i="1"/>
  <c r="I1178" i="1"/>
  <c r="S1178" i="1"/>
  <c r="B1179" i="1"/>
  <c r="E1179" i="1"/>
  <c r="I1179" i="1"/>
  <c r="S1179" i="1"/>
  <c r="B1180" i="1"/>
  <c r="E1180" i="1"/>
  <c r="I1180" i="1"/>
  <c r="S1180" i="1"/>
  <c r="B1181" i="1"/>
  <c r="E1181" i="1"/>
  <c r="I1181" i="1"/>
  <c r="S1181" i="1"/>
  <c r="B1182" i="1"/>
  <c r="E1182" i="1"/>
  <c r="I1182" i="1"/>
  <c r="S1182" i="1"/>
  <c r="B1183" i="1"/>
  <c r="E1183" i="1"/>
  <c r="I1183" i="1"/>
  <c r="S1183" i="1"/>
  <c r="B1184" i="1"/>
  <c r="E1184" i="1"/>
  <c r="I1184" i="1"/>
  <c r="S1184" i="1"/>
  <c r="B1185" i="1"/>
  <c r="E1185" i="1"/>
  <c r="I1185" i="1"/>
  <c r="S1185" i="1"/>
  <c r="B1186" i="1"/>
  <c r="E1186" i="1"/>
  <c r="I1186" i="1"/>
  <c r="S1186" i="1"/>
  <c r="B1187" i="1"/>
  <c r="E1187" i="1"/>
  <c r="I1187" i="1"/>
  <c r="S1187" i="1"/>
  <c r="B1188" i="1"/>
  <c r="E1188" i="1"/>
  <c r="I1188" i="1"/>
  <c r="S1188" i="1"/>
  <c r="B1189" i="1"/>
  <c r="E1189" i="1"/>
  <c r="I1189" i="1"/>
  <c r="S1189" i="1"/>
  <c r="B1190" i="1"/>
  <c r="E1190" i="1"/>
  <c r="I1190" i="1"/>
  <c r="S1190" i="1"/>
  <c r="B1191" i="1"/>
  <c r="E1191" i="1"/>
  <c r="I1191" i="1"/>
  <c r="S1191" i="1"/>
  <c r="B1192" i="1"/>
  <c r="E1192" i="1"/>
  <c r="I1192" i="1"/>
  <c r="S1192" i="1"/>
  <c r="B1193" i="1"/>
  <c r="E1193" i="1"/>
  <c r="I1193" i="1"/>
  <c r="S1193" i="1"/>
  <c r="B1194" i="1"/>
  <c r="E1194" i="1"/>
  <c r="I1194" i="1"/>
  <c r="S1194" i="1"/>
  <c r="B1195" i="1"/>
  <c r="E1195" i="1"/>
  <c r="I1195" i="1"/>
  <c r="S1195" i="1"/>
  <c r="B1196" i="1"/>
  <c r="E1196" i="1"/>
  <c r="I1196" i="1"/>
  <c r="S1196" i="1"/>
  <c r="B1197" i="1"/>
  <c r="E1197" i="1"/>
  <c r="I1197" i="1"/>
  <c r="S1197" i="1"/>
  <c r="B1198" i="1"/>
  <c r="E1198" i="1"/>
  <c r="I1198" i="1"/>
  <c r="S1198" i="1"/>
  <c r="B1199" i="1"/>
  <c r="E1199" i="1"/>
  <c r="I1199" i="1"/>
  <c r="S1199" i="1"/>
  <c r="B1200" i="1"/>
  <c r="E1200" i="1"/>
  <c r="I1200" i="1"/>
  <c r="S1200" i="1"/>
  <c r="B1201" i="1"/>
  <c r="E1201" i="1"/>
  <c r="I1201" i="1"/>
  <c r="S1201" i="1"/>
  <c r="B1202" i="1"/>
  <c r="E1202" i="1"/>
  <c r="I1202" i="1"/>
  <c r="S1202" i="1"/>
  <c r="B1203" i="1"/>
  <c r="E1203" i="1"/>
  <c r="I1203" i="1"/>
  <c r="S1203" i="1"/>
  <c r="B1204" i="1"/>
  <c r="E1204" i="1"/>
  <c r="I1204" i="1"/>
  <c r="S1204" i="1"/>
  <c r="B1205" i="1"/>
  <c r="E1205" i="1"/>
  <c r="I1205" i="1"/>
  <c r="S1205" i="1"/>
  <c r="B1206" i="1"/>
  <c r="E1206" i="1"/>
  <c r="I1206" i="1"/>
  <c r="S1206" i="1"/>
  <c r="B1207" i="1"/>
  <c r="E1207" i="1"/>
  <c r="I1207" i="1"/>
  <c r="S1207" i="1"/>
  <c r="B1208" i="1"/>
  <c r="E1208" i="1"/>
  <c r="I1208" i="1"/>
  <c r="S1208" i="1"/>
  <c r="B1209" i="1"/>
  <c r="E1209" i="1"/>
  <c r="I1209" i="1"/>
  <c r="S1209" i="1"/>
  <c r="B1210" i="1"/>
  <c r="E1210" i="1"/>
  <c r="I1210" i="1"/>
  <c r="S1210" i="1"/>
  <c r="B1211" i="1"/>
  <c r="E1211" i="1"/>
  <c r="I1211" i="1"/>
  <c r="S1211" i="1"/>
  <c r="B1212" i="1"/>
  <c r="E1212" i="1"/>
  <c r="I1212" i="1"/>
  <c r="S1212" i="1"/>
  <c r="B1213" i="1"/>
  <c r="E1213" i="1"/>
  <c r="I1213" i="1"/>
  <c r="S1213" i="1"/>
  <c r="B1214" i="1"/>
  <c r="E1214" i="1"/>
  <c r="I1214" i="1"/>
  <c r="S1214" i="1"/>
  <c r="B1215" i="1"/>
  <c r="E1215" i="1"/>
  <c r="I1215" i="1"/>
  <c r="S1215" i="1"/>
  <c r="B1216" i="1"/>
  <c r="E1216" i="1"/>
  <c r="I1216" i="1"/>
  <c r="S1216" i="1"/>
  <c r="B1217" i="1"/>
  <c r="E1217" i="1"/>
  <c r="I1217" i="1"/>
  <c r="S1217" i="1"/>
  <c r="B1218" i="1"/>
  <c r="E1218" i="1"/>
  <c r="I1218" i="1"/>
  <c r="S1218" i="1"/>
  <c r="B1219" i="1"/>
  <c r="E1219" i="1"/>
  <c r="I1219" i="1"/>
  <c r="S1219" i="1"/>
  <c r="B1220" i="1"/>
  <c r="E1220" i="1"/>
  <c r="I1220" i="1"/>
  <c r="S1220" i="1"/>
  <c r="B1221" i="1"/>
  <c r="E1221" i="1"/>
  <c r="I1221" i="1"/>
  <c r="S1221" i="1"/>
  <c r="B1222" i="1"/>
  <c r="E1222" i="1"/>
  <c r="I1222" i="1"/>
  <c r="S1222" i="1"/>
  <c r="B1223" i="1"/>
  <c r="E1223" i="1"/>
  <c r="I1223" i="1"/>
  <c r="S1223" i="1"/>
  <c r="B1224" i="1"/>
  <c r="E1224" i="1"/>
  <c r="I1224" i="1"/>
  <c r="S1224" i="1"/>
  <c r="B1225" i="1"/>
  <c r="E1225" i="1"/>
  <c r="I1225" i="1"/>
  <c r="S1225" i="1"/>
  <c r="B1226" i="1"/>
  <c r="E1226" i="1"/>
  <c r="I1226" i="1"/>
  <c r="S1226" i="1"/>
  <c r="B1227" i="1"/>
  <c r="E1227" i="1"/>
  <c r="I1227" i="1"/>
  <c r="S1227" i="1"/>
  <c r="B1228" i="1"/>
  <c r="E1228" i="1"/>
  <c r="I1228" i="1"/>
  <c r="S1228" i="1"/>
  <c r="B1229" i="1"/>
  <c r="E1229" i="1"/>
  <c r="I1229" i="1"/>
  <c r="S1229" i="1"/>
  <c r="B1230" i="1"/>
  <c r="E1230" i="1"/>
  <c r="I1230" i="1"/>
  <c r="S1230" i="1"/>
  <c r="B1231" i="1"/>
  <c r="E1231" i="1"/>
  <c r="I1231" i="1"/>
  <c r="S1231" i="1"/>
  <c r="B1232" i="1"/>
  <c r="E1232" i="1"/>
  <c r="I1232" i="1"/>
  <c r="S1232" i="1"/>
  <c r="B1233" i="1"/>
  <c r="E1233" i="1"/>
  <c r="I1233" i="1"/>
  <c r="S1233" i="1"/>
  <c r="B1234" i="1"/>
  <c r="E1234" i="1"/>
  <c r="I1234" i="1"/>
  <c r="S1234" i="1"/>
  <c r="B1235" i="1"/>
  <c r="E1235" i="1"/>
  <c r="I1235" i="1"/>
  <c r="S1235" i="1"/>
  <c r="B1236" i="1"/>
  <c r="E1236" i="1"/>
  <c r="I1236" i="1"/>
  <c r="S1236" i="1"/>
  <c r="B1237" i="1"/>
  <c r="E1237" i="1"/>
  <c r="I1237" i="1"/>
  <c r="S1237" i="1"/>
  <c r="B1238" i="1"/>
  <c r="E1238" i="1"/>
  <c r="I1238" i="1"/>
  <c r="S1238" i="1"/>
  <c r="B1239" i="1"/>
  <c r="E1239" i="1"/>
  <c r="I1239" i="1"/>
  <c r="S1239" i="1"/>
  <c r="B1240" i="1"/>
  <c r="E1240" i="1"/>
  <c r="I1240" i="1"/>
  <c r="S1240" i="1"/>
  <c r="B1241" i="1"/>
  <c r="E1241" i="1"/>
  <c r="I1241" i="1"/>
  <c r="S1241" i="1"/>
  <c r="B1242" i="1"/>
  <c r="E1242" i="1"/>
  <c r="I1242" i="1"/>
  <c r="S1242" i="1"/>
  <c r="B1243" i="1"/>
  <c r="E1243" i="1"/>
  <c r="I1243" i="1"/>
  <c r="S1243" i="1"/>
  <c r="B1244" i="1"/>
  <c r="E1244" i="1"/>
  <c r="I1244" i="1"/>
  <c r="S1244" i="1"/>
  <c r="B1245" i="1"/>
  <c r="E1245" i="1"/>
  <c r="I1245" i="1"/>
  <c r="S1245" i="1"/>
  <c r="B1246" i="1"/>
  <c r="E1246" i="1"/>
  <c r="I1246" i="1"/>
  <c r="S1246" i="1"/>
  <c r="B1247" i="1"/>
  <c r="E1247" i="1"/>
  <c r="I1247" i="1"/>
  <c r="S1247" i="1"/>
  <c r="B1248" i="1"/>
  <c r="E1248" i="1"/>
  <c r="I1248" i="1"/>
  <c r="S1248" i="1"/>
  <c r="B1249" i="1"/>
  <c r="E1249" i="1"/>
  <c r="I1249" i="1"/>
  <c r="S1249" i="1"/>
  <c r="B1250" i="1"/>
  <c r="E1250" i="1"/>
  <c r="I1250" i="1"/>
  <c r="S1250" i="1"/>
  <c r="B1251" i="1"/>
  <c r="E1251" i="1"/>
  <c r="I1251" i="1"/>
  <c r="S1251" i="1"/>
  <c r="B1252" i="1"/>
  <c r="E1252" i="1"/>
  <c r="I1252" i="1"/>
  <c r="S1252" i="1"/>
  <c r="B1253" i="1"/>
  <c r="E1253" i="1"/>
  <c r="I1253" i="1"/>
  <c r="S1253" i="1"/>
  <c r="B1254" i="1"/>
  <c r="E1254" i="1"/>
  <c r="I1254" i="1"/>
  <c r="S1254" i="1"/>
  <c r="B1255" i="1"/>
  <c r="E1255" i="1"/>
  <c r="I1255" i="1"/>
  <c r="S1255" i="1"/>
  <c r="B1256" i="1"/>
  <c r="E1256" i="1"/>
  <c r="I1256" i="1"/>
  <c r="S1256" i="1"/>
  <c r="B1257" i="1"/>
  <c r="E1257" i="1"/>
  <c r="I1257" i="1"/>
  <c r="S1257" i="1"/>
  <c r="B1258" i="1"/>
  <c r="E1258" i="1"/>
  <c r="I1258" i="1"/>
  <c r="S1258" i="1"/>
  <c r="B1259" i="1"/>
  <c r="E1259" i="1"/>
  <c r="I1259" i="1"/>
  <c r="S1259" i="1"/>
  <c r="B1260" i="1"/>
  <c r="E1260" i="1"/>
  <c r="I1260" i="1"/>
  <c r="S1260" i="1"/>
  <c r="B1261" i="1"/>
  <c r="E1261" i="1"/>
  <c r="I1261" i="1"/>
  <c r="S1261" i="1"/>
  <c r="B1262" i="1"/>
  <c r="E1262" i="1"/>
  <c r="I1262" i="1"/>
  <c r="S1262" i="1"/>
  <c r="B1263" i="1"/>
  <c r="E1263" i="1"/>
  <c r="I1263" i="1"/>
  <c r="S1263" i="1"/>
  <c r="B1264" i="1"/>
  <c r="E1264" i="1"/>
  <c r="I1264" i="1"/>
  <c r="S1264" i="1"/>
  <c r="B1265" i="1"/>
  <c r="E1265" i="1"/>
  <c r="I1265" i="1"/>
  <c r="S1265" i="1"/>
  <c r="B1266" i="1"/>
  <c r="E1266" i="1"/>
  <c r="I1266" i="1"/>
  <c r="S1266" i="1"/>
  <c r="B1267" i="1"/>
  <c r="E1267" i="1"/>
  <c r="I1267" i="1"/>
  <c r="S1267" i="1"/>
  <c r="B1268" i="1"/>
  <c r="E1268" i="1"/>
  <c r="I1268" i="1"/>
  <c r="S1268" i="1"/>
  <c r="B1269" i="1"/>
  <c r="E1269" i="1"/>
  <c r="I1269" i="1"/>
  <c r="S1269" i="1"/>
  <c r="B1270" i="1"/>
  <c r="E1270" i="1"/>
  <c r="I1270" i="1"/>
  <c r="S1270" i="1"/>
  <c r="B1271" i="1"/>
  <c r="E1271" i="1"/>
  <c r="I1271" i="1"/>
  <c r="S1271" i="1"/>
  <c r="B1272" i="1"/>
  <c r="E1272" i="1"/>
  <c r="I1272" i="1"/>
  <c r="S1272" i="1"/>
  <c r="B1273" i="1"/>
  <c r="E1273" i="1"/>
  <c r="I1273" i="1"/>
  <c r="S1273" i="1"/>
  <c r="B1274" i="1"/>
  <c r="E1274" i="1"/>
  <c r="I1274" i="1"/>
  <c r="S1274" i="1"/>
  <c r="B1275" i="1"/>
  <c r="E1275" i="1"/>
  <c r="I1275" i="1"/>
  <c r="S1275" i="1"/>
  <c r="B1276" i="1"/>
  <c r="E1276" i="1"/>
  <c r="I1276" i="1"/>
  <c r="S1276" i="1"/>
  <c r="B1277" i="1"/>
  <c r="E1277" i="1"/>
  <c r="I1277" i="1"/>
  <c r="S1277" i="1"/>
  <c r="B1278" i="1"/>
  <c r="E1278" i="1"/>
  <c r="I1278" i="1"/>
  <c r="S1278" i="1"/>
  <c r="B1279" i="1"/>
  <c r="E1279" i="1"/>
  <c r="I1279" i="1"/>
  <c r="S1279" i="1"/>
  <c r="B1280" i="1"/>
  <c r="E1280" i="1"/>
  <c r="I1280" i="1"/>
  <c r="S1280" i="1"/>
  <c r="B1281" i="1"/>
  <c r="E1281" i="1"/>
  <c r="I1281" i="1"/>
  <c r="S1281" i="1"/>
  <c r="B1282" i="1"/>
  <c r="E1282" i="1"/>
  <c r="I1282" i="1"/>
  <c r="S1282" i="1"/>
  <c r="B1283" i="1"/>
  <c r="E1283" i="1"/>
  <c r="I1283" i="1"/>
  <c r="S1283" i="1"/>
  <c r="B1284" i="1"/>
  <c r="E1284" i="1"/>
  <c r="I1284" i="1"/>
  <c r="S1284" i="1"/>
  <c r="B1285" i="1"/>
  <c r="E1285" i="1"/>
  <c r="I1285" i="1"/>
  <c r="S1285" i="1"/>
  <c r="B1286" i="1"/>
  <c r="E1286" i="1"/>
  <c r="I1286" i="1"/>
  <c r="S1286" i="1"/>
  <c r="B1287" i="1"/>
  <c r="E1287" i="1"/>
  <c r="I1287" i="1"/>
  <c r="S1287" i="1"/>
  <c r="B1288" i="1"/>
  <c r="E1288" i="1"/>
  <c r="I1288" i="1"/>
  <c r="S1288" i="1"/>
  <c r="B1289" i="1"/>
  <c r="E1289" i="1"/>
  <c r="I1289" i="1"/>
  <c r="S1289" i="1"/>
  <c r="B1290" i="1"/>
  <c r="E1290" i="1"/>
  <c r="I1290" i="1"/>
  <c r="S1290" i="1"/>
  <c r="B1291" i="1"/>
  <c r="E1291" i="1"/>
  <c r="I1291" i="1"/>
  <c r="S1291" i="1"/>
  <c r="B1292" i="1"/>
  <c r="E1292" i="1"/>
  <c r="I1292" i="1"/>
  <c r="S1292" i="1"/>
  <c r="B1293" i="1"/>
  <c r="E1293" i="1"/>
  <c r="I1293" i="1"/>
  <c r="S1293" i="1"/>
  <c r="B1294" i="1"/>
  <c r="E1294" i="1"/>
  <c r="I1294" i="1"/>
  <c r="S1294" i="1"/>
  <c r="B1295" i="1"/>
  <c r="E1295" i="1"/>
  <c r="I1295" i="1"/>
  <c r="S1295" i="1"/>
  <c r="B1296" i="1"/>
  <c r="E1296" i="1"/>
  <c r="I1296" i="1"/>
  <c r="S1296" i="1"/>
  <c r="B1297" i="1"/>
  <c r="E1297" i="1"/>
  <c r="I1297" i="1"/>
  <c r="S1297" i="1"/>
  <c r="B1298" i="1"/>
  <c r="E1298" i="1"/>
  <c r="I1298" i="1"/>
  <c r="S1298" i="1"/>
  <c r="B1299" i="1"/>
  <c r="E1299" i="1"/>
  <c r="I1299" i="1"/>
  <c r="S1299" i="1"/>
  <c r="B1300" i="1"/>
  <c r="E1300" i="1"/>
  <c r="I1300" i="1"/>
  <c r="S1300" i="1"/>
  <c r="B1301" i="1"/>
  <c r="E1301" i="1"/>
  <c r="I1301" i="1"/>
  <c r="S1301" i="1"/>
  <c r="B1302" i="1"/>
  <c r="E1302" i="1"/>
  <c r="I1302" i="1"/>
  <c r="S1302" i="1"/>
  <c r="B1303" i="1"/>
  <c r="E1303" i="1"/>
  <c r="I1303" i="1"/>
  <c r="S1303" i="1"/>
  <c r="B1304" i="1"/>
  <c r="E1304" i="1"/>
  <c r="I1304" i="1"/>
  <c r="S1304" i="1"/>
  <c r="B1305" i="1"/>
  <c r="E1305" i="1"/>
  <c r="I1305" i="1"/>
  <c r="S1305" i="1"/>
  <c r="B1306" i="1"/>
  <c r="E1306" i="1"/>
  <c r="I1306" i="1"/>
  <c r="S1306" i="1"/>
  <c r="B1307" i="1"/>
  <c r="E1307" i="1"/>
  <c r="I1307" i="1"/>
  <c r="S1307" i="1"/>
  <c r="B1308" i="1"/>
  <c r="E1308" i="1"/>
  <c r="I1308" i="1"/>
  <c r="S1308" i="1"/>
  <c r="B1309" i="1"/>
  <c r="E1309" i="1"/>
  <c r="I1309" i="1"/>
  <c r="S1309" i="1"/>
  <c r="B1310" i="1"/>
  <c r="E1310" i="1"/>
  <c r="I1310" i="1"/>
  <c r="S1310" i="1"/>
  <c r="B1311" i="1"/>
  <c r="E1311" i="1"/>
  <c r="I1311" i="1"/>
  <c r="S1311" i="1"/>
  <c r="B1312" i="1"/>
  <c r="E1312" i="1"/>
  <c r="I1312" i="1"/>
  <c r="S1312" i="1"/>
  <c r="B1313" i="1"/>
  <c r="E1313" i="1"/>
  <c r="I1313" i="1"/>
  <c r="S1313" i="1"/>
  <c r="B1314" i="1"/>
  <c r="E1314" i="1"/>
  <c r="I1314" i="1"/>
  <c r="S1314" i="1"/>
  <c r="B1315" i="1"/>
  <c r="E1315" i="1"/>
  <c r="I1315" i="1"/>
  <c r="S1315" i="1"/>
  <c r="B1316" i="1"/>
  <c r="E1316" i="1"/>
  <c r="I1316" i="1"/>
  <c r="S1316" i="1"/>
  <c r="B1317" i="1"/>
  <c r="E1317" i="1"/>
  <c r="I1317" i="1"/>
  <c r="S1317" i="1"/>
  <c r="B1318" i="1"/>
  <c r="E1318" i="1"/>
  <c r="I1318" i="1"/>
  <c r="S1318" i="1"/>
  <c r="B1319" i="1"/>
  <c r="E1319" i="1"/>
  <c r="I1319" i="1"/>
  <c r="S1319" i="1"/>
  <c r="B1320" i="1"/>
  <c r="E1320" i="1"/>
  <c r="I1320" i="1"/>
  <c r="S1320" i="1"/>
  <c r="B1321" i="1"/>
  <c r="E1321" i="1"/>
  <c r="I1321" i="1"/>
  <c r="S1321" i="1"/>
  <c r="B1322" i="1"/>
  <c r="E1322" i="1"/>
  <c r="I1322" i="1"/>
  <c r="S1322" i="1"/>
  <c r="B1323" i="1"/>
  <c r="E1323" i="1"/>
  <c r="I1323" i="1"/>
  <c r="S1323" i="1"/>
  <c r="B1324" i="1"/>
  <c r="E1324" i="1"/>
  <c r="I1324" i="1"/>
  <c r="S1324" i="1"/>
  <c r="B1325" i="1"/>
  <c r="E1325" i="1"/>
  <c r="I1325" i="1"/>
  <c r="S1325" i="1"/>
  <c r="B1326" i="1"/>
  <c r="E1326" i="1"/>
  <c r="I1326" i="1"/>
  <c r="S1326" i="1"/>
  <c r="B1327" i="1"/>
  <c r="E1327" i="1"/>
  <c r="I1327" i="1"/>
  <c r="S1327" i="1"/>
  <c r="B1328" i="1"/>
  <c r="E1328" i="1"/>
  <c r="I1328" i="1"/>
  <c r="S1328" i="1"/>
  <c r="B1329" i="1"/>
  <c r="E1329" i="1"/>
  <c r="I1329" i="1"/>
  <c r="S1329" i="1"/>
  <c r="B1330" i="1"/>
  <c r="E1330" i="1"/>
  <c r="I1330" i="1"/>
  <c r="S1330" i="1"/>
  <c r="B1331" i="1"/>
  <c r="E1331" i="1"/>
  <c r="I1331" i="1"/>
  <c r="S1331" i="1"/>
  <c r="B1332" i="1"/>
  <c r="E1332" i="1"/>
  <c r="I1332" i="1"/>
  <c r="S1332" i="1"/>
  <c r="B1333" i="1"/>
  <c r="E1333" i="1"/>
  <c r="I1333" i="1"/>
  <c r="S1333" i="1"/>
  <c r="B1334" i="1"/>
  <c r="E1334" i="1"/>
  <c r="I1334" i="1"/>
  <c r="S1334" i="1"/>
  <c r="B1335" i="1"/>
  <c r="E1335" i="1"/>
  <c r="I1335" i="1"/>
  <c r="S1335" i="1"/>
  <c r="B1336" i="1"/>
  <c r="E1336" i="1"/>
  <c r="I1336" i="1"/>
  <c r="S1336" i="1"/>
  <c r="B1337" i="1"/>
  <c r="E1337" i="1"/>
  <c r="I1337" i="1"/>
  <c r="S1337" i="1"/>
  <c r="B1338" i="1"/>
  <c r="E1338" i="1"/>
  <c r="I1338" i="1"/>
  <c r="S1338" i="1"/>
  <c r="B1339" i="1"/>
  <c r="E1339" i="1"/>
  <c r="I1339" i="1"/>
  <c r="S1339" i="1"/>
  <c r="B1340" i="1"/>
  <c r="E1340" i="1"/>
  <c r="I1340" i="1"/>
  <c r="S1340" i="1"/>
  <c r="B1341" i="1"/>
  <c r="E1341" i="1"/>
  <c r="I1341" i="1"/>
  <c r="S1341" i="1"/>
  <c r="B1342" i="1"/>
  <c r="E1342" i="1"/>
  <c r="I1342" i="1"/>
  <c r="S1342" i="1"/>
  <c r="B1343" i="1"/>
  <c r="E1343" i="1"/>
  <c r="I1343" i="1"/>
  <c r="B1344" i="1"/>
  <c r="E1344" i="1"/>
  <c r="I1344" i="1"/>
  <c r="S1344" i="1"/>
  <c r="B1345" i="1"/>
  <c r="E1345" i="1"/>
  <c r="I1345" i="1"/>
  <c r="S1345" i="1"/>
  <c r="B1346" i="1"/>
  <c r="E1346" i="1"/>
  <c r="I1346" i="1"/>
  <c r="S1346" i="1"/>
  <c r="B1347" i="1"/>
  <c r="E1347" i="1"/>
  <c r="I1347" i="1"/>
  <c r="S1347" i="1"/>
  <c r="B1348" i="1"/>
  <c r="E1348" i="1"/>
  <c r="I1348" i="1"/>
  <c r="S1348" i="1"/>
  <c r="B1349" i="1"/>
  <c r="E1349" i="1"/>
  <c r="I1349" i="1"/>
  <c r="S1349" i="1"/>
  <c r="B1350" i="1"/>
  <c r="E1350" i="1"/>
  <c r="I1350" i="1"/>
  <c r="S1350" i="1"/>
  <c r="B1351" i="1"/>
  <c r="E1351" i="1"/>
  <c r="I1351" i="1"/>
  <c r="S1351" i="1"/>
  <c r="B1352" i="1"/>
  <c r="E1352" i="1"/>
  <c r="I1352" i="1"/>
  <c r="S1352" i="1"/>
  <c r="B1353" i="1"/>
  <c r="E1353" i="1"/>
  <c r="I1353" i="1"/>
  <c r="S1353" i="1"/>
  <c r="B1354" i="1"/>
  <c r="E1354" i="1"/>
  <c r="I1354" i="1"/>
  <c r="S1354" i="1"/>
  <c r="B1355" i="1"/>
  <c r="E1355" i="1"/>
  <c r="I1355" i="1"/>
  <c r="S1355" i="1"/>
  <c r="B1356" i="1"/>
  <c r="E1356" i="1"/>
  <c r="I1356" i="1"/>
  <c r="S1356" i="1"/>
  <c r="B1357" i="1"/>
  <c r="E1357" i="1"/>
  <c r="I1357" i="1"/>
  <c r="S1357" i="1"/>
  <c r="B1358" i="1"/>
  <c r="E1358" i="1"/>
  <c r="I1358" i="1"/>
  <c r="S1358" i="1"/>
  <c r="B1359" i="1"/>
  <c r="E1359" i="1"/>
  <c r="I1359" i="1"/>
  <c r="S1359" i="1"/>
  <c r="B1360" i="1"/>
  <c r="E1360" i="1"/>
  <c r="I1360" i="1"/>
  <c r="S1360" i="1"/>
  <c r="B1361" i="1"/>
  <c r="E1361" i="1"/>
  <c r="I1361" i="1"/>
  <c r="S1361" i="1"/>
  <c r="B1362" i="1"/>
  <c r="E1362" i="1"/>
  <c r="I1362" i="1"/>
  <c r="S1362" i="1"/>
  <c r="B1363" i="1"/>
  <c r="E1363" i="1"/>
  <c r="I1363" i="1"/>
  <c r="S1363" i="1"/>
  <c r="B1364" i="1"/>
  <c r="E1364" i="1"/>
  <c r="I1364" i="1"/>
  <c r="S1364" i="1"/>
  <c r="B1365" i="1"/>
  <c r="E1365" i="1"/>
  <c r="I1365" i="1"/>
  <c r="S1365" i="1"/>
  <c r="B1366" i="1"/>
  <c r="E1366" i="1"/>
  <c r="I1366" i="1"/>
  <c r="S1366" i="1"/>
  <c r="B1367" i="1"/>
  <c r="E1367" i="1"/>
  <c r="I1367" i="1"/>
  <c r="S1367" i="1"/>
  <c r="B1368" i="1"/>
  <c r="E1368" i="1"/>
  <c r="I1368" i="1"/>
  <c r="S1368" i="1"/>
  <c r="B1369" i="1"/>
  <c r="E1369" i="1"/>
  <c r="I1369" i="1"/>
  <c r="S1369" i="1"/>
  <c r="B1370" i="1"/>
  <c r="E1370" i="1"/>
  <c r="I1370" i="1"/>
  <c r="S1370" i="1"/>
  <c r="B1371" i="1"/>
  <c r="E1371" i="1"/>
  <c r="I1371" i="1"/>
  <c r="S1371" i="1"/>
  <c r="B1372" i="1"/>
  <c r="E1372" i="1"/>
  <c r="I1372" i="1"/>
  <c r="S1372" i="1"/>
  <c r="B1373" i="1"/>
  <c r="E1373" i="1"/>
  <c r="I1373" i="1"/>
  <c r="S1373" i="1"/>
  <c r="B1374" i="1"/>
  <c r="E1374" i="1"/>
  <c r="I1374" i="1"/>
  <c r="S1374" i="1"/>
  <c r="B1375" i="1"/>
  <c r="E1375" i="1"/>
  <c r="I1375" i="1"/>
  <c r="S1375" i="1"/>
  <c r="B1376" i="1"/>
  <c r="E1376" i="1"/>
  <c r="I1376" i="1"/>
  <c r="S1376" i="1"/>
  <c r="B1377" i="1"/>
  <c r="E1377" i="1"/>
  <c r="I1377" i="1"/>
  <c r="S1377" i="1"/>
  <c r="B1378" i="1"/>
  <c r="E1378" i="1"/>
  <c r="I1378" i="1"/>
  <c r="S1378" i="1"/>
  <c r="B1379" i="1"/>
  <c r="E1379" i="1"/>
  <c r="I1379" i="1"/>
  <c r="S1379" i="1"/>
  <c r="B1380" i="1"/>
  <c r="E1380" i="1"/>
  <c r="I1380" i="1"/>
  <c r="S1380" i="1"/>
  <c r="B1381" i="1"/>
  <c r="E1381" i="1"/>
  <c r="I1381" i="1"/>
  <c r="B1382" i="1"/>
  <c r="E1382" i="1"/>
  <c r="I1382" i="1"/>
  <c r="S1382" i="1"/>
  <c r="B1383" i="1"/>
  <c r="E1383" i="1"/>
  <c r="I1383" i="1"/>
  <c r="S1383" i="1"/>
  <c r="B1384" i="1"/>
  <c r="E1384" i="1"/>
  <c r="I1384" i="1"/>
  <c r="S1384" i="1"/>
  <c r="B1385" i="1"/>
  <c r="E1385" i="1"/>
  <c r="I1385" i="1"/>
  <c r="S1385" i="1"/>
  <c r="B1386" i="1"/>
  <c r="E1386" i="1"/>
  <c r="I1386" i="1"/>
  <c r="S1386" i="1"/>
  <c r="B1387" i="1"/>
  <c r="E1387" i="1"/>
  <c r="I1387" i="1"/>
  <c r="S1387" i="1"/>
  <c r="B1388" i="1"/>
  <c r="E1388" i="1"/>
  <c r="I1388" i="1"/>
  <c r="S1388" i="1"/>
  <c r="B1389" i="1"/>
  <c r="E1389" i="1"/>
  <c r="I1389" i="1"/>
  <c r="S1389" i="1"/>
  <c r="B1390" i="1"/>
  <c r="E1390" i="1"/>
  <c r="I1390" i="1"/>
  <c r="S1390" i="1"/>
  <c r="B1391" i="1"/>
  <c r="E1391" i="1"/>
  <c r="I1391" i="1"/>
  <c r="S1391" i="1"/>
  <c r="B1392" i="1"/>
  <c r="E1392" i="1"/>
  <c r="I1392" i="1"/>
  <c r="S1392" i="1"/>
  <c r="B1393" i="1"/>
  <c r="E1393" i="1"/>
  <c r="I1393" i="1"/>
  <c r="S1393" i="1"/>
  <c r="B1394" i="1"/>
  <c r="E1394" i="1"/>
  <c r="I1394" i="1"/>
  <c r="S1394" i="1"/>
  <c r="B1395" i="1"/>
  <c r="E1395" i="1"/>
  <c r="I1395" i="1"/>
  <c r="S1395" i="1"/>
  <c r="B1396" i="1"/>
  <c r="E1396" i="1"/>
  <c r="I1396" i="1"/>
  <c r="S1396" i="1"/>
  <c r="B1397" i="1"/>
  <c r="E1397" i="1"/>
  <c r="I1397" i="1"/>
  <c r="S1397" i="1"/>
  <c r="B1398" i="1"/>
  <c r="E1398" i="1"/>
  <c r="I1398" i="1"/>
  <c r="S1398" i="1"/>
  <c r="B1399" i="1"/>
  <c r="E1399" i="1"/>
  <c r="I1399" i="1"/>
  <c r="S1399" i="1"/>
  <c r="B1400" i="1"/>
  <c r="E1400" i="1"/>
  <c r="I1400" i="1"/>
  <c r="S1400" i="1"/>
  <c r="B1401" i="1"/>
  <c r="E1401" i="1"/>
  <c r="I1401" i="1"/>
  <c r="S1401" i="1"/>
  <c r="B1402" i="1"/>
  <c r="E1402" i="1"/>
  <c r="I1402" i="1"/>
  <c r="S1402" i="1"/>
  <c r="B1403" i="1"/>
  <c r="E1403" i="1"/>
  <c r="I1403" i="1"/>
  <c r="S1403" i="1"/>
  <c r="B1404" i="1"/>
  <c r="E1404" i="1"/>
  <c r="I1404" i="1"/>
  <c r="S1404" i="1"/>
  <c r="B1405" i="1"/>
  <c r="E1405" i="1"/>
  <c r="I1405" i="1"/>
  <c r="S1405" i="1"/>
  <c r="B1406" i="1"/>
  <c r="E1406" i="1"/>
  <c r="I1406" i="1"/>
  <c r="S1406" i="1"/>
  <c r="B1407" i="1"/>
  <c r="E1407" i="1"/>
  <c r="I1407" i="1"/>
  <c r="S1407" i="1"/>
  <c r="B1408" i="1"/>
  <c r="E1408" i="1"/>
  <c r="I1408" i="1"/>
  <c r="S1408" i="1"/>
  <c r="B1409" i="1"/>
  <c r="E1409" i="1"/>
  <c r="I1409" i="1"/>
  <c r="S1409" i="1"/>
  <c r="B1410" i="1"/>
  <c r="E1410" i="1"/>
  <c r="I1410" i="1"/>
  <c r="S1410" i="1"/>
  <c r="B1411" i="1"/>
  <c r="E1411" i="1"/>
  <c r="I1411" i="1"/>
  <c r="S1411" i="1"/>
  <c r="B1412" i="1"/>
  <c r="E1412" i="1"/>
  <c r="I1412" i="1"/>
  <c r="S1412" i="1"/>
  <c r="B1413" i="1"/>
  <c r="E1413" i="1"/>
  <c r="I1413" i="1"/>
  <c r="S1413" i="1"/>
  <c r="B1414" i="1"/>
  <c r="E1414" i="1"/>
  <c r="I1414" i="1"/>
  <c r="S1414" i="1"/>
  <c r="B1415" i="1"/>
  <c r="E1415" i="1"/>
  <c r="I1415" i="1"/>
  <c r="S1415" i="1"/>
  <c r="B1416" i="1"/>
  <c r="E1416" i="1"/>
  <c r="I1416" i="1"/>
  <c r="S1416" i="1"/>
  <c r="B1417" i="1"/>
  <c r="E1417" i="1"/>
  <c r="I1417" i="1"/>
  <c r="S1417" i="1"/>
  <c r="B1418" i="1"/>
  <c r="E1418" i="1"/>
  <c r="I1418" i="1"/>
  <c r="S1418" i="1"/>
  <c r="B1419" i="1"/>
  <c r="E1419" i="1"/>
  <c r="I1419" i="1"/>
  <c r="S1419" i="1"/>
  <c r="B1420" i="1"/>
  <c r="E1420" i="1"/>
  <c r="I1420" i="1"/>
  <c r="S1420" i="1"/>
  <c r="B1421" i="1"/>
  <c r="E1421" i="1"/>
  <c r="I1421" i="1"/>
  <c r="S1421" i="1"/>
  <c r="B1422" i="1"/>
  <c r="E1422" i="1"/>
  <c r="I1422" i="1"/>
  <c r="B1423" i="1"/>
  <c r="E1423" i="1"/>
  <c r="I1423" i="1"/>
  <c r="S1423" i="1"/>
  <c r="B1424" i="1"/>
  <c r="E1424" i="1"/>
  <c r="I1424" i="1"/>
  <c r="S1424" i="1"/>
  <c r="B1425" i="1"/>
  <c r="E1425" i="1"/>
  <c r="I1425" i="1"/>
  <c r="S1425" i="1"/>
  <c r="B1426" i="1"/>
  <c r="E1426" i="1"/>
  <c r="I1426" i="1"/>
  <c r="S1426" i="1"/>
  <c r="B1427" i="1"/>
  <c r="E1427" i="1"/>
  <c r="I1427" i="1"/>
  <c r="S1427" i="1"/>
  <c r="B1428" i="1"/>
  <c r="E1428" i="1"/>
  <c r="I1428" i="1"/>
  <c r="S1428" i="1"/>
  <c r="B1429" i="1"/>
  <c r="E1429" i="1"/>
  <c r="I1429" i="1"/>
  <c r="S1429" i="1"/>
  <c r="B1430" i="1"/>
  <c r="E1430" i="1"/>
  <c r="I1430" i="1"/>
  <c r="S1430" i="1"/>
  <c r="B1431" i="1"/>
  <c r="E1431" i="1"/>
  <c r="I1431" i="1"/>
  <c r="S1431" i="1"/>
  <c r="B1432" i="1"/>
  <c r="E1432" i="1"/>
  <c r="I1432" i="1"/>
  <c r="S1432" i="1"/>
  <c r="B1433" i="1"/>
  <c r="E1433" i="1"/>
  <c r="I1433" i="1"/>
  <c r="S1433" i="1"/>
  <c r="B1434" i="1"/>
  <c r="E1434" i="1"/>
  <c r="I1434" i="1"/>
  <c r="S1434" i="1"/>
  <c r="B1435" i="1"/>
  <c r="E1435" i="1"/>
  <c r="I1435" i="1"/>
  <c r="S1435" i="1"/>
  <c r="B1436" i="1"/>
  <c r="E1436" i="1"/>
  <c r="I1436" i="1"/>
  <c r="S1436" i="1"/>
  <c r="B1437" i="1"/>
  <c r="E1437" i="1"/>
  <c r="I1437" i="1"/>
  <c r="S1437" i="1"/>
  <c r="B1438" i="1"/>
  <c r="E1438" i="1"/>
  <c r="I1438" i="1"/>
  <c r="S1438" i="1"/>
  <c r="B1439" i="1"/>
  <c r="E1439" i="1"/>
  <c r="I1439" i="1"/>
  <c r="S1439" i="1"/>
  <c r="B1440" i="1"/>
  <c r="E1440" i="1"/>
  <c r="I1440" i="1"/>
  <c r="S1440" i="1"/>
  <c r="B1441" i="1"/>
  <c r="E1441" i="1"/>
  <c r="I1441" i="1"/>
  <c r="S1441" i="1"/>
  <c r="B1442" i="1"/>
  <c r="E1442" i="1"/>
  <c r="I1442" i="1"/>
  <c r="S1442" i="1"/>
  <c r="B1443" i="1"/>
  <c r="E1443" i="1"/>
  <c r="I1443" i="1"/>
  <c r="S1443" i="1"/>
  <c r="B1444" i="1"/>
  <c r="E1444" i="1"/>
  <c r="I1444" i="1"/>
  <c r="S1444" i="1"/>
  <c r="B1445" i="1"/>
  <c r="E1445" i="1"/>
  <c r="I1445" i="1"/>
  <c r="S1445" i="1"/>
  <c r="B1446" i="1"/>
  <c r="E1446" i="1"/>
  <c r="I1446" i="1"/>
  <c r="S1446" i="1"/>
  <c r="B1447" i="1"/>
  <c r="E1447" i="1"/>
  <c r="I1447" i="1"/>
  <c r="S1447" i="1"/>
  <c r="B1448" i="1"/>
  <c r="E1448" i="1"/>
  <c r="I1448" i="1"/>
  <c r="S1448" i="1"/>
  <c r="B1449" i="1"/>
  <c r="E1449" i="1"/>
  <c r="I1449" i="1"/>
  <c r="S1449" i="1"/>
  <c r="B1450" i="1"/>
  <c r="E1450" i="1"/>
  <c r="I1450" i="1"/>
  <c r="S1450" i="1"/>
  <c r="B1451" i="1"/>
  <c r="E1451" i="1"/>
  <c r="I1451" i="1"/>
  <c r="S1451" i="1"/>
  <c r="B1452" i="1"/>
  <c r="E1452" i="1"/>
  <c r="I1452" i="1"/>
  <c r="S1452" i="1"/>
  <c r="B1453" i="1"/>
  <c r="E1453" i="1"/>
  <c r="I1453" i="1"/>
  <c r="S1453" i="1"/>
  <c r="B1454" i="1"/>
  <c r="E1454" i="1"/>
  <c r="I1454" i="1"/>
  <c r="S1454" i="1"/>
  <c r="B1455" i="1"/>
  <c r="E1455" i="1"/>
  <c r="I1455" i="1"/>
  <c r="S1455" i="1"/>
  <c r="B1456" i="1"/>
  <c r="E1456" i="1"/>
  <c r="I1456" i="1"/>
  <c r="S1456" i="1"/>
  <c r="B1457" i="1"/>
  <c r="E1457" i="1"/>
  <c r="I1457" i="1"/>
  <c r="S1457" i="1"/>
  <c r="B1458" i="1"/>
  <c r="E1458" i="1"/>
  <c r="I1458" i="1"/>
  <c r="S1458" i="1"/>
  <c r="B1459" i="1"/>
  <c r="E1459" i="1"/>
  <c r="I1459" i="1"/>
  <c r="S1459" i="1"/>
  <c r="B1460" i="1"/>
  <c r="E1460" i="1"/>
  <c r="I1460" i="1"/>
  <c r="S1460" i="1"/>
  <c r="B1461" i="1"/>
  <c r="E1461" i="1"/>
  <c r="I1461" i="1"/>
  <c r="S1461" i="1"/>
  <c r="B1462" i="1"/>
  <c r="E1462" i="1"/>
  <c r="I1462" i="1"/>
  <c r="S1462" i="1"/>
  <c r="B1463" i="1"/>
  <c r="E1463" i="1"/>
  <c r="I1463" i="1"/>
  <c r="S1463" i="1"/>
  <c r="B1464" i="1"/>
  <c r="E1464" i="1"/>
  <c r="I1464" i="1"/>
  <c r="S1464" i="1"/>
  <c r="B1465" i="1"/>
  <c r="E1465" i="1"/>
  <c r="I1465" i="1"/>
  <c r="S1465" i="1"/>
  <c r="B1466" i="1"/>
  <c r="E1466" i="1"/>
  <c r="I1466" i="1"/>
  <c r="S1466" i="1"/>
  <c r="B1467" i="1"/>
  <c r="E1467" i="1"/>
  <c r="I1467" i="1"/>
  <c r="S1467" i="1"/>
  <c r="B1468" i="1"/>
  <c r="E1468" i="1"/>
  <c r="I1468" i="1"/>
  <c r="S1468" i="1"/>
  <c r="B1469" i="1"/>
  <c r="E1469" i="1"/>
  <c r="I1469" i="1"/>
  <c r="S1469" i="1"/>
  <c r="B1470" i="1"/>
  <c r="E1470" i="1"/>
  <c r="I1470" i="1"/>
  <c r="S1470" i="1"/>
  <c r="B1471" i="1"/>
  <c r="E1471" i="1"/>
  <c r="I1471" i="1"/>
  <c r="S1471" i="1"/>
  <c r="B1472" i="1"/>
  <c r="E1472" i="1"/>
  <c r="I1472" i="1"/>
  <c r="S1472" i="1"/>
  <c r="B1473" i="1"/>
  <c r="E1473" i="1"/>
  <c r="I1473" i="1"/>
  <c r="S1473" i="1"/>
  <c r="B1474" i="1"/>
  <c r="E1474" i="1"/>
  <c r="I1474" i="1"/>
  <c r="S1474" i="1"/>
  <c r="B1475" i="1"/>
  <c r="E1475" i="1"/>
  <c r="I1475" i="1"/>
  <c r="S1475" i="1"/>
  <c r="B1476" i="1"/>
  <c r="E1476" i="1"/>
  <c r="I1476" i="1"/>
  <c r="S1476" i="1"/>
  <c r="B1477" i="1"/>
  <c r="E1477" i="1"/>
  <c r="I1477" i="1"/>
  <c r="S1477" i="1"/>
  <c r="B1478" i="1"/>
  <c r="E1478" i="1"/>
  <c r="I1478" i="1"/>
  <c r="S1478" i="1"/>
  <c r="B1479" i="1"/>
  <c r="E1479" i="1"/>
  <c r="I1479" i="1"/>
  <c r="S1479" i="1"/>
  <c r="B1480" i="1"/>
  <c r="E1480" i="1"/>
  <c r="I1480" i="1"/>
  <c r="S1480" i="1"/>
  <c r="B1481" i="1"/>
  <c r="E1481" i="1"/>
  <c r="I1481" i="1"/>
  <c r="S1481" i="1"/>
  <c r="B1482" i="1"/>
  <c r="E1482" i="1"/>
  <c r="I1482" i="1"/>
  <c r="S1482" i="1"/>
  <c r="B1483" i="1"/>
  <c r="E1483" i="1"/>
  <c r="I1483" i="1"/>
  <c r="S1483" i="1"/>
  <c r="B1484" i="1"/>
  <c r="E1484" i="1"/>
  <c r="I1484" i="1"/>
  <c r="S1484" i="1"/>
  <c r="B1485" i="1"/>
  <c r="E1485" i="1"/>
  <c r="I1485" i="1"/>
  <c r="S1485" i="1"/>
  <c r="B1486" i="1"/>
  <c r="E1486" i="1"/>
  <c r="I1486" i="1"/>
  <c r="S1486" i="1"/>
  <c r="B1487" i="1"/>
  <c r="E1487" i="1"/>
  <c r="I1487" i="1"/>
  <c r="S1487" i="1"/>
  <c r="B1488" i="1"/>
  <c r="E1488" i="1"/>
  <c r="I1488" i="1"/>
  <c r="S1488" i="1"/>
  <c r="B1489" i="1"/>
  <c r="E1489" i="1"/>
  <c r="I1489" i="1"/>
  <c r="S1489" i="1"/>
  <c r="B1490" i="1"/>
  <c r="E1490" i="1"/>
  <c r="I1490" i="1"/>
  <c r="S1490" i="1"/>
  <c r="B1491" i="1"/>
  <c r="E1491" i="1"/>
  <c r="I1491" i="1"/>
  <c r="S1491" i="1"/>
  <c r="B1492" i="1"/>
  <c r="E1492" i="1"/>
  <c r="I1492" i="1"/>
  <c r="S1492" i="1"/>
  <c r="B1493" i="1"/>
  <c r="E1493" i="1"/>
  <c r="I1493" i="1"/>
  <c r="S1493" i="1"/>
  <c r="B1494" i="1"/>
  <c r="E1494" i="1"/>
  <c r="I1494" i="1"/>
  <c r="S1494" i="1"/>
  <c r="B1495" i="1"/>
  <c r="E1495" i="1"/>
  <c r="I1495" i="1"/>
  <c r="S1495" i="1"/>
  <c r="B1496" i="1"/>
  <c r="E1496" i="1"/>
  <c r="I1496" i="1"/>
  <c r="S1496" i="1"/>
  <c r="B1497" i="1"/>
  <c r="E1497" i="1"/>
  <c r="I1497" i="1"/>
  <c r="S1497" i="1"/>
  <c r="B1498" i="1"/>
  <c r="E1498" i="1"/>
  <c r="I1498" i="1"/>
  <c r="S1498" i="1"/>
  <c r="B1499" i="1"/>
  <c r="E1499" i="1"/>
  <c r="I1499" i="1"/>
  <c r="S1499" i="1"/>
  <c r="B1500" i="1"/>
  <c r="E1500" i="1"/>
  <c r="I1500" i="1"/>
  <c r="S1500" i="1"/>
  <c r="B1501" i="1"/>
  <c r="E1501" i="1"/>
  <c r="I1501" i="1"/>
  <c r="S1501" i="1"/>
  <c r="B1502" i="1"/>
  <c r="E1502" i="1"/>
  <c r="I1502" i="1"/>
  <c r="S1502" i="1"/>
  <c r="B1503" i="1"/>
  <c r="E1503" i="1"/>
  <c r="I1503" i="1"/>
  <c r="S1503" i="1"/>
  <c r="B1504" i="1"/>
  <c r="E1504" i="1"/>
  <c r="I1504" i="1"/>
  <c r="S1504" i="1"/>
  <c r="B1505" i="1"/>
  <c r="E1505" i="1"/>
  <c r="I1505" i="1"/>
  <c r="S1505" i="1"/>
  <c r="B1506" i="1"/>
  <c r="E1506" i="1"/>
  <c r="I1506" i="1"/>
  <c r="S1506" i="1"/>
  <c r="B1507" i="1"/>
  <c r="E1507" i="1"/>
  <c r="I1507" i="1"/>
  <c r="S1507" i="1"/>
  <c r="B1508" i="1"/>
  <c r="E1508" i="1"/>
  <c r="I1508" i="1"/>
  <c r="S1508" i="1"/>
  <c r="B1509" i="1"/>
  <c r="E1509" i="1"/>
  <c r="I1509" i="1"/>
  <c r="S1509" i="1"/>
  <c r="B1510" i="1"/>
  <c r="E1510" i="1"/>
  <c r="I1510" i="1"/>
  <c r="S1510" i="1"/>
  <c r="B1511" i="1"/>
  <c r="E1511" i="1"/>
  <c r="I1511" i="1"/>
  <c r="S1511" i="1"/>
  <c r="B1512" i="1"/>
  <c r="E1512" i="1"/>
  <c r="I1512" i="1"/>
  <c r="S1512" i="1"/>
  <c r="B1513" i="1"/>
  <c r="E1513" i="1"/>
  <c r="I1513" i="1"/>
  <c r="S1513" i="1"/>
  <c r="B1514" i="1"/>
  <c r="E1514" i="1"/>
  <c r="I1514" i="1"/>
  <c r="S1514" i="1"/>
  <c r="B1515" i="1"/>
  <c r="E1515" i="1"/>
  <c r="I1515" i="1"/>
  <c r="S1515" i="1"/>
  <c r="B1516" i="1"/>
  <c r="E1516" i="1"/>
  <c r="I1516" i="1"/>
  <c r="S1516" i="1"/>
  <c r="B1517" i="1"/>
  <c r="E1517" i="1"/>
  <c r="I1517" i="1"/>
  <c r="S1517" i="1"/>
  <c r="B1518" i="1"/>
  <c r="E1518" i="1"/>
  <c r="I1518" i="1"/>
  <c r="S1518" i="1"/>
  <c r="B1519" i="1"/>
  <c r="E1519" i="1"/>
  <c r="I1519" i="1"/>
  <c r="S1519" i="1"/>
  <c r="B1520" i="1"/>
  <c r="E1520" i="1"/>
  <c r="I1520" i="1"/>
  <c r="S1520" i="1"/>
  <c r="B1521" i="1"/>
  <c r="E1521" i="1"/>
  <c r="I1521" i="1"/>
  <c r="S1521" i="1"/>
  <c r="B1522" i="1"/>
  <c r="E1522" i="1"/>
  <c r="I1522" i="1"/>
  <c r="S1522" i="1"/>
  <c r="B1523" i="1"/>
  <c r="E1523" i="1"/>
  <c r="I1523" i="1"/>
  <c r="S1523" i="1"/>
  <c r="B1524" i="1"/>
  <c r="E1524" i="1"/>
  <c r="I1524" i="1"/>
  <c r="S1524" i="1"/>
  <c r="B1525" i="1"/>
  <c r="E1525" i="1"/>
  <c r="I1525" i="1"/>
  <c r="S1525" i="1"/>
  <c r="B1526" i="1"/>
  <c r="E1526" i="1"/>
  <c r="I1526" i="1"/>
  <c r="S1526" i="1"/>
  <c r="B1527" i="1"/>
  <c r="E1527" i="1"/>
  <c r="I1527" i="1"/>
  <c r="S1527" i="1"/>
  <c r="B1528" i="1"/>
  <c r="E1528" i="1"/>
  <c r="I1528" i="1"/>
  <c r="S1528" i="1"/>
  <c r="B1529" i="1"/>
  <c r="E1529" i="1"/>
  <c r="I1529" i="1"/>
  <c r="S1529" i="1"/>
  <c r="B1530" i="1"/>
  <c r="E1530" i="1"/>
  <c r="I1530" i="1"/>
  <c r="S1530" i="1"/>
  <c r="B1531" i="1"/>
  <c r="E1531" i="1"/>
  <c r="I1531" i="1"/>
  <c r="S1531" i="1"/>
  <c r="B1532" i="1"/>
  <c r="E1532" i="1"/>
  <c r="I1532" i="1"/>
  <c r="S1532" i="1"/>
  <c r="B1533" i="1"/>
  <c r="E1533" i="1"/>
  <c r="I1533" i="1"/>
  <c r="S1533" i="1"/>
  <c r="B1534" i="1"/>
  <c r="E1534" i="1"/>
  <c r="I1534" i="1"/>
  <c r="S1534" i="1"/>
  <c r="B1535" i="1"/>
  <c r="E1535" i="1"/>
  <c r="I1535" i="1"/>
  <c r="S1535" i="1"/>
  <c r="B1536" i="1"/>
  <c r="E1536" i="1"/>
  <c r="I1536" i="1"/>
  <c r="S1536" i="1"/>
  <c r="B1537" i="1"/>
  <c r="E1537" i="1"/>
  <c r="I1537" i="1"/>
  <c r="S1537" i="1"/>
  <c r="B1538" i="1"/>
  <c r="E1538" i="1"/>
  <c r="I1538" i="1"/>
  <c r="S1538" i="1"/>
  <c r="B1539" i="1"/>
  <c r="E1539" i="1"/>
  <c r="I1539" i="1"/>
  <c r="S1539" i="1"/>
  <c r="B1540" i="1"/>
  <c r="E1540" i="1"/>
  <c r="I1540" i="1"/>
  <c r="S1540" i="1"/>
  <c r="B1541" i="1"/>
  <c r="E1541" i="1"/>
  <c r="I1541" i="1"/>
  <c r="S1541" i="1"/>
  <c r="B1542" i="1"/>
  <c r="E1542" i="1"/>
  <c r="I1542" i="1"/>
  <c r="S1542" i="1"/>
  <c r="B1543" i="1"/>
  <c r="E1543" i="1"/>
  <c r="I1543" i="1"/>
  <c r="S1543" i="1"/>
  <c r="B1544" i="1"/>
  <c r="E1544" i="1"/>
  <c r="I1544" i="1"/>
  <c r="S1544" i="1"/>
  <c r="B1545" i="1"/>
  <c r="E1545" i="1"/>
  <c r="I1545" i="1"/>
  <c r="S1545" i="1"/>
  <c r="B1546" i="1"/>
  <c r="E1546" i="1"/>
  <c r="I1546" i="1"/>
  <c r="S1546" i="1"/>
  <c r="B1547" i="1"/>
  <c r="E1547" i="1"/>
  <c r="I1547" i="1"/>
  <c r="S1547" i="1"/>
  <c r="B1548" i="1"/>
  <c r="E1548" i="1"/>
  <c r="I1548" i="1"/>
  <c r="S1548" i="1"/>
  <c r="B1549" i="1"/>
  <c r="E1549" i="1"/>
  <c r="I1549" i="1"/>
  <c r="S1549" i="1"/>
  <c r="B1550" i="1"/>
  <c r="E1550" i="1"/>
  <c r="I1550" i="1"/>
  <c r="S1550" i="1"/>
  <c r="B1551" i="1"/>
  <c r="E1551" i="1"/>
  <c r="I1551" i="1"/>
  <c r="S1551" i="1"/>
  <c r="B1552" i="1"/>
  <c r="E1552" i="1"/>
  <c r="I1552" i="1"/>
  <c r="S1552" i="1"/>
  <c r="B1553" i="1"/>
  <c r="E1553" i="1"/>
  <c r="I1553" i="1"/>
  <c r="S1553" i="1"/>
  <c r="B1554" i="1"/>
  <c r="E1554" i="1"/>
  <c r="I1554" i="1"/>
  <c r="S1554" i="1"/>
  <c r="B1555" i="1"/>
  <c r="E1555" i="1"/>
  <c r="I1555" i="1"/>
  <c r="S1555" i="1"/>
  <c r="B1556" i="1"/>
  <c r="E1556" i="1"/>
  <c r="I1556" i="1"/>
  <c r="S1556" i="1"/>
  <c r="B1557" i="1"/>
  <c r="E1557" i="1"/>
  <c r="I1557" i="1"/>
  <c r="S1557" i="1"/>
  <c r="B1558" i="1"/>
  <c r="E1558" i="1"/>
  <c r="I1558" i="1"/>
  <c r="S1558" i="1"/>
  <c r="B1559" i="1"/>
  <c r="E1559" i="1"/>
  <c r="I1559" i="1"/>
  <c r="S1559" i="1"/>
  <c r="B1560" i="1"/>
  <c r="E1560" i="1"/>
  <c r="I1560" i="1"/>
  <c r="S1560" i="1"/>
  <c r="B1561" i="1"/>
  <c r="E1561" i="1"/>
  <c r="I1561" i="1"/>
  <c r="S1561" i="1"/>
  <c r="B1562" i="1"/>
  <c r="E1562" i="1"/>
  <c r="I1562" i="1"/>
  <c r="S1562" i="1"/>
  <c r="B1563" i="1"/>
  <c r="E1563" i="1"/>
  <c r="I1563" i="1"/>
  <c r="S1563" i="1"/>
  <c r="B1564" i="1"/>
  <c r="E1564" i="1"/>
  <c r="I1564" i="1"/>
  <c r="S1564" i="1"/>
  <c r="B1565" i="1"/>
  <c r="E1565" i="1"/>
  <c r="I1565" i="1"/>
  <c r="S1565" i="1"/>
  <c r="B1566" i="1"/>
  <c r="E1566" i="1"/>
  <c r="I1566" i="1"/>
  <c r="S1566" i="1"/>
  <c r="B1567" i="1"/>
  <c r="E1567" i="1"/>
  <c r="I1567" i="1"/>
  <c r="S1567" i="1"/>
  <c r="B1568" i="1"/>
  <c r="E1568" i="1"/>
  <c r="I1568" i="1"/>
  <c r="S1568" i="1"/>
  <c r="B1569" i="1"/>
  <c r="E1569" i="1"/>
  <c r="I1569" i="1"/>
  <c r="S1569" i="1"/>
  <c r="B1570" i="1"/>
  <c r="E1570" i="1"/>
  <c r="I1570" i="1"/>
  <c r="S1570" i="1"/>
  <c r="B1571" i="1"/>
  <c r="E1571" i="1"/>
  <c r="I1571" i="1"/>
  <c r="S1571" i="1"/>
  <c r="B1572" i="1"/>
  <c r="E1572" i="1"/>
  <c r="I1572" i="1"/>
  <c r="S1572" i="1"/>
  <c r="B1573" i="1"/>
  <c r="E1573" i="1"/>
  <c r="I1573" i="1"/>
  <c r="S1573" i="1"/>
  <c r="B1574" i="1"/>
  <c r="E1574" i="1"/>
  <c r="I1574" i="1"/>
  <c r="S1574" i="1"/>
  <c r="B1575" i="1"/>
  <c r="E1575" i="1"/>
  <c r="I1575" i="1"/>
  <c r="S1575" i="1"/>
  <c r="B1576" i="1"/>
  <c r="E1576" i="1"/>
  <c r="I1576" i="1"/>
  <c r="S1576" i="1"/>
  <c r="B1577" i="1"/>
  <c r="E1577" i="1"/>
  <c r="I1577" i="1"/>
  <c r="S1577" i="1"/>
  <c r="B1578" i="1"/>
  <c r="E1578" i="1"/>
  <c r="I1578" i="1"/>
  <c r="S1578" i="1"/>
  <c r="B1579" i="1"/>
  <c r="E1579" i="1"/>
  <c r="I1579" i="1"/>
  <c r="S1579" i="1"/>
  <c r="B1580" i="1"/>
  <c r="E1580" i="1"/>
  <c r="I1580" i="1"/>
  <c r="S1580" i="1"/>
  <c r="B1581" i="1"/>
  <c r="E1581" i="1"/>
  <c r="I1581" i="1"/>
  <c r="S1581" i="1"/>
  <c r="B1582" i="1"/>
  <c r="E1582" i="1"/>
  <c r="I1582" i="1"/>
  <c r="S1582" i="1"/>
  <c r="B1583" i="1"/>
  <c r="E1583" i="1"/>
  <c r="I1583" i="1"/>
  <c r="S1583" i="1"/>
  <c r="B1584" i="1"/>
  <c r="E1584" i="1"/>
  <c r="I1584" i="1"/>
  <c r="S1584" i="1"/>
  <c r="B1585" i="1"/>
  <c r="E1585" i="1"/>
  <c r="I1585" i="1"/>
  <c r="S1585" i="1"/>
  <c r="B1586" i="1"/>
  <c r="E1586" i="1"/>
  <c r="I1586" i="1"/>
  <c r="S1586" i="1"/>
  <c r="B1587" i="1"/>
  <c r="E1587" i="1"/>
  <c r="I1587" i="1"/>
  <c r="S1587" i="1"/>
  <c r="B1588" i="1"/>
  <c r="E1588" i="1"/>
  <c r="I1588" i="1"/>
  <c r="S1588" i="1"/>
  <c r="B1589" i="1"/>
  <c r="E1589" i="1"/>
  <c r="I1589" i="1"/>
  <c r="S1589" i="1"/>
  <c r="B1590" i="1"/>
  <c r="E1590" i="1"/>
  <c r="I1590" i="1"/>
  <c r="S1590" i="1"/>
  <c r="B1591" i="1"/>
  <c r="E1591" i="1"/>
  <c r="I1591" i="1"/>
  <c r="S1591" i="1"/>
  <c r="B1592" i="1"/>
  <c r="E1592" i="1"/>
  <c r="I1592" i="1"/>
  <c r="S1592" i="1"/>
  <c r="B1593" i="1"/>
  <c r="E1593" i="1"/>
  <c r="I1593" i="1"/>
  <c r="S1593" i="1"/>
  <c r="B1594" i="1"/>
  <c r="E1594" i="1"/>
  <c r="I1594" i="1"/>
  <c r="S1594" i="1"/>
  <c r="B1595" i="1"/>
  <c r="E1595" i="1"/>
  <c r="I1595" i="1"/>
  <c r="S1595" i="1"/>
  <c r="B1596" i="1"/>
  <c r="E1596" i="1"/>
  <c r="I1596" i="1"/>
  <c r="S1596" i="1"/>
  <c r="B1597" i="1"/>
  <c r="E1597" i="1"/>
  <c r="I1597" i="1"/>
  <c r="S1597" i="1"/>
  <c r="B1598" i="1"/>
  <c r="E1598" i="1"/>
  <c r="I1598" i="1"/>
  <c r="S1598" i="1"/>
  <c r="B1599" i="1"/>
  <c r="E1599" i="1"/>
  <c r="I1599" i="1"/>
  <c r="S1599" i="1"/>
  <c r="B1600" i="1"/>
  <c r="E1600" i="1"/>
  <c r="I1600" i="1"/>
  <c r="S1600" i="1"/>
  <c r="B1601" i="1"/>
  <c r="E1601" i="1"/>
  <c r="I1601" i="1"/>
  <c r="S1601" i="1"/>
  <c r="B1602" i="1"/>
  <c r="E1602" i="1"/>
  <c r="I1602" i="1"/>
  <c r="S1602" i="1"/>
  <c r="B1603" i="1"/>
  <c r="E1603" i="1"/>
  <c r="I1603" i="1"/>
  <c r="S1603" i="1"/>
  <c r="B1604" i="1"/>
  <c r="E1604" i="1"/>
  <c r="I1604" i="1"/>
  <c r="S1604" i="1"/>
  <c r="B1605" i="1"/>
  <c r="E1605" i="1"/>
  <c r="I1605" i="1"/>
  <c r="S1605" i="1"/>
  <c r="B1606" i="1"/>
  <c r="E1606" i="1"/>
  <c r="I1606" i="1"/>
  <c r="S1606" i="1"/>
  <c r="B1607" i="1"/>
  <c r="E1607" i="1"/>
  <c r="I1607" i="1"/>
  <c r="S1607" i="1"/>
  <c r="B1608" i="1"/>
  <c r="E1608" i="1"/>
  <c r="I1608" i="1"/>
  <c r="S1608" i="1"/>
  <c r="B1609" i="1"/>
  <c r="E1609" i="1"/>
  <c r="I1609" i="1"/>
  <c r="S1609" i="1"/>
  <c r="B1610" i="1"/>
  <c r="E1610" i="1"/>
  <c r="I1610" i="1"/>
  <c r="S1610" i="1"/>
  <c r="B1611" i="1"/>
  <c r="E1611" i="1"/>
  <c r="I1611" i="1"/>
  <c r="S1611" i="1"/>
  <c r="B1612" i="1"/>
  <c r="E1612" i="1"/>
  <c r="I1612" i="1"/>
  <c r="S1612" i="1"/>
  <c r="B1613" i="1"/>
  <c r="E1613" i="1"/>
  <c r="I1613" i="1"/>
  <c r="S1613" i="1"/>
  <c r="B1614" i="1"/>
  <c r="E1614" i="1"/>
  <c r="I1614" i="1"/>
  <c r="S1614" i="1"/>
  <c r="B1615" i="1"/>
  <c r="E1615" i="1"/>
  <c r="I1615" i="1"/>
  <c r="S1615" i="1"/>
  <c r="B1616" i="1"/>
  <c r="E1616" i="1"/>
  <c r="I1616" i="1"/>
  <c r="S1616" i="1"/>
  <c r="B1617" i="1"/>
  <c r="E1617" i="1"/>
  <c r="I1617" i="1"/>
  <c r="S1617" i="1"/>
  <c r="B1618" i="1"/>
  <c r="E1618" i="1"/>
  <c r="I1618" i="1"/>
  <c r="S1618" i="1"/>
  <c r="B1619" i="1"/>
  <c r="E1619" i="1"/>
  <c r="I1619" i="1"/>
  <c r="S1619" i="1"/>
  <c r="B1620" i="1"/>
  <c r="E1620" i="1"/>
  <c r="I1620" i="1"/>
  <c r="S1620" i="1"/>
  <c r="B1621" i="1"/>
  <c r="E1621" i="1"/>
  <c r="I1621" i="1"/>
  <c r="S1621" i="1"/>
  <c r="B1622" i="1"/>
  <c r="E1622" i="1"/>
  <c r="I1622" i="1"/>
  <c r="S1622" i="1"/>
  <c r="B1623" i="1"/>
  <c r="E1623" i="1"/>
  <c r="I1623" i="1"/>
  <c r="S1623" i="1"/>
  <c r="B1624" i="1"/>
  <c r="E1624" i="1"/>
  <c r="I1624" i="1"/>
  <c r="S1624" i="1"/>
  <c r="B1625" i="1"/>
  <c r="E1625" i="1"/>
  <c r="I1625" i="1"/>
  <c r="S1625" i="1"/>
  <c r="B1626" i="1"/>
  <c r="E1626" i="1"/>
  <c r="I1626" i="1"/>
  <c r="S1626" i="1"/>
  <c r="B1627" i="1"/>
  <c r="E1627" i="1"/>
  <c r="I1627" i="1"/>
  <c r="S1627" i="1"/>
  <c r="B1628" i="1"/>
  <c r="E1628" i="1"/>
  <c r="I1628" i="1"/>
  <c r="S1628" i="1"/>
  <c r="B1629" i="1"/>
  <c r="E1629" i="1"/>
  <c r="I1629" i="1"/>
  <c r="S1629" i="1"/>
  <c r="B1630" i="1"/>
  <c r="E1630" i="1"/>
  <c r="I1630" i="1"/>
  <c r="S1630" i="1"/>
  <c r="B1631" i="1"/>
  <c r="E1631" i="1"/>
  <c r="I1631" i="1"/>
  <c r="S1631" i="1"/>
  <c r="B1632" i="1"/>
  <c r="E1632" i="1"/>
  <c r="I1632" i="1"/>
  <c r="S1632" i="1"/>
  <c r="B1633" i="1"/>
  <c r="E1633" i="1"/>
  <c r="I1633" i="1"/>
  <c r="S1633" i="1"/>
  <c r="B1634" i="1"/>
  <c r="E1634" i="1"/>
  <c r="I1634" i="1"/>
  <c r="S1634" i="1"/>
  <c r="B1635" i="1"/>
  <c r="E1635" i="1"/>
  <c r="I1635" i="1"/>
  <c r="S1635" i="1"/>
  <c r="B1636" i="1"/>
  <c r="E1636" i="1"/>
  <c r="I1636" i="1"/>
  <c r="S1636" i="1"/>
  <c r="B1637" i="1"/>
  <c r="E1637" i="1"/>
  <c r="I1637" i="1"/>
  <c r="S1637" i="1"/>
  <c r="B1638" i="1"/>
  <c r="E1638" i="1"/>
  <c r="I1638" i="1"/>
  <c r="S1638" i="1"/>
  <c r="B1639" i="1"/>
  <c r="E1639" i="1"/>
  <c r="I1639" i="1"/>
  <c r="S1639" i="1"/>
  <c r="B1640" i="1"/>
  <c r="E1640" i="1"/>
  <c r="I1640" i="1"/>
  <c r="S1640" i="1"/>
  <c r="B1641" i="1"/>
  <c r="E1641" i="1"/>
  <c r="I1641" i="1"/>
  <c r="S1641" i="1"/>
  <c r="B1642" i="1"/>
  <c r="E1642" i="1"/>
  <c r="I1642" i="1"/>
  <c r="S1642" i="1"/>
  <c r="B1643" i="1"/>
  <c r="E1643" i="1"/>
  <c r="I1643" i="1"/>
  <c r="S1643" i="1"/>
  <c r="B1644" i="1"/>
  <c r="E1644" i="1"/>
  <c r="I1644" i="1"/>
  <c r="S1644" i="1"/>
  <c r="B1645" i="1"/>
  <c r="E1645" i="1"/>
  <c r="I1645" i="1"/>
  <c r="S1645" i="1"/>
  <c r="B1646" i="1"/>
  <c r="E1646" i="1"/>
  <c r="I1646" i="1"/>
  <c r="S1646" i="1"/>
  <c r="B1647" i="1"/>
  <c r="E1647" i="1"/>
  <c r="I1647" i="1"/>
  <c r="S1647" i="1"/>
  <c r="B1648" i="1"/>
  <c r="E1648" i="1"/>
  <c r="I1648" i="1"/>
  <c r="S1648" i="1"/>
  <c r="B1649" i="1"/>
  <c r="E1649" i="1"/>
  <c r="I1649" i="1"/>
  <c r="S1649" i="1"/>
  <c r="B1650" i="1"/>
  <c r="E1650" i="1"/>
  <c r="I1650" i="1"/>
  <c r="S1650" i="1"/>
  <c r="B1651" i="1"/>
  <c r="E1651" i="1"/>
  <c r="I1651" i="1"/>
  <c r="S1651" i="1"/>
  <c r="B1652" i="1"/>
  <c r="E1652" i="1"/>
  <c r="I1652" i="1"/>
  <c r="S1652" i="1"/>
  <c r="B1653" i="1"/>
  <c r="E1653" i="1"/>
  <c r="I1653" i="1"/>
  <c r="S1653" i="1"/>
  <c r="B1654" i="1"/>
  <c r="E1654" i="1"/>
  <c r="I1654" i="1"/>
  <c r="S1654" i="1"/>
  <c r="B1655" i="1"/>
  <c r="E1655" i="1"/>
  <c r="I1655" i="1"/>
  <c r="S1655" i="1"/>
  <c r="B1656" i="1"/>
  <c r="E1656" i="1"/>
  <c r="I1656" i="1"/>
  <c r="S1656" i="1"/>
  <c r="B1657" i="1"/>
  <c r="E1657" i="1"/>
  <c r="I1657" i="1"/>
  <c r="S1657" i="1"/>
  <c r="B1658" i="1"/>
  <c r="E1658" i="1"/>
  <c r="I1658" i="1"/>
  <c r="S1658" i="1"/>
  <c r="B1659" i="1"/>
  <c r="E1659" i="1"/>
  <c r="I1659" i="1"/>
  <c r="S1659" i="1"/>
  <c r="B1660" i="1"/>
  <c r="E1660" i="1"/>
  <c r="I1660" i="1"/>
  <c r="S1660" i="1"/>
  <c r="B1661" i="1"/>
  <c r="E1661" i="1"/>
  <c r="I1661" i="1"/>
  <c r="S1661" i="1"/>
  <c r="B1662" i="1"/>
  <c r="E1662" i="1"/>
  <c r="I1662" i="1"/>
  <c r="S1662" i="1"/>
  <c r="B1663" i="1"/>
  <c r="E1663" i="1"/>
  <c r="I1663" i="1"/>
  <c r="S1663" i="1"/>
  <c r="B1664" i="1"/>
  <c r="E1664" i="1"/>
  <c r="I1664" i="1"/>
  <c r="S1664" i="1"/>
  <c r="B1665" i="1"/>
  <c r="E1665" i="1"/>
  <c r="I1665" i="1"/>
  <c r="S1665" i="1"/>
  <c r="B1666" i="1"/>
  <c r="E1666" i="1"/>
  <c r="I1666" i="1"/>
  <c r="S1666" i="1"/>
  <c r="B1667" i="1"/>
  <c r="E1667" i="1"/>
  <c r="I1667" i="1"/>
  <c r="S1667" i="1"/>
  <c r="B1668" i="1"/>
  <c r="E1668" i="1"/>
  <c r="I1668" i="1"/>
  <c r="S1668" i="1"/>
  <c r="B1669" i="1"/>
  <c r="E1669" i="1"/>
  <c r="I1669" i="1"/>
  <c r="S1669" i="1"/>
  <c r="B1670" i="1"/>
  <c r="E1670" i="1"/>
  <c r="I1670" i="1"/>
  <c r="S1670" i="1"/>
  <c r="B1671" i="1"/>
  <c r="E1671" i="1"/>
  <c r="I1671" i="1"/>
  <c r="S1671" i="1"/>
  <c r="B1672" i="1"/>
  <c r="E1672" i="1"/>
  <c r="I1672" i="1"/>
  <c r="S1672" i="1"/>
  <c r="B1673" i="1"/>
  <c r="E1673" i="1"/>
  <c r="I1673" i="1"/>
  <c r="S1673" i="1"/>
  <c r="B1674" i="1"/>
  <c r="E1674" i="1"/>
  <c r="I1674" i="1"/>
  <c r="S1674" i="1"/>
  <c r="B1675" i="1"/>
  <c r="E1675" i="1"/>
  <c r="I1675" i="1"/>
  <c r="S1675" i="1"/>
  <c r="B1676" i="1"/>
  <c r="E1676" i="1"/>
  <c r="I1676" i="1"/>
  <c r="S1676" i="1"/>
  <c r="B1677" i="1"/>
  <c r="E1677" i="1"/>
  <c r="I1677" i="1"/>
  <c r="S1677" i="1"/>
  <c r="B1678" i="1"/>
  <c r="E1678" i="1"/>
  <c r="I1678" i="1"/>
  <c r="S1678" i="1"/>
  <c r="B1679" i="1"/>
  <c r="E1679" i="1"/>
  <c r="I1679" i="1"/>
  <c r="S1679" i="1"/>
  <c r="B1680" i="1"/>
  <c r="E1680" i="1"/>
  <c r="I1680" i="1"/>
  <c r="S1680" i="1"/>
  <c r="B1681" i="1"/>
  <c r="E1681" i="1"/>
  <c r="I1681" i="1"/>
  <c r="S1681" i="1"/>
  <c r="B1682" i="1"/>
  <c r="E1682" i="1"/>
  <c r="I1682" i="1"/>
  <c r="S1682" i="1"/>
  <c r="B1683" i="1"/>
  <c r="E1683" i="1"/>
  <c r="I1683" i="1"/>
  <c r="S1683" i="1"/>
  <c r="B1684" i="1"/>
  <c r="E1684" i="1"/>
  <c r="I1684" i="1"/>
  <c r="S1684" i="1"/>
  <c r="B1685" i="1"/>
  <c r="E1685" i="1"/>
  <c r="I1685" i="1"/>
  <c r="S1685" i="1"/>
  <c r="B1686" i="1"/>
  <c r="E1686" i="1"/>
  <c r="I1686" i="1"/>
  <c r="S1686" i="1"/>
  <c r="B1687" i="1"/>
  <c r="E1687" i="1"/>
  <c r="I1687" i="1"/>
  <c r="S1687" i="1"/>
  <c r="B1688" i="1"/>
  <c r="E1688" i="1"/>
  <c r="I1688" i="1"/>
  <c r="S1688" i="1"/>
  <c r="B1689" i="1"/>
  <c r="E1689" i="1"/>
  <c r="I1689" i="1"/>
  <c r="S1689" i="1"/>
  <c r="B1690" i="1"/>
  <c r="E1690" i="1"/>
  <c r="I1690" i="1"/>
  <c r="S1690" i="1"/>
  <c r="B1691" i="1"/>
  <c r="E1691" i="1"/>
  <c r="I1691" i="1"/>
  <c r="S1691" i="1"/>
  <c r="B1692" i="1"/>
  <c r="E1692" i="1"/>
  <c r="I1692" i="1"/>
  <c r="S1692" i="1"/>
  <c r="B1693" i="1"/>
  <c r="E1693" i="1"/>
  <c r="I1693" i="1"/>
  <c r="S1693" i="1"/>
  <c r="B1694" i="1"/>
  <c r="E1694" i="1"/>
  <c r="I1694" i="1"/>
  <c r="S1694" i="1"/>
  <c r="B1695" i="1"/>
  <c r="E1695" i="1"/>
  <c r="I1695" i="1"/>
  <c r="S1695" i="1"/>
  <c r="B1696" i="1"/>
  <c r="E1696" i="1"/>
  <c r="I1696" i="1"/>
  <c r="S1696" i="1"/>
  <c r="B1697" i="1"/>
  <c r="E1697" i="1"/>
  <c r="I1697" i="1"/>
  <c r="S1697" i="1"/>
  <c r="B1698" i="1"/>
  <c r="E1698" i="1"/>
  <c r="I1698" i="1"/>
  <c r="S1698" i="1"/>
  <c r="B1699" i="1"/>
  <c r="E1699" i="1"/>
  <c r="I1699" i="1"/>
  <c r="S1699" i="1"/>
  <c r="B1700" i="1"/>
  <c r="E1700" i="1"/>
  <c r="I1700" i="1"/>
  <c r="S1700" i="1"/>
  <c r="B1701" i="1"/>
  <c r="E1701" i="1"/>
  <c r="I1701" i="1"/>
  <c r="S1701" i="1"/>
  <c r="B1702" i="1"/>
  <c r="E1702" i="1"/>
  <c r="I1702" i="1"/>
  <c r="S1702" i="1"/>
  <c r="B1703" i="1"/>
  <c r="E1703" i="1"/>
  <c r="I1703" i="1"/>
  <c r="S1703" i="1"/>
  <c r="B1704" i="1"/>
  <c r="E1704" i="1"/>
  <c r="I1704" i="1"/>
  <c r="S1704" i="1"/>
  <c r="B1705" i="1"/>
  <c r="E1705" i="1"/>
  <c r="I1705" i="1"/>
  <c r="S1705" i="1"/>
  <c r="B1706" i="1"/>
  <c r="E1706" i="1"/>
  <c r="I1706" i="1"/>
  <c r="S1706" i="1"/>
  <c r="B1707" i="1"/>
  <c r="E1707" i="1"/>
  <c r="I1707" i="1"/>
  <c r="S1707" i="1"/>
  <c r="B1708" i="1"/>
  <c r="E1708" i="1"/>
  <c r="I1708" i="1"/>
  <c r="S1708" i="1"/>
  <c r="B1709" i="1"/>
  <c r="E1709" i="1"/>
  <c r="I1709" i="1"/>
  <c r="B1710" i="1"/>
  <c r="E1710" i="1"/>
  <c r="I1710" i="1"/>
  <c r="S1710" i="1"/>
  <c r="B1711" i="1"/>
  <c r="E1711" i="1"/>
  <c r="I1711" i="1"/>
  <c r="S1711" i="1"/>
  <c r="B1712" i="1"/>
  <c r="E1712" i="1"/>
  <c r="I1712" i="1"/>
  <c r="S1712" i="1"/>
  <c r="B1713" i="1"/>
  <c r="E1713" i="1"/>
  <c r="I1713" i="1"/>
  <c r="S1713" i="1"/>
  <c r="B1714" i="1"/>
  <c r="E1714" i="1"/>
  <c r="I1714" i="1"/>
  <c r="S1714" i="1"/>
  <c r="B1715" i="1"/>
  <c r="E1715" i="1"/>
  <c r="I1715" i="1"/>
  <c r="S1715" i="1"/>
  <c r="B1716" i="1"/>
  <c r="E1716" i="1"/>
  <c r="I1716" i="1"/>
  <c r="S1716" i="1"/>
  <c r="B1717" i="1"/>
  <c r="E1717" i="1"/>
  <c r="I1717" i="1"/>
  <c r="S1717" i="1"/>
  <c r="B1718" i="1"/>
  <c r="E1718" i="1"/>
  <c r="I1718" i="1"/>
  <c r="S1718" i="1"/>
  <c r="B1719" i="1"/>
  <c r="E1719" i="1"/>
  <c r="I1719" i="1"/>
  <c r="S1719" i="1"/>
  <c r="B1720" i="1"/>
  <c r="E1720" i="1"/>
  <c r="I1720" i="1"/>
  <c r="S1720" i="1"/>
  <c r="B1721" i="1"/>
  <c r="E1721" i="1"/>
  <c r="I1721" i="1"/>
  <c r="S1721" i="1"/>
  <c r="B1722" i="1"/>
  <c r="E1722" i="1"/>
  <c r="I1722" i="1"/>
  <c r="S1722" i="1"/>
  <c r="B1723" i="1"/>
  <c r="E1723" i="1"/>
  <c r="I1723" i="1"/>
  <c r="S1723" i="1"/>
  <c r="B1724" i="1"/>
  <c r="E1724" i="1"/>
  <c r="I1724" i="1"/>
  <c r="S1724" i="1"/>
  <c r="B1725" i="1"/>
  <c r="E1725" i="1"/>
  <c r="I1725" i="1"/>
  <c r="S1725" i="1"/>
  <c r="B1726" i="1"/>
  <c r="E1726" i="1"/>
  <c r="I1726" i="1"/>
  <c r="S1726" i="1"/>
  <c r="B1727" i="1"/>
  <c r="E1727" i="1"/>
  <c r="I1727" i="1"/>
  <c r="S1727" i="1"/>
  <c r="B1728" i="1"/>
  <c r="E1728" i="1"/>
  <c r="I1728" i="1"/>
  <c r="S1728" i="1"/>
  <c r="B1729" i="1"/>
  <c r="E1729" i="1"/>
  <c r="I1729" i="1"/>
  <c r="S1729" i="1"/>
  <c r="B1730" i="1"/>
  <c r="E1730" i="1"/>
  <c r="I1730" i="1"/>
  <c r="S1730" i="1"/>
  <c r="B1731" i="1"/>
  <c r="E1731" i="1"/>
  <c r="I1731" i="1"/>
  <c r="S1731" i="1"/>
  <c r="B1732" i="1"/>
  <c r="E1732" i="1"/>
  <c r="I1732" i="1"/>
  <c r="S1732" i="1"/>
  <c r="B1733" i="1"/>
  <c r="E1733" i="1"/>
  <c r="I1733" i="1"/>
  <c r="S1733" i="1"/>
  <c r="B1734" i="1"/>
  <c r="E1734" i="1"/>
  <c r="I1734" i="1"/>
  <c r="S1734" i="1"/>
  <c r="B1735" i="1"/>
  <c r="E1735" i="1"/>
  <c r="I1735" i="1"/>
  <c r="S1735" i="1"/>
  <c r="B1736" i="1"/>
  <c r="E1736" i="1"/>
  <c r="I1736" i="1"/>
  <c r="S1736" i="1"/>
  <c r="B1737" i="1"/>
  <c r="E1737" i="1"/>
  <c r="I1737" i="1"/>
  <c r="S1737" i="1"/>
  <c r="B1738" i="1"/>
  <c r="E1738" i="1"/>
  <c r="I1738" i="1"/>
  <c r="S1738" i="1"/>
  <c r="B1739" i="1"/>
  <c r="E1739" i="1"/>
  <c r="I1739" i="1"/>
  <c r="S1739" i="1"/>
  <c r="B1740" i="1"/>
  <c r="E1740" i="1"/>
  <c r="I1740" i="1"/>
  <c r="S1740" i="1"/>
  <c r="B1741" i="1"/>
  <c r="E1741" i="1"/>
  <c r="I1741" i="1"/>
  <c r="S1741" i="1"/>
  <c r="B1742" i="1"/>
  <c r="E1742" i="1"/>
  <c r="I1742" i="1"/>
  <c r="S1742" i="1"/>
  <c r="B1743" i="1"/>
  <c r="E1743" i="1"/>
  <c r="I1743" i="1"/>
  <c r="S1743" i="1"/>
  <c r="B1744" i="1"/>
  <c r="E1744" i="1"/>
  <c r="I1744" i="1"/>
  <c r="S1744" i="1"/>
  <c r="B1745" i="1"/>
  <c r="E1745" i="1"/>
  <c r="I1745" i="1"/>
  <c r="S1745" i="1"/>
  <c r="B1746" i="1"/>
  <c r="E1746" i="1"/>
  <c r="I1746" i="1"/>
  <c r="S1746" i="1"/>
  <c r="B1747" i="1"/>
  <c r="E1747" i="1"/>
  <c r="I1747" i="1"/>
  <c r="S1747" i="1"/>
  <c r="B1748" i="1"/>
  <c r="E1748" i="1"/>
  <c r="I1748" i="1"/>
  <c r="S1748" i="1"/>
  <c r="B1749" i="1"/>
  <c r="E1749" i="1"/>
  <c r="I1749" i="1"/>
  <c r="S1749" i="1"/>
  <c r="B1750" i="1"/>
  <c r="E1750" i="1"/>
  <c r="I1750" i="1"/>
  <c r="S1750" i="1"/>
  <c r="B1751" i="1"/>
  <c r="E1751" i="1"/>
  <c r="I1751" i="1"/>
  <c r="S1751" i="1"/>
  <c r="B1752" i="1"/>
  <c r="E1752" i="1"/>
  <c r="I1752" i="1"/>
  <c r="S1752" i="1"/>
  <c r="B1753" i="1"/>
  <c r="E1753" i="1"/>
  <c r="I1753" i="1"/>
  <c r="S1753" i="1"/>
  <c r="B1754" i="1"/>
  <c r="E1754" i="1"/>
  <c r="I1754" i="1"/>
  <c r="S1754" i="1"/>
  <c r="B1755" i="1"/>
  <c r="E1755" i="1"/>
  <c r="I1755" i="1"/>
  <c r="S1755" i="1"/>
  <c r="B1756" i="1"/>
  <c r="E1756" i="1"/>
  <c r="I1756" i="1"/>
  <c r="S1756" i="1"/>
  <c r="B1757" i="1"/>
  <c r="E1757" i="1"/>
  <c r="I1757" i="1"/>
  <c r="S1757" i="1"/>
  <c r="B1758" i="1"/>
  <c r="E1758" i="1"/>
  <c r="I1758" i="1"/>
  <c r="S1758" i="1"/>
  <c r="B1759" i="1"/>
  <c r="E1759" i="1"/>
  <c r="I1759" i="1"/>
  <c r="S1759" i="1"/>
  <c r="B1760" i="1"/>
  <c r="E1760" i="1"/>
  <c r="I1760" i="1"/>
  <c r="S1760" i="1"/>
  <c r="B1761" i="1"/>
  <c r="E1761" i="1"/>
  <c r="I1761" i="1"/>
  <c r="S1761" i="1"/>
  <c r="B1762" i="1"/>
  <c r="E1762" i="1"/>
  <c r="I1762" i="1"/>
  <c r="S1762" i="1"/>
  <c r="B1763" i="1"/>
  <c r="E1763" i="1"/>
  <c r="I1763" i="1"/>
  <c r="S1763" i="1"/>
  <c r="B1764" i="1"/>
  <c r="E1764" i="1"/>
  <c r="I1764" i="1"/>
  <c r="S1764" i="1"/>
  <c r="B1765" i="1"/>
  <c r="E1765" i="1"/>
  <c r="I1765" i="1"/>
  <c r="S1765" i="1"/>
  <c r="B1766" i="1"/>
  <c r="E1766" i="1"/>
  <c r="I1766" i="1"/>
  <c r="S1766" i="1"/>
  <c r="B1767" i="1"/>
  <c r="E1767" i="1"/>
  <c r="I1767" i="1"/>
  <c r="S1767" i="1"/>
  <c r="B1768" i="1"/>
  <c r="E1768" i="1"/>
  <c r="I1768" i="1"/>
  <c r="S1768" i="1"/>
  <c r="B1769" i="1"/>
  <c r="E1769" i="1"/>
  <c r="I1769" i="1"/>
  <c r="S1769" i="1"/>
  <c r="B1770" i="1"/>
  <c r="E1770" i="1"/>
  <c r="I1770" i="1"/>
  <c r="S1770" i="1"/>
  <c r="B1771" i="1"/>
  <c r="E1771" i="1"/>
  <c r="I1771" i="1"/>
  <c r="S1771" i="1"/>
  <c r="B1772" i="1"/>
  <c r="E1772" i="1"/>
  <c r="I1772" i="1"/>
  <c r="S1772" i="1"/>
  <c r="B1773" i="1"/>
  <c r="E1773" i="1"/>
  <c r="I1773" i="1"/>
  <c r="S1773" i="1"/>
  <c r="B1774" i="1"/>
  <c r="E1774" i="1"/>
  <c r="I1774" i="1"/>
  <c r="S1774" i="1"/>
  <c r="B1775" i="1"/>
  <c r="E1775" i="1"/>
  <c r="I1775" i="1"/>
  <c r="S1775" i="1"/>
  <c r="B1776" i="1"/>
  <c r="E1776" i="1"/>
  <c r="I1776" i="1"/>
  <c r="S1776" i="1"/>
  <c r="B1777" i="1"/>
  <c r="E1777" i="1"/>
  <c r="I1777" i="1"/>
  <c r="S1777" i="1"/>
  <c r="B1778" i="1"/>
  <c r="E1778" i="1"/>
  <c r="I1778" i="1"/>
  <c r="S1778" i="1"/>
  <c r="B1779" i="1"/>
  <c r="E1779" i="1"/>
  <c r="I1779" i="1"/>
  <c r="S1779" i="1"/>
  <c r="B1780" i="1"/>
  <c r="E1780" i="1"/>
  <c r="I1780" i="1"/>
  <c r="S1780" i="1"/>
  <c r="B1781" i="1"/>
  <c r="E1781" i="1"/>
  <c r="I1781" i="1"/>
  <c r="S1781" i="1"/>
  <c r="B1782" i="1"/>
  <c r="E1782" i="1"/>
  <c r="I1782" i="1"/>
  <c r="S1782" i="1"/>
  <c r="B1783" i="1"/>
  <c r="E1783" i="1"/>
  <c r="I1783" i="1"/>
  <c r="S1783" i="1"/>
  <c r="B1784" i="1"/>
  <c r="E1784" i="1"/>
  <c r="I1784" i="1"/>
  <c r="S1784" i="1"/>
  <c r="B1785" i="1"/>
  <c r="E1785" i="1"/>
  <c r="I1785" i="1"/>
  <c r="S1785" i="1"/>
  <c r="B1786" i="1"/>
  <c r="E1786" i="1"/>
  <c r="I1786" i="1"/>
  <c r="S1786" i="1"/>
  <c r="B1787" i="1"/>
  <c r="E1787" i="1"/>
  <c r="I1787" i="1"/>
  <c r="S1787" i="1"/>
  <c r="B1788" i="1"/>
  <c r="E1788" i="1"/>
  <c r="I1788" i="1"/>
  <c r="S1788" i="1"/>
  <c r="B1789" i="1"/>
  <c r="E1789" i="1"/>
  <c r="I1789" i="1"/>
  <c r="S1789" i="1"/>
  <c r="B1790" i="1"/>
  <c r="E1790" i="1"/>
  <c r="I1790" i="1"/>
  <c r="S1790" i="1"/>
  <c r="B1791" i="1"/>
  <c r="E1791" i="1"/>
  <c r="I1791" i="1"/>
  <c r="S1791" i="1"/>
  <c r="B1792" i="1"/>
  <c r="E1792" i="1"/>
  <c r="I1792" i="1"/>
  <c r="S1792" i="1"/>
  <c r="B1793" i="1"/>
  <c r="E1793" i="1"/>
  <c r="I1793" i="1"/>
  <c r="S1793" i="1"/>
  <c r="B1794" i="1"/>
  <c r="E1794" i="1"/>
  <c r="I1794" i="1"/>
  <c r="S1794" i="1"/>
  <c r="B1795" i="1"/>
  <c r="E1795" i="1"/>
  <c r="I1795" i="1"/>
  <c r="S1795" i="1"/>
  <c r="B1796" i="1"/>
  <c r="E1796" i="1"/>
  <c r="I1796" i="1"/>
  <c r="S1796" i="1"/>
  <c r="B1797" i="1"/>
  <c r="E1797" i="1"/>
  <c r="I1797" i="1"/>
  <c r="S1797" i="1"/>
  <c r="B1798" i="1"/>
  <c r="E1798" i="1"/>
  <c r="I1798" i="1"/>
  <c r="S1798" i="1"/>
  <c r="B1799" i="1"/>
  <c r="E1799" i="1"/>
  <c r="I1799" i="1"/>
  <c r="S1799" i="1"/>
  <c r="B1800" i="1"/>
  <c r="E1800" i="1"/>
  <c r="I1800" i="1"/>
  <c r="S1800" i="1"/>
  <c r="B1801" i="1"/>
  <c r="E1801" i="1"/>
  <c r="I1801" i="1"/>
  <c r="S1801" i="1"/>
  <c r="B1802" i="1"/>
  <c r="E1802" i="1"/>
  <c r="I1802" i="1"/>
  <c r="S1802" i="1"/>
  <c r="B1803" i="1"/>
  <c r="E1803" i="1"/>
  <c r="I1803" i="1"/>
  <c r="S1803" i="1"/>
  <c r="B1804" i="1"/>
  <c r="E1804" i="1"/>
  <c r="I1804" i="1"/>
  <c r="S1804" i="1"/>
  <c r="B1805" i="1"/>
  <c r="E1805" i="1"/>
  <c r="I1805" i="1"/>
  <c r="S1805" i="1"/>
  <c r="B1806" i="1"/>
  <c r="E1806" i="1"/>
  <c r="I1806" i="1"/>
  <c r="S1806" i="1"/>
  <c r="B1807" i="1"/>
  <c r="E1807" i="1"/>
  <c r="I1807" i="1"/>
  <c r="S1807" i="1"/>
  <c r="B1808" i="1"/>
  <c r="E1808" i="1"/>
  <c r="I1808" i="1"/>
  <c r="S1808" i="1"/>
  <c r="B1809" i="1"/>
  <c r="E1809" i="1"/>
  <c r="I1809" i="1"/>
  <c r="S1809" i="1"/>
  <c r="B1810" i="1"/>
  <c r="E1810" i="1"/>
  <c r="I1810" i="1"/>
  <c r="S1810" i="1"/>
  <c r="B1811" i="1"/>
  <c r="E1811" i="1"/>
  <c r="I1811" i="1"/>
  <c r="S1811" i="1"/>
  <c r="B1812" i="1"/>
  <c r="E1812" i="1"/>
  <c r="I1812" i="1"/>
  <c r="S1812" i="1"/>
  <c r="B1813" i="1"/>
  <c r="E1813" i="1"/>
  <c r="I1813" i="1"/>
  <c r="S1813" i="1"/>
  <c r="B1814" i="1"/>
  <c r="E1814" i="1"/>
  <c r="I1814" i="1"/>
  <c r="S1814" i="1"/>
  <c r="B1815" i="1"/>
  <c r="E1815" i="1"/>
  <c r="I1815" i="1"/>
  <c r="S1815" i="1"/>
  <c r="B1816" i="1"/>
  <c r="E1816" i="1"/>
  <c r="I1816" i="1"/>
  <c r="S1816" i="1"/>
  <c r="B1817" i="1"/>
  <c r="E1817" i="1"/>
  <c r="I1817" i="1"/>
  <c r="S1817" i="1"/>
  <c r="B1818" i="1"/>
  <c r="E1818" i="1"/>
  <c r="I1818" i="1"/>
  <c r="S1818" i="1"/>
  <c r="B1819" i="1"/>
  <c r="E1819" i="1"/>
  <c r="I1819" i="1"/>
  <c r="S1819" i="1"/>
  <c r="B1820" i="1"/>
  <c r="E1820" i="1"/>
  <c r="I1820" i="1"/>
  <c r="S1820" i="1"/>
  <c r="B1821" i="1"/>
  <c r="E1821" i="1"/>
  <c r="I1821" i="1"/>
  <c r="S1821" i="1"/>
  <c r="B1822" i="1"/>
  <c r="E1822" i="1"/>
  <c r="I1822" i="1"/>
  <c r="S1822" i="1"/>
  <c r="B1823" i="1"/>
  <c r="E1823" i="1"/>
  <c r="I1823" i="1"/>
  <c r="S1823" i="1"/>
  <c r="B1824" i="1"/>
  <c r="E1824" i="1"/>
  <c r="I1824" i="1"/>
  <c r="S1824" i="1"/>
  <c r="B1825" i="1"/>
  <c r="E1825" i="1"/>
  <c r="I1825" i="1"/>
  <c r="S1825" i="1"/>
  <c r="B1826" i="1"/>
  <c r="E1826" i="1"/>
  <c r="I1826" i="1"/>
  <c r="S1826" i="1"/>
  <c r="B1827" i="1"/>
  <c r="E1827" i="1"/>
  <c r="I1827" i="1"/>
  <c r="S1827" i="1"/>
  <c r="B1828" i="1"/>
  <c r="E1828" i="1"/>
  <c r="I1828" i="1"/>
  <c r="S1828" i="1"/>
  <c r="B1829" i="1"/>
  <c r="E1829" i="1"/>
  <c r="I1829" i="1"/>
  <c r="S1829" i="1"/>
  <c r="B1830" i="1"/>
  <c r="E1830" i="1"/>
  <c r="I1830" i="1"/>
  <c r="S1830" i="1"/>
  <c r="B1831" i="1"/>
  <c r="E1831" i="1"/>
  <c r="I1831" i="1"/>
  <c r="S1831" i="1"/>
  <c r="B1832" i="1"/>
  <c r="E1832" i="1"/>
  <c r="I1832" i="1"/>
  <c r="S1832" i="1"/>
  <c r="B1833" i="1"/>
  <c r="E1833" i="1"/>
  <c r="I1833" i="1"/>
  <c r="S1833" i="1"/>
  <c r="B1834" i="1"/>
  <c r="E1834" i="1"/>
  <c r="I1834" i="1"/>
  <c r="S1834" i="1"/>
  <c r="B1835" i="1"/>
  <c r="E1835" i="1"/>
  <c r="I1835" i="1"/>
  <c r="S1835" i="1"/>
  <c r="B1836" i="1"/>
  <c r="E1836" i="1"/>
  <c r="I1836" i="1"/>
  <c r="S1836" i="1"/>
  <c r="B1837" i="1"/>
  <c r="E1837" i="1"/>
  <c r="I1837" i="1"/>
  <c r="S1837" i="1"/>
  <c r="B1838" i="1"/>
  <c r="E1838" i="1"/>
  <c r="I1838" i="1"/>
  <c r="S1838" i="1"/>
  <c r="B1839" i="1"/>
  <c r="E1839" i="1"/>
  <c r="I1839" i="1"/>
  <c r="S1839" i="1"/>
  <c r="B1840" i="1"/>
  <c r="E1840" i="1"/>
  <c r="I1840" i="1"/>
  <c r="S1840" i="1"/>
  <c r="B1841" i="1"/>
  <c r="E1841" i="1"/>
  <c r="I1841" i="1"/>
  <c r="S1841" i="1"/>
  <c r="B1842" i="1"/>
  <c r="E1842" i="1"/>
  <c r="I1842" i="1"/>
  <c r="S1842" i="1"/>
  <c r="B1843" i="1"/>
  <c r="E1843" i="1"/>
  <c r="I1843" i="1"/>
  <c r="S1843" i="1"/>
  <c r="B1844" i="1"/>
  <c r="E1844" i="1"/>
  <c r="I1844" i="1"/>
  <c r="S1844" i="1"/>
  <c r="B1845" i="1"/>
  <c r="E1845" i="1"/>
  <c r="I1845" i="1"/>
  <c r="S1845" i="1"/>
  <c r="B1846" i="1"/>
  <c r="E1846" i="1"/>
  <c r="I1846" i="1"/>
  <c r="S1846" i="1"/>
  <c r="B1847" i="1"/>
  <c r="E1847" i="1"/>
  <c r="I1847" i="1"/>
  <c r="S1847" i="1"/>
  <c r="B1848" i="1"/>
  <c r="E1848" i="1"/>
  <c r="I1848" i="1"/>
  <c r="S1848" i="1"/>
  <c r="B1849" i="1"/>
  <c r="E1849" i="1"/>
  <c r="I1849" i="1"/>
  <c r="S1849" i="1"/>
  <c r="B1850" i="1"/>
  <c r="E1850" i="1"/>
  <c r="I1850" i="1"/>
  <c r="S1850" i="1"/>
  <c r="B1851" i="1"/>
  <c r="E1851" i="1"/>
  <c r="I1851" i="1"/>
  <c r="S1851" i="1"/>
  <c r="B1852" i="1"/>
  <c r="E1852" i="1"/>
  <c r="I1852" i="1"/>
  <c r="S1852" i="1"/>
  <c r="B1853" i="1"/>
  <c r="E1853" i="1"/>
  <c r="I1853" i="1"/>
  <c r="S1853" i="1"/>
  <c r="B1854" i="1"/>
  <c r="E1854" i="1"/>
  <c r="I1854" i="1"/>
  <c r="S1854" i="1"/>
  <c r="B1855" i="1"/>
  <c r="E1855" i="1"/>
  <c r="I1855" i="1"/>
  <c r="S1855" i="1"/>
  <c r="B1856" i="1"/>
  <c r="E1856" i="1"/>
  <c r="I1856" i="1"/>
  <c r="S1856" i="1"/>
  <c r="B1857" i="1"/>
  <c r="E1857" i="1"/>
  <c r="I1857" i="1"/>
  <c r="S1857" i="1"/>
  <c r="B1858" i="1"/>
  <c r="E1858" i="1"/>
  <c r="I1858" i="1"/>
  <c r="S1858" i="1"/>
  <c r="B1859" i="1"/>
  <c r="E1859" i="1"/>
  <c r="I1859" i="1"/>
  <c r="S1859" i="1"/>
  <c r="B1860" i="1"/>
  <c r="E1860" i="1"/>
  <c r="I1860" i="1"/>
  <c r="S1860" i="1"/>
  <c r="B1861" i="1"/>
  <c r="E1861" i="1"/>
  <c r="I1861" i="1"/>
  <c r="S1861" i="1"/>
  <c r="B1862" i="1"/>
  <c r="E1862" i="1"/>
  <c r="I1862" i="1"/>
  <c r="S1862" i="1"/>
  <c r="B1863" i="1"/>
  <c r="E1863" i="1"/>
  <c r="I1863" i="1"/>
  <c r="S1863" i="1"/>
  <c r="B1864" i="1"/>
  <c r="E1864" i="1"/>
  <c r="I1864" i="1"/>
  <c r="S1864" i="1"/>
  <c r="B1865" i="1"/>
  <c r="E1865" i="1"/>
  <c r="I1865" i="1"/>
  <c r="S1865" i="1"/>
  <c r="B1866" i="1"/>
  <c r="E1866" i="1"/>
  <c r="I1866" i="1"/>
  <c r="S1866" i="1"/>
  <c r="B1867" i="1"/>
  <c r="E1867" i="1"/>
  <c r="I1867" i="1"/>
  <c r="S1867" i="1"/>
  <c r="B1868" i="1"/>
  <c r="E1868" i="1"/>
  <c r="I1868" i="1"/>
  <c r="S1868" i="1"/>
  <c r="B1869" i="1"/>
  <c r="E1869" i="1"/>
  <c r="I1869" i="1"/>
  <c r="S1869" i="1"/>
  <c r="B1870" i="1"/>
  <c r="E1870" i="1"/>
  <c r="I1870" i="1"/>
  <c r="S1870" i="1"/>
  <c r="B1871" i="1"/>
  <c r="E1871" i="1"/>
  <c r="I1871" i="1"/>
  <c r="S1871" i="1"/>
  <c r="B1872" i="1"/>
  <c r="E1872" i="1"/>
  <c r="I1872" i="1"/>
  <c r="S1872" i="1"/>
  <c r="B1873" i="1"/>
  <c r="E1873" i="1"/>
  <c r="I1873" i="1"/>
  <c r="S1873" i="1"/>
  <c r="B1874" i="1"/>
  <c r="E1874" i="1"/>
  <c r="I1874" i="1"/>
  <c r="S1874" i="1"/>
  <c r="B1875" i="1"/>
  <c r="E1875" i="1"/>
  <c r="I1875" i="1"/>
  <c r="S1875" i="1"/>
  <c r="B1876" i="1"/>
  <c r="E1876" i="1"/>
  <c r="I1876" i="1"/>
  <c r="S1876" i="1"/>
  <c r="B1877" i="1"/>
  <c r="E1877" i="1"/>
  <c r="I1877" i="1"/>
  <c r="S1877" i="1"/>
  <c r="B1878" i="1"/>
  <c r="E1878" i="1"/>
  <c r="I1878" i="1"/>
  <c r="S1878" i="1"/>
  <c r="B1879" i="1"/>
  <c r="E1879" i="1"/>
  <c r="I1879" i="1"/>
  <c r="S1879" i="1"/>
  <c r="B1880" i="1"/>
  <c r="E1880" i="1"/>
  <c r="I1880" i="1"/>
  <c r="S1880" i="1"/>
  <c r="B1881" i="1"/>
  <c r="E1881" i="1"/>
  <c r="I1881" i="1"/>
  <c r="S1881" i="1"/>
  <c r="B1882" i="1"/>
  <c r="E1882" i="1"/>
  <c r="I1882" i="1"/>
  <c r="S1882" i="1"/>
  <c r="B1883" i="1"/>
  <c r="E1883" i="1"/>
  <c r="I1883" i="1"/>
  <c r="S1883" i="1"/>
  <c r="B1884" i="1"/>
  <c r="E1884" i="1"/>
  <c r="I1884" i="1"/>
  <c r="S1884" i="1"/>
  <c r="B1885" i="1"/>
  <c r="E1885" i="1"/>
  <c r="I1885" i="1"/>
  <c r="S1885" i="1"/>
  <c r="B1886" i="1"/>
  <c r="E1886" i="1"/>
  <c r="I1886" i="1"/>
  <c r="S1886" i="1"/>
  <c r="B1887" i="1"/>
  <c r="E1887" i="1"/>
  <c r="I1887" i="1"/>
  <c r="S1887" i="1"/>
  <c r="B1888" i="1"/>
  <c r="E1888" i="1"/>
  <c r="I1888" i="1"/>
  <c r="S1888" i="1"/>
  <c r="B1889" i="1"/>
  <c r="E1889" i="1"/>
  <c r="I1889" i="1"/>
  <c r="S1889" i="1"/>
  <c r="B1890" i="1"/>
  <c r="E1890" i="1"/>
  <c r="I1890" i="1"/>
  <c r="S1890" i="1"/>
  <c r="B1891" i="1"/>
  <c r="E1891" i="1"/>
  <c r="I1891" i="1"/>
  <c r="S1891" i="1"/>
  <c r="B1892" i="1"/>
  <c r="E1892" i="1"/>
  <c r="I1892" i="1"/>
  <c r="S1892" i="1"/>
  <c r="B1893" i="1"/>
  <c r="E1893" i="1"/>
  <c r="I1893" i="1"/>
  <c r="S1893" i="1"/>
  <c r="B1894" i="1"/>
  <c r="E1894" i="1"/>
  <c r="I1894" i="1"/>
  <c r="S1894" i="1"/>
  <c r="B1895" i="1"/>
  <c r="E1895" i="1"/>
  <c r="I1895" i="1"/>
  <c r="S1895" i="1"/>
  <c r="B1896" i="1"/>
  <c r="E1896" i="1"/>
  <c r="I1896" i="1"/>
  <c r="S1896" i="1"/>
  <c r="B1897" i="1"/>
  <c r="E1897" i="1"/>
  <c r="I1897" i="1"/>
  <c r="S1897" i="1"/>
  <c r="B1898" i="1"/>
  <c r="E1898" i="1"/>
  <c r="I1898" i="1"/>
  <c r="S1898" i="1"/>
  <c r="B1899" i="1"/>
  <c r="E1899" i="1"/>
  <c r="I1899" i="1"/>
  <c r="S1899" i="1"/>
  <c r="B1900" i="1"/>
  <c r="E1900" i="1"/>
  <c r="I1900" i="1"/>
  <c r="S1900" i="1"/>
  <c r="B1901" i="1"/>
  <c r="E1901" i="1"/>
  <c r="I1901" i="1"/>
  <c r="S1901" i="1"/>
  <c r="B1902" i="1"/>
  <c r="E1902" i="1"/>
  <c r="I1902" i="1"/>
  <c r="S1902" i="1"/>
  <c r="B1903" i="1"/>
  <c r="E1903" i="1"/>
  <c r="I1903" i="1"/>
  <c r="S1903" i="1"/>
  <c r="B1904" i="1"/>
  <c r="E1904" i="1"/>
  <c r="I1904" i="1"/>
  <c r="S1904" i="1"/>
  <c r="B1905" i="1"/>
  <c r="E1905" i="1"/>
  <c r="I1905" i="1"/>
  <c r="B1906" i="1"/>
  <c r="E1906" i="1"/>
  <c r="I1906" i="1"/>
  <c r="S1906" i="1"/>
  <c r="B1907" i="1"/>
  <c r="E1907" i="1"/>
  <c r="I1907" i="1"/>
  <c r="S1907" i="1"/>
  <c r="B1908" i="1"/>
  <c r="E1908" i="1"/>
  <c r="I1908" i="1"/>
  <c r="S1908" i="1"/>
  <c r="B1909" i="1"/>
  <c r="E1909" i="1"/>
  <c r="I1909" i="1"/>
  <c r="S1909" i="1"/>
  <c r="B1910" i="1"/>
  <c r="E1910" i="1"/>
  <c r="I1910" i="1"/>
  <c r="S1910" i="1"/>
  <c r="B1911" i="1"/>
  <c r="E1911" i="1"/>
  <c r="I1911" i="1"/>
  <c r="S1911" i="1"/>
  <c r="B1912" i="1"/>
  <c r="E1912" i="1"/>
  <c r="I1912" i="1"/>
  <c r="S1912" i="1"/>
  <c r="B1913" i="1"/>
  <c r="E1913" i="1"/>
  <c r="I1913" i="1"/>
  <c r="S1913" i="1"/>
  <c r="B1914" i="1"/>
  <c r="E1914" i="1"/>
  <c r="I1914" i="1"/>
  <c r="S1914" i="1"/>
  <c r="B1915" i="1"/>
  <c r="E1915" i="1"/>
  <c r="I1915" i="1"/>
  <c r="S1915" i="1"/>
  <c r="B1916" i="1"/>
  <c r="E1916" i="1"/>
  <c r="I1916" i="1"/>
  <c r="S1916" i="1"/>
  <c r="B1917" i="1"/>
  <c r="E1917" i="1"/>
  <c r="I1917" i="1"/>
  <c r="S1917" i="1"/>
  <c r="B1918" i="1"/>
  <c r="E1918" i="1"/>
  <c r="I1918" i="1"/>
  <c r="S1918" i="1"/>
  <c r="B1919" i="1"/>
  <c r="E1919" i="1"/>
  <c r="I1919" i="1"/>
  <c r="S1919" i="1"/>
  <c r="B1920" i="1"/>
  <c r="E1920" i="1"/>
  <c r="I1920" i="1"/>
  <c r="S1920" i="1"/>
  <c r="B1921" i="1"/>
  <c r="E1921" i="1"/>
  <c r="I1921" i="1"/>
  <c r="S1921" i="1"/>
  <c r="B1922" i="1"/>
  <c r="E1922" i="1"/>
  <c r="I1922" i="1"/>
  <c r="S1922" i="1"/>
  <c r="B1923" i="1"/>
  <c r="E1923" i="1"/>
  <c r="I1923" i="1"/>
  <c r="S1923" i="1"/>
  <c r="B1924" i="1"/>
  <c r="E1924" i="1"/>
  <c r="I1924" i="1"/>
  <c r="S1924" i="1"/>
  <c r="B1925" i="1"/>
  <c r="E1925" i="1"/>
  <c r="I1925" i="1"/>
  <c r="S1925" i="1"/>
  <c r="B1926" i="1"/>
  <c r="E1926" i="1"/>
  <c r="I1926" i="1"/>
  <c r="S1926" i="1"/>
  <c r="B1927" i="1"/>
  <c r="E1927" i="1"/>
  <c r="I1927" i="1"/>
  <c r="S1927" i="1"/>
  <c r="B1928" i="1"/>
  <c r="E1928" i="1"/>
  <c r="I1928" i="1"/>
  <c r="S1928" i="1"/>
  <c r="B1929" i="1"/>
  <c r="E1929" i="1"/>
  <c r="I1929" i="1"/>
  <c r="S1929" i="1"/>
  <c r="B1930" i="1"/>
  <c r="E1930" i="1"/>
  <c r="I1930" i="1"/>
  <c r="S1930" i="1"/>
  <c r="B1931" i="1"/>
  <c r="E1931" i="1"/>
  <c r="I1931" i="1"/>
  <c r="S1931" i="1"/>
  <c r="B1932" i="1"/>
  <c r="E1932" i="1"/>
  <c r="I1932" i="1"/>
  <c r="S1932" i="1"/>
  <c r="B1933" i="1"/>
  <c r="E1933" i="1"/>
  <c r="I1933" i="1"/>
  <c r="S1933" i="1"/>
  <c r="B1934" i="1"/>
  <c r="E1934" i="1"/>
  <c r="I1934" i="1"/>
  <c r="S1934" i="1"/>
  <c r="B1935" i="1"/>
  <c r="E1935" i="1"/>
  <c r="I1935" i="1"/>
  <c r="S1935" i="1"/>
  <c r="B1936" i="1"/>
  <c r="E1936" i="1"/>
  <c r="I1936" i="1"/>
  <c r="S1936" i="1"/>
  <c r="B1937" i="1"/>
  <c r="E1937" i="1"/>
  <c r="I1937" i="1"/>
  <c r="S1937" i="1"/>
  <c r="B1938" i="1"/>
  <c r="E1938" i="1"/>
  <c r="I1938" i="1"/>
  <c r="S1938" i="1"/>
  <c r="B1939" i="1"/>
  <c r="E1939" i="1"/>
  <c r="I1939" i="1"/>
  <c r="S1939" i="1"/>
  <c r="B1940" i="1"/>
  <c r="E1940" i="1"/>
  <c r="I1940" i="1"/>
  <c r="S1940" i="1"/>
  <c r="B1941" i="1"/>
  <c r="E1941" i="1"/>
  <c r="I1941" i="1"/>
  <c r="S1941" i="1"/>
  <c r="B1942" i="1"/>
  <c r="E1942" i="1"/>
  <c r="I1942" i="1"/>
  <c r="S1942" i="1"/>
  <c r="B1943" i="1"/>
  <c r="E1943" i="1"/>
  <c r="I1943" i="1"/>
  <c r="S1943" i="1"/>
  <c r="B1944" i="1"/>
  <c r="E1944" i="1"/>
  <c r="I1944" i="1"/>
  <c r="S1944" i="1"/>
  <c r="B1945" i="1"/>
  <c r="E1945" i="1"/>
  <c r="I1945" i="1"/>
  <c r="S1945" i="1"/>
  <c r="B1946" i="1"/>
  <c r="E1946" i="1"/>
  <c r="I1946" i="1"/>
  <c r="S1946" i="1"/>
  <c r="B1947" i="1"/>
  <c r="E1947" i="1"/>
  <c r="I1947" i="1"/>
  <c r="S1947" i="1"/>
  <c r="B1948" i="1"/>
  <c r="E1948" i="1"/>
  <c r="I1948" i="1"/>
  <c r="S1948" i="1"/>
  <c r="B1949" i="1"/>
  <c r="E1949" i="1"/>
  <c r="I1949" i="1"/>
  <c r="S1949" i="1"/>
  <c r="B1950" i="1"/>
  <c r="E1950" i="1"/>
  <c r="I1950" i="1"/>
  <c r="S1950" i="1"/>
  <c r="B1951" i="1"/>
  <c r="E1951" i="1"/>
  <c r="I1951" i="1"/>
  <c r="S1951" i="1"/>
  <c r="B1952" i="1"/>
  <c r="E1952" i="1"/>
  <c r="I1952" i="1"/>
  <c r="S1952" i="1"/>
  <c r="B1953" i="1"/>
  <c r="E1953" i="1"/>
  <c r="I1953" i="1"/>
  <c r="S1953" i="1"/>
  <c r="B1954" i="1"/>
  <c r="E1954" i="1"/>
  <c r="I1954" i="1"/>
  <c r="S1954" i="1"/>
  <c r="B1955" i="1"/>
  <c r="E1955" i="1"/>
  <c r="I1955" i="1"/>
  <c r="S1955" i="1"/>
  <c r="B1956" i="1"/>
  <c r="E1956" i="1"/>
  <c r="I1956" i="1"/>
  <c r="S1956" i="1"/>
  <c r="B1957" i="1"/>
  <c r="E1957" i="1"/>
  <c r="I1957" i="1"/>
  <c r="S1957" i="1"/>
  <c r="B1958" i="1"/>
  <c r="E1958" i="1"/>
  <c r="I1958" i="1"/>
  <c r="S1958" i="1"/>
  <c r="B1959" i="1"/>
  <c r="E1959" i="1"/>
  <c r="I1959" i="1"/>
  <c r="S1959" i="1"/>
  <c r="B1960" i="1"/>
  <c r="E1960" i="1"/>
  <c r="I1960" i="1"/>
  <c r="S1960" i="1"/>
  <c r="B1961" i="1"/>
  <c r="E1961" i="1"/>
  <c r="I1961" i="1"/>
  <c r="S1961" i="1"/>
  <c r="B1962" i="1"/>
  <c r="E1962" i="1"/>
  <c r="I1962" i="1"/>
  <c r="S1962" i="1"/>
  <c r="B1963" i="1"/>
  <c r="E1963" i="1"/>
  <c r="I1963" i="1"/>
  <c r="S1963" i="1"/>
  <c r="B1964" i="1"/>
  <c r="E1964" i="1"/>
  <c r="I1964" i="1"/>
  <c r="S1964" i="1"/>
  <c r="B1965" i="1"/>
  <c r="E1965" i="1"/>
  <c r="I1965" i="1"/>
  <c r="S1965" i="1"/>
  <c r="B1966" i="1"/>
  <c r="E1966" i="1"/>
  <c r="I1966" i="1"/>
  <c r="S1966" i="1"/>
  <c r="B1967" i="1"/>
  <c r="E1967" i="1"/>
  <c r="I1967" i="1"/>
  <c r="S1967" i="1"/>
  <c r="B1968" i="1"/>
  <c r="E1968" i="1"/>
  <c r="I1968" i="1"/>
  <c r="S1968" i="1"/>
  <c r="B1969" i="1"/>
  <c r="E1969" i="1"/>
  <c r="I1969" i="1"/>
  <c r="S1969" i="1"/>
  <c r="B1970" i="1"/>
  <c r="E1970" i="1"/>
  <c r="I1970" i="1"/>
  <c r="S1970" i="1"/>
  <c r="B1971" i="1"/>
  <c r="E1971" i="1"/>
  <c r="I1971" i="1"/>
  <c r="S1971" i="1"/>
  <c r="B1972" i="1"/>
  <c r="E1972" i="1"/>
  <c r="I1972" i="1"/>
  <c r="S1972" i="1"/>
  <c r="B1973" i="1"/>
  <c r="E1973" i="1"/>
  <c r="I1973" i="1"/>
  <c r="S1973" i="1"/>
  <c r="B1974" i="1"/>
  <c r="E1974" i="1"/>
  <c r="I1974" i="1"/>
  <c r="S1974" i="1"/>
  <c r="B1975" i="1"/>
  <c r="E1975" i="1"/>
  <c r="I1975" i="1"/>
  <c r="S1975" i="1"/>
  <c r="B1976" i="1"/>
  <c r="E1976" i="1"/>
  <c r="I1976" i="1"/>
  <c r="S1976" i="1"/>
  <c r="B1977" i="1"/>
  <c r="E1977" i="1"/>
  <c r="I1977" i="1"/>
  <c r="B1978" i="1"/>
  <c r="E1978" i="1"/>
  <c r="I1978" i="1"/>
  <c r="S1978" i="1"/>
  <c r="B1979" i="1"/>
  <c r="E1979" i="1"/>
  <c r="I1979" i="1"/>
  <c r="S1979" i="1"/>
  <c r="B1980" i="1"/>
  <c r="E1980" i="1"/>
  <c r="I1980" i="1"/>
  <c r="S1980" i="1"/>
  <c r="B1981" i="1"/>
  <c r="E1981" i="1"/>
  <c r="I1981" i="1"/>
  <c r="S1981" i="1"/>
  <c r="B1982" i="1"/>
  <c r="E1982" i="1"/>
  <c r="I1982" i="1"/>
  <c r="S1982" i="1"/>
  <c r="B1983" i="1"/>
  <c r="E1983" i="1"/>
  <c r="I1983" i="1"/>
  <c r="S1983" i="1"/>
  <c r="B1984" i="1"/>
  <c r="E1984" i="1"/>
  <c r="I1984" i="1"/>
  <c r="S1984" i="1"/>
  <c r="B1985" i="1"/>
  <c r="E1985" i="1"/>
  <c r="I1985" i="1"/>
  <c r="S1985" i="1"/>
  <c r="B1986" i="1"/>
  <c r="E1986" i="1"/>
  <c r="I1986" i="1"/>
  <c r="S1986" i="1"/>
  <c r="B1987" i="1"/>
  <c r="E1987" i="1"/>
  <c r="I1987" i="1"/>
  <c r="S1987" i="1"/>
  <c r="B1988" i="1"/>
  <c r="E1988" i="1"/>
  <c r="I1988" i="1"/>
  <c r="S1988" i="1"/>
  <c r="B1989" i="1"/>
  <c r="E1989" i="1"/>
  <c r="I1989" i="1"/>
  <c r="S1989" i="1"/>
  <c r="B1990" i="1"/>
  <c r="E1990" i="1"/>
  <c r="I1990" i="1"/>
  <c r="S1990" i="1"/>
  <c r="B1991" i="1"/>
  <c r="E1991" i="1"/>
  <c r="I1991" i="1"/>
  <c r="S1991" i="1"/>
  <c r="B1992" i="1"/>
  <c r="E1992" i="1"/>
  <c r="I1992" i="1"/>
  <c r="S1992" i="1"/>
  <c r="B1993" i="1"/>
  <c r="E1993" i="1"/>
  <c r="I1993" i="1"/>
  <c r="S1993" i="1"/>
  <c r="B1994" i="1"/>
  <c r="E1994" i="1"/>
  <c r="I1994" i="1"/>
  <c r="S1994" i="1"/>
  <c r="B1995" i="1"/>
  <c r="E1995" i="1"/>
  <c r="I1995" i="1"/>
  <c r="S1995" i="1"/>
  <c r="B1996" i="1"/>
  <c r="E1996" i="1"/>
  <c r="I1996" i="1"/>
  <c r="S1996" i="1"/>
  <c r="B1997" i="1"/>
  <c r="E1997" i="1"/>
  <c r="I1997" i="1"/>
  <c r="S1997" i="1"/>
  <c r="B1998" i="1"/>
  <c r="E1998" i="1"/>
  <c r="I1998" i="1"/>
  <c r="S1998" i="1"/>
  <c r="B1999" i="1"/>
  <c r="E1999" i="1"/>
  <c r="I1999" i="1"/>
  <c r="S1999" i="1"/>
  <c r="B2000" i="1"/>
  <c r="E2000" i="1"/>
  <c r="I2000" i="1"/>
  <c r="S2000" i="1"/>
  <c r="B2001" i="1"/>
  <c r="E2001" i="1"/>
  <c r="I2001" i="1"/>
  <c r="S2001" i="1"/>
  <c r="B2002" i="1"/>
  <c r="E2002" i="1"/>
  <c r="I2002" i="1"/>
  <c r="S2002" i="1"/>
  <c r="B2003" i="1"/>
  <c r="E2003" i="1"/>
  <c r="I2003" i="1"/>
  <c r="B2004" i="1"/>
  <c r="E2004" i="1"/>
  <c r="I2004" i="1"/>
  <c r="S2004" i="1"/>
  <c r="B2005" i="1"/>
  <c r="E2005" i="1"/>
  <c r="I2005" i="1"/>
  <c r="S2005" i="1"/>
  <c r="B2006" i="1"/>
  <c r="E2006" i="1"/>
  <c r="I2006" i="1"/>
  <c r="S2006" i="1"/>
  <c r="B2007" i="1"/>
  <c r="E2007" i="1"/>
  <c r="I2007" i="1"/>
  <c r="S2007" i="1"/>
  <c r="B2008" i="1"/>
  <c r="E2008" i="1"/>
  <c r="I2008" i="1"/>
  <c r="S2008" i="1"/>
  <c r="B2009" i="1"/>
  <c r="E2009" i="1"/>
  <c r="I2009" i="1"/>
  <c r="S2009" i="1"/>
  <c r="B2010" i="1"/>
  <c r="E2010" i="1"/>
  <c r="I2010" i="1"/>
  <c r="S2010" i="1"/>
  <c r="B2011" i="1"/>
  <c r="E2011" i="1"/>
  <c r="I2011" i="1"/>
  <c r="S2011" i="1"/>
  <c r="B2012" i="1"/>
  <c r="E2012" i="1"/>
  <c r="I2012" i="1"/>
  <c r="S2012" i="1"/>
  <c r="B2013" i="1"/>
  <c r="E2013" i="1"/>
  <c r="I2013" i="1"/>
  <c r="S2013" i="1"/>
  <c r="B2014" i="1"/>
  <c r="E2014" i="1"/>
  <c r="I2014" i="1"/>
  <c r="S2014" i="1"/>
  <c r="B2015" i="1"/>
  <c r="E2015" i="1"/>
  <c r="I2015" i="1"/>
  <c r="S2015" i="1"/>
  <c r="B2016" i="1"/>
  <c r="E2016" i="1"/>
  <c r="I2016" i="1"/>
  <c r="S2016" i="1"/>
  <c r="B2017" i="1"/>
  <c r="E2017" i="1"/>
  <c r="I2017" i="1"/>
  <c r="S2017" i="1"/>
  <c r="B2018" i="1"/>
  <c r="E2018" i="1"/>
  <c r="I2018" i="1"/>
  <c r="S2018" i="1"/>
  <c r="B2019" i="1"/>
  <c r="E2019" i="1"/>
  <c r="I2019" i="1"/>
  <c r="S2019" i="1"/>
  <c r="B2020" i="1"/>
  <c r="E2020" i="1"/>
  <c r="I2020" i="1"/>
  <c r="S2020" i="1"/>
  <c r="B2021" i="1"/>
  <c r="E2021" i="1"/>
  <c r="I2021" i="1"/>
  <c r="S2021" i="1"/>
  <c r="B2022" i="1"/>
  <c r="E2022" i="1"/>
  <c r="I2022" i="1"/>
  <c r="S2022" i="1"/>
  <c r="B2023" i="1"/>
  <c r="E2023" i="1"/>
  <c r="I2023" i="1"/>
  <c r="S2023" i="1"/>
  <c r="B2024" i="1"/>
  <c r="E2024" i="1"/>
  <c r="I2024" i="1"/>
  <c r="S2024" i="1"/>
  <c r="B2025" i="1"/>
  <c r="E2025" i="1"/>
  <c r="I2025" i="1"/>
  <c r="S2025" i="1"/>
  <c r="B2026" i="1"/>
  <c r="E2026" i="1"/>
  <c r="I2026" i="1"/>
  <c r="S2026" i="1"/>
  <c r="B2027" i="1"/>
  <c r="E2027" i="1"/>
  <c r="I2027" i="1"/>
  <c r="S2027" i="1"/>
  <c r="B2028" i="1"/>
  <c r="E2028" i="1"/>
  <c r="I2028" i="1"/>
  <c r="S2028" i="1"/>
  <c r="B2029" i="1"/>
  <c r="E2029" i="1"/>
  <c r="I2029" i="1"/>
  <c r="S2029" i="1"/>
  <c r="B2030" i="1"/>
  <c r="E2030" i="1"/>
  <c r="I2030" i="1"/>
  <c r="S2030" i="1"/>
  <c r="B2031" i="1"/>
  <c r="E2031" i="1"/>
  <c r="I2031" i="1"/>
  <c r="S2031" i="1"/>
  <c r="B2032" i="1"/>
  <c r="E2032" i="1"/>
  <c r="I2032" i="1"/>
  <c r="S2032" i="1"/>
  <c r="B2033" i="1"/>
  <c r="E2033" i="1"/>
  <c r="I2033" i="1"/>
  <c r="S2033" i="1"/>
  <c r="B2034" i="1"/>
  <c r="E2034" i="1"/>
  <c r="I2034" i="1"/>
  <c r="S2034" i="1"/>
  <c r="B2035" i="1"/>
  <c r="E2035" i="1"/>
  <c r="I2035" i="1"/>
  <c r="S2035" i="1"/>
  <c r="B2036" i="1"/>
  <c r="E2036" i="1"/>
  <c r="I2036" i="1"/>
  <c r="S2036" i="1"/>
  <c r="B2037" i="1"/>
  <c r="E2037" i="1"/>
  <c r="I2037" i="1"/>
  <c r="S2037" i="1"/>
  <c r="B2038" i="1"/>
  <c r="E2038" i="1"/>
  <c r="I2038" i="1"/>
  <c r="S2038" i="1"/>
  <c r="B2039" i="1"/>
  <c r="E2039" i="1"/>
  <c r="I2039" i="1"/>
  <c r="S2039" i="1"/>
  <c r="B2040" i="1"/>
  <c r="E2040" i="1"/>
  <c r="I2040" i="1"/>
  <c r="S2040" i="1"/>
  <c r="B2041" i="1"/>
  <c r="E2041" i="1"/>
  <c r="I2041" i="1"/>
  <c r="S2041" i="1"/>
  <c r="B2042" i="1"/>
  <c r="E2042" i="1"/>
  <c r="I2042" i="1"/>
  <c r="S2042" i="1"/>
  <c r="B2043" i="1"/>
  <c r="E2043" i="1"/>
  <c r="I2043" i="1"/>
  <c r="S2043" i="1"/>
  <c r="B2044" i="1"/>
  <c r="E2044" i="1"/>
  <c r="I2044" i="1"/>
  <c r="S2044" i="1"/>
  <c r="B2045" i="1"/>
  <c r="E2045" i="1"/>
  <c r="I2045" i="1"/>
  <c r="S2045" i="1"/>
  <c r="B2046" i="1"/>
  <c r="E2046" i="1"/>
  <c r="I2046" i="1"/>
  <c r="S2046" i="1"/>
  <c r="B2047" i="1"/>
  <c r="E2047" i="1"/>
  <c r="I2047" i="1"/>
  <c r="S2047" i="1"/>
  <c r="B2048" i="1"/>
  <c r="E2048" i="1"/>
  <c r="I2048" i="1"/>
  <c r="S2048" i="1"/>
  <c r="B2049" i="1"/>
  <c r="E2049" i="1"/>
  <c r="I2049" i="1"/>
  <c r="S2049" i="1"/>
  <c r="B2050" i="1"/>
  <c r="E2050" i="1"/>
  <c r="I2050" i="1"/>
  <c r="S2050" i="1"/>
  <c r="B2051" i="1"/>
  <c r="E2051" i="1"/>
  <c r="I2051" i="1"/>
  <c r="S2051" i="1"/>
  <c r="B2052" i="1"/>
  <c r="E2052" i="1"/>
  <c r="I2052" i="1"/>
  <c r="S2052" i="1"/>
  <c r="B2053" i="1"/>
  <c r="E2053" i="1"/>
  <c r="I2053" i="1"/>
  <c r="S2053" i="1"/>
  <c r="B2054" i="1"/>
  <c r="E2054" i="1"/>
  <c r="I2054" i="1"/>
  <c r="S2054" i="1"/>
  <c r="B2055" i="1"/>
  <c r="E2055" i="1"/>
  <c r="I2055" i="1"/>
  <c r="S2055" i="1"/>
  <c r="B2056" i="1"/>
  <c r="E2056" i="1"/>
  <c r="I2056" i="1"/>
  <c r="S2056" i="1"/>
  <c r="B2057" i="1"/>
  <c r="E2057" i="1"/>
  <c r="I2057" i="1"/>
  <c r="S2057" i="1"/>
  <c r="B2058" i="1"/>
  <c r="E2058" i="1"/>
  <c r="I2058" i="1"/>
  <c r="S2058" i="1"/>
  <c r="B2059" i="1"/>
  <c r="E2059" i="1"/>
  <c r="I2059" i="1"/>
  <c r="S2059" i="1"/>
  <c r="B2060" i="1"/>
  <c r="E2060" i="1"/>
  <c r="I2060" i="1"/>
  <c r="S2060" i="1"/>
  <c r="B2061" i="1"/>
  <c r="E2061" i="1"/>
  <c r="I2061" i="1"/>
  <c r="S2061" i="1"/>
  <c r="B2062" i="1"/>
  <c r="E2062" i="1"/>
  <c r="I2062" i="1"/>
  <c r="S2062" i="1"/>
  <c r="B2063" i="1"/>
  <c r="E2063" i="1"/>
  <c r="I2063" i="1"/>
  <c r="S2063" i="1"/>
  <c r="B2064" i="1"/>
  <c r="E2064" i="1"/>
  <c r="I2064" i="1"/>
  <c r="S2064" i="1"/>
  <c r="B2065" i="1"/>
  <c r="E2065" i="1"/>
  <c r="I2065" i="1"/>
  <c r="S2065" i="1"/>
  <c r="B2066" i="1"/>
  <c r="E2066" i="1"/>
  <c r="I2066" i="1"/>
  <c r="S2066" i="1"/>
  <c r="B2067" i="1"/>
  <c r="E2067" i="1"/>
  <c r="I2067" i="1"/>
  <c r="S2067" i="1"/>
  <c r="B2068" i="1"/>
  <c r="E2068" i="1"/>
  <c r="I2068" i="1"/>
  <c r="S2068" i="1"/>
  <c r="B2069" i="1"/>
  <c r="E2069" i="1"/>
  <c r="I2069" i="1"/>
  <c r="S2069" i="1"/>
  <c r="B2070" i="1"/>
  <c r="E2070" i="1"/>
  <c r="I2070" i="1"/>
  <c r="S2070" i="1"/>
  <c r="B2071" i="1"/>
  <c r="E2071" i="1"/>
  <c r="I2071" i="1"/>
  <c r="S2071" i="1"/>
  <c r="B2072" i="1"/>
  <c r="E2072" i="1"/>
  <c r="I2072" i="1"/>
  <c r="S2072" i="1"/>
  <c r="B2073" i="1"/>
  <c r="E2073" i="1"/>
  <c r="I2073" i="1"/>
  <c r="S2073" i="1"/>
  <c r="B2074" i="1"/>
  <c r="E2074" i="1"/>
  <c r="I2074" i="1"/>
  <c r="S2074" i="1"/>
  <c r="B2075" i="1"/>
  <c r="E2075" i="1"/>
  <c r="I2075" i="1"/>
  <c r="S2075" i="1"/>
  <c r="B2076" i="1"/>
  <c r="E2076" i="1"/>
  <c r="I2076" i="1"/>
  <c r="S2076" i="1"/>
  <c r="B2077" i="1"/>
  <c r="E2077" i="1"/>
  <c r="I2077" i="1"/>
  <c r="S2077" i="1"/>
  <c r="B2078" i="1"/>
  <c r="E2078" i="1"/>
  <c r="I2078" i="1"/>
  <c r="S2078" i="1"/>
  <c r="B2079" i="1"/>
  <c r="E2079" i="1"/>
  <c r="I2079" i="1"/>
  <c r="S2079" i="1"/>
  <c r="B2080" i="1"/>
  <c r="E2080" i="1"/>
  <c r="I2080" i="1"/>
  <c r="S2080" i="1"/>
  <c r="B2081" i="1"/>
  <c r="E2081" i="1"/>
  <c r="I2081" i="1"/>
  <c r="S2081" i="1"/>
  <c r="B2082" i="1"/>
  <c r="E2082" i="1"/>
  <c r="I2082" i="1"/>
  <c r="S2082" i="1"/>
  <c r="B2083" i="1"/>
  <c r="E2083" i="1"/>
  <c r="I2083" i="1"/>
  <c r="S2083" i="1"/>
  <c r="B2084" i="1"/>
  <c r="E2084" i="1"/>
  <c r="I2084" i="1"/>
  <c r="S2084" i="1"/>
  <c r="B2085" i="1"/>
  <c r="E2085" i="1"/>
  <c r="I2085" i="1"/>
  <c r="S2085" i="1"/>
  <c r="B2086" i="1"/>
  <c r="E2086" i="1"/>
  <c r="I2086" i="1"/>
  <c r="S2086" i="1"/>
  <c r="B2087" i="1"/>
  <c r="E2087" i="1"/>
  <c r="I2087" i="1"/>
  <c r="S2087" i="1"/>
  <c r="B2088" i="1"/>
  <c r="E2088" i="1"/>
  <c r="I2088" i="1"/>
  <c r="S2088" i="1"/>
  <c r="B2089" i="1"/>
  <c r="E2089" i="1"/>
  <c r="I2089" i="1"/>
  <c r="S2089" i="1"/>
  <c r="B2090" i="1"/>
  <c r="E2090" i="1"/>
  <c r="I2090" i="1"/>
  <c r="S2090" i="1"/>
  <c r="B2091" i="1"/>
  <c r="E2091" i="1"/>
  <c r="I2091" i="1"/>
  <c r="S2091" i="1"/>
  <c r="B2092" i="1"/>
  <c r="E2092" i="1"/>
  <c r="I2092" i="1"/>
  <c r="S2092" i="1"/>
  <c r="B2093" i="1"/>
  <c r="E2093" i="1"/>
  <c r="I2093" i="1"/>
  <c r="S2093" i="1"/>
  <c r="B2094" i="1"/>
  <c r="E2094" i="1"/>
  <c r="I2094" i="1"/>
  <c r="S2094" i="1"/>
  <c r="B2095" i="1"/>
  <c r="E2095" i="1"/>
  <c r="I2095" i="1"/>
  <c r="S2095" i="1"/>
  <c r="B2096" i="1"/>
  <c r="E2096" i="1"/>
  <c r="I2096" i="1"/>
  <c r="S2096" i="1"/>
  <c r="B2097" i="1"/>
  <c r="E2097" i="1"/>
  <c r="I2097" i="1"/>
  <c r="S2097" i="1"/>
  <c r="B2098" i="1"/>
  <c r="E2098" i="1"/>
  <c r="I2098" i="1"/>
  <c r="S2098" i="1"/>
  <c r="B2099" i="1"/>
  <c r="E2099" i="1"/>
  <c r="I2099" i="1"/>
  <c r="S2099" i="1"/>
  <c r="B2100" i="1"/>
  <c r="E2100" i="1"/>
  <c r="I2100" i="1"/>
  <c r="S2100" i="1"/>
  <c r="B2101" i="1"/>
  <c r="E2101" i="1"/>
  <c r="I2101" i="1"/>
  <c r="S2101" i="1"/>
  <c r="B2102" i="1"/>
  <c r="E2102" i="1"/>
  <c r="I2102" i="1"/>
  <c r="S2102" i="1"/>
  <c r="B2103" i="1"/>
  <c r="E2103" i="1"/>
  <c r="I2103" i="1"/>
  <c r="S2103" i="1"/>
  <c r="B2104" i="1"/>
  <c r="E2104" i="1"/>
  <c r="I2104" i="1"/>
  <c r="S2104" i="1"/>
  <c r="B2105" i="1"/>
  <c r="E2105" i="1"/>
  <c r="I2105" i="1"/>
  <c r="S2105" i="1"/>
  <c r="B2106" i="1"/>
  <c r="E2106" i="1"/>
  <c r="I2106" i="1"/>
  <c r="S2106" i="1"/>
  <c r="B2107" i="1"/>
  <c r="E2107" i="1"/>
  <c r="I2107" i="1"/>
  <c r="S2107" i="1"/>
  <c r="B2108" i="1"/>
  <c r="E2108" i="1"/>
  <c r="I2108" i="1"/>
  <c r="S2108" i="1"/>
  <c r="B2109" i="1"/>
  <c r="E2109" i="1"/>
  <c r="I2109" i="1"/>
  <c r="S2109" i="1"/>
  <c r="B2110" i="1"/>
  <c r="E2110" i="1"/>
  <c r="I2110" i="1"/>
  <c r="S2110" i="1"/>
  <c r="B2111" i="1"/>
  <c r="E2111" i="1"/>
  <c r="I2111" i="1"/>
  <c r="S2111" i="1"/>
  <c r="B2112" i="1"/>
  <c r="E2112" i="1"/>
  <c r="I2112" i="1"/>
  <c r="B2113" i="1"/>
  <c r="E2113" i="1"/>
  <c r="I2113" i="1"/>
  <c r="S2113" i="1"/>
  <c r="B2114" i="1"/>
  <c r="E2114" i="1"/>
  <c r="I2114" i="1"/>
  <c r="S2114" i="1"/>
  <c r="B2115" i="1"/>
  <c r="E2115" i="1"/>
  <c r="I2115" i="1"/>
  <c r="S2115" i="1"/>
  <c r="B2116" i="1"/>
  <c r="E2116" i="1"/>
  <c r="I2116" i="1"/>
  <c r="S2116" i="1"/>
  <c r="B2117" i="1"/>
  <c r="E2117" i="1"/>
  <c r="I2117" i="1"/>
  <c r="S2117" i="1"/>
  <c r="B2118" i="1"/>
  <c r="E2118" i="1"/>
  <c r="I2118" i="1"/>
  <c r="S2118" i="1"/>
  <c r="B2119" i="1"/>
  <c r="E2119" i="1"/>
  <c r="I2119" i="1"/>
  <c r="S2119" i="1"/>
  <c r="B2120" i="1"/>
  <c r="E2120" i="1"/>
  <c r="I2120" i="1"/>
  <c r="S2120" i="1"/>
  <c r="B2121" i="1"/>
  <c r="E2121" i="1"/>
  <c r="I2121" i="1"/>
  <c r="S2121" i="1"/>
  <c r="B2122" i="1"/>
  <c r="E2122" i="1"/>
  <c r="I2122" i="1"/>
  <c r="S2122" i="1"/>
  <c r="B2123" i="1"/>
  <c r="E2123" i="1"/>
  <c r="I2123" i="1"/>
  <c r="S2123" i="1"/>
  <c r="B2124" i="1"/>
  <c r="E2124" i="1"/>
  <c r="I2124" i="1"/>
  <c r="S2124" i="1"/>
  <c r="B2125" i="1"/>
  <c r="E2125" i="1"/>
  <c r="I2125" i="1"/>
  <c r="S2125" i="1"/>
  <c r="B2126" i="1"/>
  <c r="E2126" i="1"/>
  <c r="I2126" i="1"/>
  <c r="S2126" i="1"/>
  <c r="B2127" i="1"/>
  <c r="E2127" i="1"/>
  <c r="I2127" i="1"/>
  <c r="S2127" i="1"/>
  <c r="B2128" i="1"/>
  <c r="E2128" i="1"/>
  <c r="I2128" i="1"/>
  <c r="S2128" i="1"/>
  <c r="B2129" i="1"/>
  <c r="E2129" i="1"/>
  <c r="I2129" i="1"/>
  <c r="S2129" i="1"/>
  <c r="B2130" i="1"/>
  <c r="E2130" i="1"/>
  <c r="I2130" i="1"/>
  <c r="S2130" i="1"/>
  <c r="B2131" i="1"/>
  <c r="E2131" i="1"/>
  <c r="I2131" i="1"/>
  <c r="S2131" i="1"/>
  <c r="B2132" i="1"/>
  <c r="E2132" i="1"/>
  <c r="I2132" i="1"/>
  <c r="S2132" i="1"/>
  <c r="B2133" i="1"/>
  <c r="E2133" i="1"/>
  <c r="I2133" i="1"/>
  <c r="S2133" i="1"/>
  <c r="B2134" i="1"/>
  <c r="E2134" i="1"/>
  <c r="I2134" i="1"/>
  <c r="S2134" i="1"/>
  <c r="B2135" i="1"/>
  <c r="E2135" i="1"/>
  <c r="I2135" i="1"/>
  <c r="S2135" i="1"/>
  <c r="B2136" i="1"/>
  <c r="E2136" i="1"/>
  <c r="I2136" i="1"/>
  <c r="S2136" i="1"/>
  <c r="B2137" i="1"/>
  <c r="E2137" i="1"/>
  <c r="I2137" i="1"/>
  <c r="S2137" i="1"/>
  <c r="B2138" i="1"/>
  <c r="E2138" i="1"/>
  <c r="I2138" i="1"/>
  <c r="S2138" i="1"/>
  <c r="B2139" i="1"/>
  <c r="E2139" i="1"/>
  <c r="I2139" i="1"/>
  <c r="S2139" i="1"/>
  <c r="B2140" i="1"/>
  <c r="E2140" i="1"/>
  <c r="I2140" i="1"/>
  <c r="S2140" i="1"/>
  <c r="B2141" i="1"/>
  <c r="E2141" i="1"/>
  <c r="I2141" i="1"/>
  <c r="S2141" i="1"/>
  <c r="B2142" i="1"/>
  <c r="E2142" i="1"/>
  <c r="I2142" i="1"/>
  <c r="S2142" i="1"/>
  <c r="B2143" i="1"/>
  <c r="E2143" i="1"/>
  <c r="I2143" i="1"/>
  <c r="S2143" i="1"/>
  <c r="B2144" i="1"/>
  <c r="E2144" i="1"/>
  <c r="I2144" i="1"/>
  <c r="S2144" i="1"/>
  <c r="B2145" i="1"/>
  <c r="E2145" i="1"/>
  <c r="I2145" i="1"/>
  <c r="S2145" i="1"/>
  <c r="B2146" i="1"/>
  <c r="E2146" i="1"/>
  <c r="I2146" i="1"/>
  <c r="S2146" i="1"/>
  <c r="B2147" i="1"/>
  <c r="E2147" i="1"/>
  <c r="I2147" i="1"/>
  <c r="S2147" i="1"/>
  <c r="B2148" i="1"/>
  <c r="E2148" i="1"/>
  <c r="I2148" i="1"/>
  <c r="S2148" i="1"/>
  <c r="B2149" i="1"/>
  <c r="E2149" i="1"/>
  <c r="I2149" i="1"/>
  <c r="S2149" i="1"/>
  <c r="B2150" i="1"/>
  <c r="E2150" i="1"/>
  <c r="I2150" i="1"/>
  <c r="S2150" i="1"/>
  <c r="B2151" i="1"/>
  <c r="E2151" i="1"/>
  <c r="I2151" i="1"/>
  <c r="S2151" i="1"/>
  <c r="B2152" i="1"/>
  <c r="E2152" i="1"/>
  <c r="I2152" i="1"/>
  <c r="S2152" i="1"/>
  <c r="B2153" i="1"/>
  <c r="E2153" i="1"/>
  <c r="I2153" i="1"/>
  <c r="S2153" i="1"/>
  <c r="B2154" i="1"/>
  <c r="E2154" i="1"/>
  <c r="I2154" i="1"/>
  <c r="S2154" i="1"/>
  <c r="B2155" i="1"/>
  <c r="E2155" i="1"/>
  <c r="I2155" i="1"/>
  <c r="S2155" i="1"/>
  <c r="B2156" i="1"/>
  <c r="E2156" i="1"/>
  <c r="I2156" i="1"/>
  <c r="S2156" i="1"/>
  <c r="B2157" i="1"/>
  <c r="E2157" i="1"/>
  <c r="I2157" i="1"/>
  <c r="S2157" i="1"/>
  <c r="B2158" i="1"/>
  <c r="E2158" i="1"/>
  <c r="I2158" i="1"/>
  <c r="S2158" i="1"/>
  <c r="B2159" i="1"/>
  <c r="E2159" i="1"/>
  <c r="I2159" i="1"/>
  <c r="S2159" i="1"/>
  <c r="B2160" i="1"/>
  <c r="E2160" i="1"/>
  <c r="I2160" i="1"/>
  <c r="S2160" i="1"/>
  <c r="B2161" i="1"/>
  <c r="E2161" i="1"/>
  <c r="I2161" i="1"/>
  <c r="S2161" i="1"/>
  <c r="B2162" i="1"/>
  <c r="E2162" i="1"/>
  <c r="I2162" i="1"/>
  <c r="S2162" i="1"/>
  <c r="B2163" i="1"/>
  <c r="E2163" i="1"/>
  <c r="I2163" i="1"/>
  <c r="S2163" i="1"/>
  <c r="B2164" i="1"/>
  <c r="E2164" i="1"/>
  <c r="I2164" i="1"/>
  <c r="S2164" i="1"/>
  <c r="B2165" i="1"/>
  <c r="E2165" i="1"/>
  <c r="I2165" i="1"/>
  <c r="S2165" i="1"/>
  <c r="B2166" i="1"/>
  <c r="E2166" i="1"/>
  <c r="I2166" i="1"/>
  <c r="S2166" i="1"/>
  <c r="B2167" i="1"/>
  <c r="E2167" i="1"/>
  <c r="I2167" i="1"/>
  <c r="S2167" i="1"/>
  <c r="B2168" i="1"/>
  <c r="E2168" i="1"/>
  <c r="I2168" i="1"/>
  <c r="S2168" i="1"/>
  <c r="B2169" i="1"/>
  <c r="E2169" i="1"/>
  <c r="I2169" i="1"/>
  <c r="S2169" i="1"/>
  <c r="B2170" i="1"/>
  <c r="E2170" i="1"/>
  <c r="I2170" i="1"/>
  <c r="S2170" i="1"/>
  <c r="B2171" i="1"/>
  <c r="E2171" i="1"/>
  <c r="I2171" i="1"/>
  <c r="S2171" i="1"/>
  <c r="B2172" i="1"/>
  <c r="E2172" i="1"/>
  <c r="I2172" i="1"/>
  <c r="S2172" i="1"/>
  <c r="B2173" i="1"/>
  <c r="E2173" i="1"/>
  <c r="I2173" i="1"/>
  <c r="S2173" i="1"/>
  <c r="B2174" i="1"/>
  <c r="E2174" i="1"/>
  <c r="I2174" i="1"/>
  <c r="S2174" i="1"/>
  <c r="B2175" i="1"/>
  <c r="E2175" i="1"/>
  <c r="I2175" i="1"/>
  <c r="S2175" i="1"/>
  <c r="B2176" i="1"/>
  <c r="E2176" i="1"/>
  <c r="I2176" i="1"/>
  <c r="S2176" i="1"/>
  <c r="B2177" i="1"/>
  <c r="E2177" i="1"/>
  <c r="I2177" i="1"/>
  <c r="S2177" i="1"/>
  <c r="B2178" i="1"/>
  <c r="E2178" i="1"/>
  <c r="I2178" i="1"/>
  <c r="S2178" i="1"/>
  <c r="B2179" i="1"/>
  <c r="E2179" i="1"/>
  <c r="I2179" i="1"/>
  <c r="S2179" i="1"/>
  <c r="B2180" i="1"/>
  <c r="E2180" i="1"/>
  <c r="I2180" i="1"/>
  <c r="S2180" i="1"/>
  <c r="B2181" i="1"/>
  <c r="E2181" i="1"/>
  <c r="I2181" i="1"/>
  <c r="S2181" i="1"/>
  <c r="B2182" i="1"/>
  <c r="E2182" i="1"/>
  <c r="I2182" i="1"/>
  <c r="S2182" i="1"/>
  <c r="B2183" i="1"/>
  <c r="E2183" i="1"/>
  <c r="I2183" i="1"/>
  <c r="S2183" i="1"/>
  <c r="B2184" i="1"/>
  <c r="E2184" i="1"/>
  <c r="I2184" i="1"/>
  <c r="S2184" i="1"/>
  <c r="B2185" i="1"/>
  <c r="E2185" i="1"/>
  <c r="I2185" i="1"/>
  <c r="S2185" i="1"/>
  <c r="B2186" i="1"/>
  <c r="E2186" i="1"/>
  <c r="I2186" i="1"/>
  <c r="S2186" i="1"/>
  <c r="B2187" i="1"/>
  <c r="E2187" i="1"/>
  <c r="I2187" i="1"/>
  <c r="S2187" i="1"/>
  <c r="B2188" i="1"/>
  <c r="E2188" i="1"/>
  <c r="I2188" i="1"/>
  <c r="S2188" i="1"/>
  <c r="B2189" i="1"/>
  <c r="E2189" i="1"/>
  <c r="I2189" i="1"/>
  <c r="S2189" i="1"/>
  <c r="B2190" i="1"/>
  <c r="E2190" i="1"/>
  <c r="I2190" i="1"/>
  <c r="S2190" i="1"/>
  <c r="B2191" i="1"/>
  <c r="E2191" i="1"/>
  <c r="I2191" i="1"/>
  <c r="S2191" i="1"/>
  <c r="B2192" i="1"/>
  <c r="E2192" i="1"/>
  <c r="I2192" i="1"/>
  <c r="S2192" i="1"/>
  <c r="B2193" i="1"/>
  <c r="E2193" i="1"/>
  <c r="I2193" i="1"/>
  <c r="S2193" i="1"/>
  <c r="B2194" i="1"/>
  <c r="E2194" i="1"/>
  <c r="I2194" i="1"/>
  <c r="S2194" i="1"/>
  <c r="B2195" i="1"/>
  <c r="E2195" i="1"/>
  <c r="I2195" i="1"/>
  <c r="S2195" i="1"/>
  <c r="B2196" i="1"/>
  <c r="E2196" i="1"/>
  <c r="I2196" i="1"/>
  <c r="S2196" i="1"/>
  <c r="B2197" i="1"/>
  <c r="E2197" i="1"/>
  <c r="I2197" i="1"/>
  <c r="S2197" i="1"/>
  <c r="B2198" i="1"/>
  <c r="E2198" i="1"/>
  <c r="I2198" i="1"/>
  <c r="S2198" i="1"/>
  <c r="B2199" i="1"/>
  <c r="E2199" i="1"/>
  <c r="I2199" i="1"/>
  <c r="S2199" i="1"/>
  <c r="B2200" i="1"/>
  <c r="E2200" i="1"/>
  <c r="I2200" i="1"/>
  <c r="S2200" i="1"/>
  <c r="B2201" i="1"/>
  <c r="E2201" i="1"/>
  <c r="I2201" i="1"/>
  <c r="S2201" i="1"/>
  <c r="B2202" i="1"/>
  <c r="E2202" i="1"/>
  <c r="I2202" i="1"/>
  <c r="S2202" i="1"/>
  <c r="B2203" i="1"/>
  <c r="E2203" i="1"/>
  <c r="I2203" i="1"/>
  <c r="S2203" i="1"/>
  <c r="B2204" i="1"/>
  <c r="E2204" i="1"/>
  <c r="I2204" i="1"/>
  <c r="S2204" i="1"/>
  <c r="B2205" i="1"/>
  <c r="E2205" i="1"/>
  <c r="I2205" i="1"/>
  <c r="S2205" i="1"/>
  <c r="B2206" i="1"/>
  <c r="E2206" i="1"/>
  <c r="I2206" i="1"/>
  <c r="S2206" i="1"/>
  <c r="B2207" i="1"/>
  <c r="E2207" i="1"/>
  <c r="I2207" i="1"/>
  <c r="B2208" i="1"/>
  <c r="E2208" i="1"/>
  <c r="I2208" i="1"/>
  <c r="S2208" i="1"/>
  <c r="B2209" i="1"/>
  <c r="E2209" i="1"/>
  <c r="I2209" i="1"/>
  <c r="S2209" i="1"/>
  <c r="B2210" i="1"/>
  <c r="E2210" i="1"/>
  <c r="I2210" i="1"/>
  <c r="S2210" i="1"/>
  <c r="B2211" i="1"/>
  <c r="E2211" i="1"/>
  <c r="I2211" i="1"/>
  <c r="S2211" i="1"/>
  <c r="B2212" i="1"/>
  <c r="E2212" i="1"/>
  <c r="I2212" i="1"/>
  <c r="S2212" i="1"/>
  <c r="B2213" i="1"/>
  <c r="E2213" i="1"/>
  <c r="I2213" i="1"/>
  <c r="S2213" i="1"/>
  <c r="B2214" i="1"/>
  <c r="E2214" i="1"/>
  <c r="I2214" i="1"/>
  <c r="S2214" i="1"/>
  <c r="B2215" i="1"/>
  <c r="E2215" i="1"/>
  <c r="I2215" i="1"/>
  <c r="S2215" i="1"/>
  <c r="B2216" i="1"/>
  <c r="E2216" i="1"/>
  <c r="I2216" i="1"/>
  <c r="S2216" i="1"/>
  <c r="B2217" i="1"/>
  <c r="E2217" i="1"/>
  <c r="I2217" i="1"/>
  <c r="S2217" i="1"/>
  <c r="B2218" i="1"/>
  <c r="E2218" i="1"/>
  <c r="I2218" i="1"/>
  <c r="S2218" i="1"/>
  <c r="B2219" i="1"/>
  <c r="E2219" i="1"/>
  <c r="I2219" i="1"/>
  <c r="S2219" i="1"/>
  <c r="B2220" i="1"/>
  <c r="E2220" i="1"/>
  <c r="I2220" i="1"/>
  <c r="S2220" i="1"/>
  <c r="B2221" i="1"/>
  <c r="E2221" i="1"/>
  <c r="I2221" i="1"/>
  <c r="S2221" i="1"/>
  <c r="B2222" i="1"/>
  <c r="E2222" i="1"/>
  <c r="I2222" i="1"/>
  <c r="S2222" i="1"/>
  <c r="B2223" i="1"/>
  <c r="E2223" i="1"/>
  <c r="I2223" i="1"/>
  <c r="S2223" i="1"/>
  <c r="B2224" i="1"/>
  <c r="E2224" i="1"/>
  <c r="I2224" i="1"/>
  <c r="S2224" i="1"/>
  <c r="B2225" i="1"/>
  <c r="E2225" i="1"/>
  <c r="I2225" i="1"/>
  <c r="S2225" i="1"/>
  <c r="B2226" i="1"/>
  <c r="E2226" i="1"/>
  <c r="I2226" i="1"/>
  <c r="S2226" i="1"/>
  <c r="B2227" i="1"/>
  <c r="E2227" i="1"/>
  <c r="I2227" i="1"/>
  <c r="S2227" i="1"/>
  <c r="B2228" i="1"/>
  <c r="E2228" i="1"/>
  <c r="I2228" i="1"/>
  <c r="S2228" i="1"/>
  <c r="B2229" i="1"/>
  <c r="E2229" i="1"/>
  <c r="I2229" i="1"/>
  <c r="S2229" i="1"/>
  <c r="B2230" i="1"/>
  <c r="E2230" i="1"/>
  <c r="I2230" i="1"/>
  <c r="S2230" i="1"/>
  <c r="B2231" i="1"/>
  <c r="E2231" i="1"/>
  <c r="I2231" i="1"/>
  <c r="S2231" i="1"/>
  <c r="B2232" i="1"/>
  <c r="E2232" i="1"/>
  <c r="I2232" i="1"/>
  <c r="S2232" i="1"/>
  <c r="B2233" i="1"/>
  <c r="E2233" i="1"/>
  <c r="I2233" i="1"/>
  <c r="S2233" i="1"/>
  <c r="B2234" i="1"/>
  <c r="E2234" i="1"/>
  <c r="I2234" i="1"/>
  <c r="B2235" i="1"/>
  <c r="E2235" i="1"/>
  <c r="I2235" i="1"/>
  <c r="S2235" i="1"/>
  <c r="B2236" i="1"/>
  <c r="E2236" i="1"/>
  <c r="I2236" i="1"/>
  <c r="S2236" i="1"/>
  <c r="B2237" i="1"/>
  <c r="E2237" i="1"/>
  <c r="I2237" i="1"/>
  <c r="S2237" i="1"/>
  <c r="B2238" i="1"/>
  <c r="E2238" i="1"/>
  <c r="I2238" i="1"/>
  <c r="B2239" i="1"/>
  <c r="E2239" i="1"/>
  <c r="I2239" i="1"/>
  <c r="S2239" i="1"/>
  <c r="B2240" i="1"/>
  <c r="E2240" i="1"/>
  <c r="I2240" i="1"/>
  <c r="S2240" i="1"/>
  <c r="B2241" i="1"/>
  <c r="E2241" i="1"/>
  <c r="I2241" i="1"/>
  <c r="S2241" i="1"/>
  <c r="B2242" i="1"/>
  <c r="E2242" i="1"/>
  <c r="I2242" i="1"/>
  <c r="S2242" i="1"/>
  <c r="B2243" i="1"/>
  <c r="E2243" i="1"/>
  <c r="I2243" i="1"/>
  <c r="S2243" i="1"/>
  <c r="B2244" i="1"/>
  <c r="E2244" i="1"/>
  <c r="I2244" i="1"/>
  <c r="S2244" i="1"/>
  <c r="B2245" i="1"/>
  <c r="E2245" i="1"/>
  <c r="I2245" i="1"/>
  <c r="S2245" i="1"/>
  <c r="B2246" i="1"/>
  <c r="E2246" i="1"/>
  <c r="I2246" i="1"/>
  <c r="S2246" i="1"/>
  <c r="B2247" i="1"/>
  <c r="E2247" i="1"/>
  <c r="I2247" i="1"/>
  <c r="S2247" i="1"/>
  <c r="B2248" i="1"/>
  <c r="E2248" i="1"/>
  <c r="I2248" i="1"/>
  <c r="S2248" i="1"/>
  <c r="B2249" i="1"/>
  <c r="E2249" i="1"/>
  <c r="I2249" i="1"/>
  <c r="S2249" i="1"/>
  <c r="B2250" i="1"/>
  <c r="E2250" i="1"/>
  <c r="I2250" i="1"/>
  <c r="S2250" i="1"/>
  <c r="B2251" i="1"/>
  <c r="E2251" i="1"/>
  <c r="I2251" i="1"/>
  <c r="S2251" i="1"/>
  <c r="B2252" i="1"/>
  <c r="E2252" i="1"/>
  <c r="I2252" i="1"/>
  <c r="S2252" i="1"/>
  <c r="B2253" i="1"/>
  <c r="E2253" i="1"/>
  <c r="I2253" i="1"/>
  <c r="S2253" i="1"/>
  <c r="B2254" i="1"/>
  <c r="E2254" i="1"/>
  <c r="I2254" i="1"/>
  <c r="S2254" i="1"/>
  <c r="B2255" i="1"/>
  <c r="E2255" i="1"/>
  <c r="I2255" i="1"/>
  <c r="S2255" i="1"/>
  <c r="B2256" i="1"/>
  <c r="E2256" i="1"/>
  <c r="I2256" i="1"/>
  <c r="S2256" i="1"/>
  <c r="B2257" i="1"/>
  <c r="E2257" i="1"/>
  <c r="I2257" i="1"/>
  <c r="S2257" i="1"/>
  <c r="B2258" i="1"/>
  <c r="E2258" i="1"/>
  <c r="I2258" i="1"/>
  <c r="S2258" i="1"/>
  <c r="B2259" i="1"/>
  <c r="E2259" i="1"/>
  <c r="I2259" i="1"/>
  <c r="S2259" i="1"/>
  <c r="B2260" i="1"/>
  <c r="E2260" i="1"/>
  <c r="I2260" i="1"/>
  <c r="S2260" i="1"/>
  <c r="B2261" i="1"/>
  <c r="E2261" i="1"/>
  <c r="I2261" i="1"/>
  <c r="S2261" i="1"/>
  <c r="B2262" i="1"/>
  <c r="E2262" i="1"/>
  <c r="I2262" i="1"/>
  <c r="S2262" i="1"/>
  <c r="B2263" i="1"/>
  <c r="E2263" i="1"/>
  <c r="I2263" i="1"/>
  <c r="S2263" i="1"/>
  <c r="B2264" i="1"/>
  <c r="E2264" i="1"/>
  <c r="I2264" i="1"/>
  <c r="S2264" i="1"/>
  <c r="B2265" i="1"/>
  <c r="E2265" i="1"/>
  <c r="I2265" i="1"/>
  <c r="S2265" i="1"/>
  <c r="B2266" i="1"/>
  <c r="E2266" i="1"/>
  <c r="I2266" i="1"/>
  <c r="S2266" i="1"/>
  <c r="B2267" i="1"/>
  <c r="E2267" i="1"/>
  <c r="I2267" i="1"/>
  <c r="S2267" i="1"/>
  <c r="B2268" i="1"/>
  <c r="E2268" i="1"/>
  <c r="I2268" i="1"/>
  <c r="S2268" i="1"/>
  <c r="B2269" i="1"/>
  <c r="E2269" i="1"/>
  <c r="I2269" i="1"/>
  <c r="S2269" i="1"/>
  <c r="B2270" i="1"/>
  <c r="E2270" i="1"/>
  <c r="I2270" i="1"/>
  <c r="S2270" i="1"/>
  <c r="B2271" i="1"/>
  <c r="E2271" i="1"/>
  <c r="I2271" i="1"/>
  <c r="S2271" i="1"/>
  <c r="B2272" i="1"/>
  <c r="E2272" i="1"/>
  <c r="I2272" i="1"/>
  <c r="S2272" i="1"/>
  <c r="B2273" i="1"/>
  <c r="E2273" i="1"/>
  <c r="I2273" i="1"/>
  <c r="S2273" i="1"/>
  <c r="B2274" i="1"/>
  <c r="E2274" i="1"/>
  <c r="I2274" i="1"/>
  <c r="S2274" i="1"/>
  <c r="B2275" i="1"/>
  <c r="E2275" i="1"/>
  <c r="I2275" i="1"/>
  <c r="S2275" i="1"/>
  <c r="B2276" i="1"/>
  <c r="E2276" i="1"/>
  <c r="I2276" i="1"/>
  <c r="S2276" i="1"/>
  <c r="B2277" i="1"/>
  <c r="E2277" i="1"/>
  <c r="I2277" i="1"/>
  <c r="S2277" i="1"/>
  <c r="B2278" i="1"/>
  <c r="E2278" i="1"/>
  <c r="I2278" i="1"/>
  <c r="S2278" i="1"/>
  <c r="B2279" i="1"/>
  <c r="E2279" i="1"/>
  <c r="I2279" i="1"/>
  <c r="S2279" i="1"/>
  <c r="B2280" i="1"/>
  <c r="E2280" i="1"/>
  <c r="I2280" i="1"/>
  <c r="S2280" i="1"/>
  <c r="B2281" i="1"/>
  <c r="E2281" i="1"/>
  <c r="I2281" i="1"/>
  <c r="S2281" i="1"/>
  <c r="B2282" i="1"/>
  <c r="E2282" i="1"/>
  <c r="I2282" i="1"/>
  <c r="S2282" i="1"/>
  <c r="B2283" i="1"/>
  <c r="E2283" i="1"/>
  <c r="I2283" i="1"/>
  <c r="S2283" i="1"/>
  <c r="B2284" i="1"/>
  <c r="E2284" i="1"/>
  <c r="I2284" i="1"/>
  <c r="S2284" i="1"/>
  <c r="B2285" i="1"/>
  <c r="E2285" i="1"/>
  <c r="I2285" i="1"/>
  <c r="S2285" i="1"/>
  <c r="B2286" i="1"/>
  <c r="E2286" i="1"/>
  <c r="I2286" i="1"/>
  <c r="S2286" i="1"/>
  <c r="B2287" i="1"/>
  <c r="E2287" i="1"/>
  <c r="I2287" i="1"/>
  <c r="B2288" i="1"/>
  <c r="E2288" i="1"/>
  <c r="I2288" i="1"/>
  <c r="S2288" i="1"/>
  <c r="B2289" i="1"/>
  <c r="E2289" i="1"/>
  <c r="I2289" i="1"/>
  <c r="S2289" i="1"/>
  <c r="B2290" i="1"/>
  <c r="E2290" i="1"/>
  <c r="I2290" i="1"/>
  <c r="S2290" i="1"/>
  <c r="B2291" i="1"/>
  <c r="E2291" i="1"/>
  <c r="I2291" i="1"/>
  <c r="S2291" i="1"/>
  <c r="B2292" i="1"/>
  <c r="E2292" i="1"/>
  <c r="I2292" i="1"/>
  <c r="S2292" i="1"/>
  <c r="B2293" i="1"/>
  <c r="E2293" i="1"/>
  <c r="I2293" i="1"/>
  <c r="S2293" i="1"/>
  <c r="B2294" i="1"/>
  <c r="E2294" i="1"/>
  <c r="I2294" i="1"/>
  <c r="S2294" i="1"/>
  <c r="B2295" i="1"/>
  <c r="E2295" i="1"/>
  <c r="I2295" i="1"/>
  <c r="S2295" i="1"/>
  <c r="B2296" i="1"/>
  <c r="E2296" i="1"/>
  <c r="I2296" i="1"/>
  <c r="S2296" i="1"/>
  <c r="B2297" i="1"/>
  <c r="E2297" i="1"/>
  <c r="I2297" i="1"/>
  <c r="S2297" i="1"/>
  <c r="B2298" i="1"/>
  <c r="E2298" i="1"/>
  <c r="I2298" i="1"/>
  <c r="S2298" i="1"/>
  <c r="B2299" i="1"/>
  <c r="E2299" i="1"/>
  <c r="I2299" i="1"/>
  <c r="S2299" i="1"/>
  <c r="B2300" i="1"/>
  <c r="E2300" i="1"/>
  <c r="I2300" i="1"/>
  <c r="S2300" i="1"/>
  <c r="B2301" i="1"/>
  <c r="E2301" i="1"/>
  <c r="I2301" i="1"/>
  <c r="S2301" i="1"/>
  <c r="B2302" i="1"/>
  <c r="E2302" i="1"/>
  <c r="I2302" i="1"/>
  <c r="S2302" i="1"/>
  <c r="B2303" i="1"/>
  <c r="E2303" i="1"/>
  <c r="I2303" i="1"/>
  <c r="S2303" i="1"/>
  <c r="B2304" i="1"/>
  <c r="E2304" i="1"/>
  <c r="I2304" i="1"/>
  <c r="S2304" i="1"/>
  <c r="B2305" i="1"/>
  <c r="E2305" i="1"/>
  <c r="I2305" i="1"/>
  <c r="S2305" i="1"/>
  <c r="B2306" i="1"/>
  <c r="E2306" i="1"/>
  <c r="I2306" i="1"/>
  <c r="S2306" i="1"/>
  <c r="B2307" i="1"/>
  <c r="E2307" i="1"/>
  <c r="I2307" i="1"/>
  <c r="S2307" i="1"/>
  <c r="B2308" i="1"/>
  <c r="E2308" i="1"/>
  <c r="I2308" i="1"/>
  <c r="S2308" i="1"/>
  <c r="B2309" i="1"/>
  <c r="E2309" i="1"/>
  <c r="I2309" i="1"/>
  <c r="S2309" i="1"/>
  <c r="B2310" i="1"/>
  <c r="E2310" i="1"/>
  <c r="I2310" i="1"/>
  <c r="S2310" i="1"/>
  <c r="B2311" i="1"/>
  <c r="E2311" i="1"/>
  <c r="I2311" i="1"/>
  <c r="S2311" i="1"/>
  <c r="B2312" i="1"/>
  <c r="E2312" i="1"/>
  <c r="I2312" i="1"/>
  <c r="S2312" i="1"/>
  <c r="B2313" i="1"/>
  <c r="E2313" i="1"/>
  <c r="I2313" i="1"/>
  <c r="S2313" i="1"/>
  <c r="B2314" i="1"/>
  <c r="E2314" i="1"/>
  <c r="I2314" i="1"/>
  <c r="S2314" i="1"/>
  <c r="B2315" i="1"/>
  <c r="E2315" i="1"/>
  <c r="I2315" i="1"/>
  <c r="S2315" i="1"/>
  <c r="B2316" i="1"/>
  <c r="E2316" i="1"/>
  <c r="I2316" i="1"/>
  <c r="S2316" i="1"/>
  <c r="B2317" i="1"/>
  <c r="E2317" i="1"/>
  <c r="I2317" i="1"/>
  <c r="S2317" i="1"/>
  <c r="B2318" i="1"/>
  <c r="E2318" i="1"/>
  <c r="I2318" i="1"/>
  <c r="S2318" i="1"/>
  <c r="B2319" i="1"/>
  <c r="E2319" i="1"/>
  <c r="I2319" i="1"/>
  <c r="S2319" i="1"/>
  <c r="B2320" i="1"/>
  <c r="E2320" i="1"/>
  <c r="I2320" i="1"/>
  <c r="S2320" i="1"/>
  <c r="B2321" i="1"/>
  <c r="E2321" i="1"/>
  <c r="I2321" i="1"/>
  <c r="B2322" i="1"/>
  <c r="E2322" i="1"/>
  <c r="I2322" i="1"/>
  <c r="S2322" i="1"/>
  <c r="B2323" i="1"/>
  <c r="E2323" i="1"/>
  <c r="I2323" i="1"/>
  <c r="S2323" i="1"/>
  <c r="B2324" i="1"/>
  <c r="E2324" i="1"/>
  <c r="I2324" i="1"/>
  <c r="S2324" i="1"/>
  <c r="B2325" i="1"/>
  <c r="E2325" i="1"/>
  <c r="I2325" i="1"/>
  <c r="S2325" i="1"/>
  <c r="B2326" i="1"/>
  <c r="E2326" i="1"/>
  <c r="I2326" i="1"/>
  <c r="S2326" i="1"/>
  <c r="B2327" i="1"/>
  <c r="E2327" i="1"/>
  <c r="I2327" i="1"/>
  <c r="S2327" i="1"/>
  <c r="B2328" i="1"/>
  <c r="E2328" i="1"/>
  <c r="I2328" i="1"/>
  <c r="B2329" i="1"/>
  <c r="E2329" i="1"/>
  <c r="I2329" i="1"/>
  <c r="S2329" i="1"/>
  <c r="B2330" i="1"/>
  <c r="E2330" i="1"/>
  <c r="I2330" i="1"/>
  <c r="S2330" i="1"/>
  <c r="B2331" i="1"/>
  <c r="E2331" i="1"/>
  <c r="I2331" i="1"/>
  <c r="S2331" i="1"/>
  <c r="B2332" i="1"/>
  <c r="E2332" i="1"/>
  <c r="I2332" i="1"/>
  <c r="S2332" i="1"/>
  <c r="B2333" i="1"/>
  <c r="E2333" i="1"/>
  <c r="I2333" i="1"/>
  <c r="S2333" i="1"/>
  <c r="B2334" i="1"/>
  <c r="E2334" i="1"/>
  <c r="I2334" i="1"/>
  <c r="S2334" i="1"/>
  <c r="B2335" i="1"/>
  <c r="E2335" i="1"/>
  <c r="I2335" i="1"/>
  <c r="S2335" i="1"/>
  <c r="B2336" i="1"/>
  <c r="E2336" i="1"/>
  <c r="I2336" i="1"/>
  <c r="S2336" i="1"/>
  <c r="B2337" i="1"/>
  <c r="E2337" i="1"/>
  <c r="I2337" i="1"/>
  <c r="S2337" i="1"/>
  <c r="B2338" i="1"/>
  <c r="E2338" i="1"/>
  <c r="I2338" i="1"/>
  <c r="S2338" i="1"/>
  <c r="B2339" i="1"/>
  <c r="E2339" i="1"/>
  <c r="I2339" i="1"/>
  <c r="S2339" i="1"/>
  <c r="B2340" i="1"/>
  <c r="E2340" i="1"/>
  <c r="I2340" i="1"/>
  <c r="S2340" i="1"/>
  <c r="B2341" i="1"/>
  <c r="E2341" i="1"/>
  <c r="I2341" i="1"/>
  <c r="S2341" i="1"/>
  <c r="B2342" i="1"/>
  <c r="E2342" i="1"/>
  <c r="I2342" i="1"/>
  <c r="S2342" i="1"/>
  <c r="B2343" i="1"/>
  <c r="E2343" i="1"/>
  <c r="I2343" i="1"/>
  <c r="S2343" i="1"/>
  <c r="B2344" i="1"/>
  <c r="E2344" i="1"/>
  <c r="I2344" i="1"/>
  <c r="S2344" i="1"/>
  <c r="B2345" i="1"/>
  <c r="E2345" i="1"/>
  <c r="I2345" i="1"/>
  <c r="S2345" i="1"/>
  <c r="B2346" i="1"/>
  <c r="E2346" i="1"/>
  <c r="I2346" i="1"/>
  <c r="S2346" i="1"/>
  <c r="B2347" i="1"/>
  <c r="E2347" i="1"/>
  <c r="I2347" i="1"/>
  <c r="S2347" i="1"/>
  <c r="B2348" i="1"/>
  <c r="E2348" i="1"/>
  <c r="I2348" i="1"/>
  <c r="S2348" i="1"/>
  <c r="B2349" i="1"/>
  <c r="E2349" i="1"/>
  <c r="I2349" i="1"/>
  <c r="S2349" i="1"/>
  <c r="B2350" i="1"/>
  <c r="E2350" i="1"/>
  <c r="I2350" i="1"/>
  <c r="S2350" i="1"/>
  <c r="B2351" i="1"/>
  <c r="E2351" i="1"/>
  <c r="I2351" i="1"/>
  <c r="S2351" i="1"/>
  <c r="B2352" i="1"/>
  <c r="E2352" i="1"/>
  <c r="I2352" i="1"/>
  <c r="S2352" i="1"/>
  <c r="B2353" i="1"/>
  <c r="E2353" i="1"/>
  <c r="I2353" i="1"/>
  <c r="S2353" i="1"/>
  <c r="B2354" i="1"/>
  <c r="E2354" i="1"/>
  <c r="I2354" i="1"/>
  <c r="S2354" i="1"/>
  <c r="B2355" i="1"/>
  <c r="E2355" i="1"/>
  <c r="I2355" i="1"/>
  <c r="S2355" i="1"/>
  <c r="B2356" i="1"/>
  <c r="E2356" i="1"/>
  <c r="I2356" i="1"/>
  <c r="S2356" i="1"/>
  <c r="B2357" i="1"/>
  <c r="E2357" i="1"/>
  <c r="I2357" i="1"/>
  <c r="S2357" i="1"/>
  <c r="B2358" i="1"/>
  <c r="E2358" i="1"/>
  <c r="I2358" i="1"/>
  <c r="S2358" i="1"/>
  <c r="B2359" i="1"/>
  <c r="E2359" i="1"/>
  <c r="I2359" i="1"/>
  <c r="S2359" i="1"/>
  <c r="B2360" i="1"/>
  <c r="E2360" i="1"/>
  <c r="I2360" i="1"/>
  <c r="S2360" i="1"/>
  <c r="B2361" i="1"/>
  <c r="E2361" i="1"/>
  <c r="I2361" i="1"/>
  <c r="S2361" i="1"/>
  <c r="B2362" i="1"/>
  <c r="E2362" i="1"/>
  <c r="I2362" i="1"/>
  <c r="S2362" i="1"/>
  <c r="B2363" i="1"/>
  <c r="E2363" i="1"/>
  <c r="I2363" i="1"/>
  <c r="S2363" i="1"/>
  <c r="B2364" i="1"/>
  <c r="E2364" i="1"/>
  <c r="I2364" i="1"/>
  <c r="S2364" i="1"/>
  <c r="B2365" i="1"/>
  <c r="E2365" i="1"/>
  <c r="I2365" i="1"/>
  <c r="S2365" i="1"/>
  <c r="B2366" i="1"/>
  <c r="E2366" i="1"/>
  <c r="I2366" i="1"/>
  <c r="S2366" i="1"/>
  <c r="B2367" i="1"/>
  <c r="E2367" i="1"/>
  <c r="I2367" i="1"/>
  <c r="S2367" i="1"/>
  <c r="B2368" i="1"/>
  <c r="E2368" i="1"/>
  <c r="I2368" i="1"/>
  <c r="S2368" i="1"/>
  <c r="B2369" i="1"/>
  <c r="E2369" i="1"/>
  <c r="I2369" i="1"/>
  <c r="S2369" i="1"/>
  <c r="B2370" i="1"/>
  <c r="E2370" i="1"/>
  <c r="I2370" i="1"/>
  <c r="S2370" i="1"/>
  <c r="B2371" i="1"/>
  <c r="E2371" i="1"/>
  <c r="I2371" i="1"/>
  <c r="S2371" i="1"/>
  <c r="B2372" i="1"/>
  <c r="E2372" i="1"/>
  <c r="I2372" i="1"/>
  <c r="S2372" i="1"/>
  <c r="B2373" i="1"/>
  <c r="E2373" i="1"/>
  <c r="I2373" i="1"/>
  <c r="S2373" i="1"/>
  <c r="B2374" i="1"/>
  <c r="E2374" i="1"/>
  <c r="I2374" i="1"/>
  <c r="S2374" i="1"/>
  <c r="B2375" i="1"/>
  <c r="E2375" i="1"/>
  <c r="I2375" i="1"/>
  <c r="S2375" i="1"/>
  <c r="B2376" i="1"/>
  <c r="E2376" i="1"/>
  <c r="I2376" i="1"/>
  <c r="S2376" i="1"/>
  <c r="B2377" i="1"/>
  <c r="E2377" i="1"/>
  <c r="I2377" i="1"/>
  <c r="S2377" i="1"/>
  <c r="B2378" i="1"/>
  <c r="E2378" i="1"/>
  <c r="I2378" i="1"/>
  <c r="S2378" i="1"/>
  <c r="B2379" i="1"/>
  <c r="E2379" i="1"/>
  <c r="I2379" i="1"/>
  <c r="S2379" i="1"/>
  <c r="B2380" i="1"/>
  <c r="E2380" i="1"/>
  <c r="I2380" i="1"/>
  <c r="S2380" i="1"/>
  <c r="B2381" i="1"/>
  <c r="E2381" i="1"/>
  <c r="I2381" i="1"/>
  <c r="S2381" i="1"/>
  <c r="B2382" i="1"/>
  <c r="E2382" i="1"/>
  <c r="I2382" i="1"/>
  <c r="S2382" i="1"/>
  <c r="B2383" i="1"/>
  <c r="E2383" i="1"/>
  <c r="I2383" i="1"/>
  <c r="S2383" i="1"/>
  <c r="B2384" i="1"/>
  <c r="E2384" i="1"/>
  <c r="I2384" i="1"/>
  <c r="S2384" i="1"/>
  <c r="B2385" i="1"/>
  <c r="E2385" i="1"/>
  <c r="I2385" i="1"/>
  <c r="S2385" i="1"/>
  <c r="B2386" i="1"/>
  <c r="E2386" i="1"/>
  <c r="I2386" i="1"/>
  <c r="S2386" i="1"/>
  <c r="B2387" i="1"/>
  <c r="E2387" i="1"/>
  <c r="I2387" i="1"/>
  <c r="S2387" i="1"/>
  <c r="B2388" i="1"/>
  <c r="E2388" i="1"/>
  <c r="I2388" i="1"/>
  <c r="S2388" i="1"/>
  <c r="B2389" i="1"/>
  <c r="E2389" i="1"/>
  <c r="I2389" i="1"/>
  <c r="S2389" i="1"/>
  <c r="B2390" i="1"/>
  <c r="E2390" i="1"/>
  <c r="I2390" i="1"/>
  <c r="S2390" i="1"/>
  <c r="B2391" i="1"/>
  <c r="E2391" i="1"/>
  <c r="I2391" i="1"/>
  <c r="S2391" i="1"/>
  <c r="B2392" i="1"/>
  <c r="E2392" i="1"/>
  <c r="I2392" i="1"/>
  <c r="S2392" i="1"/>
  <c r="B2393" i="1"/>
  <c r="E2393" i="1"/>
  <c r="I2393" i="1"/>
  <c r="S2393" i="1"/>
  <c r="B2394" i="1"/>
  <c r="E2394" i="1"/>
  <c r="I2394" i="1"/>
  <c r="S2394" i="1"/>
  <c r="B2395" i="1"/>
  <c r="E2395" i="1"/>
  <c r="I2395" i="1"/>
  <c r="S2395" i="1"/>
  <c r="B2396" i="1"/>
  <c r="E2396" i="1"/>
  <c r="I2396" i="1"/>
  <c r="S2396" i="1"/>
  <c r="B2397" i="1"/>
  <c r="E2397" i="1"/>
  <c r="I2397" i="1"/>
  <c r="S2397" i="1"/>
  <c r="B2398" i="1"/>
  <c r="E2398" i="1"/>
  <c r="I2398" i="1"/>
  <c r="S2398" i="1"/>
  <c r="B2399" i="1"/>
  <c r="E2399" i="1"/>
  <c r="I2399" i="1"/>
  <c r="S2399" i="1"/>
  <c r="B2400" i="1"/>
  <c r="E2400" i="1"/>
  <c r="I2400" i="1"/>
  <c r="S2400" i="1"/>
  <c r="B2401" i="1"/>
  <c r="E2401" i="1"/>
  <c r="I2401" i="1"/>
  <c r="S2401" i="1"/>
  <c r="B2402" i="1"/>
  <c r="E2402" i="1"/>
  <c r="I2402" i="1"/>
  <c r="S2402" i="1"/>
  <c r="B2403" i="1"/>
  <c r="E2403" i="1"/>
  <c r="I2403" i="1"/>
  <c r="S2403" i="1"/>
  <c r="B2404" i="1"/>
  <c r="E2404" i="1"/>
  <c r="I2404" i="1"/>
  <c r="S2404" i="1"/>
  <c r="B2405" i="1"/>
  <c r="E2405" i="1"/>
  <c r="I2405" i="1"/>
  <c r="S2405" i="1"/>
  <c r="B2406" i="1"/>
  <c r="E2406" i="1"/>
  <c r="I2406" i="1"/>
  <c r="S2406" i="1"/>
  <c r="B2407" i="1"/>
  <c r="E2407" i="1"/>
  <c r="I2407" i="1"/>
  <c r="B2408" i="1"/>
  <c r="E2408" i="1"/>
  <c r="I2408" i="1"/>
  <c r="S2408" i="1"/>
  <c r="B2409" i="1"/>
  <c r="E2409" i="1"/>
  <c r="I2409" i="1"/>
  <c r="S2409" i="1"/>
  <c r="B2410" i="1"/>
  <c r="E2410" i="1"/>
  <c r="I2410" i="1"/>
  <c r="S2410" i="1"/>
  <c r="B2411" i="1"/>
  <c r="E2411" i="1"/>
  <c r="I2411" i="1"/>
  <c r="S2411" i="1"/>
  <c r="B2412" i="1"/>
  <c r="E2412" i="1"/>
  <c r="I2412" i="1"/>
  <c r="S2412" i="1"/>
  <c r="B2413" i="1"/>
  <c r="E2413" i="1"/>
  <c r="I2413" i="1"/>
  <c r="S2413" i="1"/>
  <c r="B2414" i="1"/>
  <c r="E2414" i="1"/>
  <c r="I2414" i="1"/>
  <c r="S2414" i="1"/>
  <c r="B2415" i="1"/>
  <c r="E2415" i="1"/>
  <c r="I2415" i="1"/>
  <c r="S2415" i="1"/>
  <c r="B2416" i="1"/>
  <c r="E2416" i="1"/>
  <c r="I2416" i="1"/>
  <c r="S2416" i="1"/>
  <c r="B2417" i="1"/>
  <c r="E2417" i="1"/>
  <c r="I2417" i="1"/>
  <c r="S2417" i="1"/>
  <c r="B2418" i="1"/>
  <c r="E2418" i="1"/>
  <c r="I2418" i="1"/>
  <c r="S2418" i="1"/>
  <c r="B2419" i="1"/>
  <c r="E2419" i="1"/>
  <c r="I2419" i="1"/>
  <c r="S2419" i="1"/>
  <c r="B2420" i="1"/>
  <c r="E2420" i="1"/>
  <c r="I2420" i="1"/>
  <c r="S2420" i="1"/>
  <c r="B2421" i="1"/>
  <c r="E2421" i="1"/>
  <c r="I2421" i="1"/>
  <c r="S2421" i="1"/>
  <c r="B2422" i="1"/>
  <c r="E2422" i="1"/>
  <c r="I2422" i="1"/>
  <c r="S2422" i="1"/>
  <c r="B2423" i="1"/>
  <c r="E2423" i="1"/>
  <c r="I2423" i="1"/>
  <c r="S2423" i="1"/>
  <c r="B2424" i="1"/>
  <c r="E2424" i="1"/>
  <c r="I2424" i="1"/>
  <c r="S2424" i="1"/>
  <c r="B2425" i="1"/>
  <c r="E2425" i="1"/>
  <c r="I2425" i="1"/>
  <c r="S2425" i="1"/>
  <c r="B2426" i="1"/>
  <c r="E2426" i="1"/>
  <c r="I2426" i="1"/>
  <c r="S2426" i="1"/>
  <c r="B2427" i="1"/>
  <c r="E2427" i="1"/>
  <c r="I2427" i="1"/>
  <c r="S2427" i="1"/>
  <c r="B2428" i="1"/>
  <c r="E2428" i="1"/>
  <c r="I2428" i="1"/>
  <c r="S2428" i="1"/>
  <c r="B2429" i="1"/>
  <c r="E2429" i="1"/>
  <c r="I2429" i="1"/>
  <c r="S2429" i="1"/>
  <c r="B2430" i="1"/>
  <c r="E2430" i="1"/>
  <c r="I2430" i="1"/>
  <c r="S2430" i="1"/>
  <c r="B2431" i="1"/>
  <c r="E2431" i="1"/>
  <c r="I2431" i="1"/>
  <c r="S2431" i="1"/>
  <c r="B2432" i="1"/>
  <c r="E2432" i="1"/>
  <c r="I2432" i="1"/>
  <c r="S2432" i="1"/>
  <c r="B2433" i="1"/>
  <c r="E2433" i="1"/>
  <c r="I2433" i="1"/>
  <c r="S2433" i="1"/>
  <c r="B2434" i="1"/>
  <c r="E2434" i="1"/>
  <c r="I2434" i="1"/>
  <c r="S2434" i="1"/>
  <c r="B2435" i="1"/>
  <c r="E2435" i="1"/>
  <c r="I2435" i="1"/>
  <c r="S2435" i="1"/>
  <c r="B2436" i="1"/>
  <c r="E2436" i="1"/>
  <c r="I2436" i="1"/>
  <c r="S2436" i="1"/>
  <c r="B2437" i="1"/>
  <c r="E2437" i="1"/>
  <c r="I2437" i="1"/>
  <c r="S2437" i="1"/>
  <c r="B2438" i="1"/>
  <c r="E2438" i="1"/>
  <c r="I2438" i="1"/>
  <c r="S2438" i="1"/>
  <c r="B2439" i="1"/>
  <c r="E2439" i="1"/>
  <c r="I2439" i="1"/>
  <c r="S2439" i="1"/>
  <c r="B2440" i="1"/>
  <c r="E2440" i="1"/>
  <c r="I2440" i="1"/>
  <c r="S2440" i="1"/>
  <c r="B2441" i="1"/>
  <c r="E2441" i="1"/>
  <c r="I2441" i="1"/>
  <c r="S2441" i="1"/>
  <c r="B2442" i="1"/>
  <c r="E2442" i="1"/>
  <c r="I2442" i="1"/>
  <c r="S2442" i="1"/>
  <c r="B2443" i="1"/>
  <c r="E2443" i="1"/>
  <c r="I2443" i="1"/>
  <c r="B2444" i="1"/>
  <c r="E2444" i="1"/>
  <c r="I2444" i="1"/>
  <c r="S2444" i="1"/>
  <c r="B2445" i="1"/>
  <c r="E2445" i="1"/>
  <c r="I2445" i="1"/>
  <c r="S2445" i="1"/>
  <c r="B2446" i="1"/>
  <c r="E2446" i="1"/>
  <c r="I2446" i="1"/>
  <c r="S2446" i="1"/>
  <c r="B2447" i="1"/>
  <c r="E2447" i="1"/>
  <c r="I2447" i="1"/>
  <c r="S2447" i="1"/>
  <c r="B2448" i="1"/>
  <c r="E2448" i="1"/>
  <c r="I2448" i="1"/>
  <c r="S2448" i="1"/>
  <c r="B2449" i="1"/>
  <c r="E2449" i="1"/>
  <c r="I2449" i="1"/>
  <c r="S2449" i="1"/>
  <c r="B2450" i="1"/>
  <c r="E2450" i="1"/>
  <c r="I2450" i="1"/>
  <c r="S2450" i="1"/>
  <c r="B2451" i="1"/>
  <c r="E2451" i="1"/>
  <c r="I2451" i="1"/>
  <c r="S2451" i="1"/>
  <c r="B2452" i="1"/>
  <c r="E2452" i="1"/>
  <c r="I2452" i="1"/>
  <c r="S2452" i="1"/>
  <c r="B2453" i="1"/>
  <c r="E2453" i="1"/>
  <c r="I2453" i="1"/>
  <c r="S2453" i="1"/>
  <c r="B2454" i="1"/>
  <c r="E2454" i="1"/>
  <c r="I2454" i="1"/>
  <c r="S2454" i="1"/>
  <c r="B2455" i="1"/>
  <c r="E2455" i="1"/>
  <c r="I2455" i="1"/>
  <c r="S2455" i="1"/>
  <c r="B2456" i="1"/>
  <c r="E2456" i="1"/>
  <c r="I2456" i="1"/>
  <c r="S2456" i="1"/>
  <c r="B2457" i="1"/>
  <c r="E2457" i="1"/>
  <c r="I2457" i="1"/>
  <c r="S2457" i="1"/>
  <c r="B2458" i="1"/>
  <c r="E2458" i="1"/>
  <c r="I2458" i="1"/>
  <c r="S2458" i="1"/>
  <c r="B2459" i="1"/>
  <c r="E2459" i="1"/>
  <c r="I2459" i="1"/>
  <c r="S2459" i="1"/>
  <c r="B2460" i="1"/>
  <c r="E2460" i="1"/>
  <c r="I2460" i="1"/>
  <c r="S2460" i="1"/>
  <c r="B2461" i="1"/>
  <c r="E2461" i="1"/>
  <c r="I2461" i="1"/>
  <c r="S2461" i="1"/>
  <c r="B2462" i="1"/>
  <c r="E2462" i="1"/>
  <c r="I2462" i="1"/>
  <c r="S2462" i="1"/>
  <c r="B2463" i="1"/>
  <c r="E2463" i="1"/>
  <c r="I2463" i="1"/>
  <c r="S2463" i="1"/>
  <c r="B2464" i="1"/>
  <c r="E2464" i="1"/>
  <c r="I2464" i="1"/>
  <c r="S2464" i="1"/>
  <c r="B2465" i="1"/>
  <c r="E2465" i="1"/>
  <c r="I2465" i="1"/>
  <c r="S2465" i="1"/>
  <c r="B2466" i="1"/>
  <c r="E2466" i="1"/>
  <c r="I2466" i="1"/>
  <c r="S2466" i="1"/>
  <c r="B2467" i="1"/>
  <c r="E2467" i="1"/>
  <c r="I2467" i="1"/>
  <c r="S2467" i="1"/>
  <c r="B2468" i="1"/>
  <c r="E2468" i="1"/>
  <c r="I2468" i="1"/>
  <c r="S2468" i="1"/>
  <c r="B2469" i="1"/>
  <c r="E2469" i="1"/>
  <c r="I2469" i="1"/>
  <c r="S2469" i="1"/>
  <c r="B2470" i="1"/>
  <c r="E2470" i="1"/>
  <c r="I2470" i="1"/>
  <c r="S2470" i="1"/>
  <c r="B2471" i="1"/>
  <c r="E2471" i="1"/>
  <c r="I2471" i="1"/>
  <c r="S2471" i="1"/>
  <c r="B2472" i="1"/>
  <c r="E2472" i="1"/>
  <c r="I2472" i="1"/>
  <c r="S2472" i="1"/>
  <c r="B2473" i="1"/>
  <c r="E2473" i="1"/>
  <c r="I2473" i="1"/>
  <c r="S2473" i="1"/>
  <c r="B2474" i="1"/>
  <c r="E2474" i="1"/>
  <c r="I2474" i="1"/>
  <c r="S2474" i="1"/>
  <c r="B2475" i="1"/>
  <c r="E2475" i="1"/>
  <c r="I2475" i="1"/>
  <c r="S2475" i="1"/>
  <c r="B2476" i="1"/>
  <c r="E2476" i="1"/>
  <c r="I2476" i="1"/>
  <c r="S2476" i="1"/>
  <c r="B2477" i="1"/>
  <c r="E2477" i="1"/>
  <c r="I2477" i="1"/>
  <c r="S2477" i="1"/>
  <c r="B2478" i="1"/>
  <c r="E2478" i="1"/>
  <c r="I2478" i="1"/>
  <c r="S2478" i="1"/>
  <c r="B2479" i="1"/>
  <c r="E2479" i="1"/>
  <c r="I2479" i="1"/>
  <c r="S2479" i="1"/>
  <c r="B2480" i="1"/>
  <c r="E2480" i="1"/>
  <c r="I2480" i="1"/>
  <c r="S2480" i="1"/>
  <c r="B2481" i="1"/>
  <c r="E2481" i="1"/>
  <c r="I2481" i="1"/>
  <c r="S2481" i="1"/>
  <c r="B2482" i="1"/>
  <c r="E2482" i="1"/>
  <c r="I2482" i="1"/>
  <c r="S2482" i="1"/>
  <c r="B2483" i="1"/>
  <c r="E2483" i="1"/>
  <c r="I2483" i="1"/>
  <c r="S2483" i="1"/>
  <c r="B2484" i="1"/>
  <c r="E2484" i="1"/>
  <c r="I2484" i="1"/>
  <c r="S2484" i="1"/>
  <c r="B2485" i="1"/>
  <c r="E2485" i="1"/>
  <c r="I2485" i="1"/>
  <c r="S2485" i="1"/>
  <c r="B2486" i="1"/>
  <c r="E2486" i="1"/>
  <c r="I2486" i="1"/>
  <c r="S2486" i="1"/>
  <c r="B2487" i="1"/>
  <c r="E2487" i="1"/>
  <c r="I2487" i="1"/>
  <c r="S2487" i="1"/>
  <c r="B2488" i="1"/>
  <c r="E2488" i="1"/>
  <c r="I2488" i="1"/>
  <c r="S2488" i="1"/>
  <c r="B2489" i="1"/>
  <c r="E2489" i="1"/>
  <c r="I2489" i="1"/>
  <c r="S2489" i="1"/>
  <c r="B2490" i="1"/>
  <c r="E2490" i="1"/>
  <c r="I2490" i="1"/>
  <c r="S2490" i="1"/>
  <c r="B2491" i="1"/>
  <c r="E2491" i="1"/>
  <c r="I2491" i="1"/>
  <c r="S2491" i="1"/>
  <c r="B2492" i="1"/>
  <c r="E2492" i="1"/>
  <c r="I2492" i="1"/>
  <c r="S2492" i="1"/>
  <c r="B2493" i="1"/>
  <c r="E2493" i="1"/>
  <c r="I2493" i="1"/>
  <c r="S2493" i="1"/>
  <c r="B2494" i="1"/>
  <c r="E2494" i="1"/>
  <c r="I2494" i="1"/>
  <c r="S2494" i="1"/>
  <c r="B2495" i="1"/>
  <c r="E2495" i="1"/>
  <c r="I2495" i="1"/>
  <c r="S2495" i="1"/>
  <c r="B2496" i="1"/>
  <c r="E2496" i="1"/>
  <c r="I2496" i="1"/>
  <c r="S2496" i="1"/>
  <c r="B2497" i="1"/>
  <c r="E2497" i="1"/>
  <c r="I2497" i="1"/>
  <c r="S2497" i="1"/>
  <c r="B2498" i="1"/>
  <c r="E2498" i="1"/>
  <c r="I2498" i="1"/>
  <c r="S2498" i="1"/>
  <c r="B2499" i="1"/>
  <c r="E2499" i="1"/>
  <c r="I2499" i="1"/>
  <c r="S2499" i="1"/>
  <c r="B2500" i="1"/>
  <c r="E2500" i="1"/>
  <c r="I2500" i="1"/>
  <c r="S2500" i="1"/>
  <c r="B2501" i="1"/>
  <c r="E2501" i="1"/>
  <c r="I2501" i="1"/>
  <c r="S2501" i="1"/>
  <c r="B2502" i="1"/>
  <c r="E2502" i="1"/>
  <c r="I2502" i="1"/>
  <c r="S2502" i="1"/>
  <c r="B2503" i="1"/>
  <c r="E2503" i="1"/>
  <c r="I2503" i="1"/>
  <c r="S2503" i="1"/>
  <c r="B2504" i="1"/>
  <c r="E2504" i="1"/>
  <c r="I2504" i="1"/>
  <c r="S2504" i="1"/>
  <c r="B2505" i="1"/>
  <c r="E2505" i="1"/>
  <c r="I2505" i="1"/>
  <c r="S2505" i="1"/>
  <c r="B2506" i="1"/>
  <c r="E2506" i="1"/>
  <c r="I2506" i="1"/>
  <c r="S2506" i="1"/>
  <c r="B2507" i="1"/>
  <c r="E2507" i="1"/>
  <c r="I2507" i="1"/>
  <c r="S2507" i="1"/>
  <c r="B2508" i="1"/>
  <c r="E2508" i="1"/>
  <c r="I2508" i="1"/>
  <c r="S2508" i="1"/>
  <c r="B2509" i="1"/>
  <c r="E2509" i="1"/>
  <c r="I2509" i="1"/>
  <c r="S2509" i="1"/>
  <c r="B2510" i="1"/>
  <c r="E2510" i="1"/>
  <c r="I2510" i="1"/>
  <c r="S2510" i="1"/>
  <c r="B2511" i="1"/>
  <c r="E2511" i="1"/>
  <c r="I2511" i="1"/>
  <c r="S2511" i="1"/>
  <c r="B2512" i="1"/>
  <c r="E2512" i="1"/>
  <c r="I2512" i="1"/>
  <c r="S2512" i="1"/>
  <c r="B2513" i="1"/>
  <c r="E2513" i="1"/>
  <c r="I2513" i="1"/>
  <c r="S2513" i="1"/>
  <c r="B2514" i="1"/>
  <c r="E2514" i="1"/>
  <c r="I2514" i="1"/>
  <c r="S2514" i="1"/>
  <c r="B2515" i="1"/>
  <c r="E2515" i="1"/>
  <c r="I2515" i="1"/>
  <c r="S2515" i="1"/>
  <c r="B2516" i="1"/>
  <c r="E2516" i="1"/>
  <c r="I2516" i="1"/>
  <c r="S2516" i="1"/>
  <c r="B2517" i="1"/>
  <c r="E2517" i="1"/>
  <c r="I2517" i="1"/>
  <c r="S2517" i="1"/>
  <c r="B2518" i="1"/>
  <c r="E2518" i="1"/>
  <c r="I2518" i="1"/>
  <c r="S2518" i="1"/>
  <c r="B2519" i="1"/>
  <c r="E2519" i="1"/>
  <c r="I2519" i="1"/>
  <c r="S2519" i="1"/>
  <c r="B2520" i="1"/>
  <c r="E2520" i="1"/>
  <c r="I2520" i="1"/>
  <c r="S2520" i="1"/>
  <c r="B2521" i="1"/>
  <c r="E2521" i="1"/>
  <c r="I2521" i="1"/>
  <c r="S2521" i="1"/>
  <c r="B2522" i="1"/>
  <c r="E2522" i="1"/>
  <c r="I2522" i="1"/>
  <c r="S2522" i="1"/>
  <c r="B2523" i="1"/>
  <c r="E2523" i="1"/>
  <c r="I2523" i="1"/>
  <c r="S2523" i="1"/>
  <c r="B2524" i="1"/>
  <c r="E2524" i="1"/>
  <c r="I2524" i="1"/>
  <c r="S2524" i="1"/>
  <c r="B2525" i="1"/>
  <c r="E2525" i="1"/>
  <c r="I2525" i="1"/>
  <c r="S2525" i="1"/>
  <c r="B2526" i="1"/>
  <c r="E2526" i="1"/>
  <c r="I2526" i="1"/>
  <c r="S2526" i="1"/>
  <c r="B2527" i="1"/>
  <c r="E2527" i="1"/>
  <c r="I2527" i="1"/>
  <c r="S2527" i="1"/>
  <c r="B2528" i="1"/>
  <c r="E2528" i="1"/>
  <c r="I2528" i="1"/>
  <c r="S2528" i="1"/>
  <c r="B2529" i="1"/>
  <c r="E2529" i="1"/>
  <c r="I2529" i="1"/>
  <c r="S2529" i="1"/>
  <c r="B2530" i="1"/>
  <c r="E2530" i="1"/>
  <c r="I2530" i="1"/>
  <c r="S2530" i="1"/>
  <c r="B2531" i="1"/>
  <c r="E2531" i="1"/>
  <c r="I2531" i="1"/>
  <c r="S2531" i="1"/>
  <c r="B2532" i="1"/>
  <c r="E2532" i="1"/>
  <c r="I2532" i="1"/>
  <c r="S2532" i="1"/>
  <c r="B2533" i="1"/>
  <c r="E2533" i="1"/>
  <c r="I2533" i="1"/>
  <c r="S2533" i="1"/>
  <c r="B2534" i="1"/>
  <c r="E2534" i="1"/>
  <c r="I2534" i="1"/>
  <c r="S2534" i="1"/>
  <c r="B2535" i="1"/>
  <c r="E2535" i="1"/>
  <c r="I2535" i="1"/>
  <c r="S2535" i="1"/>
  <c r="B2536" i="1"/>
  <c r="E2536" i="1"/>
  <c r="I2536" i="1"/>
  <c r="S2536" i="1"/>
  <c r="B2537" i="1"/>
  <c r="E2537" i="1"/>
  <c r="I2537" i="1"/>
  <c r="S2537" i="1"/>
  <c r="B2538" i="1"/>
  <c r="E2538" i="1"/>
  <c r="I2538" i="1"/>
  <c r="S2538" i="1"/>
  <c r="B2539" i="1"/>
  <c r="E2539" i="1"/>
  <c r="I2539" i="1"/>
  <c r="S2539" i="1"/>
  <c r="B2540" i="1"/>
  <c r="E2540" i="1"/>
  <c r="I2540" i="1"/>
  <c r="S2540" i="1"/>
  <c r="B2541" i="1"/>
  <c r="E2541" i="1"/>
  <c r="I2541" i="1"/>
  <c r="S2541" i="1"/>
  <c r="B2542" i="1"/>
  <c r="E2542" i="1"/>
  <c r="I2542" i="1"/>
  <c r="S2542" i="1"/>
  <c r="B2543" i="1"/>
  <c r="E2543" i="1"/>
  <c r="I2543" i="1"/>
  <c r="S2543" i="1"/>
  <c r="B2544" i="1"/>
  <c r="E2544" i="1"/>
  <c r="I2544" i="1"/>
  <c r="S2544" i="1"/>
  <c r="B2545" i="1"/>
  <c r="E2545" i="1"/>
  <c r="I2545" i="1"/>
  <c r="S2545" i="1"/>
  <c r="B2546" i="1"/>
  <c r="E2546" i="1"/>
  <c r="I2546" i="1"/>
  <c r="S2546" i="1"/>
  <c r="B2547" i="1"/>
  <c r="E2547" i="1"/>
  <c r="I2547" i="1"/>
  <c r="S2547" i="1"/>
  <c r="B2548" i="1"/>
  <c r="E2548" i="1"/>
  <c r="I2548" i="1"/>
  <c r="S2548" i="1"/>
  <c r="B2549" i="1"/>
  <c r="E2549" i="1"/>
  <c r="I2549" i="1"/>
  <c r="S2549" i="1"/>
  <c r="B2550" i="1"/>
  <c r="E2550" i="1"/>
  <c r="I2550" i="1"/>
  <c r="S2550" i="1"/>
  <c r="B2551" i="1"/>
  <c r="E2551" i="1"/>
  <c r="I2551" i="1"/>
  <c r="S2551" i="1"/>
  <c r="B2552" i="1"/>
  <c r="E2552" i="1"/>
  <c r="I2552" i="1"/>
  <c r="S2552" i="1"/>
  <c r="B2553" i="1"/>
  <c r="E2553" i="1"/>
  <c r="I2553" i="1"/>
  <c r="S2553" i="1"/>
  <c r="B2554" i="1"/>
  <c r="E2554" i="1"/>
  <c r="I2554" i="1"/>
  <c r="S2554" i="1"/>
  <c r="B2555" i="1"/>
  <c r="E2555" i="1"/>
  <c r="I2555" i="1"/>
  <c r="S2555" i="1"/>
  <c r="B2556" i="1"/>
  <c r="E2556" i="1"/>
  <c r="I2556" i="1"/>
  <c r="S2556" i="1"/>
  <c r="B2557" i="1"/>
  <c r="E2557" i="1"/>
  <c r="I2557" i="1"/>
  <c r="S2557" i="1"/>
  <c r="B2558" i="1"/>
  <c r="E2558" i="1"/>
  <c r="I2558" i="1"/>
  <c r="S2558" i="1"/>
  <c r="B2559" i="1"/>
  <c r="E2559" i="1"/>
  <c r="I2559" i="1"/>
  <c r="S2559" i="1"/>
  <c r="B2560" i="1"/>
  <c r="E2560" i="1"/>
  <c r="I2560" i="1"/>
  <c r="S2560" i="1"/>
  <c r="B2561" i="1"/>
  <c r="E2561" i="1"/>
  <c r="I2561" i="1"/>
  <c r="S2561" i="1"/>
  <c r="B2562" i="1"/>
  <c r="E2562" i="1"/>
  <c r="I2562" i="1"/>
  <c r="S2562" i="1"/>
  <c r="B2563" i="1"/>
  <c r="E2563" i="1"/>
  <c r="I2563" i="1"/>
  <c r="S2563" i="1"/>
  <c r="B2564" i="1"/>
  <c r="E2564" i="1"/>
  <c r="I2564" i="1"/>
  <c r="S2564" i="1"/>
  <c r="B2565" i="1"/>
  <c r="E2565" i="1"/>
  <c r="I2565" i="1"/>
  <c r="S2565" i="1"/>
  <c r="B2566" i="1"/>
  <c r="E2566" i="1"/>
  <c r="I2566" i="1"/>
  <c r="S2566" i="1"/>
  <c r="B2567" i="1"/>
  <c r="E2567" i="1"/>
  <c r="I2567" i="1"/>
  <c r="S2567" i="1"/>
  <c r="B2568" i="1"/>
  <c r="E2568" i="1"/>
  <c r="I2568" i="1"/>
  <c r="S2568" i="1"/>
  <c r="B2569" i="1"/>
  <c r="E2569" i="1"/>
  <c r="I2569" i="1"/>
  <c r="S2569" i="1"/>
  <c r="B2570" i="1"/>
  <c r="E2570" i="1"/>
  <c r="I2570" i="1"/>
  <c r="S2570" i="1"/>
  <c r="B2571" i="1"/>
  <c r="E2571" i="1"/>
  <c r="I2571" i="1"/>
  <c r="S2571" i="1"/>
  <c r="B2572" i="1"/>
  <c r="E2572" i="1"/>
  <c r="I2572" i="1"/>
  <c r="S2572" i="1"/>
  <c r="B2573" i="1"/>
  <c r="E2573" i="1"/>
  <c r="I2573" i="1"/>
  <c r="S2573" i="1"/>
  <c r="B2574" i="1"/>
  <c r="E2574" i="1"/>
  <c r="I2574" i="1"/>
  <c r="S2574" i="1"/>
  <c r="B2575" i="1"/>
  <c r="E2575" i="1"/>
  <c r="I2575" i="1"/>
  <c r="S2575" i="1"/>
  <c r="B2576" i="1"/>
  <c r="E2576" i="1"/>
  <c r="I2576" i="1"/>
  <c r="S2576" i="1"/>
  <c r="B2577" i="1"/>
  <c r="E2577" i="1"/>
  <c r="I2577" i="1"/>
  <c r="S2577" i="1"/>
  <c r="B2578" i="1"/>
  <c r="E2578" i="1"/>
  <c r="I2578" i="1"/>
  <c r="S2578" i="1"/>
  <c r="B2579" i="1"/>
  <c r="E2579" i="1"/>
  <c r="I2579" i="1"/>
  <c r="S2579" i="1"/>
  <c r="B2580" i="1"/>
  <c r="E2580" i="1"/>
  <c r="I2580" i="1"/>
  <c r="S2580" i="1"/>
  <c r="B2581" i="1"/>
  <c r="E2581" i="1"/>
  <c r="I2581" i="1"/>
  <c r="S2581" i="1"/>
  <c r="B2582" i="1"/>
  <c r="E2582" i="1"/>
  <c r="I2582" i="1"/>
  <c r="S2582" i="1"/>
  <c r="B2583" i="1"/>
  <c r="E2583" i="1"/>
  <c r="I2583" i="1"/>
  <c r="S2583" i="1"/>
  <c r="B2584" i="1"/>
  <c r="E2584" i="1"/>
  <c r="I2584" i="1"/>
  <c r="S2584" i="1"/>
  <c r="B2585" i="1"/>
  <c r="E2585" i="1"/>
  <c r="I2585" i="1"/>
  <c r="S2585" i="1"/>
  <c r="B2586" i="1"/>
  <c r="E2586" i="1"/>
  <c r="I2586" i="1"/>
  <c r="S2586" i="1"/>
  <c r="B2587" i="1"/>
  <c r="E2587" i="1"/>
  <c r="I2587" i="1"/>
  <c r="S2587" i="1"/>
  <c r="B2588" i="1"/>
  <c r="E2588" i="1"/>
  <c r="I2588" i="1"/>
  <c r="S2588" i="1"/>
  <c r="B2589" i="1"/>
  <c r="E2589" i="1"/>
  <c r="I2589" i="1"/>
  <c r="S2589" i="1"/>
  <c r="B2590" i="1"/>
  <c r="E2590" i="1"/>
  <c r="I2590" i="1"/>
  <c r="S2590" i="1"/>
  <c r="B2591" i="1"/>
  <c r="E2591" i="1"/>
  <c r="I2591" i="1"/>
  <c r="S2591" i="1"/>
  <c r="B2592" i="1"/>
  <c r="E2592" i="1"/>
  <c r="I2592" i="1"/>
  <c r="S2592" i="1"/>
  <c r="B2593" i="1"/>
  <c r="E2593" i="1"/>
  <c r="I2593" i="1"/>
  <c r="S2593" i="1"/>
  <c r="B2594" i="1"/>
  <c r="E2594" i="1"/>
  <c r="I2594" i="1"/>
  <c r="S2594" i="1"/>
  <c r="B2595" i="1"/>
  <c r="E2595" i="1"/>
  <c r="I2595" i="1"/>
  <c r="S2595" i="1"/>
  <c r="B2596" i="1"/>
  <c r="E2596" i="1"/>
  <c r="I2596" i="1"/>
  <c r="S2596" i="1"/>
  <c r="B2597" i="1"/>
  <c r="E2597" i="1"/>
  <c r="I2597" i="1"/>
  <c r="S2597" i="1"/>
  <c r="B2598" i="1"/>
  <c r="E2598" i="1"/>
  <c r="I2598" i="1"/>
  <c r="S2598" i="1"/>
  <c r="B2599" i="1"/>
  <c r="E2599" i="1"/>
  <c r="I2599" i="1"/>
  <c r="S2599" i="1"/>
  <c r="B2600" i="1"/>
  <c r="E2600" i="1"/>
  <c r="I2600" i="1"/>
  <c r="S2600" i="1"/>
  <c r="B2601" i="1"/>
  <c r="E2601" i="1"/>
  <c r="I2601" i="1"/>
  <c r="S2601" i="1"/>
  <c r="B2602" i="1"/>
  <c r="E2602" i="1"/>
  <c r="I2602" i="1"/>
  <c r="S2602" i="1"/>
  <c r="B2603" i="1"/>
  <c r="E2603" i="1"/>
  <c r="I2603" i="1"/>
  <c r="S2603" i="1"/>
  <c r="B2604" i="1"/>
  <c r="E2604" i="1"/>
  <c r="I2604" i="1"/>
  <c r="S2604" i="1"/>
  <c r="B2605" i="1"/>
  <c r="E2605" i="1"/>
  <c r="I2605" i="1"/>
  <c r="S2605" i="1"/>
  <c r="B2606" i="1"/>
  <c r="E2606" i="1"/>
  <c r="I2606" i="1"/>
  <c r="S2606" i="1"/>
  <c r="B2607" i="1"/>
  <c r="E2607" i="1"/>
  <c r="I2607" i="1"/>
  <c r="S2607" i="1"/>
  <c r="B2608" i="1"/>
  <c r="E2608" i="1"/>
  <c r="I2608" i="1"/>
  <c r="S2608" i="1"/>
  <c r="B2609" i="1"/>
  <c r="E2609" i="1"/>
  <c r="I2609" i="1"/>
  <c r="S2609" i="1"/>
  <c r="B2610" i="1"/>
  <c r="E2610" i="1"/>
  <c r="I2610" i="1"/>
  <c r="S2610" i="1"/>
  <c r="B2611" i="1"/>
  <c r="E2611" i="1"/>
  <c r="I2611" i="1"/>
  <c r="S2611" i="1"/>
  <c r="B2612" i="1"/>
  <c r="E2612" i="1"/>
  <c r="I2612" i="1"/>
  <c r="S2612" i="1"/>
  <c r="B2613" i="1"/>
  <c r="E2613" i="1"/>
  <c r="I2613" i="1"/>
  <c r="S2613" i="1"/>
  <c r="B2614" i="1"/>
  <c r="E2614" i="1"/>
  <c r="I2614" i="1"/>
  <c r="S2614" i="1"/>
  <c r="B2615" i="1"/>
  <c r="E2615" i="1"/>
  <c r="I2615" i="1"/>
  <c r="S2615" i="1"/>
  <c r="B2616" i="1"/>
  <c r="E2616" i="1"/>
  <c r="I2616" i="1"/>
  <c r="S2616" i="1"/>
  <c r="B2617" i="1"/>
  <c r="E2617" i="1"/>
  <c r="I2617" i="1"/>
  <c r="S2617" i="1"/>
  <c r="B2618" i="1"/>
  <c r="E2618" i="1"/>
  <c r="I2618" i="1"/>
  <c r="S2618" i="1"/>
  <c r="B2619" i="1"/>
  <c r="E2619" i="1"/>
  <c r="I2619" i="1"/>
  <c r="S2619" i="1"/>
  <c r="B2620" i="1"/>
  <c r="E2620" i="1"/>
  <c r="I2620" i="1"/>
  <c r="S2620" i="1"/>
  <c r="B2621" i="1"/>
  <c r="E2621" i="1"/>
  <c r="I2621" i="1"/>
  <c r="S2621" i="1"/>
  <c r="B2622" i="1"/>
  <c r="E2622" i="1"/>
  <c r="I2622" i="1"/>
  <c r="S2622" i="1"/>
  <c r="B2623" i="1"/>
  <c r="E2623" i="1"/>
  <c r="I2623" i="1"/>
  <c r="S2623" i="1"/>
  <c r="B2624" i="1"/>
  <c r="E2624" i="1"/>
  <c r="I2624" i="1"/>
  <c r="S2624" i="1"/>
  <c r="B2625" i="1"/>
  <c r="E2625" i="1"/>
  <c r="I2625" i="1"/>
  <c r="S2625" i="1"/>
  <c r="B2626" i="1"/>
  <c r="E2626" i="1"/>
  <c r="I2626" i="1"/>
  <c r="S2626" i="1"/>
  <c r="B2627" i="1"/>
  <c r="E2627" i="1"/>
  <c r="I2627" i="1"/>
  <c r="S2627" i="1"/>
  <c r="B2628" i="1"/>
  <c r="E2628" i="1"/>
  <c r="I2628" i="1"/>
  <c r="S2628" i="1"/>
  <c r="B2629" i="1"/>
  <c r="E2629" i="1"/>
  <c r="I2629" i="1"/>
  <c r="S2629" i="1"/>
  <c r="B2630" i="1"/>
  <c r="E2630" i="1"/>
  <c r="I2630" i="1"/>
  <c r="S2630" i="1"/>
  <c r="B2631" i="1"/>
  <c r="E2631" i="1"/>
  <c r="I2631" i="1"/>
  <c r="S2631" i="1"/>
  <c r="B2632" i="1"/>
  <c r="E2632" i="1"/>
  <c r="I2632" i="1"/>
  <c r="S2632" i="1"/>
  <c r="B2633" i="1"/>
  <c r="E2633" i="1"/>
  <c r="I2633" i="1"/>
  <c r="S2633" i="1"/>
  <c r="B2634" i="1"/>
  <c r="E2634" i="1"/>
  <c r="I2634" i="1"/>
  <c r="S2634" i="1"/>
  <c r="B2635" i="1"/>
  <c r="E2635" i="1"/>
  <c r="I2635" i="1"/>
  <c r="S2635" i="1"/>
  <c r="B2636" i="1"/>
  <c r="E2636" i="1"/>
  <c r="I2636" i="1"/>
  <c r="S2636" i="1"/>
  <c r="B2637" i="1"/>
  <c r="E2637" i="1"/>
  <c r="I2637" i="1"/>
  <c r="S2637" i="1"/>
  <c r="B2638" i="1"/>
  <c r="E2638" i="1"/>
  <c r="I2638" i="1"/>
  <c r="S2638" i="1"/>
  <c r="B2639" i="1"/>
  <c r="E2639" i="1"/>
  <c r="I2639" i="1"/>
  <c r="S2639" i="1"/>
  <c r="B2640" i="1"/>
  <c r="E2640" i="1"/>
  <c r="I2640" i="1"/>
  <c r="S2640" i="1"/>
  <c r="B2641" i="1"/>
  <c r="E2641" i="1"/>
  <c r="I2641" i="1"/>
  <c r="S2641" i="1"/>
  <c r="B2642" i="1"/>
  <c r="E2642" i="1"/>
  <c r="I2642" i="1"/>
  <c r="S2642" i="1"/>
  <c r="B2643" i="1"/>
  <c r="E2643" i="1"/>
  <c r="I2643" i="1"/>
  <c r="S2643" i="1"/>
  <c r="B2644" i="1"/>
  <c r="E2644" i="1"/>
  <c r="I2644" i="1"/>
  <c r="S2644" i="1"/>
  <c r="B2645" i="1"/>
  <c r="E2645" i="1"/>
  <c r="I2645" i="1"/>
  <c r="S2645" i="1"/>
  <c r="B2646" i="1"/>
  <c r="E2646" i="1"/>
  <c r="I2646" i="1"/>
  <c r="S2646" i="1"/>
  <c r="B2647" i="1"/>
  <c r="E2647" i="1"/>
  <c r="I2647" i="1"/>
  <c r="S2647" i="1"/>
  <c r="B2648" i="1"/>
  <c r="E2648" i="1"/>
  <c r="I2648" i="1"/>
  <c r="S2648" i="1"/>
  <c r="B2649" i="1"/>
  <c r="E2649" i="1"/>
  <c r="I2649" i="1"/>
  <c r="S2649" i="1"/>
  <c r="B2650" i="1"/>
  <c r="E2650" i="1"/>
  <c r="I2650" i="1"/>
  <c r="S2650" i="1"/>
  <c r="B2651" i="1"/>
  <c r="E2651" i="1"/>
  <c r="I2651" i="1"/>
  <c r="S2651" i="1"/>
  <c r="B2652" i="1"/>
  <c r="E2652" i="1"/>
  <c r="I2652" i="1"/>
  <c r="S2652" i="1"/>
  <c r="B2653" i="1"/>
  <c r="E2653" i="1"/>
  <c r="I2653" i="1"/>
  <c r="S2653" i="1"/>
  <c r="B2654" i="1"/>
  <c r="E2654" i="1"/>
  <c r="I2654" i="1"/>
  <c r="S2654" i="1"/>
  <c r="B2655" i="1"/>
  <c r="E2655" i="1"/>
  <c r="I2655" i="1"/>
  <c r="S2655" i="1"/>
  <c r="B2656" i="1"/>
  <c r="E2656" i="1"/>
  <c r="I2656" i="1"/>
  <c r="S2656" i="1"/>
  <c r="B2657" i="1"/>
  <c r="E2657" i="1"/>
  <c r="I2657" i="1"/>
  <c r="S2657" i="1"/>
  <c r="B2658" i="1"/>
  <c r="E2658" i="1"/>
  <c r="I2658" i="1"/>
  <c r="S2658" i="1"/>
  <c r="B2659" i="1"/>
  <c r="E2659" i="1"/>
  <c r="I2659" i="1"/>
  <c r="S2659" i="1"/>
  <c r="B2660" i="1"/>
  <c r="E2660" i="1"/>
  <c r="I2660" i="1"/>
  <c r="S2660" i="1"/>
  <c r="B2661" i="1"/>
  <c r="E2661" i="1"/>
  <c r="I2661" i="1"/>
  <c r="S2661" i="1"/>
  <c r="B2662" i="1"/>
  <c r="E2662" i="1"/>
  <c r="I2662" i="1"/>
  <c r="S2662" i="1"/>
  <c r="B2663" i="1"/>
  <c r="E2663" i="1"/>
  <c r="I2663" i="1"/>
  <c r="S2663" i="1"/>
  <c r="B2664" i="1"/>
  <c r="E2664" i="1"/>
  <c r="I2664" i="1"/>
  <c r="S2664" i="1"/>
  <c r="B2665" i="1"/>
  <c r="E2665" i="1"/>
  <c r="I2665" i="1"/>
  <c r="S2665" i="1"/>
  <c r="B2666" i="1"/>
  <c r="E2666" i="1"/>
  <c r="I2666" i="1"/>
  <c r="S2666" i="1"/>
  <c r="B2667" i="1"/>
  <c r="E2667" i="1"/>
  <c r="I2667" i="1"/>
  <c r="S2667" i="1"/>
  <c r="B2668" i="1"/>
  <c r="E2668" i="1"/>
  <c r="I2668" i="1"/>
  <c r="S2668" i="1"/>
  <c r="B2669" i="1"/>
  <c r="E2669" i="1"/>
  <c r="I2669" i="1"/>
  <c r="S2669" i="1"/>
  <c r="B2670" i="1"/>
  <c r="E2670" i="1"/>
  <c r="I2670" i="1"/>
  <c r="S2670" i="1"/>
  <c r="B2671" i="1"/>
  <c r="E2671" i="1"/>
  <c r="I2671" i="1"/>
  <c r="S2671" i="1"/>
  <c r="B2672" i="1"/>
  <c r="E2672" i="1"/>
  <c r="I2672" i="1"/>
  <c r="S2672" i="1"/>
  <c r="B2673" i="1"/>
  <c r="E2673" i="1"/>
  <c r="I2673" i="1"/>
  <c r="S2673" i="1"/>
  <c r="B2674" i="1"/>
  <c r="E2674" i="1"/>
  <c r="I2674" i="1"/>
  <c r="S2674" i="1"/>
  <c r="B2675" i="1"/>
  <c r="E2675" i="1"/>
  <c r="I2675" i="1"/>
  <c r="S2675" i="1"/>
  <c r="B2676" i="1"/>
  <c r="E2676" i="1"/>
  <c r="I2676" i="1"/>
  <c r="S2676" i="1"/>
  <c r="B2677" i="1"/>
  <c r="E2677" i="1"/>
  <c r="I2677" i="1"/>
  <c r="S2677" i="1"/>
  <c r="B2678" i="1"/>
  <c r="E2678" i="1"/>
  <c r="I2678" i="1"/>
  <c r="S2678" i="1"/>
  <c r="B2679" i="1"/>
  <c r="E2679" i="1"/>
  <c r="I2679" i="1"/>
  <c r="S2679" i="1"/>
  <c r="B2680" i="1"/>
  <c r="E2680" i="1"/>
  <c r="I2680" i="1"/>
  <c r="S2680" i="1"/>
  <c r="B2681" i="1"/>
  <c r="E2681" i="1"/>
  <c r="I2681" i="1"/>
  <c r="S2681" i="1"/>
  <c r="B2682" i="1"/>
  <c r="E2682" i="1"/>
  <c r="I2682" i="1"/>
  <c r="S2682" i="1"/>
  <c r="B2683" i="1"/>
  <c r="E2683" i="1"/>
  <c r="I2683" i="1"/>
  <c r="S2683" i="1"/>
  <c r="B2684" i="1"/>
  <c r="E2684" i="1"/>
  <c r="I2684" i="1"/>
  <c r="S2684" i="1"/>
  <c r="B2685" i="1"/>
  <c r="E2685" i="1"/>
  <c r="I2685" i="1"/>
  <c r="S2685" i="1"/>
  <c r="B2686" i="1"/>
  <c r="E2686" i="1"/>
  <c r="I2686" i="1"/>
  <c r="S2686" i="1"/>
  <c r="B2687" i="1"/>
  <c r="E2687" i="1"/>
  <c r="I2687" i="1"/>
  <c r="S2687" i="1"/>
  <c r="B2688" i="1"/>
  <c r="E2688" i="1"/>
  <c r="I2688" i="1"/>
  <c r="S2688" i="1"/>
  <c r="B2689" i="1"/>
  <c r="E2689" i="1"/>
  <c r="I2689" i="1"/>
  <c r="S2689" i="1"/>
  <c r="B2690" i="1"/>
  <c r="E2690" i="1"/>
  <c r="I2690" i="1"/>
  <c r="S2690" i="1"/>
  <c r="B2691" i="1"/>
  <c r="E2691" i="1"/>
  <c r="I2691" i="1"/>
  <c r="S2691" i="1"/>
  <c r="B2692" i="1"/>
  <c r="E2692" i="1"/>
  <c r="I2692" i="1"/>
  <c r="S2692" i="1"/>
  <c r="B2693" i="1"/>
  <c r="E2693" i="1"/>
  <c r="I2693" i="1"/>
  <c r="S2693" i="1"/>
  <c r="B2694" i="1"/>
  <c r="E2694" i="1"/>
  <c r="I2694" i="1"/>
  <c r="S2694" i="1"/>
  <c r="B2695" i="1"/>
  <c r="E2695" i="1"/>
  <c r="I2695" i="1"/>
  <c r="S2695" i="1"/>
  <c r="B2696" i="1"/>
  <c r="E2696" i="1"/>
  <c r="I2696" i="1"/>
  <c r="S2696" i="1"/>
  <c r="B2697" i="1"/>
  <c r="E2697" i="1"/>
  <c r="I2697" i="1"/>
  <c r="S2697" i="1"/>
  <c r="B2698" i="1"/>
  <c r="E2698" i="1"/>
  <c r="I2698" i="1"/>
  <c r="S2698" i="1"/>
  <c r="B2699" i="1"/>
  <c r="E2699" i="1"/>
  <c r="I2699" i="1"/>
  <c r="S2699" i="1"/>
  <c r="B2700" i="1"/>
  <c r="E2700" i="1"/>
  <c r="I2700" i="1"/>
  <c r="S2700" i="1"/>
  <c r="B2701" i="1"/>
  <c r="E2701" i="1"/>
  <c r="I2701" i="1"/>
  <c r="S2701" i="1"/>
  <c r="B2702" i="1"/>
  <c r="E2702" i="1"/>
  <c r="I2702" i="1"/>
  <c r="S2702" i="1"/>
  <c r="B2703" i="1"/>
  <c r="E2703" i="1"/>
  <c r="I2703" i="1"/>
  <c r="S2703" i="1"/>
  <c r="B2704" i="1"/>
  <c r="E2704" i="1"/>
  <c r="I2704" i="1"/>
  <c r="S2704" i="1"/>
  <c r="B2705" i="1"/>
  <c r="E2705" i="1"/>
  <c r="I2705" i="1"/>
  <c r="S2705" i="1"/>
  <c r="B2706" i="1"/>
  <c r="E2706" i="1"/>
  <c r="I2706" i="1"/>
  <c r="S2706" i="1"/>
  <c r="B2707" i="1"/>
  <c r="E2707" i="1"/>
  <c r="I2707" i="1"/>
  <c r="S2707" i="1"/>
  <c r="B2708" i="1"/>
  <c r="E2708" i="1"/>
  <c r="I2708" i="1"/>
  <c r="S2708" i="1"/>
  <c r="B2709" i="1"/>
  <c r="E2709" i="1"/>
  <c r="I2709" i="1"/>
  <c r="S2709" i="1"/>
  <c r="B2710" i="1"/>
  <c r="E2710" i="1"/>
  <c r="I2710" i="1"/>
  <c r="S2710" i="1"/>
  <c r="B2711" i="1"/>
  <c r="E2711" i="1"/>
  <c r="I2711" i="1"/>
  <c r="S2711" i="1"/>
  <c r="B2712" i="1"/>
  <c r="E2712" i="1"/>
  <c r="I2712" i="1"/>
  <c r="S2712" i="1"/>
  <c r="B2713" i="1"/>
  <c r="E2713" i="1"/>
  <c r="I2713" i="1"/>
  <c r="S2713" i="1"/>
  <c r="B2714" i="1"/>
  <c r="E2714" i="1"/>
  <c r="I2714" i="1"/>
  <c r="S2714" i="1"/>
  <c r="B2715" i="1"/>
  <c r="E2715" i="1"/>
  <c r="I2715" i="1"/>
  <c r="S2715" i="1"/>
  <c r="B2716" i="1"/>
  <c r="E2716" i="1"/>
  <c r="I2716" i="1"/>
  <c r="S2716" i="1"/>
  <c r="B2717" i="1"/>
  <c r="E2717" i="1"/>
  <c r="I2717" i="1"/>
  <c r="S2717" i="1"/>
  <c r="B2718" i="1"/>
  <c r="E2718" i="1"/>
  <c r="I2718" i="1"/>
  <c r="S2718" i="1"/>
  <c r="B2719" i="1"/>
  <c r="E2719" i="1"/>
  <c r="I2719" i="1"/>
  <c r="S2719" i="1"/>
  <c r="B2720" i="1"/>
  <c r="E2720" i="1"/>
  <c r="I2720" i="1"/>
  <c r="S2720" i="1"/>
  <c r="B2721" i="1"/>
  <c r="E2721" i="1"/>
  <c r="I2721" i="1"/>
  <c r="S2721" i="1"/>
  <c r="B2722" i="1"/>
  <c r="E2722" i="1"/>
  <c r="I2722" i="1"/>
  <c r="S2722" i="1"/>
  <c r="B2723" i="1"/>
  <c r="E2723" i="1"/>
  <c r="I2723" i="1"/>
  <c r="S2723" i="1"/>
  <c r="B2724" i="1"/>
  <c r="E2724" i="1"/>
  <c r="I2724" i="1"/>
  <c r="S2724" i="1"/>
  <c r="B2725" i="1"/>
  <c r="E2725" i="1"/>
  <c r="I2725" i="1"/>
  <c r="S2725" i="1"/>
  <c r="B2726" i="1"/>
  <c r="E2726" i="1"/>
  <c r="I2726" i="1"/>
  <c r="S2726" i="1"/>
  <c r="B2727" i="1"/>
  <c r="E2727" i="1"/>
  <c r="I2727" i="1"/>
  <c r="S2727" i="1"/>
  <c r="B2728" i="1"/>
  <c r="E2728" i="1"/>
  <c r="I2728" i="1"/>
  <c r="S2728" i="1"/>
  <c r="B2729" i="1"/>
  <c r="E2729" i="1"/>
  <c r="I2729" i="1"/>
  <c r="S2729" i="1"/>
  <c r="B2730" i="1"/>
  <c r="E2730" i="1"/>
  <c r="I2730" i="1"/>
  <c r="S2730" i="1"/>
  <c r="B2731" i="1"/>
  <c r="E2731" i="1"/>
  <c r="I2731" i="1"/>
  <c r="S2731" i="1"/>
  <c r="B2732" i="1"/>
  <c r="E2732" i="1"/>
  <c r="I2732" i="1"/>
  <c r="S2732" i="1"/>
  <c r="B2733" i="1"/>
  <c r="E2733" i="1"/>
  <c r="I2733" i="1"/>
  <c r="S2733" i="1"/>
  <c r="B2734" i="1"/>
  <c r="E2734" i="1"/>
  <c r="I2734" i="1"/>
  <c r="S2734" i="1"/>
  <c r="B2735" i="1"/>
  <c r="E2735" i="1"/>
  <c r="I2735" i="1"/>
  <c r="S2735" i="1"/>
  <c r="B2736" i="1"/>
  <c r="E2736" i="1"/>
  <c r="I2736" i="1"/>
  <c r="S2736" i="1"/>
  <c r="B2737" i="1"/>
  <c r="E2737" i="1"/>
  <c r="I2737" i="1"/>
  <c r="S2737" i="1"/>
  <c r="B2738" i="1"/>
  <c r="E2738" i="1"/>
  <c r="I2738" i="1"/>
  <c r="S2738" i="1"/>
  <c r="B2739" i="1"/>
  <c r="E2739" i="1"/>
  <c r="I2739" i="1"/>
  <c r="S2739" i="1"/>
  <c r="B2740" i="1"/>
  <c r="E2740" i="1"/>
  <c r="I2740" i="1"/>
  <c r="S2740" i="1"/>
  <c r="B2741" i="1"/>
  <c r="E2741" i="1"/>
  <c r="I2741" i="1"/>
  <c r="S2741" i="1"/>
  <c r="B2742" i="1"/>
  <c r="E2742" i="1"/>
  <c r="I2742" i="1"/>
  <c r="S2742" i="1"/>
  <c r="B2743" i="1"/>
  <c r="E2743" i="1"/>
  <c r="I2743" i="1"/>
  <c r="S2743" i="1"/>
  <c r="B2744" i="1"/>
  <c r="E2744" i="1"/>
  <c r="I2744" i="1"/>
  <c r="S2744" i="1"/>
  <c r="B2745" i="1"/>
  <c r="E2745" i="1"/>
  <c r="I2745" i="1"/>
  <c r="S2745" i="1"/>
  <c r="B2746" i="1"/>
  <c r="E2746" i="1"/>
  <c r="I2746" i="1"/>
  <c r="S2746" i="1"/>
  <c r="B2747" i="1"/>
  <c r="E2747" i="1"/>
  <c r="I2747" i="1"/>
  <c r="S2747" i="1"/>
  <c r="B2748" i="1"/>
  <c r="E2748" i="1"/>
  <c r="I2748" i="1"/>
  <c r="S2748" i="1"/>
  <c r="B2749" i="1"/>
  <c r="E2749" i="1"/>
  <c r="I2749" i="1"/>
  <c r="S2749" i="1"/>
  <c r="B2750" i="1"/>
  <c r="E2750" i="1"/>
  <c r="I2750" i="1"/>
  <c r="S2750" i="1"/>
  <c r="B2751" i="1"/>
  <c r="E2751" i="1"/>
  <c r="I2751" i="1"/>
  <c r="S2751" i="1"/>
  <c r="B2752" i="1"/>
  <c r="E2752" i="1"/>
  <c r="I2752" i="1"/>
  <c r="S2752" i="1"/>
  <c r="B2753" i="1"/>
  <c r="E2753" i="1"/>
  <c r="I2753" i="1"/>
  <c r="S2753" i="1"/>
  <c r="B2754" i="1"/>
  <c r="E2754" i="1"/>
  <c r="I2754" i="1"/>
  <c r="S2754" i="1"/>
  <c r="B2755" i="1"/>
  <c r="E2755" i="1"/>
  <c r="I2755" i="1"/>
  <c r="S2755" i="1"/>
  <c r="B2756" i="1"/>
  <c r="E2756" i="1"/>
  <c r="I2756" i="1"/>
  <c r="S2756" i="1"/>
  <c r="B2757" i="1"/>
  <c r="E2757" i="1"/>
  <c r="I2757" i="1"/>
  <c r="S2757" i="1"/>
  <c r="B2758" i="1"/>
  <c r="E2758" i="1"/>
  <c r="I2758" i="1"/>
  <c r="S2758" i="1"/>
  <c r="B2759" i="1"/>
  <c r="E2759" i="1"/>
  <c r="I2759" i="1"/>
  <c r="S2759" i="1"/>
  <c r="B2760" i="1"/>
  <c r="E2760" i="1"/>
  <c r="I2760" i="1"/>
  <c r="S2760" i="1"/>
  <c r="B2761" i="1"/>
  <c r="E2761" i="1"/>
  <c r="I2761" i="1"/>
  <c r="S2761" i="1"/>
  <c r="B2762" i="1"/>
  <c r="E2762" i="1"/>
  <c r="I2762" i="1"/>
  <c r="S2762" i="1"/>
  <c r="B2763" i="1"/>
  <c r="E2763" i="1"/>
  <c r="I2763" i="1"/>
  <c r="S2763" i="1"/>
  <c r="B2764" i="1"/>
  <c r="E2764" i="1"/>
  <c r="I2764" i="1"/>
  <c r="S2764" i="1"/>
  <c r="B2765" i="1"/>
  <c r="E2765" i="1"/>
  <c r="I2765" i="1"/>
  <c r="S2765" i="1"/>
  <c r="B2766" i="1"/>
  <c r="E2766" i="1"/>
  <c r="I2766" i="1"/>
  <c r="S2766" i="1"/>
  <c r="B2767" i="1"/>
  <c r="E2767" i="1"/>
  <c r="I2767" i="1"/>
  <c r="S2767" i="1"/>
  <c r="B2768" i="1"/>
  <c r="E2768" i="1"/>
  <c r="I2768" i="1"/>
  <c r="S2768" i="1"/>
  <c r="B2769" i="1"/>
  <c r="E2769" i="1"/>
  <c r="I2769" i="1"/>
  <c r="S2769" i="1"/>
  <c r="B2770" i="1"/>
  <c r="E2770" i="1"/>
  <c r="I2770" i="1"/>
  <c r="S2770" i="1"/>
  <c r="B2771" i="1"/>
  <c r="E2771" i="1"/>
  <c r="I2771" i="1"/>
  <c r="S2771" i="1"/>
  <c r="B2772" i="1"/>
  <c r="E2772" i="1"/>
  <c r="I2772" i="1"/>
  <c r="S2772" i="1"/>
  <c r="B2773" i="1"/>
  <c r="E2773" i="1"/>
  <c r="I2773" i="1"/>
  <c r="S2773" i="1"/>
  <c r="B2774" i="1"/>
  <c r="E2774" i="1"/>
  <c r="I2774" i="1"/>
  <c r="S2774" i="1"/>
  <c r="B2775" i="1"/>
  <c r="E2775" i="1"/>
  <c r="I2775" i="1"/>
  <c r="S2775" i="1"/>
  <c r="B2776" i="1"/>
  <c r="E2776" i="1"/>
  <c r="I2776" i="1"/>
  <c r="S2776" i="1"/>
  <c r="B2777" i="1"/>
  <c r="E2777" i="1"/>
  <c r="I2777" i="1"/>
  <c r="S2777" i="1"/>
  <c r="B2778" i="1"/>
  <c r="E2778" i="1"/>
  <c r="I2778" i="1"/>
  <c r="S2778" i="1"/>
  <c r="B2779" i="1"/>
  <c r="E2779" i="1"/>
  <c r="I2779" i="1"/>
  <c r="S2779" i="1"/>
  <c r="B2780" i="1"/>
  <c r="E2780" i="1"/>
  <c r="I2780" i="1"/>
  <c r="S2780" i="1"/>
  <c r="B2781" i="1"/>
  <c r="E2781" i="1"/>
  <c r="I2781" i="1"/>
  <c r="S2781" i="1"/>
  <c r="B2782" i="1"/>
  <c r="E2782" i="1"/>
  <c r="I2782" i="1"/>
  <c r="S2782" i="1"/>
  <c r="B2783" i="1"/>
  <c r="E2783" i="1"/>
  <c r="I2783" i="1"/>
  <c r="S2783" i="1"/>
  <c r="B2784" i="1"/>
  <c r="E2784" i="1"/>
  <c r="I2784" i="1"/>
  <c r="S2784" i="1"/>
  <c r="B2785" i="1"/>
  <c r="E2785" i="1"/>
  <c r="I2785" i="1"/>
  <c r="S2785" i="1"/>
  <c r="B2786" i="1"/>
  <c r="E2786" i="1"/>
  <c r="I2786" i="1"/>
  <c r="S2786" i="1"/>
  <c r="B2787" i="1"/>
  <c r="E2787" i="1"/>
  <c r="I2787" i="1"/>
  <c r="S2787" i="1"/>
  <c r="B2788" i="1"/>
  <c r="E2788" i="1"/>
  <c r="I2788" i="1"/>
  <c r="S2788" i="1"/>
  <c r="B2789" i="1"/>
  <c r="E2789" i="1"/>
  <c r="I2789" i="1"/>
  <c r="B2790" i="1"/>
  <c r="E2790" i="1"/>
  <c r="I2790" i="1"/>
  <c r="S2790" i="1"/>
  <c r="B2791" i="1"/>
  <c r="E2791" i="1"/>
  <c r="I2791" i="1"/>
  <c r="S2791" i="1"/>
  <c r="B2792" i="1"/>
  <c r="E2792" i="1"/>
  <c r="I2792" i="1"/>
  <c r="S2792" i="1"/>
  <c r="B2793" i="1"/>
  <c r="E2793" i="1"/>
  <c r="I2793" i="1"/>
  <c r="S2793" i="1"/>
  <c r="B2794" i="1"/>
  <c r="E2794" i="1"/>
  <c r="I2794" i="1"/>
  <c r="S2794" i="1"/>
  <c r="B2795" i="1"/>
  <c r="E2795" i="1"/>
  <c r="I2795" i="1"/>
  <c r="S2795" i="1"/>
  <c r="B2796" i="1"/>
  <c r="E2796" i="1"/>
  <c r="I2796" i="1"/>
  <c r="S2796" i="1"/>
  <c r="B2797" i="1"/>
  <c r="E2797" i="1"/>
  <c r="I2797" i="1"/>
  <c r="S2797" i="1"/>
  <c r="B2798" i="1"/>
  <c r="E2798" i="1"/>
  <c r="I2798" i="1"/>
  <c r="S2798" i="1"/>
  <c r="B2799" i="1"/>
  <c r="E2799" i="1"/>
  <c r="I2799" i="1"/>
  <c r="S2799" i="1"/>
  <c r="B2800" i="1"/>
  <c r="E2800" i="1"/>
  <c r="I2800" i="1"/>
  <c r="S2800" i="1"/>
  <c r="B2801" i="1"/>
  <c r="E2801" i="1"/>
  <c r="I2801" i="1"/>
  <c r="S2801" i="1"/>
  <c r="B2802" i="1"/>
  <c r="E2802" i="1"/>
  <c r="I2802" i="1"/>
  <c r="S2802" i="1"/>
  <c r="B2803" i="1"/>
  <c r="E2803" i="1"/>
  <c r="I2803" i="1"/>
  <c r="S2803" i="1"/>
  <c r="B2804" i="1"/>
  <c r="E2804" i="1"/>
  <c r="I2804" i="1"/>
  <c r="S2804" i="1"/>
  <c r="B2805" i="1"/>
  <c r="E2805" i="1"/>
  <c r="I2805" i="1"/>
  <c r="S2805" i="1"/>
  <c r="B2806" i="1"/>
  <c r="E2806" i="1"/>
  <c r="I2806" i="1"/>
  <c r="S2806" i="1"/>
  <c r="B2807" i="1"/>
  <c r="E2807" i="1"/>
  <c r="I2807" i="1"/>
  <c r="S2807" i="1"/>
  <c r="B2808" i="1"/>
  <c r="E2808" i="1"/>
  <c r="I2808" i="1"/>
  <c r="B2809" i="1"/>
  <c r="E2809" i="1"/>
  <c r="I2809" i="1"/>
  <c r="S2809" i="1"/>
  <c r="B2810" i="1"/>
  <c r="E2810" i="1"/>
  <c r="I2810" i="1"/>
  <c r="S2810" i="1"/>
  <c r="B2811" i="1"/>
  <c r="E2811" i="1"/>
  <c r="I2811" i="1"/>
  <c r="S2811" i="1"/>
  <c r="B2812" i="1"/>
  <c r="E2812" i="1"/>
  <c r="I2812" i="1"/>
  <c r="S2812" i="1"/>
  <c r="B2813" i="1"/>
  <c r="E2813" i="1"/>
  <c r="I2813" i="1"/>
  <c r="S2813" i="1"/>
  <c r="B2814" i="1"/>
  <c r="E2814" i="1"/>
  <c r="I2814" i="1"/>
  <c r="S2814" i="1"/>
  <c r="B2815" i="1"/>
  <c r="E2815" i="1"/>
  <c r="I2815" i="1"/>
  <c r="S2815" i="1"/>
  <c r="B2816" i="1"/>
  <c r="E2816" i="1"/>
  <c r="I2816" i="1"/>
  <c r="S2816" i="1"/>
  <c r="B2817" i="1"/>
  <c r="E2817" i="1"/>
  <c r="I2817" i="1"/>
  <c r="S2817" i="1"/>
  <c r="B2818" i="1"/>
  <c r="E2818" i="1"/>
  <c r="I2818" i="1"/>
  <c r="S2818" i="1"/>
  <c r="B2819" i="1"/>
  <c r="E2819" i="1"/>
  <c r="I2819" i="1"/>
  <c r="S2819" i="1"/>
  <c r="B2820" i="1"/>
  <c r="E2820" i="1"/>
  <c r="I2820" i="1"/>
  <c r="S2820" i="1"/>
  <c r="B2821" i="1"/>
  <c r="E2821" i="1"/>
  <c r="I2821" i="1"/>
  <c r="S2821" i="1"/>
  <c r="B2822" i="1"/>
  <c r="E2822" i="1"/>
  <c r="I2822" i="1"/>
  <c r="S2822" i="1"/>
  <c r="B2823" i="1"/>
  <c r="E2823" i="1"/>
  <c r="I2823" i="1"/>
  <c r="S2823" i="1"/>
  <c r="B2824" i="1"/>
  <c r="E2824" i="1"/>
  <c r="I2824" i="1"/>
  <c r="S2824" i="1"/>
  <c r="B2825" i="1"/>
  <c r="E2825" i="1"/>
  <c r="I2825" i="1"/>
  <c r="S2825" i="1"/>
  <c r="B2826" i="1"/>
  <c r="E2826" i="1"/>
  <c r="I2826" i="1"/>
  <c r="S2826" i="1"/>
  <c r="B2827" i="1"/>
  <c r="E2827" i="1"/>
  <c r="I2827" i="1"/>
  <c r="S2827" i="1"/>
  <c r="B2828" i="1"/>
  <c r="E2828" i="1"/>
  <c r="I2828" i="1"/>
  <c r="S2828" i="1"/>
  <c r="B2829" i="1"/>
  <c r="E2829" i="1"/>
  <c r="I2829" i="1"/>
  <c r="S2829" i="1"/>
  <c r="B2830" i="1"/>
  <c r="E2830" i="1"/>
  <c r="I2830" i="1"/>
  <c r="S2830" i="1"/>
  <c r="B2831" i="1"/>
  <c r="E2831" i="1"/>
  <c r="I2831" i="1"/>
  <c r="S2831" i="1"/>
  <c r="B2832" i="1"/>
  <c r="E2832" i="1"/>
  <c r="I2832" i="1"/>
  <c r="S2832" i="1"/>
  <c r="B2833" i="1"/>
  <c r="E2833" i="1"/>
  <c r="I2833" i="1"/>
  <c r="S2833" i="1"/>
  <c r="B2834" i="1"/>
  <c r="E2834" i="1"/>
  <c r="I2834" i="1"/>
  <c r="S2834" i="1"/>
  <c r="B2835" i="1"/>
  <c r="E2835" i="1"/>
  <c r="I2835" i="1"/>
  <c r="S2835" i="1"/>
  <c r="B2836" i="1"/>
  <c r="E2836" i="1"/>
  <c r="I2836" i="1"/>
  <c r="S2836" i="1"/>
  <c r="B2837" i="1"/>
  <c r="E2837" i="1"/>
  <c r="I2837" i="1"/>
  <c r="S2837" i="1"/>
  <c r="B2838" i="1"/>
  <c r="E2838" i="1"/>
  <c r="I2838" i="1"/>
  <c r="S2838" i="1"/>
  <c r="B2839" i="1"/>
  <c r="E2839" i="1"/>
  <c r="I2839" i="1"/>
  <c r="S2839" i="1"/>
  <c r="B2840" i="1"/>
  <c r="E2840" i="1"/>
  <c r="I2840" i="1"/>
  <c r="S2840" i="1"/>
  <c r="B2841" i="1"/>
  <c r="E2841" i="1"/>
  <c r="I2841" i="1"/>
  <c r="S2841" i="1"/>
  <c r="B2842" i="1"/>
  <c r="E2842" i="1"/>
  <c r="I2842" i="1"/>
  <c r="S2842" i="1"/>
  <c r="B2843" i="1"/>
  <c r="E2843" i="1"/>
  <c r="I2843" i="1"/>
  <c r="S2843" i="1"/>
  <c r="B2844" i="1"/>
  <c r="E2844" i="1"/>
  <c r="I2844" i="1"/>
  <c r="S2844" i="1"/>
  <c r="B2845" i="1"/>
  <c r="E2845" i="1"/>
  <c r="I2845" i="1"/>
  <c r="S2845" i="1"/>
  <c r="B2846" i="1"/>
  <c r="E2846" i="1"/>
  <c r="I2846" i="1"/>
  <c r="S2846" i="1"/>
  <c r="B2847" i="1"/>
  <c r="E2847" i="1"/>
  <c r="I2847" i="1"/>
  <c r="S2847" i="1"/>
  <c r="B2848" i="1"/>
  <c r="E2848" i="1"/>
  <c r="I2848" i="1"/>
  <c r="S2848" i="1"/>
  <c r="B2849" i="1"/>
  <c r="E2849" i="1"/>
  <c r="I2849" i="1"/>
  <c r="S2849" i="1"/>
  <c r="B2850" i="1"/>
  <c r="E2850" i="1"/>
  <c r="I2850" i="1"/>
  <c r="S2850" i="1"/>
  <c r="B2851" i="1"/>
  <c r="E2851" i="1"/>
  <c r="I2851" i="1"/>
  <c r="S2851" i="1"/>
  <c r="B2852" i="1"/>
  <c r="E2852" i="1"/>
  <c r="I2852" i="1"/>
  <c r="S2852" i="1"/>
  <c r="B2853" i="1"/>
  <c r="E2853" i="1"/>
  <c r="I2853" i="1"/>
  <c r="S2853" i="1"/>
  <c r="B2854" i="1"/>
  <c r="E2854" i="1"/>
  <c r="I2854" i="1"/>
  <c r="S2854" i="1"/>
  <c r="B2855" i="1"/>
  <c r="E2855" i="1"/>
  <c r="I2855" i="1"/>
  <c r="S2855" i="1"/>
  <c r="B2856" i="1"/>
  <c r="E2856" i="1"/>
  <c r="I2856" i="1"/>
  <c r="S2856" i="1"/>
  <c r="B2857" i="1"/>
  <c r="E2857" i="1"/>
  <c r="I2857" i="1"/>
  <c r="S2857" i="1"/>
  <c r="B2858" i="1"/>
  <c r="E2858" i="1"/>
  <c r="I2858" i="1"/>
  <c r="S2858" i="1"/>
  <c r="B2859" i="1"/>
  <c r="E2859" i="1"/>
  <c r="I2859" i="1"/>
  <c r="S2859" i="1"/>
  <c r="B2860" i="1"/>
  <c r="E2860" i="1"/>
  <c r="I2860" i="1"/>
  <c r="S2860" i="1"/>
  <c r="B2861" i="1"/>
  <c r="E2861" i="1"/>
  <c r="I2861" i="1"/>
  <c r="S2861" i="1"/>
  <c r="B2862" i="1"/>
  <c r="E2862" i="1"/>
  <c r="I2862" i="1"/>
  <c r="S2862" i="1"/>
  <c r="B2863" i="1"/>
  <c r="E2863" i="1"/>
  <c r="I2863" i="1"/>
  <c r="S2863" i="1"/>
  <c r="B2864" i="1"/>
  <c r="E2864" i="1"/>
  <c r="I2864" i="1"/>
  <c r="S2864" i="1"/>
  <c r="B2865" i="1"/>
  <c r="E2865" i="1"/>
  <c r="I2865" i="1"/>
  <c r="S2865" i="1"/>
  <c r="B2866" i="1"/>
  <c r="E2866" i="1"/>
  <c r="I2866" i="1"/>
  <c r="S2866" i="1"/>
  <c r="B2867" i="1"/>
  <c r="E2867" i="1"/>
  <c r="I2867" i="1"/>
  <c r="S2867" i="1"/>
  <c r="B2868" i="1"/>
  <c r="E2868" i="1"/>
  <c r="I2868" i="1"/>
  <c r="S2868" i="1"/>
  <c r="B2869" i="1"/>
  <c r="E2869" i="1"/>
  <c r="I2869" i="1"/>
  <c r="S2869" i="1"/>
  <c r="B2870" i="1"/>
  <c r="E2870" i="1"/>
  <c r="I2870" i="1"/>
  <c r="S2870" i="1"/>
  <c r="B2871" i="1"/>
  <c r="E2871" i="1"/>
  <c r="I2871" i="1"/>
  <c r="S2871" i="1"/>
  <c r="B2872" i="1"/>
  <c r="E2872" i="1"/>
  <c r="I2872" i="1"/>
  <c r="S2872" i="1"/>
  <c r="B2873" i="1"/>
  <c r="E2873" i="1"/>
  <c r="I2873" i="1"/>
  <c r="S2873" i="1"/>
  <c r="B2874" i="1"/>
  <c r="E2874" i="1"/>
  <c r="I2874" i="1"/>
  <c r="S2874" i="1"/>
  <c r="B2875" i="1"/>
  <c r="E2875" i="1"/>
  <c r="I2875" i="1"/>
  <c r="S2875" i="1"/>
  <c r="B2876" i="1"/>
  <c r="E2876" i="1"/>
  <c r="I2876" i="1"/>
  <c r="S2876" i="1"/>
  <c r="B2877" i="1"/>
  <c r="E2877" i="1"/>
  <c r="I2877" i="1"/>
  <c r="S2877" i="1"/>
  <c r="B2878" i="1"/>
  <c r="E2878" i="1"/>
  <c r="I2878" i="1"/>
  <c r="S2878" i="1"/>
  <c r="B2879" i="1"/>
  <c r="E2879" i="1"/>
  <c r="I2879" i="1"/>
  <c r="S2879" i="1"/>
  <c r="B2880" i="1"/>
  <c r="E2880" i="1"/>
  <c r="I2880" i="1"/>
  <c r="S2880" i="1"/>
  <c r="B2881" i="1"/>
  <c r="E2881" i="1"/>
  <c r="I2881" i="1"/>
  <c r="S2881" i="1"/>
  <c r="B2882" i="1"/>
  <c r="E2882" i="1"/>
  <c r="I2882" i="1"/>
  <c r="S2882" i="1"/>
  <c r="B2883" i="1"/>
  <c r="E2883" i="1"/>
  <c r="I2883" i="1"/>
  <c r="S2883" i="1"/>
  <c r="B2884" i="1"/>
  <c r="E2884" i="1"/>
  <c r="I2884" i="1"/>
  <c r="S2884" i="1"/>
  <c r="B2885" i="1"/>
  <c r="E2885" i="1"/>
  <c r="I2885" i="1"/>
  <c r="S2885" i="1"/>
  <c r="B2886" i="1"/>
  <c r="E2886" i="1"/>
  <c r="I2886" i="1"/>
  <c r="S2886" i="1"/>
  <c r="B2887" i="1"/>
  <c r="E2887" i="1"/>
  <c r="I2887" i="1"/>
  <c r="S2887" i="1"/>
  <c r="B2888" i="1"/>
  <c r="E2888" i="1"/>
  <c r="I2888" i="1"/>
  <c r="S2888" i="1"/>
  <c r="B2889" i="1"/>
  <c r="E2889" i="1"/>
  <c r="I2889" i="1"/>
  <c r="S2889" i="1"/>
  <c r="B2890" i="1"/>
  <c r="E2890" i="1"/>
  <c r="I2890" i="1"/>
  <c r="S2890" i="1"/>
  <c r="B2891" i="1"/>
  <c r="E2891" i="1"/>
  <c r="I2891" i="1"/>
  <c r="S2891" i="1"/>
  <c r="B2892" i="1"/>
  <c r="E2892" i="1"/>
  <c r="I2892" i="1"/>
  <c r="S2892" i="1"/>
  <c r="B2893" i="1"/>
  <c r="E2893" i="1"/>
  <c r="I2893" i="1"/>
  <c r="S2893" i="1"/>
  <c r="B2894" i="1"/>
  <c r="E2894" i="1"/>
  <c r="I2894" i="1"/>
  <c r="S2894" i="1"/>
  <c r="B2895" i="1"/>
  <c r="E2895" i="1"/>
  <c r="I2895" i="1"/>
  <c r="S2895" i="1"/>
  <c r="B2896" i="1"/>
  <c r="E2896" i="1"/>
  <c r="I2896" i="1"/>
  <c r="S2896" i="1"/>
  <c r="B2897" i="1"/>
  <c r="E2897" i="1"/>
  <c r="I2897" i="1"/>
  <c r="S2897" i="1"/>
  <c r="B2898" i="1"/>
  <c r="E2898" i="1"/>
  <c r="I2898" i="1"/>
  <c r="S2898" i="1"/>
  <c r="B2899" i="1"/>
  <c r="E2899" i="1"/>
  <c r="I2899" i="1"/>
  <c r="S2899" i="1"/>
  <c r="B2900" i="1"/>
  <c r="E2900" i="1"/>
  <c r="I2900" i="1"/>
  <c r="S2900" i="1"/>
  <c r="B2901" i="1"/>
  <c r="E2901" i="1"/>
  <c r="I2901" i="1"/>
  <c r="S2901" i="1"/>
  <c r="B2902" i="1"/>
  <c r="E2902" i="1"/>
  <c r="I2902" i="1"/>
  <c r="S2902" i="1"/>
  <c r="B2903" i="1"/>
  <c r="E2903" i="1"/>
  <c r="I2903" i="1"/>
  <c r="S2903" i="1"/>
  <c r="B2904" i="1"/>
  <c r="E2904" i="1"/>
  <c r="I2904" i="1"/>
  <c r="S2904" i="1"/>
  <c r="B2905" i="1"/>
  <c r="E2905" i="1"/>
  <c r="I2905" i="1"/>
  <c r="S2905" i="1"/>
  <c r="B2906" i="1"/>
  <c r="E2906" i="1"/>
  <c r="I2906" i="1"/>
  <c r="S2906" i="1"/>
  <c r="B2907" i="1"/>
  <c r="E2907" i="1"/>
  <c r="I2907" i="1"/>
  <c r="S2907" i="1"/>
  <c r="B2908" i="1"/>
  <c r="E2908" i="1"/>
  <c r="I2908" i="1"/>
  <c r="S2908" i="1"/>
  <c r="B2909" i="1"/>
  <c r="E2909" i="1"/>
  <c r="I2909" i="1"/>
  <c r="S2909" i="1"/>
  <c r="B2910" i="1"/>
  <c r="E2910" i="1"/>
  <c r="I2910" i="1"/>
  <c r="S2910" i="1"/>
  <c r="B2911" i="1"/>
  <c r="E2911" i="1"/>
  <c r="I2911" i="1"/>
  <c r="S2911" i="1"/>
  <c r="B2912" i="1"/>
  <c r="E2912" i="1"/>
  <c r="I2912" i="1"/>
  <c r="S2912" i="1"/>
  <c r="B2913" i="1"/>
  <c r="E2913" i="1"/>
  <c r="I2913" i="1"/>
  <c r="S2913" i="1"/>
  <c r="B2914" i="1"/>
  <c r="E2914" i="1"/>
  <c r="I2914" i="1"/>
  <c r="S2914" i="1"/>
  <c r="B2915" i="1"/>
  <c r="E2915" i="1"/>
  <c r="I2915" i="1"/>
  <c r="S2915" i="1"/>
  <c r="B2916" i="1"/>
  <c r="E2916" i="1"/>
  <c r="I2916" i="1"/>
  <c r="B2917" i="1"/>
  <c r="E2917" i="1"/>
  <c r="I2917" i="1"/>
  <c r="S2917" i="1"/>
  <c r="B2918" i="1"/>
  <c r="E2918" i="1"/>
  <c r="I2918" i="1"/>
  <c r="S2918" i="1"/>
  <c r="B2919" i="1"/>
  <c r="E2919" i="1"/>
  <c r="I2919" i="1"/>
  <c r="S2919" i="1"/>
  <c r="B2920" i="1"/>
  <c r="E2920" i="1"/>
  <c r="I2920" i="1"/>
  <c r="S2920" i="1"/>
  <c r="B2921" i="1"/>
  <c r="E2921" i="1"/>
  <c r="I2921" i="1"/>
  <c r="S2921" i="1"/>
  <c r="B2922" i="1"/>
  <c r="E2922" i="1"/>
  <c r="I2922" i="1"/>
  <c r="S2922" i="1"/>
  <c r="B2923" i="1"/>
  <c r="E2923" i="1"/>
  <c r="I2923" i="1"/>
  <c r="S2923" i="1"/>
  <c r="B2924" i="1"/>
  <c r="E2924" i="1"/>
  <c r="I2924" i="1"/>
  <c r="S2924" i="1"/>
  <c r="B2925" i="1"/>
  <c r="E2925" i="1"/>
  <c r="I2925" i="1"/>
  <c r="S2925" i="1"/>
  <c r="B2926" i="1"/>
  <c r="E2926" i="1"/>
  <c r="I2926" i="1"/>
  <c r="S2926" i="1"/>
  <c r="B2927" i="1"/>
  <c r="E2927" i="1"/>
  <c r="I2927" i="1"/>
  <c r="S2927" i="1"/>
  <c r="B2928" i="1"/>
  <c r="E2928" i="1"/>
  <c r="I2928" i="1"/>
  <c r="S2928" i="1"/>
  <c r="B2929" i="1"/>
  <c r="E2929" i="1"/>
  <c r="I2929" i="1"/>
  <c r="S2929" i="1"/>
  <c r="B2930" i="1"/>
  <c r="E2930" i="1"/>
  <c r="I2930" i="1"/>
  <c r="S2930" i="1"/>
  <c r="B2931" i="1"/>
  <c r="E2931" i="1"/>
  <c r="I2931" i="1"/>
  <c r="S2931" i="1"/>
  <c r="B2932" i="1"/>
  <c r="E2932" i="1"/>
  <c r="I2932" i="1"/>
  <c r="S2932" i="1"/>
  <c r="B2933" i="1"/>
  <c r="E2933" i="1"/>
  <c r="I2933" i="1"/>
  <c r="S2933" i="1"/>
  <c r="B2934" i="1"/>
  <c r="E2934" i="1"/>
  <c r="I2934" i="1"/>
  <c r="S2934" i="1"/>
  <c r="B2935" i="1"/>
  <c r="E2935" i="1"/>
  <c r="I2935" i="1"/>
  <c r="S2935" i="1"/>
  <c r="B2936" i="1"/>
  <c r="E2936" i="1"/>
  <c r="I2936" i="1"/>
  <c r="S2936" i="1"/>
  <c r="B2937" i="1"/>
  <c r="E2937" i="1"/>
  <c r="I2937" i="1"/>
  <c r="S2937" i="1"/>
  <c r="B2938" i="1"/>
  <c r="E2938" i="1"/>
  <c r="I2938" i="1"/>
  <c r="S2938" i="1"/>
  <c r="B2939" i="1"/>
  <c r="E2939" i="1"/>
  <c r="I2939" i="1"/>
  <c r="S2939" i="1"/>
  <c r="B2940" i="1"/>
  <c r="E2940" i="1"/>
  <c r="I2940" i="1"/>
  <c r="S2940" i="1"/>
  <c r="B2941" i="1"/>
  <c r="E2941" i="1"/>
  <c r="I2941" i="1"/>
  <c r="S2941" i="1"/>
  <c r="B2942" i="1"/>
  <c r="E2942" i="1"/>
  <c r="I2942" i="1"/>
  <c r="S2942" i="1"/>
  <c r="B2943" i="1"/>
  <c r="E2943" i="1"/>
  <c r="I2943" i="1"/>
  <c r="S2943" i="1"/>
  <c r="B2944" i="1"/>
  <c r="E2944" i="1"/>
  <c r="I2944" i="1"/>
  <c r="S2944" i="1"/>
  <c r="B2945" i="1"/>
  <c r="E2945" i="1"/>
  <c r="I2945" i="1"/>
  <c r="S2945" i="1"/>
  <c r="B2946" i="1"/>
  <c r="E2946" i="1"/>
  <c r="I2946" i="1"/>
  <c r="S2946" i="1"/>
  <c r="B2947" i="1"/>
  <c r="E2947" i="1"/>
  <c r="I2947" i="1"/>
  <c r="S2947" i="1"/>
  <c r="B2948" i="1"/>
  <c r="E2948" i="1"/>
  <c r="I2948" i="1"/>
  <c r="S2948" i="1"/>
  <c r="B2949" i="1"/>
  <c r="E2949" i="1"/>
  <c r="I2949" i="1"/>
  <c r="S2949" i="1"/>
  <c r="B2950" i="1"/>
  <c r="E2950" i="1"/>
  <c r="I2950" i="1"/>
  <c r="S2950" i="1"/>
  <c r="B2951" i="1"/>
  <c r="E2951" i="1"/>
  <c r="I2951" i="1"/>
  <c r="S2951" i="1"/>
  <c r="B2952" i="1"/>
  <c r="E2952" i="1"/>
  <c r="I2952" i="1"/>
  <c r="S2952" i="1"/>
  <c r="B2953" i="1"/>
  <c r="E2953" i="1"/>
  <c r="I2953" i="1"/>
  <c r="S2953" i="1"/>
  <c r="B2954" i="1"/>
  <c r="E2954" i="1"/>
  <c r="I2954" i="1"/>
  <c r="S2954" i="1"/>
  <c r="B2955" i="1"/>
  <c r="E2955" i="1"/>
  <c r="I2955" i="1"/>
  <c r="S2955" i="1"/>
  <c r="B2956" i="1"/>
  <c r="E2956" i="1"/>
  <c r="I2956" i="1"/>
  <c r="S2956" i="1"/>
  <c r="B2957" i="1"/>
  <c r="E2957" i="1"/>
  <c r="I2957" i="1"/>
  <c r="S2957" i="1"/>
  <c r="B2958" i="1"/>
  <c r="E2958" i="1"/>
  <c r="I2958" i="1"/>
  <c r="S2958" i="1"/>
  <c r="B2959" i="1"/>
  <c r="E2959" i="1"/>
  <c r="I2959" i="1"/>
  <c r="S2959" i="1"/>
  <c r="B2960" i="1"/>
  <c r="E2960" i="1"/>
  <c r="I2960" i="1"/>
  <c r="S2960" i="1"/>
  <c r="B2961" i="1"/>
  <c r="E2961" i="1"/>
  <c r="I2961" i="1"/>
  <c r="S2961" i="1"/>
  <c r="B2962" i="1"/>
  <c r="E2962" i="1"/>
  <c r="I2962" i="1"/>
  <c r="S2962" i="1"/>
  <c r="B2963" i="1"/>
  <c r="E2963" i="1"/>
  <c r="I2963" i="1"/>
  <c r="S2963" i="1"/>
  <c r="B2964" i="1"/>
  <c r="E2964" i="1"/>
  <c r="I2964" i="1"/>
  <c r="S2964" i="1"/>
  <c r="B2965" i="1"/>
  <c r="E2965" i="1"/>
  <c r="I2965" i="1"/>
  <c r="S2965" i="1"/>
  <c r="B2966" i="1"/>
  <c r="E2966" i="1"/>
  <c r="I2966" i="1"/>
  <c r="S2966" i="1"/>
  <c r="B2967" i="1"/>
  <c r="E2967" i="1"/>
  <c r="I2967" i="1"/>
  <c r="S2967" i="1"/>
  <c r="B2968" i="1"/>
  <c r="E2968" i="1"/>
  <c r="I2968" i="1"/>
  <c r="S2968" i="1"/>
  <c r="B2969" i="1"/>
  <c r="E2969" i="1"/>
  <c r="I2969" i="1"/>
  <c r="S2969" i="1"/>
  <c r="B2970" i="1"/>
  <c r="E2970" i="1"/>
  <c r="I2970" i="1"/>
  <c r="S2970" i="1"/>
  <c r="B2971" i="1"/>
  <c r="E2971" i="1"/>
  <c r="I2971" i="1"/>
  <c r="S2971" i="1"/>
  <c r="B2972" i="1"/>
  <c r="E2972" i="1"/>
  <c r="I2972" i="1"/>
  <c r="S2972" i="1"/>
  <c r="B2973" i="1"/>
  <c r="E2973" i="1"/>
  <c r="I2973" i="1"/>
  <c r="S2973" i="1"/>
  <c r="B2974" i="1"/>
  <c r="E2974" i="1"/>
  <c r="I2974" i="1"/>
  <c r="S2974" i="1"/>
  <c r="B2975" i="1"/>
  <c r="E2975" i="1"/>
  <c r="I2975" i="1"/>
  <c r="S2975" i="1"/>
  <c r="B2976" i="1"/>
  <c r="E2976" i="1"/>
  <c r="I2976" i="1"/>
  <c r="S2976" i="1"/>
  <c r="B2977" i="1"/>
  <c r="E2977" i="1"/>
  <c r="I2977" i="1"/>
  <c r="S2977" i="1"/>
  <c r="B2978" i="1"/>
  <c r="E2978" i="1"/>
  <c r="I2978" i="1"/>
  <c r="S2978" i="1"/>
  <c r="B2979" i="1"/>
  <c r="E2979" i="1"/>
  <c r="I2979" i="1"/>
  <c r="S2979" i="1"/>
  <c r="B2980" i="1"/>
  <c r="E2980" i="1"/>
  <c r="I2980" i="1"/>
  <c r="S2980" i="1"/>
  <c r="B2981" i="1"/>
  <c r="E2981" i="1"/>
  <c r="I2981" i="1"/>
  <c r="S2981" i="1"/>
  <c r="B2982" i="1"/>
  <c r="E2982" i="1"/>
  <c r="I2982" i="1"/>
  <c r="S2982" i="1"/>
  <c r="B2983" i="1"/>
  <c r="E2983" i="1"/>
  <c r="I2983" i="1"/>
  <c r="S2983" i="1"/>
  <c r="B2984" i="1"/>
  <c r="E2984" i="1"/>
  <c r="I2984" i="1"/>
  <c r="S2984" i="1"/>
  <c r="B2985" i="1"/>
  <c r="E2985" i="1"/>
  <c r="I2985" i="1"/>
  <c r="S2985" i="1"/>
  <c r="B2986" i="1"/>
  <c r="E2986" i="1"/>
  <c r="I2986" i="1"/>
  <c r="S2986" i="1"/>
  <c r="B2987" i="1"/>
  <c r="E2987" i="1"/>
  <c r="I2987" i="1"/>
  <c r="S2987" i="1"/>
  <c r="B2988" i="1"/>
  <c r="E2988" i="1"/>
  <c r="I2988" i="1"/>
  <c r="S2988" i="1"/>
  <c r="B2989" i="1"/>
  <c r="E2989" i="1"/>
  <c r="I2989" i="1"/>
  <c r="S2989" i="1"/>
  <c r="B2990" i="1"/>
  <c r="E2990" i="1"/>
  <c r="I2990" i="1"/>
  <c r="S2990" i="1"/>
  <c r="B2991" i="1"/>
  <c r="E2991" i="1"/>
  <c r="I2991" i="1"/>
  <c r="S2991" i="1"/>
  <c r="B2992" i="1"/>
  <c r="E2992" i="1"/>
  <c r="I2992" i="1"/>
  <c r="S2992" i="1"/>
  <c r="B2993" i="1"/>
  <c r="E2993" i="1"/>
  <c r="I2993" i="1"/>
  <c r="S2993" i="1"/>
  <c r="B2994" i="1"/>
  <c r="E2994" i="1"/>
  <c r="I2994" i="1"/>
  <c r="S2994" i="1"/>
  <c r="B2995" i="1"/>
  <c r="E2995" i="1"/>
  <c r="I2995" i="1"/>
  <c r="S2995" i="1"/>
  <c r="B2996" i="1"/>
  <c r="E2996" i="1"/>
  <c r="I2996" i="1"/>
  <c r="S2996" i="1"/>
  <c r="B2997" i="1"/>
  <c r="E2997" i="1"/>
  <c r="I2997" i="1"/>
  <c r="S2997" i="1"/>
  <c r="B2998" i="1"/>
  <c r="E2998" i="1"/>
  <c r="I2998" i="1"/>
  <c r="S2998" i="1"/>
  <c r="B2999" i="1"/>
  <c r="E2999" i="1"/>
  <c r="I2999" i="1"/>
  <c r="S2999" i="1"/>
  <c r="B3000" i="1"/>
  <c r="E3000" i="1"/>
  <c r="I3000" i="1"/>
  <c r="S3000" i="1"/>
</calcChain>
</file>

<file path=xl/sharedStrings.xml><?xml version="1.0" encoding="utf-8"?>
<sst xmlns="http://schemas.openxmlformats.org/spreadsheetml/2006/main" count="12394" uniqueCount="8139">
  <si>
    <t>‏‏‏‏‏‏‏‏‏‏یک ‎‎‎‎‎‎#آتئیست، کسی که به اعتقاد دیگران هیچ احترامی نمیذاره. ورود دینداران بخصوص ‎‎‎‎‎‎#مسلمانان وحشی بالاخص از نوع ‎‎‎‎‎#عرزشی ممنوع ⛔🚫🔞</t>
  </si>
  <si>
    <t>Loading Location...</t>
  </si>
  <si>
    <t>RT @F14pilotIRIAF: یک قلم جنس نام ببرید که گران نشده باشد؟ #استقلال #اقتصاد_مقاومتی</t>
  </si>
  <si>
    <t>منبع ناشناس ♋💯</t>
  </si>
  <si>
    <t>http://daddadnadadbezormikonim.com</t>
  </si>
  <si>
    <t>‏‏‏‏‏‏‏حیوان مورد علاقه : مرغ بریان</t>
  </si>
  <si>
    <t>Tehran , Iran</t>
  </si>
  <si>
    <t>RT @loreshtank: هی میگن اگه ۱۰ نفره نمیشدیم فلان اگه ۱۰ نفره نمیشدیم بهمان. ببین تو ۱۰ نفره نمیتونی توی ۱۰ دقیقه ۳تا بزنی. ببین تو ۱۰ نفره نمیتونی صعود کنی مرحله بعد. ببین تو #پرسپوليس نیستی. #کس_خار_استقلال_تهران</t>
  </si>
  <si>
    <t>حاج عباس</t>
  </si>
  <si>
    <t>‏نه فقط من هر کی تو توئیتره لب و دهنه</t>
  </si>
  <si>
    <t>Tehran</t>
  </si>
  <si>
    <t>https://pbs.twimg.com/media/DoBuXViW0AEYGsh.jpg</t>
  </si>
  <si>
    <t>و حالا دربی شروع میشه کاری از شهاب جعفرنژاد #دلار و #سکه و #دربی</t>
  </si>
  <si>
    <t>لب و دهنم فقط🏳</t>
  </si>
  <si>
    <t>Santiago Bernabeo</t>
  </si>
  <si>
    <t>https://pbs.twimg.com/media/DoBulY-XoAEKoOe.jpg</t>
  </si>
  <si>
    <t>مهدی رحمتی‌ام از سه نفر بیزارم #شایان_مصلح #دربی_۴_۲ #دربی</t>
  </si>
  <si>
    <t>#سلامه</t>
  </si>
  <si>
    <t>‏‏‏‏ناکام جام جهانی 2018 روسیه- ‏‏‏‏فوتبال فنی از دیار اولدترافورد- گاهی نویسنده ورزشی- در سایت http://unitedfans.ir‎‎‎ مطلب می‌نویسم.</t>
  </si>
  <si>
    <t>https://pbs.twimg.com/media/DoBasQtXgAAckG9.jpg</t>
  </si>
  <si>
    <t>RT @AmirpoorMehdi: آقای #شفر معذرت می‌خواهیم! این ماییم که #آلزایمر داریم! این ماییم که فراموش کردیم سال گذشته شما #استقلال را در رده پانزدهم جدول تحویل گرفتیم و به مقام سوم رساندید. این ماییم که از یاد بردیم چطور دربی را بردید و این ماییم که فراموش کردیم که همیشه در هر حالتی محترمانه حرف می‌زنید</t>
  </si>
  <si>
    <t>ایلیا بهزاد اول</t>
  </si>
  <si>
    <t>‏‏‏‏‏‏قبل از فالو کردن یه نگاه به پیجم بنداز ! اگه حال نمیکنی فالو نکن ... ضمنا ریسپریدون مصرف بفرمائید...</t>
  </si>
  <si>
    <t>وسط ناکجا آباد(!)</t>
  </si>
  <si>
    <t>delusion!</t>
  </si>
  <si>
    <t>https://telegram.me/HarfBeManBot?start=NjQ4NTE0MDc</t>
  </si>
  <si>
    <t>همون دختر پرحرفو خوش خنده اي كه پرسپوليس همه دنياشه❤️</t>
  </si>
  <si>
    <t>Tehran|iran</t>
  </si>
  <si>
    <t>https://pbs.twimg.com/media/DoBcykpXoAEEzYT.jpg</t>
  </si>
  <si>
    <t>RT @hamed_sh80: غیرازاسپانسرهای مشترک دوتیم این عکس یه نکته ریز دیگه ام داره که بیشتربه عقده هاو کیسه بودن #ورزش_سه اشاره میکنه،انداختن آستین لباس کیسه رو لوگوستاره داره #پرسپولیس باشدکه عقده هاتون اینجوری خالی بشه هرچندمیدونیم این کارسهوی بود وعکاس اصلا واسه ورزش سه نبوده😑 #حقارت</t>
  </si>
  <si>
    <t>قرمزِدوست داشتني</t>
  </si>
  <si>
    <t>London, England</t>
  </si>
  <si>
    <t>فردا #دربى ايرانه. مسابقه ايى كه دست كم ٨٠ هزار نفر رو مى كشونه استاديوم. من هميشه موندم اين جماعت فوتبال بين مگه همين مردم كوچه و بازار نيستن كه همه جا از وضعيت مملكت و رژيم ناراضيند. پس چرا وقتى ميرن استاديوم از اين قدرتشون استفاده نمى كنن و شعار سياسى نمى دن؟ #براندازیم</t>
  </si>
  <si>
    <t>Dr.Solo</t>
  </si>
  <si>
    <t>RT @SajjadImanian: سر تمرین #پرسپولیس بودیم #خبرنگار از #آدام_همتی میپرسه: میخواید همچنان‌ روند رو به رشد خودتون رو ادامه بدین؟!! آخه لعنتی انتظار داری جواب بده بگه نه میخوام همین جا تو اوج #خداحافظی کنم😂🤦🏼‍♂️</t>
  </si>
  <si>
    <t>Be Reds 💖 • Persepolis &amp; Liverpool • Anathema</t>
  </si>
  <si>
    <t>Ahvaz</t>
  </si>
  <si>
    <t>RT @N_a_r_r_a_t_o_r: فردا مسابقه #دربی یادآور ناکامی اصلاح‌طلبا در برآورده کردن یکی از ساده‌ترین وعده‌هاشونه ورود زنان به ورزشگاه #IraniansWantRegimeChange</t>
  </si>
  <si>
    <t>لُــصـیـــِل</t>
  </si>
  <si>
    <t>‏‏‏‏‏‏‏‏‏‏‏‏‏‏‏‏‏‏‏‏‏‏‏‏‏‏‏‏‏‏‏‏‏‏‏‏‏‏‏‏‏پرسپولیسی هستم،عاشق اشعار مولانا خردادی هستم.انسانیت دین من است. این پیج سیاسی نیست 😊😎</t>
  </si>
  <si>
    <t>https://pbs.twimg.com/media/DoBv0ZkXsAAUpxW.jpg</t>
  </si>
  <si>
    <t>🔴محمدرضا احمدی به عنوان گزارشگر دیدار پرسپولیس _ استقلال انتخاب شد #پرسپولیس #دربی</t>
  </si>
  <si>
    <t>💙Araam_bAnoo💙</t>
  </si>
  <si>
    <t>خباز مرداس</t>
  </si>
  <si>
    <t>برخلاف بقیه ی ربات های برانداز من یک ربات واقعی هستم! شما هشتگ #براندازم بزنید من بدون تبعیض ریت می کنم. به امید آزادی ایران</t>
  </si>
  <si>
    <t>Occupied Iran</t>
  </si>
  <si>
    <t>ربات برانداز</t>
  </si>
  <si>
    <t>دانشجوی کارشناسی کامپیوتر معمولا دور ازفضای مجازی بودم Please Follow and Follow back</t>
  </si>
  <si>
    <t>Islamic Republic of Iran Tehran</t>
  </si>
  <si>
    <t>به یاد بیارید #دربی یک سال پیش رو قیمت ها وضع #اقتصاد #مردم #قیمت #دلار وضع #تورم #گرانی امروز که نشست خبری مربیان دو تیم بود(#پرسپوليس #استقلال ) با بی حوصلگی و بی تفاوتی شایدم #افسردگی گوش میدادم! تو این یک سال با روح و روان و وضعیت ما چه کردین..!! ماه به ماهش چه بر سرمون اومد</t>
  </si>
  <si>
    <t>آقا عرفان خان</t>
  </si>
  <si>
    <t>‏‏‏‏‏‏‏‏‏‎‎‎‎‎‎‎‎‎#پرسپولیس ‎‎‎‎‎‎‎‎‎#لیورپول ‎‎‎‎‎‎‎‎‎ ‎‎‎‎‎‎‎‎‎ ‏‏‏‏‏‏‏‏‏‏‏‏‏‏‏‏‏‏‏‏‏‏‏‏‏‏‏‏‏‏‏‏‏‏‏‏‏</t>
  </si>
  <si>
    <t>RT @Scarletwitch889: شنیدم تیم استقلال رو تا پایان دربی ممنوع الخروج کردن که سر از ترکیه در نیارن #دربی #پرسپولیس_استقلال</t>
  </si>
  <si>
    <t>‏    🎗️هِر هایْنِس بِث</t>
  </si>
  <si>
    <t>‏‏‏‏‏‏‏‏‏‏‏‏‏‏بی‌نظم‌ترین عمرانی ممکن با غیرعمرانی‌ترین دغدغه‌ها، ته‌تغاری اَکوان‌دیو :)</t>
  </si>
  <si>
    <t>iran</t>
  </si>
  <si>
    <t>هشت نفر بودیم دور یه میز تو کافه، کل‌کل #دربی بود. از در کافه درومدیم چهارتامون رفتن سمت تهران که فردا برن استادیوم، چهارتامون بغ کرده اومدیم نشستیم تو ساحل. نه! نفر کافی نیست واسه تعریف حقوق یکی، بعدش باید بپرسی: پسر؟ یا دختر؟</t>
  </si>
  <si>
    <t>اِلهــــــه</t>
  </si>
  <si>
    <t>Mükemmel olmanıza gerek yok sahte olmayın yeter ی نموره سلطنت طلب🤗</t>
  </si>
  <si>
    <t>İstanbul, Türkiye</t>
  </si>
  <si>
    <t>🇺🇸🇺🇸سپاهه توتِنکُپف🇺🇸🇺🇸</t>
  </si>
  <si>
    <t>پسر بد</t>
  </si>
  <si>
    <t>جمهوری اسلامی ایران</t>
  </si>
  <si>
    <t>آرش</t>
  </si>
  <si>
    <t>https://t.me/Foot_twitte</t>
  </si>
  <si>
    <t>هرجا كه فوتبال باشه</t>
  </si>
  <si>
    <t>فوت توئيت</t>
  </si>
  <si>
    <t>واقعا دیگ #دربی ب تخمم هم نیست یادم نمیره اون روزایی ک میرفتم سوپرمارکت دم خونه تخمه و چیپس و پفک میخریدم میومم جلو تلویزیون ساعت۱۳ بودم جلوششش تا برنامه پیشواز دربی شروع شه تا ۱۷ک دربی شروع میشد و حداقل یه هفته با اون بازی زندگی میکردم 😪😪</t>
  </si>
  <si>
    <t>‏‏‏‏‏‏‏‏‏‏من آدم حرفای جدی نیستم. با من جدی حرف نزنید😂 با سلطنت طلب و مجاهد و عرزشی و اصلاحطلب و کلا سیاسیا چیز مشترکی ندارم😂بنفعتونه فالو نکنین</t>
  </si>
  <si>
    <t xml:space="preserve">Tehran </t>
  </si>
  <si>
    <t>ملک الشعرای باحال</t>
  </si>
  <si>
    <t>‏‏هراس من باری همه مردن در سرزمینی است که مزد گورکن از آزادی آدمی افزونتر باشد.</t>
  </si>
  <si>
    <t>Iran</t>
  </si>
  <si>
    <t>انسان خردمند</t>
  </si>
  <si>
    <t>RT @ErfanHajbabaee: یه زمان وقتی #دربی بود، از یک هفته جلوتر شور و شوق و استرس شروع میشد... عکس پروفایل عوض کن،کری بخون،بلیت بخر برو استادیوم و... الان ولی تا همین لحظه یادم نبود فردا دربیه... ما را چه شده؟</t>
  </si>
  <si>
    <t>Winning is nothing but trying to win is all thing</t>
  </si>
  <si>
    <t>Earth Planet</t>
  </si>
  <si>
    <t>Expecto</t>
  </si>
  <si>
    <t>ایران آزاد</t>
  </si>
  <si>
    <t>اگر نمیتونی به مشکلات کسی کمک کنی با سرزنش کردن و گوه خوردن شرایطشو سخت‌ تر نکن</t>
  </si>
  <si>
    <t>https://pbs.twimg.com/media/DoAeB5AXoAAdn9I.jpg</t>
  </si>
  <si>
    <t>RT @saweed102: تولدت مبارک #استقلال من خیلی وقته که نذاشتن حالت خوب باشه و سرحال باشی خیلیی وقته دوتا ستارت خار چشم خیلیا شده و میخوان هرجوری هست خودشونو بهت برسونن اما هنوز همه میدونن تو بزرگترین و پرافتخار ترینی به امید روزی که برگردی به روزایه واقعیه خودت💙💙💙💙</t>
  </si>
  <si>
    <t>😐😐😐</t>
  </si>
  <si>
    <t>http://www.yjc.ir</t>
  </si>
  <si>
    <t>صفحه رسمی خبرگزاری باشگاه خبرنگاران جوان</t>
  </si>
  <si>
    <t>تهران - خيابان ولى عصر (عج)</t>
  </si>
  <si>
    <t>https://pbs.twimg.com/media/DoByMRFUcAAzUkV.jpg</t>
  </si>
  <si>
    <t>محمدرضا احمدی گزارشگر #دربی ۸۸ شد #پرسپوليس #استقلال</t>
  </si>
  <si>
    <t>باشگاه خبرنگاران</t>
  </si>
  <si>
    <t>https://telegram.me/HarfBeManBot?start=MTk5MzE1MTIz</t>
  </si>
  <si>
    <t>روابط عمومی صنف فلافل‌خورهای مقیم ایران</t>
  </si>
  <si>
    <t>مملکت گل و قُلقُل</t>
  </si>
  <si>
    <t>ربیعی</t>
  </si>
  <si>
    <t>‏‏‏‏‏‏‏‏‏‏‏‏‏‏‏‏‏‏‏‏‏‏‏‏‏‏‏‏‏‏‏‏‏‏‏‏‏‏‏‏‏‏‏تهمینه‌ام تو گویی که از غم به دو نیمه‌ام perspolis❤</t>
  </si>
  <si>
    <t>سرای رستم</t>
  </si>
  <si>
    <t>RT @yjcagency: محمدرضا احمدی گزارشگر #دربی ۸۸ شد #پرسپوليس #استقلال</t>
  </si>
  <si>
    <t>تهمینه🏴</t>
  </si>
  <si>
    <t>‏کافر و بی دین و خراب</t>
  </si>
  <si>
    <t>آی با کلاه</t>
  </si>
  <si>
    <t>#براندارم عرزشى و مجاهد 🖕🖕</t>
  </si>
  <si>
    <t>Islamische Republik Iran</t>
  </si>
  <si>
    <t>Arash 🏳️💎</t>
  </si>
  <si>
    <t>http://t.me/jokemoke</t>
  </si>
  <si>
    <t>توییتامو ببینید متوجه میشین دیگههه :/</t>
  </si>
  <si>
    <t>تو لباسام</t>
  </si>
  <si>
    <t>https://pbs.twimg.com/media/Dn93_o1WkAA6_1-.jpg</t>
  </si>
  <si>
    <t>RT @bebluepink: توشاید به چشم اغیاریک نام باشی تنها یک نام ویک رنگ ونماد یازده تاآدم که دنبال توپ می دوند به چشم عده ای شاید یک تفریحی که دوستش دارند اما #تو تمام آنچه هستی که من زندگی صدایش میزنم من باتو خندیده ام باتو اشک ها ریخته ام ومن تو را لحظه به لحظه زیسته ام تولدت مبارک #استقلال من💙</t>
  </si>
  <si>
    <t>سپهر اِل‌ اِم</t>
  </si>
  <si>
    <t>شفقنا (پایگاه بین‌المللی همکاری‌های خبری شیعه) این رسانه به پنج زبان فارسی، عربی، انگلیسی، اردو و ترکی فعالیت می‌کند.</t>
  </si>
  <si>
    <t>https://pbs.twimg.com/media/DoBzDZIXsAAcOEE.jpg</t>
  </si>
  <si>
    <t>https://sport.shafaqna.com/FA/221222/</t>
  </si>
  <si>
    <t>(تنها ابهام ترکیب #پرسپولیس)  #منشا #پرسپولیس</t>
  </si>
  <si>
    <t>شفقنا</t>
  </si>
  <si>
    <t>https://pbs.twimg.com/media/DoAUDiwXcAACZsm.jpg</t>
  </si>
  <si>
    <t>RT @FcEsteghlal: پاينده و پيروز و سرافراز باشى #استقلال</t>
  </si>
  <si>
    <t>https://t.me/HarfBeManBot?start=MjMwOTAwMTY0</t>
  </si>
  <si>
    <t>‏‏‏‏«مزید بر علت» یعنی «افزون بر چرایی»🤔 ‏‏‏🇫🇷French lang🇫🇷| 💞💙استقلال یووه بارسا سیتی⚽</t>
  </si>
  <si>
    <t>شی‌راز</t>
  </si>
  <si>
    <t>به امید شوت‌های اشتباه از استقلالی‌ها و واکنش درست از دروازه‌بان پرسپولیس در بازی فردا 😁 #دربی #بیرانوند #وریا</t>
  </si>
  <si>
    <t>مزیدِ بر علت!</t>
  </si>
  <si>
    <t>‏‏‏‏‏ماییم و موج سودا ، شب تا به روز تنها</t>
  </si>
  <si>
    <t>چرا وقت #دربی نمیرسه ک توییتهای کری خونی بیاد رو تایم لاین خسته شدیم از اینهمه خبر دلار و رب و گرونی و ترامپ و......</t>
  </si>
  <si>
    <t>تنها مانده</t>
  </si>
  <si>
    <t>‏‏‏‏‏‏‏‏‏‏‏‏‏‏‏‏‏‏‏یک مهر ماهی اهل تهرون،بک ندادم یادآوری کنید🌹 let's go.....</t>
  </si>
  <si>
    <t>RT @JasinRamin: قدیم فوتبال 90 دقیقه بود؛ الان اینقدر همه چی تلخ شده که آدم دنبال یک چیزی میگرده که دو روز قبلش و دو روز بعدش بتونه ذهنش رو از تنشهای دردناک روزمره دور کنه و روی یک هیجان شیرین تمرکز کنه #دربی #استقلال_پرسپولیس</t>
  </si>
  <si>
    <t>سوفیا لورن</t>
  </si>
  <si>
    <t>http://kajkolakhan_17.blogfa.com</t>
  </si>
  <si>
    <t>از دلتنگی ، حرفی برای گفتن ندارم که ندارم... آخه یه بغض ، میتونه جلو خیلی چیزارو بگیره ، حتی حرف دل 💔</t>
  </si>
  <si>
    <t>قلب شکسته‌ے یک زن</t>
  </si>
  <si>
    <t>https://pbs.twimg.com/media/DoB0CsFW0AEf_8D.jpg</t>
  </si>
  <si>
    <t>📷طرح کانون هواداران #استقلال برای دربی #ريتوييت_لطفا #تاجی‌ام</t>
  </si>
  <si>
    <t>💙 ڪـج‌ڪـــݪآخـآݧ 💛</t>
  </si>
  <si>
    <t>دانشجوی شاعر،فعال رسانه ای</t>
  </si>
  <si>
    <t>@senoghteee #پرسپولیس</t>
  </si>
  <si>
    <t>محدثه.الف</t>
  </si>
  <si>
    <t>‏یک فروند برنامه‌نویس</t>
  </si>
  <si>
    <t>خبر رسید که #محمدرضا_احمدی دربی رو گزارش می‌کنه. لکن سوال من اینجاست که به نظر شما: «پاس میده یا هتریک میکنه؟؟!!» #پرسپوليس</t>
  </si>
  <si>
    <t>سلمانِ لری</t>
  </si>
  <si>
    <t>‏‏‏چه فاجعه ای است ک باطل،بدستی عقل را شمشیر میگیردو بدستی شرع را سپر ‎‎‎‎#حقیر ‎‎‎‎#موقت /civil eng</t>
  </si>
  <si>
    <t>https://pbs.twimg.com/media/DoAUpF6X0AApGBZ.jpg</t>
  </si>
  <si>
    <t>RT @FcEsteghlal: بادکنک های رنگی #توییتر برای 74 سالگی #استقلال</t>
  </si>
  <si>
    <t>mo.e.1990</t>
  </si>
  <si>
    <t>https://telegram.me/HarfBeManBot?start=MTg5NjYxNTQ4</t>
  </si>
  <si>
    <t>روسونری دو آتیشه ، پیروی مکتب هدایت ، مصدق و بختیار و چِستِر #استقلال</t>
  </si>
  <si>
    <t>مَشَد</t>
  </si>
  <si>
    <t>https://pbs.twimg.com/media/DoB0MF-XsAAhu-G.jpg</t>
  </si>
  <si>
    <t>4مهر 73سال پیش باشگاه دوچرخه‌سواران که بعدها تاج و بعد استقلال نام گرفت توسط 5نفر تاسیس شد. یک افسر، یک دوچرخه‌ساز، یک نجار، یک نگهبان بانک و یک کارمند تربیت‌بدنی که همگی عشق دوچرخه داشتند! #تاج #استقلال</t>
  </si>
  <si>
    <t>مِهدی مَلِک</t>
  </si>
  <si>
    <t>RT @Im_alik: به امید شوت‌های اشتباه از استقلالی‌ها و واکنش درست از دروازه‌بان پرسپولیس در بازی فردا 😁 #دربی #بیرانوند #وریا</t>
  </si>
  <si>
    <t>AM AM</t>
  </si>
  <si>
    <t>https://pbs.twimg.com/media/DoBRdPFXgAAyllU.jpg</t>
  </si>
  <si>
    <t>http://goo.gl/mtMB1T</t>
  </si>
  <si>
    <t>RT @piroozinews: ‍ ‍ ‍ #برانکو : 🔻قشنگ‌تر از این نیست که با #استقلال و بعد با السد بازی کنیم 🔻هجومی به میدان می‌رویم 🔻به این تیم اعتقاد دارم حتی با وجود از دست دادن 5 ملی‌پوش 🔻بازیکنان #پرسپولیس فردا با قلبشان به زمین می‌روند 🔻در تیم من بازیکن سخت به ترکیب می آید 👇</t>
  </si>
  <si>
    <t>Kiana Kaveh</t>
  </si>
  <si>
    <t>از بازي #دربي و ورزشگاه آزادي و فرياد ٨٠٠٠٠ نفري "آخوند بايد گم بشه" نگم براتون كه چقدر لذت بخشه #IraniansWantRegimeChange</t>
  </si>
  <si>
    <t>Jire pamaran</t>
  </si>
  <si>
    <t>ملتي اگر قيام كرد، با حفظ قدرت ايمان، هيچ قدرتي، در مقابل آن نمي تواند بايستد."امام خمینی(ره)"</t>
  </si>
  <si>
    <t>https://pbs.twimg.com/media/DoB0qNWXUAElKt3.jpg</t>
  </si>
  <si>
    <t>Mersad news</t>
  </si>
  <si>
    <t>RT @jire_pamaran: از بازي #دربي و ورزشگاه آزادي و فرياد ٨٠٠٠٠ نفري "آخوند بايد گم بشه" نگم براتون كه چقدر لذت بخشه #IraniansWantRegimeChange</t>
  </si>
  <si>
    <t>Asie</t>
  </si>
  <si>
    <t>نیافتاده ام هنوز… درمانده در سیاست، بازمانده از تاریخ و آشفته در مجاز " تمام مسئولیت های توییت ها بر عهده خودم است" " قاعدتا مسئولیت منشن ها با من نیست!!! "</t>
  </si>
  <si>
    <t>طهران</t>
  </si>
  <si>
    <t>RT @AliBazgosha2: تنها دلخوشیمون تو این اوضاع بد مملکت همین پرسپولیسی بودنمونه‌.. استقلالی ها چیکار میکنن بااین اوضاع؟! #پرسپولیس</t>
  </si>
  <si>
    <t>علی بازگشا | AliBazgosha</t>
  </si>
  <si>
    <t>http://paradism.org</t>
  </si>
  <si>
    <t>ISTJ - Atheist - Feminist - Sportsperson - Language Learner</t>
  </si>
  <si>
    <t>RT @N_a_r_r_a_t_o_r: فردا تو استادیوم فرصت خوبی برای اعتراضه #دربی</t>
  </si>
  <si>
    <t>Aviv</t>
  </si>
  <si>
    <t>‏‏‏‏‏‏‏‏‏‏‏‏‏‏‏‏‏‏‏‏‏‏‏‏‏‏آدمی را آدمیت لازم است. استقلالی نه❌ تاجی 💙👑💙</t>
  </si>
  <si>
    <t>ایران</t>
  </si>
  <si>
    <t>https://pbs.twimg.com/media/DoB1CE-UUAEQ5KX.jpg</t>
  </si>
  <si>
    <t>جان منست او هی مزنیدش آن منست او هی مبریدش آب منست او نان منست او مثل ندارد باغ امیدش #تاج #استقلال #۷۳سالگی #تاج_ایران 💙👑💙</t>
  </si>
  <si>
    <t>آتَر همسره میترا</t>
  </si>
  <si>
    <t>‏متولد دهه شصتم. برانداز به دنیا آمده ورودمجاهد اکیدا ممنوع.</t>
  </si>
  <si>
    <t xml:space="preserve">ناکجاآباد </t>
  </si>
  <si>
    <t>👑وطن پرست#براندازم -بی تفاوتی تاکی ایرانیان👑</t>
  </si>
  <si>
    <t>‏‏در زمان غیبت به کسی منتظر می گویند که منتظر شهادت باشد. شهید مهدی زین الدین🌾</t>
  </si>
  <si>
    <t>#غدیری_ام</t>
  </si>
  <si>
    <t>حسین دادبین</t>
  </si>
  <si>
    <t>_‏‏‏به درندگی کوسه ایم با مغز دلفین! _از همکلامی با هر نوع عرزشی، استمرارطلب، مجاهد و بلاخص اصلاح‌طلب معذورم.</t>
  </si>
  <si>
    <t>خونه مون</t>
  </si>
  <si>
    <t>ساجده مهلا</t>
  </si>
  <si>
    <t>https://telegram.me/dar2delbot?start=send_pAWj0z</t>
  </si>
  <si>
    <t>‏‏‏‏‏‏‏‏‏‏‏‏‏‏‏‏‏‏‏‏‏‏‏‏‏‏‏‏‏‏‏‏‏‏‏‏‏‏‏‏‏‏‏‏‏‏‏‏‏‏‏‎‎‎‎‎‎‎‎‎‎‎‎‎‎‎‎‎‎‎‎‎‎‎‎‎@Acmilan/پرسپولیس/22/🎸Linkinpark🤘/دانشجو حقوق:(</t>
  </si>
  <si>
    <t>بزرگراه جهنم</t>
  </si>
  <si>
    <t>اینم کار خودشونه #دربی رو انداختن فردا قیمت دلار رو چند ساعتی فراموش کنیم.</t>
  </si>
  <si>
    <t>Behروز</t>
  </si>
  <si>
    <t>شوهر سارا خانوم، بقيه اش مهم نيست</t>
  </si>
  <si>
    <t>از تبريز تا قسطنطنيه</t>
  </si>
  <si>
    <t>https://pbs.twimg.com/media/DoB1a8jXkAA2bs_.jpg</t>
  </si>
  <si>
    <t>بله، حالا میریم که داشته باشیم #دربی پایتخت رو بین دو تیم وزارت ورزش ۱ و وزارت ورزش ۲...</t>
  </si>
  <si>
    <t>ناصرم®</t>
  </si>
  <si>
    <t>‏‏‏‏‏‏‏‏‏ضد استقلال 🤘🤘👎👎👎👎 یه حس تنفر بیش از حد به استقلال یه پرسپولیسی شرور ❤❤❤❤❤❤❤❤❤❤❤❤❤❤❤ با هرکسی سازگار نیستم 🙃🙃 زیاد نچسبون راست میکنم</t>
  </si>
  <si>
    <t>Miami Beach, FL</t>
  </si>
  <si>
    <t>https://pbs.twimg.com/media/DoA4yloXcAIxmpo.jpg</t>
  </si>
  <si>
    <t>RT @bbcpersiansport: قرمزها فقط برای بردن بازی می‌کنند. برانکو: تا وقتی من در #پرسپولیس هستم، تیمم مقابل هر تیمی از استقلال تا السد برای برد به میدان می‌رود. البته می‌دانم این همیشه شدنی نیست اما این فلسفه پرسپولیس است و هوادران از ما انتظار دارند⚽️🔴</t>
  </si>
  <si>
    <t>Afshin</t>
  </si>
  <si>
    <t>http://aminkhs.com</t>
  </si>
  <si>
    <t>trying to be a designer, Digital marketing @tabaplastic | Content Creator @binoshacast | in love with #Microsoft and #Adobe Technologies</t>
  </si>
  <si>
    <t>Islamic Republic of Iran</t>
  </si>
  <si>
    <t>Amin Khalighi 🏳️</t>
  </si>
  <si>
    <t>غبار راه طلب، کیمیای بهروزیست</t>
  </si>
  <si>
    <t>Stillwater, OK</t>
  </si>
  <si>
    <t>RT @CafeChy: شما برو اينستاگرام #طرفداري كنفرانس خبري #شفر و #دلال_كروات رو ببين فقط نوع سئوال خبرنگارا از دو نفر رو... اونوقت اهميت ١٠٠ دلار و يه نهار رو متوجه ميشي! ريديد تو شرف رسانه جماعت قلم به مزد! #استقلال</t>
  </si>
  <si>
    <t>Dᴡᴀᴢᴢᴀ®</t>
  </si>
  <si>
    <t>‏‏ایرانی.استقلالی.عشق فوتبال.تاجی من امیرم.امیر</t>
  </si>
  <si>
    <t>فردا دربیه و داریم از استرس ب گای سگ میریم ولی این وسط نباید یادمون بره ک سعیدم ن اسپانیایی بلده #دربی #استقلال</t>
  </si>
  <si>
    <t>امیروفسکی ۴۵</t>
  </si>
  <si>
    <t>http://iran-varzeshi.com</t>
  </si>
  <si>
    <t>حساب رسمی روزنامه و سایت #ایران_ورزشی</t>
  </si>
  <si>
    <t>#محمدرضا_احمدی گزارشگر #دربی روز پنج‌شنبه خواهد بود. ویژه برنامه فوتبال برتر با اجرای محمدحسین میثاقی از حدود ساعت ۱۷ فردا آغاز و تا حوالی ساعت ۲۱ ادامه خواهد داشت. پیش از این گفته شده بود که فردوسی‌پور گزارشگر این بازی است.</t>
  </si>
  <si>
    <t>ایران ‌ورزشی</t>
  </si>
  <si>
    <t>🇮🇷 fan page 🇮🇷</t>
  </si>
  <si>
    <t>Middle Of Nowhere</t>
  </si>
  <si>
    <t>https://pbs.twimg.com/media/DoB2lVTXoAA9jOV.jpg</t>
  </si>
  <si>
    <t>محمدرضا احمدی گزارشگر دربی 88 . #پرسپولیس #استقلال #دربی #لیگ_برتر #نود</t>
  </si>
  <si>
    <t>RaminRezaeian</t>
  </si>
  <si>
    <t>‏‏یه حسابداری که هر روز 8:15 میرسه سرکار/ یه پرسپولیسی ۶ آتیشه❤❤❤❤</t>
  </si>
  <si>
    <t>گزارشگر #دربی محمدرضا احمدی شد ایشالا ۴تا تو راهه</t>
  </si>
  <si>
    <t>Arash</t>
  </si>
  <si>
    <t>‏‏‏‏‏‏فالو=بک مخلص ارزشی ها توییت های مهم حزب الهی ها هر چقدر باشه ریتوییت میکنم، مخصوصا اونایی که شاخ پندار نیستن شما هم مرام داشته باشید اینکارو بکنید</t>
  </si>
  <si>
    <t>هاکلبری ( فالو کنی ریت میشی)</t>
  </si>
  <si>
    <t>https://pbs.twimg.com/media/DoBsZHPW0AA6pxn.jpg</t>
  </si>
  <si>
    <t>RT @misseyebrow_: سطح شرافت توی دانشکده پلیمر دانشگاه #امیرکبیر ! بله!! توی سالنی که هزاران برنامه با حضور زن و مرد اجرا شده، «تماشای دربی برای خانم‌ها» ممکن نیست! تف به این آزادگی! تف به این شرافت! #پلی_تکنیک #دربی</t>
  </si>
  <si>
    <t>معتقدِ آواره، که هم مورد مذمت مذهبيون سنت گراست و هم مورد سرزنش مدرنيست هاي تجدد طلب</t>
  </si>
  <si>
    <t>Samaneh Zkb</t>
  </si>
  <si>
    <t>همه چيزمون سياسي شده حتي فوتبالمون هم سياسي هستش،از رييس فدراسيون بگير تا مديرعامل تيم سپاهي و سياسي هستن بعد ما بخوايم شعار عليه رژيم بديم ميگيد فوتبال رو سياسي نكنيد!!! اتفاقا ميخوايم از پتانسيل بازي #دربي براي اعتراض استفاده كنيم #IraniansWantRegimeChange</t>
  </si>
  <si>
    <t>‏گریه می کرد گرگ وقتی دید سگ به خاطر تکه استخوانی لگدهای چوپان را تحمل میکند . . . . . .</t>
  </si>
  <si>
    <t>حاج رسول</t>
  </si>
  <si>
    <t>I'm persian girl</t>
  </si>
  <si>
    <t>RT @jire_pamaran: همه چيزمون سياسي شده حتي فوتبالمون هم سياسي هستش،از رييس فدراسيون بگير تا مديرعامل تيم سپاهي و سياسي هستن بعد ما بخوايم شعار عليه رژيم بديم ميگيد فوتبال رو سياسي نكنيد!!! اتفاقا ميخوايم از پتانسيل بازي #دربي براي اعتراض استفاده كنيم #IraniansWantRegimeChange</t>
  </si>
  <si>
    <t>Hhmj</t>
  </si>
  <si>
    <t>مسافري از گا</t>
  </si>
  <si>
    <t>بگا رفته</t>
  </si>
  <si>
    <t>براندازم تا زمانیکه ایران کشوری آزاد و جمهوری ایرانی داشته باشد ⛔️مجاهد ⛔️عرزشی فالو نمیکنم</t>
  </si>
  <si>
    <t>🏳️الی خانوم</t>
  </si>
  <si>
    <t>‏‏در حال پوست انداختن. برای ازادی برای شادی و برای شرف میجنگم</t>
  </si>
  <si>
    <t>شرف(لیندا)</t>
  </si>
  <si>
    <t>‏‏*آن کس که می خواهد آزاده باشد، تنها از طریق توانایی های خود می تواند آزاده شود* ورود عرزشی ممنوع دایرکت =بلاک</t>
  </si>
  <si>
    <t>آرزو</t>
  </si>
  <si>
    <t>خسته از دینم،براندازم،اصلاح طلبها را خائن‌ترین می‌دانم،جمهوری‌خواهی که به مشروطه هم رضایت دارم،</t>
  </si>
  <si>
    <t>معلم</t>
  </si>
  <si>
    <t>نیازی به اعتقاد به یک خدا ندارم و کمبودش را هم در زندگی ام احساس نمیکنم. در مورد تمامی دین ها هم همینگونه فکر میکنم. انسانیت گرا هستم</t>
  </si>
  <si>
    <t>Siavosh Maghsoudian</t>
  </si>
  <si>
    <t>‏‏‏‏‏‏‏‏‏‏‏‏‏‏‏‏‏یارب نظر تو برنگردد... دیگران هرچی میخوان بگن، بگن برام مهم نیست. اول تورو خیلی دوست دارم بعدم بابای عزیزتراز جانمو</t>
  </si>
  <si>
    <t>جمهوری اسلامی ایران🇮🇷</t>
  </si>
  <si>
    <t>RT @m_Dusttt: توییتری ها بیشتر طرفدار #پرسپوليس هستن یا #استقلال ؟؟</t>
  </si>
  <si>
    <t>Zahra Kazemi (حسین ارباب)🖤</t>
  </si>
  <si>
    <t>https://Instagram.com/zadmehrofficial</t>
  </si>
  <si>
    <t>روزنامه نگار /journalist/مطالب این صفحه نظر شخصی است</t>
  </si>
  <si>
    <t>برنده دربی ۸۸چه تیمی است؟ #پرسپولیس #استقلال #دربی #پرسپولیس_استقلال</t>
  </si>
  <si>
    <t>alizadmehrعلی زادمهر</t>
  </si>
  <si>
    <t>آدمـک آخــرِ دنیــاست، بخند... آدمـک مـرگ هـمین جاست، بخند... دستخطی کـه تـو را عاشـق کرد شوخـیِ کاغــذی ماسـت، بخند...</t>
  </si>
  <si>
    <t>tehran</t>
  </si>
  <si>
    <t>DEAD END</t>
  </si>
  <si>
    <t>‏‏خاک است که شیون میکند آه ای آزادی...</t>
  </si>
  <si>
    <t>نیو ونزوئلا</t>
  </si>
  <si>
    <t>تکیلا</t>
  </si>
  <si>
    <t>👤</t>
  </si>
  <si>
    <t>SO_HA_FREE</t>
  </si>
  <si>
    <t>‏‏‏‏‏‏‏‏‏‏‏‏⁦ ⁦⚽🎮🎶⁦🖥️⁩📚(🦂آبان ماهی)</t>
  </si>
  <si>
    <t>Iran,Mazandaran</t>
  </si>
  <si>
    <t>RT @mana_mbh: دربـی 87 هم نزدیکه ... فارغ از اینکه طرفدار کدوم تیمم ، یکی از بزرگترین و قشنگ ترین آرزوهام از خیلی سال پیش این بوده که یه روز موقع دربی یکی از اون صد هزار نفر باشم و هیجانِ فوتبال رو از نزدیک لمس کنم ... کاش یه روز به آرزوم برسم ... من و دخترایی مثل من ... #دربی #كاش</t>
  </si>
  <si>
    <t>پلوتو 🌌</t>
  </si>
  <si>
    <t>خداوندا آرامشی عطا فرما تا بپذیرم آنچه را که نمیتوانم تغیردهمشهامتی تا تغیردهم آنچه را که میتوانمو دانشی که تفاوت این دو را بدانم</t>
  </si>
  <si>
    <t>https://pbs.twimg.com/media/DoB6CUcUYAAEhmC.jpg</t>
  </si>
  <si>
    <t>🎤محمدرضا احمدی به عنوان گزارشگر دیدار #استقلال و لنگ حقیر انتخاب شد. پیش از این فردوسی پور به عنوان‌ گزارشگر معرفی شده! اینو اوردن که واسه لنگ خوش یمم هست گزارشگر الهلال و لنگم خودش بود فک کنم کوس کشا خیلی مول هستن</t>
  </si>
  <si>
    <t>Mehdi.TAJi</t>
  </si>
  <si>
    <t>‏‏به قبل 57 بر میگردیم ، با یاری هموطنان میهن دوست.</t>
  </si>
  <si>
    <t>capitanecond</t>
  </si>
  <si>
    <t>‏‏‏براندازم</t>
  </si>
  <si>
    <t>ایران اشغالی</t>
  </si>
  <si>
    <t>مجتبی خامنه ای</t>
  </si>
  <si>
    <t>https://telegram.me/harfbzanbot?start=qEV5ezR</t>
  </si>
  <si>
    <t>‏‏‏‏‏‏‏‏‏‏‏‏‏‏‏‏‏‏‏❤بارسا ، پرسپولیس و هلند❤🎥‎‎‎‎‎‎‎فیلم ، سریال و موزیک باز🎵 ‎‎‎‎‎‎‎بحث سیاسی 🚫 طنز سیاسی👍</t>
  </si>
  <si>
    <t>RT @mrndaalll: امسال انقدر کیفیت بازی پرسپولیس و استقلال تفاوت داره که حس کل کل رو ازم گرفته :(((((( #دربی #پرسپولیس #استقلال</t>
  </si>
  <si>
    <t>◾هاروی اسپکتر◾</t>
  </si>
  <si>
    <t>‏سیاست</t>
  </si>
  <si>
    <t xml:space="preserve">جهنمی در عمق بهشت </t>
  </si>
  <si>
    <t>RT @soheilazimii: #نظرسنجي نتیجه #دربی؟</t>
  </si>
  <si>
    <t>مارمولک فمنیست🔯⚔</t>
  </si>
  <si>
    <t>http://www.mizanonline.com/fa/photo</t>
  </si>
  <si>
    <t>صفحه سرويس عكس خبرگزارى ميزان</t>
  </si>
  <si>
    <t>https://pbs.twimg.com/media/DoB6bd0XoAA5Coj.jpg</t>
  </si>
  <si>
    <t>http://goo.gl/fmkv92</t>
  </si>
  <si>
    <t>⚽️ نشست خبری سرمربی پرسپولیس قبل از دربی ۸۸ 📸عکاس: سجاد ایمانیان مشاهده تصاوير 👈  #دربى #پرسپولیس #پرسپوليس_استقلال #دربى٨٨</t>
  </si>
  <si>
    <t>Mizan Photo</t>
  </si>
  <si>
    <t>‏..خدای را ببر از یاد که بر او پناهی نیست..</t>
  </si>
  <si>
    <t>karaj</t>
  </si>
  <si>
    <t>نوشته بود: فردا #دربی ولی اونقدر بدبختایمون زیاد شده که دیگه چیزیم که قبلا از یه هفته قبل واسش اماده میشدیم و هیجان داشتیم هم تغییری تو حالمون ایجاد نمیکنه. حقیقتا اولین متنی بود که بعد خوندنش وحشت کردم...</t>
  </si>
  <si>
    <t>Mahmoud Afshar</t>
  </si>
  <si>
    <t>https://twitter.com/sepehrlm/status/1044642806218805248</t>
  </si>
  <si>
    <t>احمدی گزارشگر #دربی شد نیازی هست بار آخرو بگم یا یادتونه ؟ =))))) RT @sepehrlm: آخرین باری که فغانی داور دربی و عادل گزارشگرش بود فرشید اسماعیلی نه گل میزد نه پاس گل =))) #دربی</t>
  </si>
  <si>
    <t xml:space="preserve"> ایران</t>
  </si>
  <si>
    <t>https://pbs.twimg.com/media/DoBV1xgU0AAeqZ7.jpg</t>
  </si>
  <si>
    <t>RT @rassool1359: هیچکدام از حاضران در تصویر و همچنین بزرگانی مثل منصورخان و ناصرخان که بعدها پرچمدار مکتب تاج شدند دیگه در بین ما نیستند ولی مکتبی که بنا نهادند تبدیل به سومین باشگاه پرافتخار آسیا و شناسنامه فوتبال ایران شد. 74 ساله شدن #استقلال مبارک و یاد بزرگان مکتب تاج گرامی باد.</t>
  </si>
  <si>
    <t>👈به سوی جنوب👉</t>
  </si>
  <si>
    <t>‏‏‏‏‏‏‏‏‏‏ ‏‏‏‏‏‏‏‏‏‏‏‏‏‏‏‏‏‏‏‏‏‏‏‏‏‏‏‏‏‏‏‏پابزن آشغال. Q_style AK-47 🔴⚪ مادریدِ سرخِ طهران 92:48/6.4</t>
  </si>
  <si>
    <t>Harlem،ندامتگاه</t>
  </si>
  <si>
    <t>https://pbs.twimg.com/media/DoB7VukXkAAjKqg.jpg</t>
  </si>
  <si>
    <t>آخرین راه کفن و راه دررو نی @_Quf #پرسپولیس ❤❤❤❤❤❤</t>
  </si>
  <si>
    <t>moein moltafet</t>
  </si>
  <si>
    <t>‏‏‏‏دیگر با خوک ها کُشتی نمیگیرم، چرا که من لجن مال میشوم و او لذت می برد. DeathtoKhamenei TodfürKhamenei الموت_لخامنئي</t>
  </si>
  <si>
    <t>Vancouver, British Columbia</t>
  </si>
  <si>
    <t>Ram 📶</t>
  </si>
  <si>
    <t>‏‏‏‏‏‏‏‏http://t.me/BiChatBot?star‎‎‎‎‎‎…‎‎ اگه دایرکتت نیومدم بدون وقت نکردم😃😃😃 یه بایوسگشغال خسته😃🤘🏻 مکانیک نیگااااااااا😎🤘🏻</t>
  </si>
  <si>
    <t>رشت nigga</t>
  </si>
  <si>
    <t>🖤تونی (پدر طهمورث)🇩🇪</t>
  </si>
  <si>
    <t>http://fc-perspolis.com/</t>
  </si>
  <si>
    <t>Official Twitter feed of FC Perspolis. More than a club.</t>
  </si>
  <si>
    <t>Tehran, Iran</t>
  </si>
  <si>
    <t>https://pbs.twimg.com/media/DoBXnuCX0AAC4zj.jpg</t>
  </si>
  <si>
    <t>RT @bbcpersiansport: #استقلال و #پرسپولیس در داربی ۸۸ با این لباس‌ها بازی می‌کنند: 🔵⚽️🔴</t>
  </si>
  <si>
    <t>پرسپوليس تهران</t>
  </si>
  <si>
    <t>freedom world</t>
  </si>
  <si>
    <t>پارادوکس</t>
  </si>
  <si>
    <t>persepolis❤</t>
  </si>
  <si>
    <t xml:space="preserve">in my red world </t>
  </si>
  <si>
    <t>https://pbs.twimg.com/media/DoB8GstW0AA871s.jpg</t>
  </si>
  <si>
    <t>وقتی ادمین بزرگترین صفحشونم گه خورِ اسم ماس پرسپولیس خار داره نه؟ #پرسپولیس</t>
  </si>
  <si>
    <t>اِس اُ آر سِون</t>
  </si>
  <si>
    <t>#Perspolis ❤️ #HalaMadrid 💜 #ManchesterUnited ❤️</t>
  </si>
  <si>
    <t>Iran.Mashhad</t>
  </si>
  <si>
    <t>https://pbs.twimg.com/media/Da5kzTBX0AA_pEc.jpg</t>
  </si>
  <si>
    <t>RT @ehlamdoon: تو #پرسپولیس هزارتا بازیکن درجه یک هم که بیاد و بره نفر اول قلب من ایشونه❤️ بمونی برامون آقا کریم</t>
  </si>
  <si>
    <t>Reza</t>
  </si>
  <si>
    <t>‏یک روزنامه نگار</t>
  </si>
  <si>
    <t>zeynab.karimian</t>
  </si>
  <si>
    <t>🎓 / may 👑/آزاد و متنفر از قيد و بند / پرسپوليس ❤️تيم محبوبم نيس =زندگيه</t>
  </si>
  <si>
    <t>@saras27772 @ladyblocker1 @k_rez1 #هدر گذاشتيممممم چه #هدري #دربي #پرسپوليس 💪🏻❤️👑</t>
  </si>
  <si>
    <t>🏆🔴 فري مو فر فري 🔴🏆</t>
  </si>
  <si>
    <t>Photojournalist / Sport Photographer</t>
  </si>
  <si>
    <t>سایت باشگاه #پرسپولیس اعلام میکنه این #دربی، دربی ۸۹ ام هست! #سازمان_لیگ بیانیه داد گفت این دربی ۸۸ هست! سایت باشگاه #استقلال هم میگه دربی ۸۷ هست! #هوادارا که هیچ #خبرنگار های #ورزشی هم موندن فردا چندمین دربی هست!</t>
  </si>
  <si>
    <t>Sajjad Imanian</t>
  </si>
  <si>
    <t>‏فالو کن بک میدم / مثلا کامپیوتر بلدم / طراح / طراح وب / برنامه نویس</t>
  </si>
  <si>
    <t>طرفدارهای پرسپولیس مثل پرایدن ، فقط زیادن #استقلال #پرسپولیس #دربی #دربی_87 #دربی_88</t>
  </si>
  <si>
    <t>Chandler Bing🇮🇷</t>
  </si>
  <si>
    <t>https://telegram.me/HarfBeManBot?start=NzY4MzcyNjI</t>
  </si>
  <si>
    <t>Que Sera Sera, Whatever will be, will be.The future's not ours, to see</t>
  </si>
  <si>
    <t>❤️ Perspolis ❤️</t>
  </si>
  <si>
    <t>@saras27772 @fereshtevpt @k_rez1 دم #پرسپولیس و #پرسپولیسی جماعت گرم فردا هر کی رفت ورزشگاه یادش باشه جای ما هم تشویق کنه ⁦❤️⁩⁦❤️⁩⁦❤️⁩⁦❤️⁩⁦❤️⁩⁦❤️⁩</t>
  </si>
  <si>
    <t>🏆🔴 Lady Blocker 🔴🏆</t>
  </si>
  <si>
    <t>RT @hnooraninejad: نمی‌دونم چه اصراریه به ۱۰-۹۰ کردن تماشاگران #دربی. این بازی سنت فوتبال ما شده با همین ویژگی‌ها و اتفاقا جذابترش کرده. این که تمام دنیا طور دیگه‌اس دلیل کافی نیست.</t>
  </si>
  <si>
    <t>Vahid Aghaei</t>
  </si>
  <si>
    <t>به دوستام و آبجيم ميگممم بيخيال امشب نميريم بيرون فرداشب بعد #دربي ميريم ميگن اگه #استقلال ببازه ما اعصاب نداريم ،اگه #پرسپوليس ببازه تو اعصاب نداري از الان كل كل شروع شده كه #دربي مال ماست 💪🏻❤️❤️👑 😂 @shinaAmp</t>
  </si>
  <si>
    <t>‏ریتوییت به منزله تایید محتواست</t>
  </si>
  <si>
    <t>نی ریز_شیراز</t>
  </si>
  <si>
    <t>مجید هامون󠁢󠁥󠁮󠁧󠁿</t>
  </si>
  <si>
    <t>‏‏‏‏‏‏‏‏‏‏‏یه دختر متولد پاییز🍁 با یه دنیا دغدغه؛ والیبالیست🏐 عاشق اشپزی پیرو خط ولایت✌</t>
  </si>
  <si>
    <t xml:space="preserve">Islamic Republic of Iran </t>
  </si>
  <si>
    <t>چراغ هارو خاموش میکنم هرکی استقلالی هست انفالو کنه بره ... #پرسپوليس ❤❤ #دربی</t>
  </si>
  <si>
    <t>فاطمه ترابی</t>
  </si>
  <si>
    <t>عاشق امام خامنه ای /مهندس IT /برنامه نویس /کارشناس شبکه/...</t>
  </si>
  <si>
    <t>RT @Fm_torabi: چراغ هارو خاموش میکنم هرکی استقلالی هست انفالو کنه بره ... #پرسپوليس ❤❤ #دربی</t>
  </si>
  <si>
    <t>⚫️⚫️⚫️</t>
  </si>
  <si>
    <t>کمی تا قسمتی زنده‌ایم...</t>
  </si>
  <si>
    <t>بنظر شما با توجه به اختلاف نظر‌ها این‌ بازی چندمین رویارویی #استقلال و #پرسپولیس است؟ #دربی #پرسپوليس #استقلال</t>
  </si>
  <si>
    <t>آقا خرسه</t>
  </si>
  <si>
    <t>https://pbs.twimg.com/media/DoB-cp-WsAA-5Ko.jpg</t>
  </si>
  <si>
    <t>http://goo.gl/GWDzZF</t>
  </si>
  <si>
    <t>⚽️ نشست خبری سرمربی استقلال قبل از دربی ۸۸ 📸عکاس: سجاد ایمانیان مشاهده تصاوير 👈  #دربى #استقلال #پرسپوليس_استقلال #دربى٨٨</t>
  </si>
  <si>
    <t>interested in politics,news,strategy planing,military info, international relation, Environmentalist,forest lover, poet, screenwriter &amp;so on.RT not Endorsement</t>
  </si>
  <si>
    <t>اگر فردا پرسپولیس نبرد بریزید تو خیابون ها #براندازم #دربی</t>
  </si>
  <si>
    <t>Mr Strategist🏴🇮🇷🏴</t>
  </si>
  <si>
    <t>RT @fereshtevpt: به دوستام و آبجيم ميگممم بيخيال امشب نميريم بيرون فرداشب بعد #دربي ميريم ميگن اگه #استقلال ببازه ما اعصاب نداريم ،اگه #پرسپوليس ببازه تو اعصاب نداري از الان كل كل شروع شده كه #دربي مال ماست 💪🏻❤️❤️👑 😂 @shinaAmp</t>
  </si>
  <si>
    <t>اصفهان</t>
  </si>
  <si>
    <t>Mostafasalehi m Salehi</t>
  </si>
  <si>
    <t>RT @bbcpersiansport: #استقلال و #پرسپولیس بار دیگر مقابل هم می‌ایستند. به نظر شما کدام تیم برنده داربی ۸۸ می‌شود؟</t>
  </si>
  <si>
    <t>Frozan</t>
  </si>
  <si>
    <t>‏‏‏‏‏‏‏یک استقلالی دو آتیشه میهن پرست علاقمند ب شعر و ساز ایرانی// خوشبختی یعنی اسطورت 😍حمید سوریان😍 باشه مرتد-بی دین مرتد-بی دین مرتد-بی دین</t>
  </si>
  <si>
    <t>دقیقا خودمم نمیدونم کی هستم و</t>
  </si>
  <si>
    <t>تمام می‌شود و این سرو راست‌قامت #استقلال است که همیشه پایدار می‌ماند... در آستانه هفتاد و3 سالگی عشق عزیز و همیشگی‌مان، #استقلال ، اعلام میکنیم که امروز از همیشه عاشق‌تریم و لجن‌پراکنی‌‌ها و پلشتیِ عده‌ای معلوم‌الحال که امروز خوشحال و مسرور از سنگ‌اندازی در مسیر پیشرفت استقلال</t>
  </si>
  <si>
    <t>ممد اغلو</t>
  </si>
  <si>
    <t>‏‎@mohsengc ریتوییتر</t>
  </si>
  <si>
    <t>رهـــرو</t>
  </si>
  <si>
    <t>@Fm_torabi @senoghteee #پرسپوليس پرچمش بالاست</t>
  </si>
  <si>
    <t>‏‏‏‏‏‏‏‏‏‏‏‏‏‏‏‏‏‏‏‏‏‏‏‏‏‏‏‏‏‏‏‏‏‏‏‏اینجا هرکی بترسه زودتر میمیره</t>
  </si>
  <si>
    <t>حبیب خان🏴</t>
  </si>
  <si>
    <t>‏‏‏‏‏‏‏‏‏‏‏‏‏‏‏‏‏‏‏‏‏‏‏‏کارمند ، عاشق فوتبال ، گردش و آهنگی که حالم رو خوب کنه پرسپولیسی❤⭐❤ بقیه زندگی روزمرست که تويئت میکنم</t>
  </si>
  <si>
    <t>Rasht</t>
  </si>
  <si>
    <t>Amirhosein-taati</t>
  </si>
  <si>
    <t>من انقلابی ام پشت ولایت فقیه تا آخرین نفس 💙💙</t>
  </si>
  <si>
    <t>Choram</t>
  </si>
  <si>
    <t>https://pbs.twimg.com/media/DoCAcpyXgAIuTQg.jpg</t>
  </si>
  <si>
    <t>هفتاد و چهارمین سالگرد #تاج_کبیر_آسیا مبارک؛ #استقلال #قدمت #غول_آسیا</t>
  </si>
  <si>
    <t>ramin Mostafaie</t>
  </si>
  <si>
    <t>خا</t>
  </si>
  <si>
    <t>Motel Qu️</t>
  </si>
  <si>
    <t>آقای سیبیلو</t>
  </si>
  <si>
    <t>بدون روتوش</t>
  </si>
  <si>
    <t>دوس دارم در آستانه دربی چندتا استقلالی رو از پشت بکنم 😁 #دربی</t>
  </si>
  <si>
    <t>hamed</t>
  </si>
  <si>
    <t>https://pbs.twimg.com/media/DoAcS2jWsAA7iul.jpg</t>
  </si>
  <si>
    <t>RT @piroozinews: تصاویر خاطره انگیز #دربی; معجزه زاید و حماسه ۱۰ نفره سرخ ها</t>
  </si>
  <si>
    <t>https://www.instagram.com/tahamajidii/</t>
  </si>
  <si>
    <t>مجری و طراح برنامه توییت نما و کارگردان برنامه توییت گپ - در دست این خمار غمم هیچ چاره نیست / جز باده‌ای که در قدح غمگسار توست</t>
  </si>
  <si>
    <t>طاها مجیدی</t>
  </si>
  <si>
    <t>‏‏‏چگونه شرح دهم، لحظه لحظه خود را برای این همه ناباور خیال پرست پلی تکنیک : ))</t>
  </si>
  <si>
    <t>وینگی وینگی</t>
  </si>
  <si>
    <t>دوستام ميگن #دربي رو بريم دورهم تو كافي شاپ ببينيم اخه من از اول بازي تا آخرش فحش ميدم تباهااا🤦‍♀️🤦‍♀️</t>
  </si>
  <si>
    <t>http://T.me/Tanasoli</t>
  </si>
  <si>
    <t>نماینده ولی‌ فقیه در توییتر Representative of Islamic Iran Supreme Leader in twitter and beyond</t>
  </si>
  <si>
    <t>Qom, London, Toronto, New York</t>
  </si>
  <si>
    <t>بنده رویایی دارم که در آن زنان کشورم آزاد باشند و حق بدیهی استفاده از امکانات عمومی کشور برایشان غیر قابل دسترس نباشد. استادیوم آزادی متعلق به همه ایرانیان است که شامل زنان هم میشود. #دربی #زنان‌در‌آزادی</t>
  </si>
  <si>
    <t>آیت الله تناسلی🏳️</t>
  </si>
  <si>
    <t>‏May hear about me a lot in near future :) علاقمند به سیاست ، اکانت دومم: ‎@aliamini313</t>
  </si>
  <si>
    <t>ناکجا آباد</t>
  </si>
  <si>
    <t>RT @tanasoli: بنده رویایی دارم که در آن زنان کشورم آزاد باشند و حق بدیهی استفاده از امکانات عمومی کشور برایشان غیر قابل دسترس نباشد. استادیوم آزادی متعلق به همه ایرانیان است که شامل زنان هم میشود. #دربی #زنان‌در‌آزادی</t>
  </si>
  <si>
    <t>ع . ا .ر</t>
  </si>
  <si>
    <t>دیروز، مطیع سلاطین بودیم، و سر برآستانِ امپراطوران داشتیم؛ امروز، حقیقت را می‌ستاییم، و ره عشق می‌پوییم</t>
  </si>
  <si>
    <t>Akhond city</t>
  </si>
  <si>
    <t>Moj 🏳️</t>
  </si>
  <si>
    <t>‏برای من دو راهی وجود نداره وقتی یک طرفش رهبرم باشه.</t>
  </si>
  <si>
    <t>تهران</t>
  </si>
  <si>
    <t>s.musavie(جمعه هیات توییتریهای تهران)</t>
  </si>
  <si>
    <t>Master of Business Administration, entrepreneur, interested in economy and politics,</t>
  </si>
  <si>
    <t>@oldensan قویا معتقدم کیسه برنده میشه. #دربی</t>
  </si>
  <si>
    <t>mohammad reza 🇮🇷</t>
  </si>
  <si>
    <t>هميشه سبز</t>
  </si>
  <si>
    <t>در جستجوي بهشت</t>
  </si>
  <si>
    <t>https://pbs.twimg.com/media/DoCDaMhWsAASQax.jpg</t>
  </si>
  <si>
    <t>RT @saras27772: از دیروزهر جارو نگاه میکنم اخبار بدو ترسناکِ ته ذهنم میاد چی کار کنیم؟چی میشه؟با همه نگرانی هام باز اما #پرسپولیس میتونه خوشحالم کنه.دوست پرسپولیسیا بیاین ذوق کنیم برای تیمی که با همه محرومیت ها بازم سربلنده روزهای خوب #ایرانم توراهه من امیدوارم مثل بازی الدحیل که امید داشتم</t>
  </si>
  <si>
    <t>Parsa</t>
  </si>
  <si>
    <t>آزادیخواه... #atheist</t>
  </si>
  <si>
    <t>Earth...</t>
  </si>
  <si>
    <t>ariana</t>
  </si>
  <si>
    <t>https://twitter.com/alirrezazzz/status/1041769066158022656</t>
  </si>
  <si>
    <t>RT @nili_waterlily: بودن چنین زیر این پرچمم آرزوست 😢💔 #پرسپولیس</t>
  </si>
  <si>
    <t>RT @REZAAA1999: میگن فتحی باشگاه رو به فروش گذاشته تا پول بلیط هواپیمای بازیکنا واسه فرار به ترکیه جور شه #دربی #استقلال #پرسپولیس</t>
  </si>
  <si>
    <t>تن مرد و نامرد يكيست عمر بايد بگذرد تا ببينى مرد كيست</t>
  </si>
  <si>
    <t>فقط برد #پرسپولیس میتونه دلار ۲۰ تومنی رو بشوره ببره .....</t>
  </si>
  <si>
    <t>Donwitoo</t>
  </si>
  <si>
    <t>🔥🏳️‍🌈⚔️Omnia Vincit Amor⚔️🏳️‍🌈🔥</t>
  </si>
  <si>
    <t>🦁🌞💚SpiroAr💚🗽🏳️‍🌈</t>
  </si>
  <si>
    <t>Minoo</t>
  </si>
  <si>
    <t>چون بازنیاید ز بت و بتکده خسرو/ اصلاح مزاج سگ دیوانه چه کوشم ؟</t>
  </si>
  <si>
    <t>چه</t>
  </si>
  <si>
    <t>پرسپولیسی،لیورپولی،بارسایی، آگنوستیک منتهی به پاستافاریانیست، پدري دلسوز و همسري مهربان، ديپلمه اي كه هنوز خودكشي نشده، رباتِ برانداز</t>
  </si>
  <si>
    <t>آنفیلد جایگاهِ کوپ</t>
  </si>
  <si>
    <t>اِدا</t>
  </si>
  <si>
    <t>‏‏‏‏‏دو تا ((ت)) بَده تاریخ و ترک سیگار ‎‎</t>
  </si>
  <si>
    <t>خرابات</t>
  </si>
  <si>
    <t>RT @ShakeriHassan: #نظرسنجی بنظرتون نتیجه ی #دربی امسال چی میشه ؟ #استقلال #پرسپولیس</t>
  </si>
  <si>
    <t>‏پــــیـــــرⓂ</t>
  </si>
  <si>
    <t>iransecular</t>
  </si>
  <si>
    <t>http://meftah.ir</t>
  </si>
  <si>
    <t>Owner, Publisher and Editor-in-chief of http://Fardanews.com / حقوق‌خوانده؛ فعال رسانه‌های مجازی و مدیرمسئول پایگاه خبری فردا @fardanews</t>
  </si>
  <si>
    <t>محمدصالح مفتاح 🇮🇷</t>
  </si>
  <si>
    <t>https://t.me/BiChatBot?start=sc-465335224</t>
  </si>
  <si>
    <t>‏‏‏‏‏‏‏‏‏‏‏‏‏‏‏‏‎‎‎‎‎‎‎‎‎‎‎‎‎‎‎‎‎‎#از_شیراز_بگو ‎‎‎‎‎‎‎‎‎‎‎‎‎‎‎#TellAboutShiraz ☮🕊peaceful🕊☮ ‏‏بسی رنج بردم در این ماه سی یه داف تور نکردم بدین توييتر فارسی</t>
  </si>
  <si>
    <t>متاسفانه وسط آخوندا</t>
  </si>
  <si>
    <t>pic.twitter.com/1RHEVnT1t5</t>
  </si>
  <si>
    <t>اسکرین شات بگیرید و نتیجه دربی رو پیش بینی کنید.منشن بدین #ریتوییت #پرسپولیس #استقلال</t>
  </si>
  <si>
    <t>🏆🏳Shiraz_city🏳🏆</t>
  </si>
  <si>
    <t>https://telegram.me/harfbzanbot?start=4GD8072</t>
  </si>
  <si>
    <t>📖🎧🏊⚽️🥊Perspolis❤</t>
  </si>
  <si>
    <t xml:space="preserve">Iran, Mashhad </t>
  </si>
  <si>
    <t>Saras27772 🌹</t>
  </si>
  <si>
    <t>http://www.instagram.com/amirrrajabi</t>
  </si>
  <si>
    <t>بازاریاب پروژه‌های بدون‌پول، خدایگان جلسه‌های دهن‌پرکن، ‏دانشجوی ارشد مدیریت دانشگاه تهران</t>
  </si>
  <si>
    <t>زیر پونز نقشه‌ی تهران</t>
  </si>
  <si>
    <t>امیرِ بی‌گزند 🇮🇷</t>
  </si>
  <si>
    <t>‏‏‏‏‏‏‏‏‏‏‏لباس‌شخصی‌ها از مردمند، بر مردم نیستند..</t>
  </si>
  <si>
    <t>با افتخار؛ جمهوری اسلامی ایران</t>
  </si>
  <si>
    <t>آسِیِد پویان حسین‌پور</t>
  </si>
  <si>
    <t>‏‏‏‏‎‎‎‎#براندازم</t>
  </si>
  <si>
    <t>Pi</t>
  </si>
  <si>
    <t>اميد بذر هويت ماست✌🏼 اصلاحطلب✌🏼</t>
  </si>
  <si>
    <t>shahrzad🇮🇷</t>
  </si>
  <si>
    <t>‏‏‏‏‏‏‏‏‏‏‏‏‏با افتخار ‎‎‎‎‎‎‎#استقلالی‌ام. با احترام،اگر برای بک گرفتن، فالو می‌کنید، لطفا اینکارو نکنید. ممنون.سیاسی نیستم.</t>
  </si>
  <si>
    <t>جواد نکونام تعبیر جالبی داشت: "فلان تیم باید می‌برد تا تعداد بیشتری خوشحال باشن" همه از وضعیت اقتصادی ناراحتیم. اما امیدوارم بعضیا فکر مضحک و متوهمانه "شاد کردن تعداد بیشتری از مردم" توی این شرایط اقتصادی با بهره‌برداری از #دربی تو سرشون نباشه! #استقلال</t>
  </si>
  <si>
    <t>عارضم که</t>
  </si>
  <si>
    <t>https://www.instagram.com/didehban_reza</t>
  </si>
  <si>
    <t>Smile, Even if your HEART is Dripping blood. "Emam A'li" __________ BSc:Family studies at Azaruniv 92 MSc:Cognitive Sciences at UOK 96</t>
  </si>
  <si>
    <t>چشم #آبی و لب سرخت چه ها با من نکرد در مصافت باختم من هر چه #شهرآورد بود #استقلال #پرسپولیس #دربی #شهرآورد #جام_خلیج_فارس</t>
  </si>
  <si>
    <t>Reza Didehban</t>
  </si>
  <si>
    <t>همه چیز کوصشر محض هست، الا توییت‌های من که کوصشرهایی کاربردی هستند</t>
  </si>
  <si>
    <t>RT @haristo_stchv: #حسن #روشن: #استقلال فعلی خطرناک‌تر از #پرسپولیس است 😊😊 از ویژگی‌های بارز ایشان تلاوت کوص بود #دربی</t>
  </si>
  <si>
    <t>استیو مک‌منمن</t>
  </si>
  <si>
    <t>Blood type: B+ (be positive)</t>
  </si>
  <si>
    <t>https://pbs.twimg.com/media/DoCGmrAXUAUuGWy.jpg</t>
  </si>
  <si>
    <t>سلام تولد رقیبمون باشگاه #استقلال رو تبریک میگم هدیه تولد واسشون نردبون اوردم بلکه به آرزوی 4ساله شون برسن و بیان بالا مبارک باشه:))))))</t>
  </si>
  <si>
    <t>گرگنما</t>
  </si>
  <si>
    <t>‏‏‏‏‏‏‏‏‏‏‏‏‏‏‏‏‏‏‏‏‏‏‏متاهل ❤❤❤❤❤❤ قبل از توهین کردن از نگاه اقا بوفون خجالت بکش فقط از فوتبال مینویسم دوست نداری آنفالو کن ‏</t>
  </si>
  <si>
    <t>جهنم جمهوری اسلامی ایران</t>
  </si>
  <si>
    <t>https://pbs.twimg.com/media/DoCGrpCWkAAmU-0.jpg</t>
  </si>
  <si>
    <t>من فقط یه اسکرین شات ساده گرفتم😂😂 #پرسپولیس #دربی</t>
  </si>
  <si>
    <t>نایاب برانکو پور</t>
  </si>
  <si>
    <t>محمدرضا احمدى به عنوان گزارشگر #دربى فردا انتخاب شد. حالا به نظرتون هتريك مى كنه يا پاس ميده؟ ⚽️⚽️⚽️</t>
  </si>
  <si>
    <t>‏‏‏‏‏‏‏گُرگ‌سا؛تنها بازمانده گونه‌ای نادر از گرگ‌سانان که مهندسی برق میخونه⚡ ‎‎‎‎‎‎#fcbayernmünchen ❤ ‎‎#persepolis ❤ ‎‎#adele ❤ instagram: dorsa_mahdigholi</t>
  </si>
  <si>
    <t>ایستگاه بین‌المللی فضایی🌌</t>
  </si>
  <si>
    <t>Gorgsa🐺🇩🇪</t>
  </si>
  <si>
    <t>واژه ها ازم فرار میکنن ،،،قصه ای کوتاه. خیلی وقته جوهر قلم دواتمون رنگ اب به خودش گرفته.</t>
  </si>
  <si>
    <t xml:space="preserve">خانه به دوشم </t>
  </si>
  <si>
    <t>2fan 🏳️</t>
  </si>
  <si>
    <t>‏‏ می‌نویسم ولی به قول فروغ با همین دستای سیمانی</t>
  </si>
  <si>
    <t xml:space="preserve">Tehran شهر مرده ها </t>
  </si>
  <si>
    <t>RT @PerspolisFCIran: محمدرضا احمدى به عنوان گزارشگر #دربى فردا انتخاب شد. حالا به نظرتون هتريك مى كنه يا پاس ميده؟ ⚽️⚽️⚽️</t>
  </si>
  <si>
    <t>پسر تیر ماه  🦋🌵🦀</t>
  </si>
  <si>
    <t>‏به دنبال سنگ بزرگتری باش برای بستن بالهای من ! این گنجشک دلشکسته میل عقاب شدن دارد</t>
  </si>
  <si>
    <t>Freis</t>
  </si>
  <si>
    <t>‏‏غریب گشت چنان فکرهای ما صائب/ که نیست چشم به تحسین هیج کس مارا</t>
  </si>
  <si>
    <t>👑amir.1977👑</t>
  </si>
  <si>
    <t>آزاد شده از زندانِ ذهن .....</t>
  </si>
  <si>
    <t>Raha</t>
  </si>
  <si>
    <t>https://pbs.twimg.com/media/DjBnDL4XsAA1wOP.jpg</t>
  </si>
  <si>
    <t>RT @fereshtevpt: ما دخترهاي #پرسپوليسي بازي هاي #پرسپولیس و با قلبمون ❤️ ميبينم نه تو #ورزشگاها</t>
  </si>
  <si>
    <t>این کاربر بی دهن بد اعصاب است. یا یه همچین چیزی</t>
  </si>
  <si>
    <t>دوستان توی بازی فردا اگه اتفاقات عجیب و غریب افتاد مثل حمله آدم فضایی‌ها به زمین یا ظهور مجدد حضرت موسا با عصاش اصلا تعجب نکنید. به هر حال شرایط سیاسی حکم میکنه. #دربی #ایران</t>
  </si>
  <si>
    <t>بی دهن بد اعصاب</t>
  </si>
  <si>
    <t>http://Instagram.com/emad.mirheli</t>
  </si>
  <si>
    <t>♀Respect our thoughts and tastes♀ ♂lnterested in music, football, cinema♂</t>
  </si>
  <si>
    <t>IRAN</t>
  </si>
  <si>
    <t>Emad Mirheli</t>
  </si>
  <si>
    <t>‏‏‏‏‏‏‏‏‏‏پلنگ من دل مغرورم پرید و پنجه به خالی زد که عشق ماه بلند من ورای دست رسیدن بود</t>
  </si>
  <si>
    <t>mah o palang🏳</t>
  </si>
  <si>
    <t>http://zardpress.wordpress.com</t>
  </si>
  <si>
    <t>International Relations and Security MA. Independent Journalist.</t>
  </si>
  <si>
    <t>درآمد سالانه شفر حدود ۱۳ میلیارد تومان درآمد سالانه برانکو حدود ۱۸ میلیارد تومان درآمد متوسط یک خانواده شهری ایرانی حدود ۴۴ میلیون تومان. نتیجه هنر شفر ۶۸ ساله که شایعه شده آلزایمر داره رسوندن استقلال به رتبه ۱۱ درمیان ۱۶ تیمه! #دربی_پایتخت #دربی_۸۸ #استقلال #پرسپولیس #شفر</t>
  </si>
  <si>
    <t>Hooman Mirghasemi</t>
  </si>
  <si>
    <t>🌸🌸🌸🌸🌸</t>
  </si>
  <si>
    <t>پارستزی</t>
  </si>
  <si>
    <t>...</t>
  </si>
  <si>
    <t xml:space="preserve">ایران </t>
  </si>
  <si>
    <t>mehrdadsoufi</t>
  </si>
  <si>
    <t>‏‏‏‏‏‏‏🌠وطن پرست🌠 - 👑شاهزاده رضا پهلوی💛 - سکولار - پادشاهی پارلمانی - ‎#اتحاد_براندازان 🚫مجاهدین🚫</t>
  </si>
  <si>
    <t>Ritaaa🌈👑</t>
  </si>
  <si>
    <t>‏Electrical Eng at Isfahan University</t>
  </si>
  <si>
    <t>pic.twitter.com/MK9bAkXPqs</t>
  </si>
  <si>
    <t>RT @IranVarzeshi: لا لا لا لا... گل سوم #منشا به الدحیل با صدای گزارشگر شبکه بی‌این اسپورتس قطر #پرسپولیس #پرسپولیس_الدحیل</t>
  </si>
  <si>
    <t>Mahdi</t>
  </si>
  <si>
    <t>Dentist الله</t>
  </si>
  <si>
    <t>Yazd_ardakan_isfahan</t>
  </si>
  <si>
    <t>از امروز دیگه دلار رو بیخیال. #پرسپولیس رو عشقه</t>
  </si>
  <si>
    <t>Ali Azemi Ardakani</t>
  </si>
  <si>
    <t>‏‏‏‏‏‏‏‏‏‏‏‏‏‏‏‏‏‏‏‏‏‏‏‏‏‏دیوار کشیدم دور‌ خودمون من همون گواهی پزشکی بودم که غیبت موجه میکرد ، بعد انقضاش هم پرت میشد تو اشغالی.</t>
  </si>
  <si>
    <t>کی مرتضا</t>
  </si>
  <si>
    <t>poria</t>
  </si>
  <si>
    <t>http://t.me/narcotic_music</t>
  </si>
  <si>
    <t>‏‏‏‏‏‏‏‏‏‏‏‏‏‏‏‏‏‏‏‏عضو دائمی جنبش عدم تحرک|سرخِ سیاووشان در فصلِ فراوانی</t>
  </si>
  <si>
    <t>middle fuckin east</t>
  </si>
  <si>
    <t>هنوز هم هستن کساییکه برای دیدن بازی #دربی از یه شب قبلش برن دم در ورزشگاه بخوابن؟ ۲۰۱۸؟ استقلال پرسپولیس آخه؟</t>
  </si>
  <si>
    <t>•وصل به جریان•</t>
  </si>
  <si>
    <t>‏فعال حقوق پایه وزارت کار</t>
  </si>
  <si>
    <t>عَلَسگَر</t>
  </si>
  <si>
    <t>‏‏‏‏گفتند پیامبری امده است گفتم دهان دارد گفت اری گفتم برای خوردن امده است.</t>
  </si>
  <si>
    <t>بی سرزمین تر از باد</t>
  </si>
  <si>
    <t>خیام خیابونا</t>
  </si>
  <si>
    <t>كاراته كا🖤🥋❤️❤️پرسپوليس❤️❤️بارسلونا❤️💙يوونتوس🏁"متاهل"*كم ادبم مشكل دارى بكيرم بلاك آنبلاك كن*</t>
  </si>
  <si>
    <t>RT @Virgin_Wolf: سلام تولد رقیبمون باشگاه #استقلال رو تبریک میگم هدیه تولد واسشون نردبون اوردم بلکه به آرزوی 4ساله شون برسن و بیان بالا مبارک باشه:))))))</t>
  </si>
  <si>
    <t>🌵سارا🌵</t>
  </si>
  <si>
    <t>@Donya95245065♥️♥️</t>
  </si>
  <si>
    <t>вахйд</t>
  </si>
  <si>
    <t>https://telegram.me/harfbzanbot?start=XlBByvl</t>
  </si>
  <si>
    <t>‏‏‏‏‏‏‏‏‏‏‏‏‏‏‏‏‏‏‏‎‎‎‎‎‎‎‎‎‎‎‎‎‎‎قــــرمـز😍 ‎‎‎‎#Perspolis ❤❤❤❤❤❤ ‎‎‎‎‎ ‎‎‎‎‎‎‎‎‎‎‎‎‎‎‎‎‎‎‎#بختیـــاری من خود به چشم خویشتن دیدم که جانم می رود...</t>
  </si>
  <si>
    <t>اهواز</t>
  </si>
  <si>
    <t>پــریـا👻</t>
  </si>
  <si>
    <t>‏‏‏‏فعال حقوقی 💚دوستدارِ ایرانِ سکولار❤ 👈بی دین👉 ‎‎‎ ‎‎#فَرَشگَرد ⛔آشغال و عرزشی و مجاهد⛔ ‎#براندازم</t>
  </si>
  <si>
    <t>پرشیا</t>
  </si>
  <si>
    <t>عدالت گمشده</t>
  </si>
  <si>
    <t>‏به صحرا شدم عشق باریده بود</t>
  </si>
  <si>
    <t>قبیله یک نفره</t>
  </si>
  <si>
    <t>حکیم کتک خورده</t>
  </si>
  <si>
    <t>http://www.rezabehjat.com</t>
  </si>
  <si>
    <t>Dreamer / Destroyer</t>
  </si>
  <si>
    <t>New York</t>
  </si>
  <si>
    <t>https://twitter.com/amirpoormehdi/status/1044934856906608640</t>
  </si>
  <si>
    <t>این ویژگی ماست آقای #شفر ما ملت فراموشکاری هستیم #استقلال RT @AmirpoorMehdi: آقای #شفر معذرت می‌خواهیم! این ماییم که #آلزایمر داریم! این ماییم که فراموش کردیم سال گذشته شما #استقلال را در رده پانزدهم جدول تحویل گرفتیم و به مقام سوم رساندید. این ماییم که از یاد بردیم چطور دربی را بردید و این ماییم که فراموش کردیم که همیشه در هر حالتی محترمانه حرف می‌زنید</t>
  </si>
  <si>
    <t>ReZa</t>
  </si>
  <si>
    <t>براندازم... افتخارم برای همه ی عمر</t>
  </si>
  <si>
    <t>everywhere...</t>
  </si>
  <si>
    <t>آریا استارک(Arya Stark)</t>
  </si>
  <si>
    <t>عمو زنجیر باف</t>
  </si>
  <si>
    <t>Saba</t>
  </si>
  <si>
    <t>حسين مركز عاشقي است...</t>
  </si>
  <si>
    <t>🇮🇷 ايران سربلند🇮🇷</t>
  </si>
  <si>
    <t>a l i</t>
  </si>
  <si>
    <t>یک عدد برانداز در ایران آشغالی</t>
  </si>
  <si>
    <t>دارکوب🏳️</t>
  </si>
  <si>
    <t>‏‏‏‏‏‏‏‏‏‏‏‏‏‏‏‏‏‏‏‏‏‏‏‏ شهروند عادی</t>
  </si>
  <si>
    <t xml:space="preserve">تباهی </t>
  </si>
  <si>
    <t>آلبِرت 🏳️</t>
  </si>
  <si>
    <t>I have a dream ...</t>
  </si>
  <si>
    <t>Martin</t>
  </si>
  <si>
    <t>Adrii💫</t>
  </si>
  <si>
    <t>Viva</t>
  </si>
  <si>
    <t>خنگول بچه ديروز</t>
  </si>
  <si>
    <t>كارشناسي ارشد مهندسي مواد و متالورژي، سازنده طلا و جواهر ، فروش نقره و بدليجات</t>
  </si>
  <si>
    <t>Iran, Alborz, Karaj</t>
  </si>
  <si>
    <t>ديگه حال و حوصله كل كل #دربي هم ندارم تو اين اوضاع و احوال</t>
  </si>
  <si>
    <t>كنت مونت محسن</t>
  </si>
  <si>
    <t>http://harfbeman.com/@arameesh123</t>
  </si>
  <si>
    <t>‏‏‏‏‏‏‏‏‏‏‏‏مهربونیاتونُ خرج کنید برای هم،قبل اینکه خیلی‌ زود دیر بشه💞💞💞 ❤پرسپولیسی ترینم❤</t>
  </si>
  <si>
    <t xml:space="preserve"> </t>
  </si>
  <si>
    <t>Tahere</t>
  </si>
  <si>
    <t>‏‏‏‏‏‏‏‏‏‏‏‏‏‏ ‎‎‎‎‎‎‎#براندازم 🏳️ مجاهدین ⛔</t>
  </si>
  <si>
    <t xml:space="preserve">iran </t>
  </si>
  <si>
    <t>کال دروگو</t>
  </si>
  <si>
    <t>‏‏‏‏‏در حال ساخت مجدد دنیای رنگی رنگی😎</t>
  </si>
  <si>
    <t>RT @fransaeedsam: انقدری که تو توئیتر نظرسنجی بردو باخت برا #دربی میزارن، فردوسی پور تو برنامه نود نزاشته تاحالا. از الان تا دو سه روز دیگه گاییدس تایملاین</t>
  </si>
  <si>
    <t>ستایش</t>
  </si>
  <si>
    <t>‏‏‏‏‏‏‏‏‏‏‏‏‏‏‏من از مرگ در راە عقایدم نمی ترسم از زندگی کردن در میان عقاید مردە می ترسم هەژار+شێرکو بێکەس+صادق هدایت+اگزیستانسیالیسم+‎‎‎‎‎‎‎‎‎‎‎‎‎‎#آتئییست</t>
  </si>
  <si>
    <t>#کردستان_خونین</t>
  </si>
  <si>
    <t>Raman1986Revolution</t>
  </si>
  <si>
    <t>وطن دوست ، ازادیخواه، بشدت ناامید از اینده ،خسته از زندگی و غمگین</t>
  </si>
  <si>
    <t>ایران بدون شاهنشاه</t>
  </si>
  <si>
    <t>Sarab</t>
  </si>
  <si>
    <t>‏‏‏‏‏‏‏‏در این گنبد ز بی مغزی سخن بسیار می‌پیچد ☢ فالو↔️بک ⛔عرزشی هستی برو نبینمت 📛عشقپولیس</t>
  </si>
  <si>
    <t>Republic of Iran</t>
  </si>
  <si>
    <t>ما برانکو داریم، دربی رو (هم) میبریم ❤❤❤❤❤❤ ✌ #عشقپولیس #دربی #پرسپولیس #پرسپولیس_سرور_استقلالِ</t>
  </si>
  <si>
    <t>یه‌صادقم؛</t>
  </si>
  <si>
    <t>🇩🇪🇩🇪🇩🇪mia-San-mia🇩🇪🇩🇪🇩🇪</t>
  </si>
  <si>
    <t>🇮🇷Arian</t>
  </si>
  <si>
    <t>‏‏‏‏‏ورود مجاهدین خلق عرزشی واصلاح طلب و اصولگرا =بلاک و 🚫🚫 ورود هر چی ربات برانداز مجاهدین خلق=بلاک🚫🚫کراش داشتن روی من🚫سوال پرسیدن راجب مسائل شخصی من🚫🚫</t>
  </si>
  <si>
    <t>RT @Ye_Sadegh: ما برانکو داریم، دربی رو (هم) میبریم ❤❤❤❤❤❤ ✌ #عشقپولیس #دربی #پرسپولیس #پرسپولیس_سرور_استقلالِ</t>
  </si>
  <si>
    <t>Maryam</t>
  </si>
  <si>
    <t>💙Més que un club❤ . . . perspolis❤</t>
  </si>
  <si>
    <t>Barcelona</t>
  </si>
  <si>
    <t>https://pbs.twimg.com/media/DoCKw2WWsAAlI9P.jpg</t>
  </si>
  <si>
    <t>وضعیت الان استقلالیا #دربی</t>
  </si>
  <si>
    <t>سیّد اِف سی بارسا🇦🇷</t>
  </si>
  <si>
    <t>Truth, Rumor, Misinformation, Opinion, ... In the post-truth era people only see what they believe. ‌►[RT ≠ Endorsement]◄</t>
  </si>
  <si>
    <t>Air</t>
  </si>
  <si>
    <t>وارگا</t>
  </si>
  <si>
    <t>RT @hamed_sh80: یه سریا اگر واقعا ادعای #پرسپولیسی بودنشون میشه لطفا باعقلُ دلتون هوادارباشید اجازه ندید دم دربی کسی حاشیه ای واسش درست کنه🙏❤ #پرسپولیس #کوچه_مردا #شرف_ناموس_پرسپولیس</t>
  </si>
  <si>
    <t>‏‏‏‏به 10k رسیدم میگم چیا بخورین چیا نخورین فیک هم باباته</t>
  </si>
  <si>
    <t>RT @seyed_fc_barca: وضعیت الان استقلالیا #دربی</t>
  </si>
  <si>
    <t>پروفسور سمیعی</t>
  </si>
  <si>
    <t>..يك عدد احمق،بيكار حال و انگار اينده</t>
  </si>
  <si>
    <t>تو كوچه اونا</t>
  </si>
  <si>
    <t>حاجي ملخي</t>
  </si>
  <si>
    <t>‏‏‏‏‏‏زندگی حس غریبی‌ست که یک مرغ مهاجر دارد</t>
  </si>
  <si>
    <t>Benin</t>
  </si>
  <si>
    <t>محرداد</t>
  </si>
  <si>
    <t>PhD in international relations; political analyst &amp;poet</t>
  </si>
  <si>
    <t>On The Earth</t>
  </si>
  <si>
    <t>Akbarabady_reza</t>
  </si>
  <si>
    <t>Chief financial officer Beaten</t>
  </si>
  <si>
    <t>Sepanta</t>
  </si>
  <si>
    <t>‏‏گرچه شب تاریک است دل قوی دار سحر نزدیک است</t>
  </si>
  <si>
    <t>خط آفساید</t>
  </si>
  <si>
    <t>follow = follow back</t>
  </si>
  <si>
    <t>هیچ‌چیز نمیتونست فوتبال‌رو ازمون بگیره. تحت هر شرایطی براش هیجان داشتیم. اما امروز خیلیامون اصلا حواسمون نیست فردا دربیه. #IraniansWantRegimeChange #دربی</t>
  </si>
  <si>
    <t>سیب خنده( گریه )</t>
  </si>
  <si>
    <t>منو ريت كنيد</t>
  </si>
  <si>
    <t>مارى هانس</t>
  </si>
  <si>
    <t>گاهی #شاعر، گاهی نویسنده، گاهی #روزنامه‌نگار، گاهی اهل عرفان، گاهی سیاسی، گاهی دانشجو، بیشتر اوقات هم #دیوونه / دانشجوی علوم سیاسی دانشگاه فردوسی #شاهد_بنی_اسدی</t>
  </si>
  <si>
    <t>مشهد</t>
  </si>
  <si>
    <t>#طرفدار کدومید؟ #دربی</t>
  </si>
  <si>
    <t>شاهد بنی اسدی</t>
  </si>
  <si>
    <t>http://Instagram.com/mraliaz8</t>
  </si>
  <si>
    <t>‏‏‏‏‏‏‏‏‏‏‏‏° ‏‏تو بازاری مَرد بمون،که توش پرچمِ نامرد بالاس° FC Barcelona, Fc Persepolis, Hip Hop</t>
  </si>
  <si>
    <t>https://pbs.twimg.com/media/DoCMd-CWkAIFCIq.jpg</t>
  </si>
  <si>
    <t>هیچ جای دنیا لباس دو تا تیم همشهری اسپانسرشیپ،اسپانسر ورزشی عیناً مثه هم نیست. حالا خوبه رنگ لباس و لوگو فرق میکنن باهم #دربی #پرسپولیس #استقلال #دربی۸۸ #اسنپ</t>
  </si>
  <si>
    <t>Ali AZimi 🇮🇷</t>
  </si>
  <si>
    <t>‏‏‏‏‏خبرنگار ورزشی 💙⚽📝</t>
  </si>
  <si>
    <t>خاورمیانه لعنتی</t>
  </si>
  <si>
    <t>pic.twitter.com/UHetGfVTLi</t>
  </si>
  <si>
    <t>این #دربی برای من فوران آدرنالین،استرس،خشم،شادی و در یک کلام هیجان در 7 سالگی بود... جیغ هایی که بعد گل #پیروز_قربانی میکشیدم و همسایه ای که از ترسش دوید توی راهرو و اومد در خونمون که ببینه چی شده هنوز جلوی چشممه... #استقلال #پرسپولیس</t>
  </si>
  <si>
    <t>حاج عرفان</t>
  </si>
  <si>
    <t>‏‏خبرنگار و روزنامه نگار</t>
  </si>
  <si>
    <t>هیچ‌چیز نمیتونست #فوتبال‌ رو ازمون بگیره. تحت هر شرایطی براش هیجان داشتیم. اما امروز خیلیامون اصلا حواسمون نیست فردا دربیه😐🛅🔴🔵 #دربی #گرانی</t>
  </si>
  <si>
    <t>Laleh A.Taghavi</t>
  </si>
  <si>
    <t>worry less,smile more😊😉 🏆❤red partizan❤🏆</t>
  </si>
  <si>
    <t>Reziii♀️</t>
  </si>
  <si>
    <t>‏‏#جمهوری_اسلامی_انتخاب_من_نیست #روبان_سفید_آزادی</t>
  </si>
  <si>
    <t>arash seturban</t>
  </si>
  <si>
    <t>مريمم...اما شوما مَرمي صدا كن...</t>
  </si>
  <si>
    <t>مَرمي خاتون🎗</t>
  </si>
  <si>
    <t>ریتوییتر 👀</t>
  </si>
  <si>
    <t>طبیب</t>
  </si>
  <si>
    <t>Neuroradiologist/ Author "Iran's Nowruz Revolution"/ CEO&amp; Founder Amnion Life Medical Devices/ Activist for a Free and Prosperous Iran</t>
  </si>
  <si>
    <t>California, USA</t>
  </si>
  <si>
    <t>Amir Fassihi</t>
  </si>
  <si>
    <t>‏براندازم</t>
  </si>
  <si>
    <t>ایران بزرگ</t>
  </si>
  <si>
    <t>قاچاخ نبی</t>
  </si>
  <si>
    <t>‏‏‏‏‏‏master of civil engineering, structure. فرهنگی,فرهیخته,مؤدب,وطن پرست, به موقع هم منال کرماشان و روودار. عاشق همسرم و ایران هستم.</t>
  </si>
  <si>
    <t>ایران - Iran</t>
  </si>
  <si>
    <t>RT @khabaronlinee: پیش‌بینی شما از نتیجه #دربی هشتاد و هشتم چیست؟</t>
  </si>
  <si>
    <t>amir (دایی امیل)</t>
  </si>
  <si>
    <t>‏‏‏‏فالو=بَک ✌(عرزشی ⛔ مجاهد) ‏‏‏‏‏‏‏‏📜 رُخداد‌ها و افکارِ روزانه 📜 دوستدارانِ ج‌ا و مجاهدین خواهشمندم اجازه بدید این روح در آرامش بماند 🙌 🔙Follow</t>
  </si>
  <si>
    <t xml:space="preserve">سَرگَردان زیرِ توئیتِ ملّت </t>
  </si>
  <si>
    <t>فردا #دربی برگزار میشه. یه اعتراض مسالمت‌آمیز با یه شعار قشنگ از صدهزارنفر خیلی دیده و شنیده میشه. الان دیگه رسانه فقط صداوسیما نیست. اونا که اینجا صداشون بلنده هماهنگش کنن. اینجوری با هر نتیجه‌ای که بدست بیاد از تماشای دربی لذت بُردیم. #IraniansWantRegimeChange</t>
  </si>
  <si>
    <t>👻ghost👻</t>
  </si>
  <si>
    <t>https://pbs.twimg.com/media/DoApY0YWkAEE6U9.jpg</t>
  </si>
  <si>
    <t>RT @Beth7876: ما که برنده دربی هستیم ولی (محال درصد) هم آبیا ببرن با توجه به جدول؛ همگی تکرار کنید: #پرسپولیس_سرور_استقلالِ #دربی</t>
  </si>
  <si>
    <t>https://pbs.twimg.com/media/DoAiTqbXgAAjwT7.jpg</t>
  </si>
  <si>
    <t>RT @Donisss71: ♥️💪 #پرسپولیس</t>
  </si>
  <si>
    <t>https://telegram.me/HarfBeManBot?start=MjEwMzU1MDI2</t>
  </si>
  <si>
    <t>عاشق طبیعت گردی، کمپینگ، ماهیگیری و فوتبال. در این پروفایل به اکثر اکانتها به ویژه جدیدها فالو بک داده می شود. دوست استقلالی، خودت فالو کن دیگه</t>
  </si>
  <si>
    <t>tehran but where i prefer</t>
  </si>
  <si>
    <t>جاناتان مرغ مهاجر</t>
  </si>
  <si>
    <t>Statistical analysis and data reconfiguration......so back dahande..... .....and civil engineer student of nakoja abad :)))</t>
  </si>
  <si>
    <t>Chandler bing</t>
  </si>
  <si>
    <t>‏به یاد تمام قربانیان راه ‎#آزادی</t>
  </si>
  <si>
    <t>قفس</t>
  </si>
  <si>
    <t>https://pbs.twimg.com/media/DoCOb7zXUAMsAEx.jpg</t>
  </si>
  <si>
    <t>RT @themullahHunter: فردا در ورزشگاه آزادی هر چه فریاد داریم بر سر #دیکتاتور میزنیم #دیکتاتور_به_پایان_سلام_کن #مرگ_بر_خامنه_ای #دربی #استقلال #پرسپوليس #IraniansWantRegimeChange</t>
  </si>
  <si>
    <t>#جناب_خروس</t>
  </si>
  <si>
    <t>#رائفی_پور</t>
  </si>
  <si>
    <t>فارس .نوراباد</t>
  </si>
  <si>
    <t>سجاد زندی لک</t>
  </si>
  <si>
    <t>فقط پرسپوليس</t>
  </si>
  <si>
    <t>Mohsen</t>
  </si>
  <si>
    <t>https://pbs.twimg.com/media/DoCSee_XkAAk5rN.jpg</t>
  </si>
  <si>
    <t>گفتم در جریان بزارمتون 😎😎 به امید برد پر گل #پرسپولیس جان 😍😍😍❤❤❤ #پرسپولیس_جانم😍 #پرسپولیس_سرور_استقلال😎ِ #پرسپولیس_قهرمان❤</t>
  </si>
  <si>
    <t>Parsi</t>
  </si>
  <si>
    <t>https://telegram.me/HarfBeManBot?start=MjU4MzE1MDIx</t>
  </si>
  <si>
    <t>ابرم که تلخ گیرم و شیرین عوض دهم 🌧</t>
  </si>
  <si>
    <t>IRAN,TEHRAN</t>
  </si>
  <si>
    <t>توییت #پرسپولیسیا فردا این موقعا بعضیا شاید برنده نباشن ولی خب پیروزن و خسته نباشن :))) #دربی 💙💙💙💙</t>
  </si>
  <si>
    <t>هاناز 🐝</t>
  </si>
  <si>
    <t>http://iharf.me/?start=1918751124</t>
  </si>
  <si>
    <t>‏اللهم عجل لولیک الفرج🇮🇷سرباز ولایت🇮🇷بسیجی🇮🇷رزمی کار🇮🇷 💪 شد،شد؛نشد میریم محلشون💪</t>
  </si>
  <si>
    <t>🇮🇷مستر سیبیلو🇮🇷</t>
  </si>
  <si>
    <t>‏‎‎‎#حامی_شاهزاده_رضاپهلوی_هستم ‎‎‎#جاویدشاه شعار من:به مشکلات ریشه ای نگاه کنیم</t>
  </si>
  <si>
    <t>💙Abo👑</t>
  </si>
  <si>
    <t>‏‏ایرانی ام نه اصلاح طلب نه ارزشی و نه مجاهد ایران من بزرگتره master of accounting iran persepolise persian gulf Bayern monchen Barcelona Manchestern united</t>
  </si>
  <si>
    <t>aria</t>
  </si>
  <si>
    <t>👈❤ پرسپولیس❤💄👠 ⚽️🌹🎸 ‌ ‌ ‌ ‌ ‌ ‌ ‌ ‌</t>
  </si>
  <si>
    <t>https://pbs.twimg.com/media/DoCTAYPXoAEdz5T.jpg</t>
  </si>
  <si>
    <t>به نظرتون فرداشب این موقع هاهتریک کرده یاپاس داده🤔😂😂 #پرسپولیس #محمدرضا_احمدی</t>
  </si>
  <si>
    <t>حمے</t>
  </si>
  <si>
    <t>https://pbs.twimg.com/media/DoATmi3XUAEwAFm.jpg</t>
  </si>
  <si>
    <t>RT @Red_adore_angel: جان و جهان من تویی سیر نمیشوم زتو ❤ #پرسپولیس</t>
  </si>
  <si>
    <t>RT @H_ra19270: به نظرتون فرداشب این موقع هاهتریک کرده یاپاس داده🤔😂😂 #پرسپولیس #محمدرضا_احمدی</t>
  </si>
  <si>
    <t>https://telegram.me/harfbzanbot?start=xBVm7p</t>
  </si>
  <si>
    <t>پخش اراجیف صوتی و متنی 📻 تهیه کننده و ‌گوینده رادیو📻🎧پادکست ساز🎧 #نیروانا #پرسپولیس</t>
  </si>
  <si>
    <t>تهرون</t>
  </si>
  <si>
    <t>رادیو بهنام📻</t>
  </si>
  <si>
    <t>RT @Pariiia1: گفتم در جریان بزارمتون 😎😎 به امید برد پر گل #پرسپولیس جان 😍😍😍❤❤❤ #پرسپولیس_جانم😍 #پرسپولیس_سرور_استقلال😎ِ #پرسپولیس_قهرمان❤</t>
  </si>
  <si>
    <t>در خموشی های من فریادهاست...❤A❤</t>
  </si>
  <si>
    <t>RT @tajdaram: جدا با این وضعیت ایران و دیدن فقیر شدن مردم چطور میتونم حسی به #دربی داشته باشم هر جا میرم مردم از نداری و بدبختی و گرفتاریشون میگن یادمه یه وقتی شبهای نزدیک دربی غوغایی بود ولی دیگه حسی نیست تف بهتون که این شور رو از مردم گرفتید</t>
  </si>
  <si>
    <t>🌟Sara🌟</t>
  </si>
  <si>
    <t>من خودم تاجی 2 آتیشه هستم یه بار تو عمرمون دِربی بیخیال برد و باخت باشیم #استقلال #پرسپوليس #دربی #ما_همه_با_هم_هستیم</t>
  </si>
  <si>
    <t>yootab</t>
  </si>
  <si>
    <t>perspolis❤️ urbanplaning 🖋Airline employee✈️</t>
  </si>
  <si>
    <t>EA❤️❤️❤️❤️❤️❤️</t>
  </si>
  <si>
    <t>شهد شیرین شریان شعور، ترس این شیب اَ شب های صعود</t>
  </si>
  <si>
    <t>همینجا</t>
  </si>
  <si>
    <t>RT @lostghost007: فردا #دربی برگزار میشه. یه اعتراض مسالمت‌آمیز با یه شعار قشنگ از صدهزارنفر خیلی دیده و شنیده میشه. الان دیگه رسانه فقط صداوسیما نیست. اونا که اینجا صداشون بلنده هماهنگش کنن. اینجوری با هر نتیجه‌ای که بدست بیاد از تماشای دربی لذت بُردیم. #IraniansWantRegimeChange</t>
  </si>
  <si>
    <t>scarface II</t>
  </si>
  <si>
    <t>یک شاهِ همیشه در سفر👑 ارشد صنعتی باریستا ☕ صداپیشه و مجری رادیو CEO &amp; Founder of "PersianBarista" Institute Official mentor of COMITATO CAFFE ITALIANO</t>
  </si>
  <si>
    <t>مارکوپولوی ۲</t>
  </si>
  <si>
    <t>یه زمان شب قبل #دربی جلوی استادیوم خوابیدیم بَس که هیجان و استرس داشت. چرا راه دور. شور و هیجان بازی الوحده رو با الان مقایسه کنید. یه طرفدار #پرسپولیس یا #استقلال پیدا نمیکنی دل و دماغ کُری داشته باشه. جداً چی به سرمون اومد. بلیط بازی رو دارم و نمیرم احتمالا -_-</t>
  </si>
  <si>
    <t>امیر شآه 👑</t>
  </si>
  <si>
    <t>http://t.me/qazaalfm</t>
  </si>
  <si>
    <t>‏‏‏‏‏‏‏دانشجوی روانشناسی💪 فمنیست</t>
  </si>
  <si>
    <t>shiraz, Iran</t>
  </si>
  <si>
    <t>آهوی دشتِ زنگاری</t>
  </si>
  <si>
    <t>مادر سه فرزند</t>
  </si>
  <si>
    <t>https://pbs.twimg.com/media/Dn2QHMnXsAAqYpK.jpg</t>
  </si>
  <si>
    <t>RT @Ghahhar: #علی_کریمی یکی از ضعیف ترین تیمهای تاریخ لیگ برتر رو تحویل گرفت بازی سپیدرود با #پرسپولیس رو دیدید؟ تیمش۱۱نفره برای نتیجه گرفتن دفاع کرد؟ ضدفوتبال کرد؟ . به گلرش بخاطر وقت کشی شدیدا انتقاد کرد سر ِ مربی دروازه بانش هم فریاد کشید . فکر کنم فلسفه مربیگریش این باشه: ترسو، یک بزدله!</t>
  </si>
  <si>
    <t>masdi</t>
  </si>
  <si>
    <t>مجتبی</t>
  </si>
  <si>
    <t>‏‏‏‏‏‏‏‏‏‏‏‏‏‏‏‏‏‏‏‏‏پژوهشگر زبان و ادبیات فارسی.... ‏‏هر کسی با هر عقیده ای هستید قابل احترامید. تا زمانی که بی احترامی فحاشی یا تجاوز به حق دیگران نکنید... مت</t>
  </si>
  <si>
    <t>Azadeh_Mohammadiyeh (فکر آزاد)</t>
  </si>
  <si>
    <t>sahin</t>
  </si>
  <si>
    <t>http://piroozidaily.ir</t>
  </si>
  <si>
    <t>پیروزی اولین و تنها روزنامه هواداری پرسپولیس است که از سال ۱۳۷۶ منتشر و تاکنون بصورت منظم همه‌روزه چاپ و در سراسر کشور توزیع می‌شود.</t>
  </si>
  <si>
    <t>Tehran, Iranآدرس: ‌تهران، میدان فاطمی، ‌خیابان جویبار، کوچه نوربخش، پلاک 20 تلفن 88933030</t>
  </si>
  <si>
    <t>پیش‌بینی شماره از نتیجه #دربی ؟</t>
  </si>
  <si>
    <t>روزنامه پیروزی</t>
  </si>
  <si>
    <t>‏معلم و متعلم</t>
  </si>
  <si>
    <t>https://twitter.com/zahrachakhmaghi/status/1044933271782592513</t>
  </si>
  <si>
    <t>زهی خیال باطل!! حتی کسانی که بخوان این توییت رو فیو بزنن هم این قلبه قرمز میشه! #پرسپوليس RT @zahrachakhmaghi: ديگه فعلاً فقط ترجيح ميدم به اين فكر كنم كه به اميد خدا فردا استقلال پيروز ميدان ميشه . 💙</t>
  </si>
  <si>
    <t>مهدی موحدکیا</t>
  </si>
  <si>
    <t>زنــدگــے آمــدن و بــودن و جــارے شــدن اســت ...</t>
  </si>
  <si>
    <t>🏴 آبـــــــاندخـــــــت 🏴</t>
  </si>
  <si>
    <t>‏‏‏‏‏‏‏‏‏‏‏‏‏‏‏‏‏‏‏‏‏‏حضرت آقا ما همه از خاکیم و شما از عشق ❤ 8 ❤ پرسپولیس ، متاهل 🙆</t>
  </si>
  <si>
    <t>ahvaz</t>
  </si>
  <si>
    <t>حضرت عشق 8</t>
  </si>
  <si>
    <t>‎‎#ktbffh 💙</t>
  </si>
  <si>
    <t>یه زمانی قبل #دربی کُلی کل کل میکردیم الان رمقی واسمون نمونده مثله هروشیمای بعده بمب یا لهستان بعدِ به آتش کشیده شدن #دمتونگرم #دلار</t>
  </si>
  <si>
    <t>amin</t>
  </si>
  <si>
    <t>https://telegram.me/harfbzanbot?start=ApzW5xz</t>
  </si>
  <si>
    <t>دخترکِ تاجی-رئالی💙👑⚪️ دانشجوی مدیریتِ بازرگانی📚 شدیدا لجباز و یک‌دنده👅، بسیار حساس☠️ غُرغُرو🗣 و البته خسته🐼🐾 بهمن‌ماهی😌♒️ با کودکِ درونِ بیش‌فعال👼🏻🍫</t>
  </si>
  <si>
    <t>نصفِ جهان ^.^</t>
  </si>
  <si>
    <t>زَه‌را💙🐼</t>
  </si>
  <si>
    <t>‏‏‏‏فعال سیاسی اصلاح طلب...</t>
  </si>
  <si>
    <t>سیدرضاقنبری</t>
  </si>
  <si>
    <t>‏‏‏‏‏‏‏‌‌‌‌‌‌‌‌‌‌‌‌‌‌‌‌‌‌‌‌‌‏ خبرنگار/طنزپرداز/همسر/پدر‌‏/نماینده مردم ‌‌‌‌‌‌‌‌‌‌‌‌‌‌‌‌‌‌‌‎‎‎‎‎#مشهد در توییتر</t>
  </si>
  <si>
    <t>🇮🇷</t>
  </si>
  <si>
    <t>اگه فردا پرسپولیس دربی و برد ریت کنین آبروم بره #استقلال 💙💪</t>
  </si>
  <si>
    <t>مرتضی قربانی💙</t>
  </si>
  <si>
    <t>‏‏‏‏‏‏همنوعت را مانند خودت دوست بدار ❤</t>
  </si>
  <si>
    <t>کمیاب خردادی⁦🏳️⁩👑☀️🦁</t>
  </si>
  <si>
    <t>کارشناس بهداشت عمومی</t>
  </si>
  <si>
    <t>RT @abo2575: من خودم تاجی 2 آتیشه هستم یه بار تو عمرمون دِربی بیخیال برد و باخت باشیم #استقلال #پرسپوليس #دربی #ما_همه_با_هم_هستیم</t>
  </si>
  <si>
    <t>mehrshad</t>
  </si>
  <si>
    <t>‏‏‏‏آتئیست، نئولیبرال، جهان وطن، علمگرا، پزشک، تحریم می کنم پس هستم، پرسپولیسی و رئالی. ورود همه آزاد است حتی استمرارطلب عرزشی سلطنت طلب و مجاهد به جز نژادپرست</t>
  </si>
  <si>
    <t>Earth</t>
  </si>
  <si>
    <t>شفر بیچاره رو هوش ایرانی به اندازه هوش آلمانی حساب باز کرده بود، در کنفرانس خبری از سخنگوی کنار دستش میپرسه که بازی بعدی ما با کی است که مثلا نشون بده بازی با #پرسپوليس واسش بی اهمیته و استرسو از تیمش برداره، نمیدونست که این ملت باهوش میگن آلزایمر داره. جدی #پرسپولیس_استقلال</t>
  </si>
  <si>
    <t>سم هریس ایرانی</t>
  </si>
  <si>
    <t>‏‏‏برازنده لقب ‎‎‎#براندازم</t>
  </si>
  <si>
    <t>بیحال باحال</t>
  </si>
  <si>
    <t>‏‏زندگی کردن سخته ولی مهندس بودن سختر💡 }:</t>
  </si>
  <si>
    <t>https://pbs.twimg.com/media/DoCV7H0XsAALxi9.jpg</t>
  </si>
  <si>
    <t>#روحانی خدا بگم چکارت کنه، چیی به سرمون آوردی.... #دلار #دربی #موقت #استقلال #ایران</t>
  </si>
  <si>
    <t>Reza Piri ☫</t>
  </si>
  <si>
    <t>محمد حسین جهانگیرزاده کارگردان فیلمبردار تدوین گر عکاس و....</t>
  </si>
  <si>
    <t>M.h.jahangirzadeh</t>
  </si>
  <si>
    <t>دختری تنها، با دغدغه های خاص ایرانی که سالاد درهمیست از مد و فشن و آرایش و سیاست و درس و کار و عشق...</t>
  </si>
  <si>
    <t>تا همین لیگ قبلی، شب قبل از #دربی چه دورهمیا و کل کلایی که نداشتیمممم، همه رو پروندین بی انصافا ):</t>
  </si>
  <si>
    <t>sahar bavafa</t>
  </si>
  <si>
    <t>مهِ سيما</t>
  </si>
  <si>
    <t>با دوتا پنجره بسته وكلا سيزده تا بازيكني كه داريم به نظرتون فردا چندتا به استقلال ميزنيم ؟! #پرسپولیس</t>
  </si>
  <si>
    <t>فالو كردن و بك دادن،تو اولويتهاي من نيست عشقش رو ندارم هوادارِ شاهزاده رضا پهلوي💙 #برندازم</t>
  </si>
  <si>
    <t>جان كازال</t>
  </si>
  <si>
    <t>Fail to prepare, Prepare to fail.</t>
  </si>
  <si>
    <t>Jakarta</t>
  </si>
  <si>
    <t>Imran Ahmad</t>
  </si>
  <si>
    <t>سکولار. ضد ظلم و ضد دیکتاتور</t>
  </si>
  <si>
    <t>free folks</t>
  </si>
  <si>
    <t>EE at kntu and shutterbug</t>
  </si>
  <si>
    <t>ســ ارا</t>
  </si>
  <si>
    <t>گمشده در خود...</t>
  </si>
  <si>
    <t>Daenerys Targaryen</t>
  </si>
  <si>
    <t>https://telegram.me/harfbzanbot?start=oddEK8Y</t>
  </si>
  <si>
    <t>‏‏عاشق دروازبانیم/زندگیم با ‎‎#پرسپولیسِ❤/عشقم ‎‎#Arsenal/توییت های این جانب ارزش قضایی ندارد/پیشگوی اعظم/مجاهدین و عرزشی ها ممنوع🚫⛔</t>
  </si>
  <si>
    <t>آنجا که دلبر خانه دارد</t>
  </si>
  <si>
    <t>ŘËŹÃ🏆</t>
  </si>
  <si>
    <t>کاش تمام میشد این روزهای سخت نبودنت ........</t>
  </si>
  <si>
    <t>RT @mmghorbani: اگه فردا پرسپولیس دربی و برد ریت کنین آبروم بره #استقلال 💙💪</t>
  </si>
  <si>
    <t>H.ashkriz.</t>
  </si>
  <si>
    <t>Just say God</t>
  </si>
  <si>
    <t>الان اونایی که دستشون تو جیب باباشون ذوق دارن واسه دربی وگرنه کسی که خودش باید کار کنه میفهمه که حس و حالی نیست تو این اوضاع... #دربی #استقلال #پرسپولیس</t>
  </si>
  <si>
    <t>🐜مورچه سیا🐜</t>
  </si>
  <si>
    <t>https://telegram.me/HarfBeManBot?start=OTY4ODkzNDQ</t>
  </si>
  <si>
    <t>‏‏‏‏زیر شمشیر غمش رقص کنان باید رفت/کان که شد کشته او نیک سرانجام افتاد. ‎‎#میگه ‎‎‎‎‎‎‎‎#عاقلان_دانند ‏‏‏‏‏‏‏‏‏‏‏‏‏‏‏‏‏‏‎‎‎‎‎‎‎‎‎‎‎‎‎‎‎‎‎‎‎‎‎#یاخجید</t>
  </si>
  <si>
    <t>یالان دونیا</t>
  </si>
  <si>
    <t>وسط این همه مشکلات و بی عرضگی مسولین و قیمت دلار و... ترجیح میدم به #دربی فکر کنم و منتظر برد پرسپولیس باشم :)</t>
  </si>
  <si>
    <t>LOolian</t>
  </si>
  <si>
    <t>Helen 🏳🏳️‍🌈</t>
  </si>
  <si>
    <t>🎬‏perspolis🔴 ⚪real madrid ... watching movie</t>
  </si>
  <si>
    <t>amirreza</t>
  </si>
  <si>
    <t>https://telegram.me/harfbemanbot?start=MjM3Mzk3OTYy</t>
  </si>
  <si>
    <t>‏‏‏‏‏‏‏‏‏‏‏‏‏‏‏‏‏‏‏‏‏‏‏‏‏یه یونایتدی دو آتیشه|زیاد ‏شوخی می‌کنم ولی با لحن جدی!|‎‎‎‎‎‎‎‎‎‎‎‎‎‎‎#ISFJ|برا این اکانت یه نفر قانون تعیین می‌کنه اونم منم!|</t>
  </si>
  <si>
    <t>یه گوشه کناری همین نزدیکی‌ها</t>
  </si>
  <si>
    <t>https://twitter.com/missAzarakhsh/status/1045002616084803585</t>
  </si>
  <si>
    <t>88 گذشت و #پرسپولیس 3-0 برنده شد فردا دربی 89عه 😁 RT @missAzarakhsh: دربی 88 هم نمیتونیم بریم و از الان مطمئنم که دربی 888 هم همین آش و همین کاسه‌ست و این دردناکه:) #زنان_استادیوم</t>
  </si>
  <si>
    <t>🇮🇷 رُبع‌ما!!!</t>
  </si>
  <si>
    <t>‏‏‏‏‏‏‏‏‏‏‏‏‏‏‏‏‏‏‏‏‏‏‏ ‏اجازه نده آدما چیزای زیادی در موردت بدونن/مرگ جذابترین کلمه دنیا☠/دلشکسته 💔</t>
  </si>
  <si>
    <t>تنها</t>
  </si>
  <si>
    <t>‏فوتبالی و شاید گاهی سیاسی و اجتماعی. پشت نقاب شلمان حرف های دلم رو میزنم، فارغ از موقعیت اجتماعی یا تحصیلی یا جغرافیایی</t>
  </si>
  <si>
    <t>ترسناک تر از گرانی #دلار خبر رسیدن ربیع خواه به بازی #پرسپولیس- السده</t>
  </si>
  <si>
    <t>Shellman</t>
  </si>
  <si>
    <t>پوریا جعفری یک معمار کوچک ، صاحب اکانت های پریده، ، میرحسین و دیگر هیچ ،اوست نشسته در نظر 💚💛💚</t>
  </si>
  <si>
    <t>آسایشگاه چهرازی</t>
  </si>
  <si>
    <t>RT @Mohem_ni: 88 گذشت و #پرسپولیس 3-0 برنده شد فردا دربی 89عه 😁</t>
  </si>
  <si>
    <t>حبیب جولبندی</t>
  </si>
  <si>
    <t>ᎠᎾᏁ'Ꮖ ᏟᏒᎽ fᎾᏒ sᎾmᎬᎾᏁᎬ ᎳhᎾ ᏦᎥᏞᏞᎬᎠ ᎽᎾuᏒ smᎥᏞᎬ بـرای کسی کـه لبخـنـدت رو کُـشـت🥀 گریـه نکـن🙃 🔴perspolise🔴 💫ورود عرزشي ومجاهد ممنوع💫</t>
  </si>
  <si>
    <t>nimas</t>
  </si>
  <si>
    <t>🚬</t>
  </si>
  <si>
    <t>کارتن خواب</t>
  </si>
  <si>
    <t>mouğan</t>
  </si>
  <si>
    <t>RT @Nasser13MB: بله، حالا میریم که داشته باشیم #دربی پایتخت رو بین دو تیم وزارت ورزش ۱ و وزارت ورزش ۲...</t>
  </si>
  <si>
    <t>Alien</t>
  </si>
  <si>
    <t>فيلمسازِ آينده_بي ادبيمو بزارين جاي بيتربيتيم ...</t>
  </si>
  <si>
    <t>يه زماني وختي دربي بود،از ١٠ روز قبل كل كل و هيجان و ...شروع ميشد تا وختي ك دربي پخش بشه،الان انگار نه انگار فردا دربيه،از بس كه اوضامون انقد داغونه،فكر و انرژي نميمونه واسه هيچي ديگه...#دربى</t>
  </si>
  <si>
    <t>▫️ميــ ـس جولـ ــيت▪️</t>
  </si>
  <si>
    <t>دنیا تکش درازه...!</t>
  </si>
  <si>
    <t>وطن</t>
  </si>
  <si>
    <t>Chobastani</t>
  </si>
  <si>
    <t>پرسپولیس خط قرمز منه🔴 و به ضرس قاطع بارسا💙❤️💪</t>
  </si>
  <si>
    <t>جایگاه۳۶</t>
  </si>
  <si>
    <t>آذرخــش</t>
  </si>
  <si>
    <t>‏‏‏‏‏‏‏‏‏‏‏‏‏‏‏‏‏‏‏‏روزنامه نویس و خبرنگار حوزه موسیقی و هنر صفحه شخصی، نظرات شخصی</t>
  </si>
  <si>
    <t>Tehran ، iran</t>
  </si>
  <si>
    <t>bahman babazadeh</t>
  </si>
  <si>
    <t>حیدربابا دونیا یالان دونیا دی https://telegram.me/HarfBeManBot?start=MTYwMDYwNzQ</t>
  </si>
  <si>
    <t>ترکمانچای</t>
  </si>
  <si>
    <t>last year = single○last week = single○next week = single○next month = single○next year = single○next decake = single○next life = single😑</t>
  </si>
  <si>
    <t>هیچ‌چیز نمیتونست فوتبال‌رو ازمون بگیره تحت هر شرایطی براش هیجان داشتیم. اما امروز خیلیامون اصلا حواسمون نیست فردا دربیه... #دربی</t>
  </si>
  <si>
    <t>M</t>
  </si>
  <si>
    <t>‏‏‏‏‏‏‏‏نه اصلاح طلب نه ارزشی ونه براندازم یه میهن پرست آزاد اندیشم و با همه اینتراکش دارم بغیراز مجاهد⛔تجزیه طلب⛔ و متعصبین با هر دیدگاه⛔ پرسپولیس❤بایرن مونیخ❤</t>
  </si>
  <si>
    <t>RT @mraliaz: هیچ جای دنیا لباس دو تا تیم همشهری اسپانسرشیپ،اسپانسر ورزشی عیناً مثه هم نیست. حالا خوبه رنگ لباس و لوگو فرق میکنن باهم #دربی #پرسپولیس #استقلال #دربی۸۸ #اسنپ</t>
  </si>
  <si>
    <t>🇩🇪Hooman 🇩🇪</t>
  </si>
  <si>
    <t>http://instagram.com/leila100ri</t>
  </si>
  <si>
    <t>‏‏‏‏‏‏‏‏‏‏‏‏‏‏‏‏‏‏‏‏‏‏‏‏‏‏‏‏‏‏‏﷽یک مادرچند بُعدی،بلند پرواز،آماده ی مبارزه برای ‎‎#صلح،محصل،همان لیلی گمشدهٔ قصّه هاکه درپناه خدا و زهرای علی ع پیدا شد! 0~100~∞</t>
  </si>
  <si>
    <t>دل مونده ڪربلا..خودم اِشٺوٺم!</t>
  </si>
  <si>
    <t>استقلالیا لطفا فیو آبی بزنن... چی؟؟ نمیشه؟؟ نمیتونید؟؟ همیشه نمیتونستید!! #پرسپولیس</t>
  </si>
  <si>
    <t>Leiℓa Sadri {أُمِّ مَـہــدی}🇮🇷</t>
  </si>
  <si>
    <t>‏‏تاج💙، CR7، آقامون داریوش / نو اینستا، نو پرابلم</t>
  </si>
  <si>
    <t>این تورما و قیمت #دلار کاری باهامون کرده من به شخصه بتخمم‌ترین #دربی عمرمو قراره نگاه کنم</t>
  </si>
  <si>
    <t>سوکراتیس پاپاستاتوپولوس</t>
  </si>
  <si>
    <t>حتي رئالم داشته باشي، دلت ميخواد استقلال داشته باشي 💙💙💙💙🧢</t>
  </si>
  <si>
    <t>@fereshtevpt عاشقتونممممم، اما بين همه ي عشقاي دنيا عشقست #استقلال</t>
  </si>
  <si>
    <t>چشمون خمار</t>
  </si>
  <si>
    <t>‏‏‏‏‏روزنامه نگار سیاسی @etemaddaily اینجا نظرات شخصیم رو مینویسم</t>
  </si>
  <si>
    <t>به نظرتون نتیجه #دربی چی میشه؟</t>
  </si>
  <si>
    <t>زُهِير موسوى🇮🇷</t>
  </si>
  <si>
    <t>https://t.me/BiChatBot?start=sc-460648560</t>
  </si>
  <si>
    <t>‏‏‏‏‏‏‏‏‏‏‏‏‏‏‏‏‏‏‏‏‏‏‏‏‏‏‏دانشجوی دانشگاه تهران/ علاقمند به سیاست/ اصلاح طلب/ میرحسینی ام💚</t>
  </si>
  <si>
    <t>RT @shahedbaniasadi: #طرفدار کدومید؟ #دربی</t>
  </si>
  <si>
    <t>Aamin</t>
  </si>
  <si>
    <t>http://mjahmadee.ir</t>
  </si>
  <si>
    <t>‏‏‏‏‏‏‏‏‏‏‏‏‏‏‏‏‏‏پسر، برادر، رفیق، دانشجوی برق پلی‌تکنیک و ‏رییس هیئت مدیره قطعه بیست و چهارم</t>
  </si>
  <si>
    <t>هرجا تو باشی! 😎</t>
  </si>
  <si>
    <t>RT @Leila100ri: استقلالیا لطفا فیو آبی بزنن... چی؟؟ نمیشه؟؟ نمیتونید؟؟ همیشه نمیتونستید!! #پرسپولیس</t>
  </si>
  <si>
    <t>قطعه۲۴! 🌍</t>
  </si>
  <si>
    <t>بله حق با شماست.</t>
  </si>
  <si>
    <t>RT @zoheirIRAN: به نظرتون نتیجه #دربی چی میشه؟</t>
  </si>
  <si>
    <t>همسر ابراهیم و مادر יצחק</t>
  </si>
  <si>
    <t>tomarrow</t>
  </si>
  <si>
    <t>https://pbs.twimg.com/media/DoCbpeWXsAAh5jX.jpg</t>
  </si>
  <si>
    <t>من بعنوان یک پرسپولیسی #برانداز لوگوی پیش از انقلاب تیمم رو لوگوی واقعی باشگاه میدونم و ازش برای رفتن به پیشواز دربی و مخالفت با رژیم استفاده میکنم از دوستان #تاجی و #پرسپولیسی توئیتر هم خواهش میکنم از این لوگوها تا شروع دربی استفاده کنن #پرسپولیس #تاج #استقلال #دربی #شهرآورد</t>
  </si>
  <si>
    <t>Averell_Dalton</t>
  </si>
  <si>
    <t>‏نوشته هام از روی تنهاییه،یه مسافرم که حق دل بستن به کسی وچیزی رو ازخودش سلب کرده(عضو هیچ حزب سیاسی نیستم)پرسپولیسی باواریائی❤️ شیخ ‎#عراقی</t>
  </si>
  <si>
    <t>حسین بی پناهی🇩🇪</t>
  </si>
  <si>
    <t>‏‏‏‏‏‏‏‏‏‏‏‏‏‏‏‏‏یه معلم زبان وادبیات فارسی📖 که خیلی مهربون☺ و شوخ😉 و جَوونه😀و مَشتیه/و البته پرسپولیسیه🎈/ قضاوت پیرامون بنده، پیگرد الهی دارد☝...</t>
  </si>
  <si>
    <t>آقا مُعَلمِ جَوان🇮🇷</t>
  </si>
  <si>
    <t>‏‏انسانیت، و صلح</t>
  </si>
  <si>
    <t>Мир</t>
  </si>
  <si>
    <t>🌊💎⁦➰⁦✳️⁩شب</t>
  </si>
  <si>
    <t>RT @neda65ho: من فقط یه اسکرین شات ساده گرفتم😂😂 #پرسپولیس #دربی</t>
  </si>
  <si>
    <t>‏‏‏‏زندگی من از اول هفته تا آخر هفته یک مدل هست و بدون تغییر.</t>
  </si>
  <si>
    <t>https://pbs.twimg.com/media/DoAT2n3W0AIVSpy.jpg</t>
  </si>
  <si>
    <t>RT @FcEsteghlal: ضیافت باشگاه #استقلال در شب 74 سالگی</t>
  </si>
  <si>
    <t>javad_mollaei</t>
  </si>
  <si>
    <t>RT @iranjaviidan: تعداد یکصدهزار نفر که برای #دربی میرن ورزشگاه شهیاد ، برلی یک انقلاب کافی است شما را با شو های ورزشی از #سقوط_ریال منحرف میکنند شعار رضاشاه روحت شاد و مرگ بر جمهوری اسلامی #IraniansWantRegimeChange</t>
  </si>
  <si>
    <t>dokhtarane engelab</t>
  </si>
  <si>
    <t>‏براندازم ، پادشاهی مشروطه. ایرانی آباد و آزاد</t>
  </si>
  <si>
    <t>کره خاکی</t>
  </si>
  <si>
    <t>https://pbs.twimg.com/media/DoAj5aoXUAE7cI0.jpg</t>
  </si>
  <si>
    <t>RT @BoutUnderground: #چالش_دعوت_به_ورزشگاه چالش های مجازی را باید به خیابان ها و به دنیای واقعی بکشانیم از این رو در بازی فردا در ورزشگاه آریامهر(آزادی) بهترین فرصت برای نشان دادن صدای اعتراضمان است . فرق نمی کند طرفدار کدام یک از دو تیم پایتخت هستید ! #IraniansWantRegimeChange #پرسپوليس #استقلال</t>
  </si>
  <si>
    <t>ناهید👑</t>
  </si>
  <si>
    <t>pic.twitter.com/TR8JFj8cGH</t>
  </si>
  <si>
    <t>خدا ميدونه چقد قشنگه نشستن پاي تو پرسپوليسم... فردا منتظر يه برد شيرينم❤️ #پرسپوليس</t>
  </si>
  <si>
    <t>،</t>
  </si>
  <si>
    <t>Ms</t>
  </si>
  <si>
    <t>From the point of view of the people who hold power, they commit the crime of what others commit</t>
  </si>
  <si>
    <t>Proxima</t>
  </si>
  <si>
    <t>http://isport.ir/fa/posts/naseri</t>
  </si>
  <si>
    <t>هر از گاهی می‌نویسم؛ آی اسپورت ⚽️💙</t>
  </si>
  <si>
    <t>Sarpol E Zahab</t>
  </si>
  <si>
    <t>Ali Naseri</t>
  </si>
  <si>
    <t>https://www.Instagram.com/paroosi_sho</t>
  </si>
  <si>
    <t>‏آدم باشیم همه چی حله</t>
  </si>
  <si>
    <t>یه جا زیر سایه خدا</t>
  </si>
  <si>
    <t>به نظرتون نتیجه #دربی ۸۸ چیه؟ منشن بدید آبیته یا قرمزته؟</t>
  </si>
  <si>
    <t>امیرپ</t>
  </si>
  <si>
    <t>RT @iranpayande2213: خدا ميدونه چقد قشنگه نشستن پاي تو پرسپوليسم... فردا منتظر يه برد شيرينم❤️ #پرسپوليس</t>
  </si>
  <si>
    <t>RT @Red_adore_angel: تایم لاینم اصلا حس و حال #دربی نداره، ذهنمون درگیر گرونی و دلار و بدبختی شده :(</t>
  </si>
  <si>
    <t>‏ روزها یه چیزهای میبینم که خراب میکنه روحمو</t>
  </si>
  <si>
    <t>بابک آریایی</t>
  </si>
  <si>
    <t>‏حزب مجازی،‏‏‏‏‏‏‏‏‏‏‏‏‏‏‏‏Athiest عاشق خانواده پهلوی وطن پرست(جاوید شاه)فقط شاهزاده رضا پهلوی،پادشاهی، ورود این افراد ممنوع👈🚫جدایی طلب🚫عرزشی🚫مجاهد</t>
  </si>
  <si>
    <t xml:space="preserve">ایران اشغالی </t>
  </si>
  <si>
    <t>🏳👑➰fiცhtპΓ➰👑</t>
  </si>
  <si>
    <t>https://pbs.twimg.com/media/DoBNSCDW0AAD3t8.jpg</t>
  </si>
  <si>
    <t>RT @ManMeysam: الان یه سری از خایمالای لنگ میان میگن: " #شفر گه خورده! ما بعنوان استقلالی باید خایه دوست‌پرسپولیسی‌ها رو بمالیم تا فالور از دست ندیم و بگن چقدر روشنفکریم" #استقلال #دربی</t>
  </si>
  <si>
    <t>http://www.aftabeyazd.ir/</t>
  </si>
  <si>
    <t>روزنامه آفتاب یزد هر صبح در سراسر ایران</t>
  </si>
  <si>
    <t>https://pbs.twimg.com/media/DoCXDGVUUAAJzHG.jpg</t>
  </si>
  <si>
    <t>در #آفتاب_یزد پنجشنبه بخوانید #دربی</t>
  </si>
  <si>
    <t>روزنامه آفتاب یزد</t>
  </si>
  <si>
    <t>مهدی پناهی</t>
  </si>
  <si>
    <t>سر بچرخونی مسیر روبروتو باختی / از پل تردید با قلبت، گذر کن با خودت</t>
  </si>
  <si>
    <t>رودخونه‌ی تشنه</t>
  </si>
  <si>
    <t>‏‏‏‏‏از اخر راه به کل راه نگاه کن</t>
  </si>
  <si>
    <t>زیر پونز</t>
  </si>
  <si>
    <t>#دربی فردا چه فرصت مناسبی هستش برای اعتراض به وضع موجود 80 هزار آدم از همه طبقات جامعه که هیچ نیرویی جلو دارشان نیست بیایید برای اولین بار تو تاریخ بنویسند #فوتبال باعث تغییر شد!</t>
  </si>
  <si>
    <t>لاکی لوک</t>
  </si>
  <si>
    <t>https://pbs.twimg.com/media/DoBbh20XcAEadvR.jpg</t>
  </si>
  <si>
    <t>RT @hkia2001: واسه همین نمیخواستن ۹۰-۱۰ بشه😂😂😂 همین ۵۰ درصدشم نمیتونن پر کنن😂😂😂 #پرسپولیس #پرسپولیس_سرور_استقلالِ</t>
  </si>
  <si>
    <t>بهشت بزرگترين فريب براى جهنم كردن دنياست</t>
  </si>
  <si>
    <t>sanchopansa</t>
  </si>
  <si>
    <t>https://twitter.com/shinaamp/status/1045005170411737090</t>
  </si>
  <si>
    <t>RT @fereshtevpt: عاشقششونممممم ولي بين همه عشقهااا عشق است #پرسپوليس ❤️❤️❤️❤️❤️❤️👑💪🏻</t>
  </si>
  <si>
    <t>اقا الان هنه مطمئن هستید #استقلال تهران فردا نیاد بگه ما اردو ییم نیستیم بعدا بازی میکنیم #دربی #پرسپولیس</t>
  </si>
  <si>
    <t>دختر اریایی</t>
  </si>
  <si>
    <t>دیگه وقتی نداریم تلف کنیم ، چشم به هم بزنیم مردیم</t>
  </si>
  <si>
    <t>RT @nooshineshoon: دوستانی که فردا میرن ورزشگاه خواهشا شعارهای درست درمون بدن، از فرصت استفاده کنن و حتما فیلم بگیرن چون صداوسیما صدا رو میبنده! #فردا_استادیوم_آزادی #دربی #IraniansWantRegimeChange</t>
  </si>
  <si>
    <t>شاطر عکاس</t>
  </si>
  <si>
    <t>هم دردسر سازم هم دست و پا گیرم.</t>
  </si>
  <si>
    <t>واقعیت را از دانش آموز دبستانی شنیدم ، هنگامی که از او پرسیدند چرا در کلاس تو تعداد پرسپولیسی ها از استقلالی ها بسیار بیشتر است ؟ و او جواب داد : به همان صورت که تعداد پراید های داخل خیابان از پورشه ها بسیار بیشتر است. #دربی</t>
  </si>
  <si>
    <t>حاج حسین مشتی</t>
  </si>
  <si>
    <t>سرباز ارزوهای مرده تو آخرالزمان با فشنگ گازی تو میدون مین ولادت 1370 وفات 1440</t>
  </si>
  <si>
    <t>میدونی پای بازی #پرسپوليس اشک ریختن یعنی چی؟ اشک شوق و عاشقی❤️</t>
  </si>
  <si>
    <t>چی میخواستی چی شد</t>
  </si>
  <si>
    <t>RT @SMPrfa: آدم یا حزب‌اللهی و انقلابیه، یا طرفدار استقلال. حالت دیگه‌ای نداره! #پرسپوليس</t>
  </si>
  <si>
    <t>https://khodnevissblog.wordpress.com</t>
  </si>
  <si>
    <t>‏‏‏قصه نیستم که بگویی، نغمه نیستم که بخوانی، من درد مشترکم، مرا فریـــــــــــــــــــــاد کن! / ریش‌سفید قبیله / 🖋️‎‎‎#سلام</t>
  </si>
  <si>
    <t>وادی حیرت (در مسیرِ شدن) تا...</t>
  </si>
  <si>
    <t>قدیما شب قبل از #دربی علی انصاریان٬ نیکبخت، هاشمی‌نسب، رهبری‌فرد، فکری و… رو‌ میارودن تلویزیون یا تو یه ضیافت شام دو تیم رو دور هم جمع می‌کردن که بگن همه چی آرومه، ما خیلی دوستیم‌. فرداش توی زمین به همدیگه فحش خواهرمادر می‌دادن و همدیگه رو تیکه پاره می‌کردن. برکت از دربیام رفته!</t>
  </si>
  <si>
    <t>خودنویس® ✒🇮🇷</t>
  </si>
  <si>
    <t>‏‏نور هر دو دیده</t>
  </si>
  <si>
    <t>https://pbs.twimg.com/media/DoCkEWdXkAEIcYz.jpg</t>
  </si>
  <si>
    <t>زندگی است دیگر! گاهی باید برای تیم یازدهم جدول کری بخوانی #پرسپوليس ⁦❤️⁩</t>
  </si>
  <si>
    <t>⁦عل⁦</t>
  </si>
  <si>
    <t>اهوازی ساکن تهران</t>
  </si>
  <si>
    <t>من کلا زیاد ورزشگاه میرم قبلا که اهواز بودم بازی‌هایی رو میرفتم که کلا ۶۰۰ ۷۰۰ نفر تماشاگر داشت اما هیچ وقت جرئت نمیکنم #دربی رو توی ورزشگاه ببینم #پرسپولیس</t>
  </si>
  <si>
    <t>فرزاد</t>
  </si>
  <si>
    <t>خواهی نشوی همرنگ رسوای جماعت شو</t>
  </si>
  <si>
    <t>🇮🇷WATtOo WATtOo 🇮🇷</t>
  </si>
  <si>
    <t>Student at University of Hamburg faculty of Law ⚖️| Advisor on asylum law at the Refugee Law Clinic Hamburg [مشاور حقوقی امور پناهندگی در هامبورگ ] | عدالت‌خواه</t>
  </si>
  <si>
    <t>Hamburg, Deutschland</t>
  </si>
  <si>
    <t>RT @torshizi: @pooriast یکی از افتخاراتِ ایران بعد از #انقلاب #استقلال هستش که خوشبختانه داریم و آرزوی شکست هر چیزی جلوی این استقلال کشورمون رو دارم، حتی #پرسپولیس.</t>
  </si>
  <si>
    <t>سینا ترشیزی | Sina Torshizi</t>
  </si>
  <si>
    <t>‏‏‏‏‏‏از این به بعد حرف کم میزنه ولی جدی بگیر ؛) یونایتد🔴 پرسپولیس🔴</t>
  </si>
  <si>
    <t>sir mosi</t>
  </si>
  <si>
    <t>RT @paroosamir: به نظرتون نتیجه #دربی ۸۸ چیه؟ منشن بدید آبیته یا قرمزته؟</t>
  </si>
  <si>
    <t>https://twitter.com/alibazgosha2/status/1044577850052018176</t>
  </si>
  <si>
    <t>نمی‌خواهَـم نِگرانَـت ڪنَـم امـٰا ... راستش... #استقلال سوراخ است RT @AliBazgosha2: نمی‌خواهَـم نِگرانَـت ڪنَـم امـٰا ...</t>
  </si>
  <si>
    <t>‏‏‏‏‏‏‏‏‏‏‏‏‏‏‏‏نجات دهنده مرده است. Savior is dead</t>
  </si>
  <si>
    <t>آقای فغانی@aghayedavar از بازی فردا بهمون بگو. چطور میخوایی قضاوت کنی؟؟ #دربی</t>
  </si>
  <si>
    <t>Driver</t>
  </si>
  <si>
    <t>‏‏‏‏‏‏‏‏‏‏‏‏با همه بی سروسامانی ام بازبه دنبال پریشانی ام ...</t>
  </si>
  <si>
    <t>واقعا برای دربی نظرسنجی میزارید؟؟؟نتیجه که کاملا مشخصه #پرسپولیس برنده است❤❤💋</t>
  </si>
  <si>
    <t>ماری السلطنه😍😍</t>
  </si>
  <si>
    <t>وكيل پايه يك دادگستري و مشاور حقوقي..</t>
  </si>
  <si>
    <t>Dr.saeed</t>
  </si>
  <si>
    <t>ید الله فوق ایدیهم Android developer | Web developer | Cartoonist</t>
  </si>
  <si>
    <t>https://pbs.twimg.com/media/DoClclbWkAIgZwT.jpg</t>
  </si>
  <si>
    <t>بازم یه شهرآورد دیگه 😃 همه میدونیم برنده کیه 😎 #دربی #پرسپوليس کارتون: خودم ☺</t>
  </si>
  <si>
    <t>Mostafa Pirhayati</t>
  </si>
  <si>
    <t>‏‏تمام درختها را هم که قطع کنی، هزاران بذر زیر خاک منتظر اولین بارانند... ‎</t>
  </si>
  <si>
    <t>Berlin, Germany</t>
  </si>
  <si>
    <t>نیش</t>
  </si>
  <si>
    <t>‏‏‏‏‏‏‏‏‏‏‏‏‏‏‏‏‏‏‏‏‏‏‏‏‏‏‏‏‏‏#حسین عشق است.... ‏‏‏‏‏‏</t>
  </si>
  <si>
    <t>جمهوری اسلامی ایران  #تهران</t>
  </si>
  <si>
    <t>RT @sangarban: نتیجه دربی هشتاد و هفتم (استقلال - پرسپولیس) ؟؟؟ #دربی</t>
  </si>
  <si>
    <t>#ریتوئیتر _انقلابی_ولایی🏴</t>
  </si>
  <si>
    <t>‏‏‏‏‏‏دوش وقت سحر از غصه نجاتم دادند/و اندر آن ظلمت شب آب حیاتم دادند</t>
  </si>
  <si>
    <t xml:space="preserve"> کره زمین</t>
  </si>
  <si>
    <t>xenophon</t>
  </si>
  <si>
    <t>‏‏‏‏‏‏‏‏سر کوه بلند آمد سحر باد ز توفانی که می آمد خبر داد</t>
  </si>
  <si>
    <t>پای درد دل ملت مظلوم</t>
  </si>
  <si>
    <t>ملت مظلوم</t>
  </si>
  <si>
    <t>‏نفسی بیا و بنشین، سخنی بگو و بشنو (دوست عزیز،در اینجا ریتوییت به معنی تایید نمی‌باشد)</t>
  </si>
  <si>
    <t>RT @KhodNeviss: قدیما شب قبل از #دربی علی انصاریان٬ نیکبخت، هاشمی‌نسب، رهبری‌فرد، فکری و… رو‌ میارودن تلویزیون یا تو یه ضیافت شام دو تیم رو دور هم جمع می‌کردن که بگن همه چی آرومه، ما خیلی دوستیم‌. فرداش توی زمین به همدیگه فحش خواهرمادر می‌دادن و همدیگه رو تیکه پاره می‌کردن. برکت از دربیام رفته!</t>
  </si>
  <si>
    <t>مهرزاد عادل</t>
  </si>
  <si>
    <t>‏‏تا نیایی گره از کار بشر باز نشود اللهم عجل الولیک الفرج</t>
  </si>
  <si>
    <t>RT @MostafaPirhaya3: بازم یه شهرآورد دیگه 😃 همه میدونیم برنده کیه 😎 #دربی #پرسپوليس کارتون: خودم ☺</t>
  </si>
  <si>
    <t>علی شاعری</t>
  </si>
  <si>
    <t>Rosa</t>
  </si>
  <si>
    <t>Managing Director @MahurNegar Digital Agency. کنج‌کاو</t>
  </si>
  <si>
    <t>Ardeshir</t>
  </si>
  <si>
    <t>http://www.facebook.com/iranteamfootball</t>
  </si>
  <si>
    <t>Press review #Iran National football team aka #TeamMelli 🇮🇷 &amp; #PersianGulf ⚽️ Pro League - #iranteammelli Contact @samanjavadi ✍️خبر #تیم_ملی #لیگ_برتر #ایران</t>
  </si>
  <si>
    <t>https://pbs.twimg.com/media/DoClnvQXoAEi1C2.jpg</t>
  </si>
  <si>
    <t>27 Sep 2018 🕡 6:30 pm Tehran | 5:00 pm CEST 🔵 #Esteghlal 🆚 #Persepolis 🔴 @WinniSchaefer faces again Branko Ivankovic in the #TehranDerby 🏟️ #ESTvPER #پرسپولیس #استقلال #شهراورد #شهراورد88 #دربی88 #تهران #Iran #PersianGulf⚽ #لیگ_برتر #ایران 🇮🇷</t>
  </si>
  <si>
    <t>Iran #TeamMelli 🇮🇷</t>
  </si>
  <si>
    <t>‏‏خدای رافرشته‌ایست،که هر روزندابرکشدوگوید:(شما ای مردمی که دلباخته مال و خانه وفرزندو جهانید) بزائید برای مرگ،وگردآورید برای نابودی،و بنا کنید برای ویران شدن</t>
  </si>
  <si>
    <t>Wisdom 🇮🇷🌍</t>
  </si>
  <si>
    <t>What hell is that we are living in!!!</t>
  </si>
  <si>
    <t>Dictator</t>
  </si>
  <si>
    <t>RT @ladyblocker1: @saras27772 @fereshtevpt @k_rez1 دم #پرسپولیس و #پرسپولیسی جماعت گرم فردا هر کی رفت ورزشگاه یادش باشه جای ما هم تشویق کنه ⁦❤️⁩⁦❤️⁩⁦❤️⁩⁦❤️⁩⁦❤️⁩⁦❤️⁩</t>
  </si>
  <si>
    <t>fery threefar</t>
  </si>
  <si>
    <t>‏‏‏‏‏‏‏قطب عالم امکان/تنها رابط مرتبط با امام راحل(عج)/از مریدان ریک سانچز(ع)</t>
  </si>
  <si>
    <t>از آزادی فقط میدونش موند</t>
  </si>
  <si>
    <t>مرحوم روسو</t>
  </si>
  <si>
    <t>‏‏‎‎#براندازم</t>
  </si>
  <si>
    <t>Amin</t>
  </si>
  <si>
    <t>https://pbs.twimg.com/media/DnTyietX0AECKem.jpg</t>
  </si>
  <si>
    <t>RT @mo_che_: حال و هوای توییتر امشب😍😍 #پرسپولیس♥️♥️♥️♥️♥️♥️</t>
  </si>
  <si>
    <t>BEHRANG</t>
  </si>
  <si>
    <t>‏‏شاه هـــر جا باشه شاهــ👑ــه #شهاب_حسینــی</t>
  </si>
  <si>
    <t>https://pbs.twimg.com/media/DoBYVfiWkAIuURR.jpg</t>
  </si>
  <si>
    <t>RT @Dokhi_Blue: دلم از این عڪسا خواست طرفدار ڪدوم تیم هستید؟ خودم:استقلال #استقلال_پرسپولیس 💙💙❤️❤️</t>
  </si>
  <si>
    <t>👑شــــهاب شاه👑</t>
  </si>
  <si>
    <t>‏‏‏‏*******‏‏‏ خوشا قلبۍ ڪه سلطانش حسـین اسٺ ******* 💖 برای قوی ترشـدن جبهه حـق و اسـلام اومدم 💖</t>
  </si>
  <si>
    <t>فرشـته</t>
  </si>
  <si>
    <t>https://t.me/DorostNevisiOfficial</t>
  </si>
  <si>
    <t>‏‏‏‏‏درست‌نویسی را تمرین می‌کنیم</t>
  </si>
  <si>
    <t>https://t.me/joinchat/AAAAAEmUSaDV7CQyTp27qA</t>
  </si>
  <si>
    <t>+ اگه دربی فردا رو استقلال ببره بهت شام می‌دم. - برد شهرآورد با پرسپولیسه، شام استقلالیا خوردن نداره 😂😂😂 به‌جای «#دربی» یا «#داربی» بگیم #شهرآورد. #پرسپولیس #استقلال #درست‌_نویسی با درست‌نویسی همراه باشید:</t>
  </si>
  <si>
    <t>درست‌نویسی</t>
  </si>
  <si>
    <t>خدایااااا 🙏🙏 ی کاری بکن فردا همین موقع خوشحال و پایکوبان باشیم 😍😍 #پرسپولیس</t>
  </si>
  <si>
    <t>‏❤‏عاشق دو آتیشه پرسپولیس❤</t>
  </si>
  <si>
    <t>shima 🇮🇷</t>
  </si>
  <si>
    <t>http://calcioiraniano.altervista.org/</t>
  </si>
  <si>
    <t>Il primo portale in italiano dedicato al calcio in #Iran - #TeamMelli 🇮🇷 #PersianGulf ⚽️ Contatti: @samanjavadi</t>
  </si>
  <si>
    <t>Italia</t>
  </si>
  <si>
    <t>https://twitter.com/iranteammelli/status/1045018142186131457</t>
  </si>
  <si>
    <t>27 Settembre 2018 🕡 17:00 ora italiana: #TehranDerby 🔵 #Esteghlal 🆚 #Persepolis 🔴 @WinniSchaefer di nuovo contro Branko Ivankovic nel #Shahravard 🏟️ #ESTvPER #TehranDerby #پرسپولیس #استقلال #شهراورد #شهراورد88 #دربی88 #تهران #Iran #PersianGulf⚽ #لیگ_برتر #ایران RT @iranteammelli: 27 Sep 2018 🕡 6:30 pm Tehran | 5:00 pm CEST 🔵 #Esteghlal 🆚 #Persepolis 🔴 @WinniSchaefer faces again Branko Ivankovic in the #TehranDerby 🏟️ #ESTvPER #پرسپولیس #استقلال #شهراورد #شهراورد88 #دربی88 #تهران #Iran #PersianGulf⚽ #لیگ_برتر #ایران 🇮🇷</t>
  </si>
  <si>
    <t>CalcioIraniano ⚽🇮🇷</t>
  </si>
  <si>
    <t>RT @Reza_Gh1990: خدایااااا 🙏🙏 ی کاری بکن فردا همین موقع خوشحال و پایکوبان باشیم 😍😍 #پرسپولیس</t>
  </si>
  <si>
    <t>https://pbs.twimg.com/media/DoCoXDHXUAA_f6T.jpg</t>
  </si>
  <si>
    <t>فتاحی، رئیس کمیته مسابقات سازمان لیگ: درهاي استاديوم آزادی فردا ساعت ١٢ به روي تماشاگران باز خواهد شد. بلیت فروشی الکترونیکی تا ساعت ١٢ امشب ادامه دارد و بعد از این ساعت سایت بسته خواهد شد. #دربى #پرسپوليس #استقلال</t>
  </si>
  <si>
    <t>Good Girls Dont lie, Bad Girls Dont Cry⚠️ ▪️Journalist &amp; Writer/Art Consultant Instagram@shiva_aba</t>
  </si>
  <si>
    <t>نوشته: اگه دوست‌پسرت استقلالیه دو دستی بهش بچسب، پسری که پای #استقلال وایساده، پای تو هم حتمن وایمیسته.. . . (به رغم بدجنسیش کلی خندیدم بله من استقلالیم و اونایی‌م که دوسم داشتن جز یکی،بقیه استقلالی بودن)</t>
  </si>
  <si>
    <t>Shiva•Aba🚦</t>
  </si>
  <si>
    <t>دنبال دردسر میگردم 😊😊</t>
  </si>
  <si>
    <t>https://pbs.twimg.com/media/DoCovzvXUAM3VlS.jpg</t>
  </si>
  <si>
    <t>دربی ۸۸ هر نتیجه ای رقم بخوره آبی ترینم 💙💙💙💙 پایه کل کلم حسابی بسم الله ... #استقلال</t>
  </si>
  <si>
    <t>نشد 33 بپوشم</t>
  </si>
  <si>
    <t>‏‏‏‏‏‏‏‏‏‏‏‏‏‏از شوخی های ما دل افگار نشوید، فالور بالا نشانه ی قدمت شماست،نه شخصیت شما به شدت پرسپولیسی ،خیلی زیاد لیورپولی</t>
  </si>
  <si>
    <t>مرکز زمین</t>
  </si>
  <si>
    <t>حماقت امیز ترین کل کل همین تاریخ تاسیس باشگاهه،شما که Nسال زودتر تاسیس شدید چرا جامهاتون کمتره؟ #دربی #پرسپولیس_استقلال</t>
  </si>
  <si>
    <t>امجدیه</t>
  </si>
  <si>
    <t>http://daarvh.blogfa.com</t>
  </si>
  <si>
    <t>Persian Language&amp;Literature/Be Kind/خبرگزاری فرنازنیوز/#قلم_روز @perspolisFcIran @FCBarcelona فقط روایت کننده خبر هستم تا آنجا که ممکن باشد صادقانه توییت میکنم</t>
  </si>
  <si>
    <t xml:space="preserve">Tehran, Iran </t>
  </si>
  <si>
    <t>https://pbs.twimg.com/media/DoCoxX7XcAA0HfA.jpg</t>
  </si>
  <si>
    <t>خاطره انگیزترین #دربی های تاریخ ایران پرسپولیس۶-استقلال صفر-&gt;۱۳۵۲ استقلال۳-پرسپولیس صفر-&amp;gt;۱۳۵۵ استقلال۱-پرسپولیس ۱-&amp;gt;۱۳۵۹ استقلال۱-پرسپولیس صفر-&amp;gt;۱۳۶۲ پرسپولیس۱-استقلال صفر-&amp;gt;۱۳۶۸ استقلال۲-پرسپولیس یک-&amp;gt;۱۳۶۹ استقلال۲-پرسپولیس۲-&amp;gt;۱۳۷۳ استقلال۲-پرسپولیس۲-&amp;gt;۱۳۷۹ پرسپولیس۳-استقلال۲-&amp;gt;۱۳۹۰</t>
  </si>
  <si>
    <t>Farnaz🎗</t>
  </si>
  <si>
    <t>فردا شب این موقع، شما هم متوجه شدید. اما من از الان می‌گم که #پرسپولیس سوراخه. فردا روز #استقلال خواهد بود. #دربی</t>
  </si>
  <si>
    <t>‏‏‏‏‏‏‏‏‏‏‏مست و ‏‏‏‏معتاد ❤پرسپولیس❤</t>
  </si>
  <si>
    <t>همونجا که دلبر خونه داره</t>
  </si>
  <si>
    <t>https://pbs.twimg.com/media/DoCo4aAW0AUAbYf.jpg</t>
  </si>
  <si>
    <t>این شما و این پیش بینی من #پرسپولیس_سرور_استقلالِ #پرسپولیس</t>
  </si>
  <si>
    <t>همسر آقای الف</t>
  </si>
  <si>
    <t>Nothing important ، جيمز ابن كلارك</t>
  </si>
  <si>
    <t>مستر جيمز</t>
  </si>
  <si>
    <t>RT @yjcagency: فتاحی، رئیس کمیته مسابقات سازمان لیگ: درهاي استاديوم آزادی فردا ساعت ١٢ به روي تماشاگران باز خواهد شد. بلیت فروشی الکترونیکی تا ساعت ١٢ امشب ادامه دارد و بعد از این ساعت سایت بسته خواهد شد. #دربى #پرسپوليس #استقلال</t>
  </si>
  <si>
    <t>http://www.instagram.com/amirhossein676</t>
  </si>
  <si>
    <t>‏‏‏‏‏‏‏‏‏‏‏‏‏‏‏‏‏‏‏‏‏‏‏‏‏‏‏‏‏‏‏‏‏‏‏‏‏یااَیَّتُهَاالنَّفس المُطمَئِنَّه اِرجِعی اِلی رَبِّکَ راضیَهً مَرضیَه🇮کارشناس بهداشت حرفه‌ای👷‍♂️،بدمینتونیست🏸،شناگر(ن‌غ</t>
  </si>
  <si>
    <t>live in tehran from saveh</t>
  </si>
  <si>
    <t>اَمیرحُسَین676 🇮🇷</t>
  </si>
  <si>
    <t>‏گر مرد رهی میان خون باید رفت/وز پای فتاده سرنگون باید رفت/تو پای به راه در نه و هیچ مپرس/خود راه بگویدت که چون باید رفت.</t>
  </si>
  <si>
    <t>چه حالی بکنیم فردا شب، وقتی باز دوباره #استقلال بازی رو می‌بره!</t>
  </si>
  <si>
    <t>محسن ⁦🇮🇷⁩</t>
  </si>
  <si>
    <t>به اقتصاد، سياست، هنر، شعر و حقوق انسان ها علاقه دارم</t>
  </si>
  <si>
    <t>https://pbs.twimg.com/media/DoCpPmiWsAALarX.jpg</t>
  </si>
  <si>
    <t>باز خدا رو شکر بین این خبرای بد فردا #دربی رو داریم که #استقلال توش لنگ رو له کنه.</t>
  </si>
  <si>
    <t>Roham</t>
  </si>
  <si>
    <t>http://werg.ir</t>
  </si>
  <si>
    <t>من سیاهم ولی یک رنگم</t>
  </si>
  <si>
    <t>قلب آبی گذاشتین که مثلا طرفدار #استقلال هستین و این داستانا؟ :)) جمع کنید باو،من خودم یه مدت طرفدار منچستر یونایتد بودم بعدش توبه کردم طرفدار لیورپول شدم 😎 در توبه باز است...</t>
  </si>
  <si>
    <t>وِرگ</t>
  </si>
  <si>
    <t>‏‏‏‏‏وقتی میگی یا حسین بِاَبی اَنْتَ وَ اُمی اونوقته که خدا میاد تا امتحانت کنه.</t>
  </si>
  <si>
    <t>نجف،کربلا،سامرا،کاظمین،مشهد</t>
  </si>
  <si>
    <t>🇮🇷vah3d🏴</t>
  </si>
  <si>
    <t>‏‏همه چی تو ذهنم تحلیل میشه...بعد حرف میشه</t>
  </si>
  <si>
    <t>north</t>
  </si>
  <si>
    <t>ورزشگاه آزادی را برایشان جهنم کنیم. #دربی #استقلال #پرسپولیس #IraniansWantRegimeChange</t>
  </si>
  <si>
    <t>چَچَل</t>
  </si>
  <si>
    <t>یه ای تی من! علاقمند به تئاتر، هواپیما،کتاب “همه رشته هایی که بافتم ، امشب از اول شکافتم”</t>
  </si>
  <si>
    <t>@yousefpour آخ آخ یه هم تیمی دیگه به لیست توییتری هام اضافه شد #استقلال</t>
  </si>
  <si>
    <t>✈️تیک آف!✈️</t>
  </si>
  <si>
    <t>https://telegram.me/HarfBeManBot?start=NTc2OTI1MTQx</t>
  </si>
  <si>
    <t>‏‏‏‏‏‏‏‏‏‏‏‏‏‏‏‏‏‏‏‏‏‏‏‏‏‏‏‏‏‏‏‏‏‏‏‏‏ به شدت پرسپولیسی❤بارسـا منتظر روزهای خوب.</t>
  </si>
  <si>
    <t xml:space="preserve"> خونه بابام </t>
  </si>
  <si>
    <t>قسمت تلخ ماجرا اینجاست که من فردا سرکارم و نمیتونم #دربی رو ببینم :(</t>
  </si>
  <si>
    <t>سـارا ایوانکویچ</t>
  </si>
  <si>
    <t>Journalist: Tweet in Persian and English about US politics, Iran and Middle East. Retweets not endorsement.</t>
  </si>
  <si>
    <t>Washington, DC</t>
  </si>
  <si>
    <t>با مدیریتی که #برانکو بر #پرسپولیس خوب، بدون ذخیره و‌ خسته انجام داده، اگر جای رئیس جمهور یا رهبر سکان مدیریت کشور را در‌ دست داشته باشه، قطعا جلوی سقوط #ریال به دسته ۲ را می گیره. #دربی_۸۸ #پرسپولیس_استقلال #دلار۱۹۰۰۰تومانی</t>
  </si>
  <si>
    <t>Siamak Dehghanpour</t>
  </si>
  <si>
    <t>خیلی کارا میشه کرد اما قرار نیست</t>
  </si>
  <si>
    <t>Islamic Republic of Iran🇮🇷</t>
  </si>
  <si>
    <t>🇮🇷Mahdi jianpanah🇮🇷</t>
  </si>
  <si>
    <t>شهروند معمولی، درگیر سیاست و معترض به وضع موجود حکومت داری در ایران</t>
  </si>
  <si>
    <t>اهورا</t>
  </si>
  <si>
    <t>یک پیشنهاد ساده برای سازمان لیگ و فدراسیون فوتبال: برنده #دربی فردا به عنوان برنده #سوپرجام هم معرفی بشه. به لحاظ قانونی وقتی #پرسپولیس هم برای دیدار سوپرجام حاضر نشده، نمی‌تونستن بدون بازی برنده اعلامش کنن. #استقلال اگر هم مساوی شدن، جام رو بدن به صنعت نفت #آبادان برزیلته.</t>
  </si>
  <si>
    <t>#دربی رو ____ میبازه😁!</t>
  </si>
  <si>
    <t>http://aparat.com/aghahesam</t>
  </si>
  <si>
    <t>طرفدار اصلاحات،به روحانی رای داده ام و در هیچ زمانی از این رای خود پشیمان نیستم حتی اگر از آسمان سنگ ببارد</t>
  </si>
  <si>
    <t>RT @aghahesam912: #نظرسنجی نتیجه دربی ۸۸ چه خواهد شد؟ #ایران #پرسپولیس #استقلال #Iran #ريت</t>
  </si>
  <si>
    <t>حسام حیدری</t>
  </si>
  <si>
    <t>RT @Haanaa72: این شما و این پیش بینی من #پرسپولیس_سرور_استقلالِ #پرسپولیس</t>
  </si>
  <si>
    <t>کارشناس علوم ارتباطات اجتماعی روزنامه نگاری کارشناس ارشد مدیریت رسانه</t>
  </si>
  <si>
    <t>@Babakghannad استقلال همیشه در اوج حامی استقلالیم به امید برد استقلال #دربی #استقلال #پرسپولیس</t>
  </si>
  <si>
    <t>اکرم رزاقی</t>
  </si>
  <si>
    <t>با يو يا بى يو يا شايدم بيو. آموزگار اتيسم</t>
  </si>
  <si>
    <t>نتيجه بازى فردا؟؟؟ #دربی</t>
  </si>
  <si>
    <t>تِخِل بابام</t>
  </si>
  <si>
    <t>http://half-space.blogspot.com</t>
  </si>
  <si>
    <t>‏‏‏‏بالاخره ما هم واسه خودمون، یِ کِیسی هستیم دیگه!!</t>
  </si>
  <si>
    <t>با توجه به اینکه فقط لوگوی #استقلال دیده می‌شه، بهترین حدس اینه که قرمزه، لباس دوم استقلاله. چقدر شباهت آخه؟</t>
  </si>
  <si>
    <t>نیم‌فاصله</t>
  </si>
  <si>
    <t>💙 معمار استقلالی💙</t>
  </si>
  <si>
    <t>اینقدر درگیر دلار و مذاکرات شدیم که #دربی رو کاملا فراموش کردیم. :(</t>
  </si>
  <si>
    <t>vahid shadabi</t>
  </si>
  <si>
    <t>‏‏‏‏‏‏‏‏‏‏‏‏‏خدای من آبجویی است تگری در یخچال خانه ام</t>
  </si>
  <si>
    <t>RT @Averell5Dalton: من بعنوان یک پرسپولیسی #برانداز لوگوی پیش از انقلاب تیمم رو لوگوی واقعی باشگاه میدونم و ازش برای رفتن به پیشواز دربی و مخالفت با رژیم استفاده میکنم از دوستان #تاجی و #پرسپولیسی توئیتر هم خواهش میکنم از این لوگوها تا شروع دربی استفاده کنن #پرسپولیس #تاج #استقلال #دربی #شهرآورد</t>
  </si>
  <si>
    <t>maktoub🏳️</t>
  </si>
  <si>
    <t>‏‏‏‏‏‏‏‏‏‏‏‏ 🔴آگنوستیک🔴 ‏‏🎧شاهین نجفی🎧 خسته و ناامید از آزادی درحال یادگیری... 🚫پان و تجزیه طلب دور شو استمرار طلب عرزشی مجاهد🚫</t>
  </si>
  <si>
    <t>سیگاریسم 🚬</t>
  </si>
  <si>
    <t>a free legendary man</t>
  </si>
  <si>
    <t>مرد مشرقي</t>
  </si>
  <si>
    <t>http://Instagram.com/alireza._.97</t>
  </si>
  <si>
    <t>‏‏‏‏‏‏‏‏‏‏‏‏‏‏‏‏‏‏‏‏‏‏‏‏‏‏‏‏‏‏‏‏میلان 🔴⚫. یک نقش مکمل 👨.</t>
  </si>
  <si>
    <t>نمی‌دونم</t>
  </si>
  <si>
    <t>راستی من بازی فردا رو ۰-۰ پیش‌بینی میکنم [: #استقلال_پرسپولیس</t>
  </si>
  <si>
    <t>Alireza</t>
  </si>
  <si>
    <t>‏‏‏‏‏‏‏‏‏‏‏خاک اگرخنده کرد وگندم داد از تو بود...‏ جوشکاری از جوشکاران حرفه ای ایران زمین،استقلالی،رئال مادریدی( از مجاهد و عرزشی حالم بهم میخوره)</t>
  </si>
  <si>
    <t>Iran_shahrekord_taghanak</t>
  </si>
  <si>
    <t>behnam aghababaie</t>
  </si>
  <si>
    <t>Animal Lover, Campaign for #Baluchistan_Black_Bear</t>
  </si>
  <si>
    <t>United States</t>
  </si>
  <si>
    <t>A Passer-by</t>
  </si>
  <si>
    <t>پرسپولیس اگر تیم بود اسمش #استقلال بود.</t>
  </si>
  <si>
    <t>رسول فلاحتی</t>
  </si>
  <si>
    <t>‏جاج اول هزار☻☻☻☻☻</t>
  </si>
  <si>
    <t>تو قلب عشقمم😏😏</t>
  </si>
  <si>
    <t>Albino Crow</t>
  </si>
  <si>
    <t>https://ARSENAL.IR</t>
  </si>
  <si>
    <t>یه توپچی اصیل وفادار که با تی‌تی آنری خاطرات خوبی داره و از رفتن فابرگاس به بارسلونا آنقدر گریه کرد که چشمانش کم‌سو شد!! صاحب امتیاز کمپین کلمه محبت‌آمیز #عزیزم</t>
  </si>
  <si>
    <t>اهل همین نزدیکی‌یام</t>
  </si>
  <si>
    <t>سِـــ‌ســـکـ‌ـ‌ــ‌ــ‌ـ‌ـ‌ـ فـــابـــرگـــاســــ‌ـ‌</t>
  </si>
  <si>
    <t>ریتوییتر صلواتی | توییت خوب از شما، ریتوییت از من، صلوات و حمایت از شما | #صلوات</t>
  </si>
  <si>
    <t>ریتوییت به معنی تایید نیست (RT≠endorsement)</t>
  </si>
  <si>
    <t>RT @rasoul_110: پرسپولیس اگر تیم بود اسمش #استقلال بود.</t>
  </si>
  <si>
    <t>™[ΛMIՈ]</t>
  </si>
  <si>
    <t>| ᵃᶰᵃʳᶜʰᶤᶳᵗ | ᶠᵉᵐᶤᶰᶤᶳᵗ |</t>
  </si>
  <si>
    <t>Iran, Alborz</t>
  </si>
  <si>
    <t>Shaghayegh Solh‌Joo</t>
  </si>
  <si>
    <t>RT @PerspolisFCIran: برانکو: قشنگ‌تر از این در فوتبال وجود ندارد که با استقلال و بعد به مصاف السد برویم. #پرسپولیس برای برد بازی می‌کند؛ فرق نمی‌کند که حریف ما استقلال باشد یا الدحیل یا السد.</t>
  </si>
  <si>
    <t>پِرِل دختر آقای خرچنگ</t>
  </si>
  <si>
    <t>#نظرسنجی طرفدار کدام تیم هستید؟! #ایران #پرسپولیس #استقلال #Iran</t>
  </si>
  <si>
    <t>👨‍👩‍👦‍👦💰🏊✈️🍽🛏🎧🎥🎮📚</t>
  </si>
  <si>
    <t>Manhattan, NY</t>
  </si>
  <si>
    <t>توو این اوضاع آشفته تساوی #دربی برای تماشاگرای هر دو تیم بهترین نتیجست</t>
  </si>
  <si>
    <t>Great Shikarin</t>
  </si>
  <si>
    <t>رویایی دارم ٬ رویای آزادی ٬ رویای یک رقص بی وقفه از شادی ٬ رویایی که غیرممکن نیست ٬ دنیایی که پاکه از تابلوهای ایست...</t>
  </si>
  <si>
    <t>شاید کره خاکی</t>
  </si>
  <si>
    <t>گیسو کمند مبارز</t>
  </si>
  <si>
    <t>@Amirhosein_dp چون تو گزینه ها #استقلال هست رأی نمیدم 😁</t>
  </si>
  <si>
    <t>چند ساعت بیشتر تا دربی نمونده ،آبی پوشان عزیز حواستون هست که...لطفا دربی رو ببرید بشوره ببره! #استقلال #دربی_۸۷</t>
  </si>
  <si>
    <t>arezoo ahmadi</t>
  </si>
  <si>
    <t>https://pbs.twimg.com/media/DoCx_xsXsAAit8f.jpg</t>
  </si>
  <si>
    <t>پیراهن های پرسپولیس و استقلال برای #دربی چقدر چرته ! هم تبلیغ زشت #ایرانسل ! هم تبلیغ زشت #اسنپ ! #دربی۸۸</t>
  </si>
  <si>
    <t>‏‏‏‏‏اولین کرد سلطنت طلب شاهنامه خوان 🦁🌞🥂مثتوی دان در سرزمین هفت هزارساله شاهنشاهی جاوید باد شاه</t>
  </si>
  <si>
    <t>Sushiant</t>
  </si>
  <si>
    <t>هیچ کس</t>
  </si>
  <si>
    <t>Holy Roger 💙🏆</t>
  </si>
  <si>
    <t>Writer &amp; Journalist,Media advisor, retweet not endorsement #لِاَنِّی_غَریب</t>
  </si>
  <si>
    <t>گفتم حالا که فردا قرار بازهم طبق معمول ببریم و دو سال قهرمانی پیاپی و یک ستاره حقیقی رو تو چشم استقلالی‌ها فرو کنیم یادآور شم که #پرسپوليس سرور همیشگی و دائمی شماهاست</t>
  </si>
  <si>
    <t>سیدمحمد آل‌طٰه</t>
  </si>
  <si>
    <t>Try to best life</t>
  </si>
  <si>
    <t>👑Son Of Persia👑</t>
  </si>
  <si>
    <t>http://t.me/RadioMostaqel</t>
  </si>
  <si>
    <t>‏‏‏‏‏‏‏‏‏‏‏‏‏‏‏‏‏‏‏‏‏‏‏‏‏‏‏‏‏‏‏‏‏‏‏‏‏‏‏‏‏‏‏‏‏‏‏‏‏‏‏‏‏‏‏ریاضی‌دان فیزیک‌دان شیمی‌دان اقتصاد‌دان پرتقال‌دان‌ زات‌دان. همیشه دیر میرسم</t>
  </si>
  <si>
    <t>https://pbs.twimg.com/media/DoCs5hPXoAIHtkl.jpg</t>
  </si>
  <si>
    <t>RT @ErfanHajbabaee: نظرسنجی ورزش سه :)))))))))) #دربی</t>
  </si>
  <si>
    <t>مستقل 🍊</t>
  </si>
  <si>
    <t>https://t.me/amitanha</t>
  </si>
  <si>
    <t>گویند سرانجام ندارید شما / مائیم که بی هیچ سرانجام خوشیم اصلاحات سبز</t>
  </si>
  <si>
    <t>https://pbs.twimg.com/media/DoCsn3pX0AYfKOI.jpg</t>
  </si>
  <si>
    <t>RT @AliJazayerii: دلخوشی ما تو این وانفسا همین #دربی بود که اونم داره دچار نوسان میشه #استقلال #پرسپولیس #دلار #ورزش3</t>
  </si>
  <si>
    <t>امير تنها 🇮🇷</t>
  </si>
  <si>
    <t>منم بدشانش ترین بدشانس دنیا...</t>
  </si>
  <si>
    <t>RT @yaghob_saffari: اگه پنج شنبه انصراف نميدين بليط بخريم #دربي</t>
  </si>
  <si>
    <t>مجی</t>
  </si>
  <si>
    <t>‏‏‏‏‏‏Iranian🇮🇷, living in Sweden 🇸🇪, and citizens of the world 🗺 Mostly in Farsi&amp;English اصلاح‌طلب به رسم سیدمحمد خاتمی -:- اصولگرا به رسم میرحسین موسوی</t>
  </si>
  <si>
    <t>RT @s_m_altaha: گفتم حالا که فردا قرار بازهم طبق معمول ببریم و دو سال قهرمانی پیاپی و یک ستاره حقیقی رو تو چشم استقلالی‌ها فرو کنیم یادآور شم که #پرسپوليس سرور همیشگی و دائمی شماهاست</t>
  </si>
  <si>
    <t>Farshad</t>
  </si>
  <si>
    <t>PERSPOLIS JUVENTUS</t>
  </si>
  <si>
    <t>RT @aghahesam912: #نظرسنجی طرفدار کدام تیم هستید؟! #ایران #پرسپولیس #استقلال #Iran</t>
  </si>
  <si>
    <t>Farshid Abed</t>
  </si>
  <si>
    <t>متولد کرمانشاه/علاقه مند به کتاب، تاریخ، فیلم، سریال و تماشای فوتبال</t>
  </si>
  <si>
    <t>Karaj, Islamic Republic of Iran</t>
  </si>
  <si>
    <t>MohamadJavad🇮🇷</t>
  </si>
  <si>
    <t>‏‏انقلابی هستم✌ اسرائیل باید از صفحه روزگار حذف شود ‏‏‏دانشجوی ارتباطات</t>
  </si>
  <si>
    <t>سیاست رو فعلا بی‌خیال... #پرسپولیس رو عشق است❤❤❤❤ #دربی واس ماس✌💪</t>
  </si>
  <si>
    <t>پوریا خرازی🏴</t>
  </si>
  <si>
    <t>http://sharghdaily.ir</t>
  </si>
  <si>
    <t>Teacher. Writer دبیر🌾</t>
  </si>
  <si>
    <t>ولی خداییش هوادارای #استقلال خیلی بی مزه افسرده خدایی هستن کلًاشیربرنجن😌😹 ❤❤❤ #پرسپولیس ❤❤❤</t>
  </si>
  <si>
    <t>🎭Dariush.Kh</t>
  </si>
  <si>
    <t>طرف قرارداد با انواع بوگير، بوساز، بو نساز و الي آخر...</t>
  </si>
  <si>
    <t>بر روی خر و ‌میان بُزهایم</t>
  </si>
  <si>
    <t>مشکلات دلارو پول و کار و درس و ... همچین فشار آورده که اصن #دربی به هیچ‌جام نیست، کسی رو هم ببینم که دارن برای این قضیه بحث میکنن تأسف میخورم براش.</t>
  </si>
  <si>
    <t>mr.mado</t>
  </si>
  <si>
    <t>خدایا هَب لی کَمالَ الاِنقِطاعِ اِلیکَ</t>
  </si>
  <si>
    <t>با افزایش قیمت دلار و رب گوجه فرنگی رقابت سختی بین این دو ایجاد شده است تا عصر امروز دلار با نرخ 18600 تومان از رب گوجه 18 هزار تومانی سبقت گرفته است #دربی _دلار_رب گوجه</t>
  </si>
  <si>
    <t>l.zare</t>
  </si>
  <si>
    <t>Hamzeh Samandari</t>
  </si>
  <si>
    <t>نوجوان کشته‌ای بر گُرده دارم. می‌خری؟ مێژوومان چەن زۆحاک و ماری خستە چاڵ؟</t>
  </si>
  <si>
    <t>شایان مصلح چه چاقالیه توی #پرسپولیس؟ این چه گهیه خورده؟ توی چه جور طویله‌‌ای بزرگ شده؟ چه گاوی تربیت کننده‌ش بوده؟</t>
  </si>
  <si>
    <t>Надия-наденка</t>
  </si>
  <si>
    <t>کاش به جای روحانی، #برانکو رئیس جمهور بود. #پرسپولیس</t>
  </si>
  <si>
    <t>‏‏‏‏‏‏‏‏ بي بصيرت از پله بالا نرفته فقط چشماش🙃</t>
  </si>
  <si>
    <t>https://pbs.twimg.com/media/DoCz_IJXoAAWZyt.jpg</t>
  </si>
  <si>
    <t>اینا حتی اسپانسرهای چهارم لباسشونم یکیه. اونوقت دلتون رو خوش کردید که یه #دربی واقعی ببینید؟ #پرسپولیسولاخه</t>
  </si>
  <si>
    <t>سید احتشام⁦⁦</t>
  </si>
  <si>
    <t>فیزیکدان انقلابی</t>
  </si>
  <si>
    <t>RT @seyedporia: کاش به جای روحانی، #برانکو رئیس جمهور بود. #پرسپولیس</t>
  </si>
  <si>
    <t>ریچارد فاینمن</t>
  </si>
  <si>
    <t>‏‏بنده به هیچ چیز اعتقاد ندارم لطفا من ر به اعتقاداتم قسم ندید</t>
  </si>
  <si>
    <t>🏳Parivana براندازم🏳</t>
  </si>
  <si>
    <t>‏‏‏‏اگنوستیک،‏‏‏‏‏ملی گرا، آنتی مجاهد،آنتی تجزیه طلب، آنتی چپ ِ افراطی، متخصص پِرابلم سُلوینگ(Programmer) !!!! #جمهوری_خواه</t>
  </si>
  <si>
    <t>Siavash Samadi</t>
  </si>
  <si>
    <t>زندگی اصلا ارزش اینو نداره که واسش ناراحت شی😉</t>
  </si>
  <si>
    <t>Neverland</t>
  </si>
  <si>
    <t>https://pbs.twimg.com/media/DoCzeweW0AAXt6Q.jpg</t>
  </si>
  <si>
    <t>خدایش این چه پیش پینی مضخرفیه؟ اصلا قیمت دلار چه ربطی به دربی داره؟ ورزش سه مسخره #فوتبال #دربی #شهرآورد #دلار #طلا #سکه #گرانی</t>
  </si>
  <si>
    <t>کوچولوی خسته</t>
  </si>
  <si>
    <t>مهندسِ هنرمند</t>
  </si>
  <si>
    <t xml:space="preserve">Iran </t>
  </si>
  <si>
    <t>Mo0n Shape 🌙</t>
  </si>
  <si>
    <t>Isfahan</t>
  </si>
  <si>
    <t>MilaD⁦</t>
  </si>
  <si>
    <t>عضو دوره سراسري شعر آفتابگردانها/عضو دفتر شعر جوان/خوشنويس/عكاس/فعال فرهنگى</t>
  </si>
  <si>
    <t>💙&gt;💔 متوجه شدين يا بيشتر توضيح بدم؟!😎 #دربى</t>
  </si>
  <si>
    <t>فاطمه دلشادى🏴</t>
  </si>
  <si>
    <t>‏توییتری ها از مردمند، بر مردم نیستند.</t>
  </si>
  <si>
    <t>Vatan</t>
  </si>
  <si>
    <t>https://pbs.twimg.com/media/DoC0hhwWsAA9232.jpg</t>
  </si>
  <si>
    <t>فردا دربی داریم توجه شما رو به نظرسنجی سایت ورزش ۳ جلب میکنم! فقط چرا برای تساوی نخواسته بدونه ک دلار میره بالا یا میاد پایین؟ نکنه انتظار داشته ثابت بمونه چون مساوی شده؟!؟ #دلار #دربی #پرسپولیس #استقلال #فوتبال #ورزش</t>
  </si>
  <si>
    <t>مِسْتِر مامبو</t>
  </si>
  <si>
    <t>دلم واسه طرفدارای #استقلال میسوزه، تو این وضعیت مملکت و دلار دلخوشیشون تیم چهارم پایتخت است. تازه فردا شب‌جمعه شون هم خراب میشه... #پرسپوليس 💪</t>
  </si>
  <si>
    <t>من قدر مطلق ارزوهای بر باد رفته خویش از خویشتنم در زیر رادیکال زندگی با فرجه بینهایت .....یک مهندس یک سی ساله یک بر باد رفته ارزوها</t>
  </si>
  <si>
    <t>ادم معمولی ۲</t>
  </si>
  <si>
    <t>‏‏در جست و جوی ایران</t>
  </si>
  <si>
    <t>Mrlucky</t>
  </si>
  <si>
    <t>http://www.hadimoradi.me</t>
  </si>
  <si>
    <t>Digital marketing Strategist | Master’s Degree, marketing management at University of Tehran</t>
  </si>
  <si>
    <t>قبلنا قبل #دربی مردم يه هيجان خوبي داشتن، الان همه حواسا به وضع بازاره.. امروز تقريباً با هركي حرف زدم حواسش نبود فردا دربيه</t>
  </si>
  <si>
    <t>آقای هـ ِ‌‌‌ـه</t>
  </si>
  <si>
    <t>RT @yaghob_saffari: #برانكو: استقلال شش ملي پوش داره اما ما فقط دو تا، بيرانوند و رسن جهت اطلاع دوستان استقلالي</t>
  </si>
  <si>
    <t>‏‏‏‏‏‏‏| لَقَد وُلِدَت لمحبه لَک♥️ | ‏#سوامون_کردن_صدامون_کردن_هوادار_حسین ...💚 عُنصرِ مُبهَمِ جامعه #133</t>
  </si>
  <si>
    <t>https://pbs.twimg.com/media/DoC0_r0WsAE41Ul.jpg</t>
  </si>
  <si>
    <t>پرسپولیس 🔴💪 و تمام... #دربی #پرسپوليس</t>
  </si>
  <si>
    <t>Fatemeh</t>
  </si>
  <si>
    <t>‏‏‏‏‏‏زن میخوام :(</t>
  </si>
  <si>
    <t>Billionaire</t>
  </si>
  <si>
    <t>https://telegram.me/harfbzanbot?start=8bDrweN</t>
  </si>
  <si>
    <t>‏‏‏‏‏‏‏‏‏‏‏‏‏‏‏‏‏‏‏‏‏‏‏‏‏‏‏‏‏‏‏‏‏‏‏ JUV💙MNU💙TAJ💙RMA💙بوفن💙جایگا8💙مه کور لکم💙 #سرباز_زندان</t>
  </si>
  <si>
    <t>کرج USL</t>
  </si>
  <si>
    <t>کی فردا میاد ورزشگاه؟ #دربی</t>
  </si>
  <si>
    <t>💙CR7</t>
  </si>
  <si>
    <t>‏اے ڪاش از ما نپرسنــد بعد از شہـــیدان چہ ڪردیـــد آخر چہ داریـــم بگوئیـــم جز انبوهے از نقطہ چین ها....</t>
  </si>
  <si>
    <t>RT @vahidkamali8: از اندک مزایایِ #دولت_تَکرار برای من اینه که، انقد بهم استرسُ شُک وارد شده که اگه دربی 6 تاهم بخوریم ککمم نمیگزه! #دربی 💙</t>
  </si>
  <si>
    <t>ســـارا 73</t>
  </si>
  <si>
    <t>﮼رويایی‌‌‌دارم‌‌‌رویای‌آزادی🥀🕊</t>
  </si>
  <si>
    <t>https://pbs.twimg.com/media/DoC1QM2XUAAZP4M.jpg</t>
  </si>
  <si>
    <t>١٧ساله تاجيم،تاجى معمولى نه! جورى تواين١٧سال هوادارش بودم كه هركى اسممو يادش ميره ميگه:همون دخترتاجيه! اولين باره كه هيچ هيجانى به دربى و بردوباختش ندارم!وقتى ايرانم انقدرآشفته وپريشون وسياهه آقاى ج.ا چه كردى باهمون يه ذره دلخوشى ماجووناى ايران؟ #استقلال #IraniansWantRegimeChange</t>
  </si>
  <si>
    <t>🏳️🕊﮼خُورشيــــــد ‏‏﮼🕊🏳️</t>
  </si>
  <si>
    <t>برای ما پرسپولیسی ها همه چیز واسمون ۹۰ دقیقه هست. حتی تو این وضعیت و تمام مشکلات ، به دنبال کامبک و اتفاقی رویایی هستیم و هیچ‌گاه ناامید نمی‌شویم❤ #پرسپولیس #دربی</t>
  </si>
  <si>
    <t>اینجا حرف دلمو میزنم بی کم وکاست</t>
  </si>
  <si>
    <t>وضعیت اقتصادی به قدری وخیم شده که کسی برای #دربی تره هم خورد نمیکنه به جز یه سری احمق</t>
  </si>
  <si>
    <t>سهراب خان</t>
  </si>
  <si>
    <t>‏‏‏اکانت دوم سمپات ‎‎@khatibi1111 فعلن دستم بهش نمیرسه</t>
  </si>
  <si>
    <t>اصلن در شان ما نیست با تیم یازدهم جدول کل کل کنیم #پرسپوليس #دربی ❤️❤️❤️</t>
  </si>
  <si>
    <t>سمپات دو 🏴</t>
  </si>
  <si>
    <t>http://Instagram.com/cafe.pasio</t>
  </si>
  <si>
    <t>اصفهان،خیابان چهارباغ عباسی، ک</t>
  </si>
  <si>
    <t>https://pbs.twimg.com/media/DoC1_1vXsAEjX4J.jpg</t>
  </si>
  <si>
    <t>دربی رو تو #پاسیو ببینید #کافه_پاسیو #کافه #دربی</t>
  </si>
  <si>
    <t>کافه پاسیو</t>
  </si>
  <si>
    <t>https://pbs.twimg.com/media/DoC2FxVWsAAquLd.jpg</t>
  </si>
  <si>
    <t>نزدیک #دربی یه دو دقیقه دو گل ببینید و راضی باشید ، تازه ۱-۰ هم عقب بودن 😂</t>
  </si>
  <si>
    <t>ریتوئیتر بچه‌های حزب الهی✌</t>
  </si>
  <si>
    <t>RT @seyedporia: برای ما پرسپولیسی ها همه چیز واسمون ۹۰ دقیقه هست. حتی تو این وضعیت و تمام مشکلات ، به دنبال کامبک و اتفاقی رویایی هستیم و هیچ‌گاه ناامید نمی‌شویم❤ #پرسپولیس #دربی</t>
  </si>
  <si>
    <t>مسافر ملکوت(مهسا سادات)</t>
  </si>
  <si>
    <t>نمیدونم امشب از #دربی بگم و استرس‌ شب قبلش، یا از #دلار بگم و #استرس فردا صبح که قراره چه رکورد جدیدی از خودش بجا بزاره</t>
  </si>
  <si>
    <t>Hessam Nik</t>
  </si>
  <si>
    <t>اگزجریتد</t>
  </si>
  <si>
    <t>Low cation</t>
  </si>
  <si>
    <t>RT @cafepasio: دربی رو تو #پاسیو ببینید #کافه_پاسیو #کافه #دربی</t>
  </si>
  <si>
    <t>خشی بِری</t>
  </si>
  <si>
    <t>http://allo0osh.wordpress.com</t>
  </si>
  <si>
    <t>望むところだ</t>
  </si>
  <si>
    <t>خارج نیستم</t>
  </si>
  <si>
    <t>الوش</t>
  </si>
  <si>
    <t>SARDAR IRAN</t>
  </si>
  <si>
    <t>Rozegarma</t>
  </si>
  <si>
    <t>‏‏‏‏خستمه از این کشور پر دروغ ورود اصلاح طلب و عرازشه.❎ورود منافق❎فالو=بک</t>
  </si>
  <si>
    <t>بی عرضه عصر یخبندان</t>
  </si>
  <si>
    <t>توییتر «بازار ورزش»؛ سایت خبری-تحلیلی درباره مدیریت و اقتصاد ورزش</t>
  </si>
  <si>
    <t>https://pbs.twimg.com/media/DoC222fW0AAjvS9.jpg</t>
  </si>
  <si>
    <t>در هیچ #دربی حساس دیگری در جهان، دو باشگاه رقیب، یک مالک و چهار #اسپانسر یکسان ندارند! #پرسپولیس #استقلال #دربی_۸۸</t>
  </si>
  <si>
    <t>بازار ورزش</t>
  </si>
  <si>
    <t>@tanasoli لیدر های #دربی ، ورزشگاه شهیاد را صحنه اتحاد هواداران ورزشی و شعار علیه رژیم فاسد ج.ا کنید #اعتصاب_سراسری_کامیونداران #IraniansWantRegimeChange #دلار</t>
  </si>
  <si>
    <t>ليدى مرمر</t>
  </si>
  <si>
    <t>بگذارید هر کسی به آیین خودش باشد زنان را گرامی بدارید فرودستان را دریابید و هر کسی به تکلم قبیله ی خویش سخن بگوید آدمی تنها در مقام خویش به منزلت خواهد رسید.</t>
  </si>
  <si>
    <t>Neda</t>
  </si>
  <si>
    <t>در دانش برانکو هرکس که شک نماید بی شک بدان که فرق توپ و تشتک نداند</t>
  </si>
  <si>
    <t>iran-tehran</t>
  </si>
  <si>
    <t>https://pbs.twimg.com/media/DoC2zmYXsAARlzp.jpg</t>
  </si>
  <si>
    <t>@PerspolisFCIran #پرسپوليس</t>
  </si>
  <si>
    <t>علی عسکری/حامی سرخ</t>
  </si>
  <si>
    <t>https://pbs.twimg.com/media/DoC3G0gXcAENnPJ.jpg</t>
  </si>
  <si>
    <t>#پرسپوليس #برانکو #دربی #هادی_نوروزی</t>
  </si>
  <si>
    <t>‏‏‏‏‏حق محور باشیم! #انقلابی_ام</t>
  </si>
  <si>
    <t>ینی ما که فوتبالی نیستیم، امتیاز این مرحله رو پیشاپیش از دست دادیم؟ یا چی؟! #دربی</t>
  </si>
  <si>
    <t>Pare-parwaz</t>
  </si>
  <si>
    <t>https://telegram.me/HarfBeManBot?start=NDg5NDA1OTA4</t>
  </si>
  <si>
    <t>‏‏‏‏خواهی نشوی همرنگ رسوای جماعت شو... دانشجوی معماری ❤ بایرن و استقلال و مانشافت 💙</t>
  </si>
  <si>
    <t>iran, ahvaz</t>
  </si>
  <si>
    <t>خطر ریزش زانو ها #دربی نزدیک است 💙</t>
  </si>
  <si>
    <t>❤🇩🇪پسر باواریا🇩🇪❤</t>
  </si>
  <si>
    <t xml:space="preserve">نيمه تاريك ماه </t>
  </si>
  <si>
    <t>ســــــینان</t>
  </si>
  <si>
    <t>‏‏‏‏‏‏‏‏‏‏‏‏‏‏‏‏‏‏‏‏عاشق کشورم ایران 🇮🇷 وبوسه بر پرچم عشق 🇮🇷😘 ما اهل کوفه نیستیم علی تنها بماند😍 ماییم نوای بی نوایی.. بسم الله اگر حریف مایی</t>
  </si>
  <si>
    <t>خون تا ابد سرخ خواهد ماند ، البته درون رگهای آبی 💙 #استقلال</t>
  </si>
  <si>
    <t>آقا مسعود💙</t>
  </si>
  <si>
    <t>با خدا باش و پادشاهی کن</t>
  </si>
  <si>
    <t>Mansur Gholami</t>
  </si>
  <si>
    <t>https://pbs.twimg.com/media/DXTPCOpXcAIZQi_.jpg</t>
  </si>
  <si>
    <t>RT @Tahmineh_6: خسته شدیم، از بس استقلال رو بردیم #دهه_شصتیا #پرسپولیس</t>
  </si>
  <si>
    <t>میشه #دلار ۱۹ تومنی را تحمل کرد ، ولی تحمل تیمی که شیش تا خورده ناممکنه... ناممکن!!! #پرسپوليس</t>
  </si>
  <si>
    <t>فوتبال</t>
  </si>
  <si>
    <t>RT @noorifar1: لیاقت شمایی که امروز در تمرین #استقلال به #شفر توهین کردید، همان مربیانی هستند که از موضع بالا نگاهتان می‌کنند و با تمسخر دهانتان را برای هر انتقادی می‌دوزند! آیا جرأت دارید این سوال را از #کی‌روش یا آنهایی که به نطفه‌ها شک می‌کردند، بپرسید؟ پاسخ شفر: «آیا می‌دانید احترام چیست؟»</t>
  </si>
  <si>
    <t>سعید تاجی</t>
  </si>
  <si>
    <t>مزرع سبز فلک دیدم داس مه نو یادم از کشته خویش آمد و هنگام درو</t>
  </si>
  <si>
    <t>آهای استقلالی ها، فردا اگر بردید، افتخار کنید که بهترین تیم آسیا رو بردید و اگر باختید، سرتون بالا باشه که به #پرسپولیس بزرگ باختید. #دربى #قرمز_رنگ_خون_ماست #ارتش_سرخ_آسیا</t>
  </si>
  <si>
    <t>Amirhossein Bagheri</t>
  </si>
  <si>
    <t>‏‏‏دیگر آزاد کنید این پرنده محبوس در قفس را....</t>
  </si>
  <si>
    <t>فریاد سکوت</t>
  </si>
  <si>
    <t>https://t.me/afratarh</t>
  </si>
  <si>
    <t>graphic designer</t>
  </si>
  <si>
    <t>ما #پرسپولیسی ها آنقدر از برد #دربی فردا مطئن هستیم که اصلا نیاز نمیبینیم بخواهیم جو بدیم و شلوغش کنیم. یه بازی پیش پا افتاده و تشریفاتیه، چون نتیجه قابل پیشبینه و اون هم برد 6-0 مقابل استقلال :))</t>
  </si>
  <si>
    <t>roho</t>
  </si>
  <si>
    <t>‏‏‏‏‏‏‏‏‏‏‏‏‏‏‏‏‏حُسن تو به دست خویش بیدارم کرد... یک عدد اردیبهشتی... پرسپولیس، رئالی،فوق لیسانس جغرافیا از شهید بهشتی مامانِ یاسمن زینب</t>
  </si>
  <si>
    <t>هییس صدا نیاد ما میبریم #پرسپولیس ❤❤</t>
  </si>
  <si>
    <t>زهرا صاد(بیقرارکربلا)🇮🇷</t>
  </si>
  <si>
    <t>دلنوشته واسه محبوب من که وجود خارجی ندارد Perspolis va Mohsen chavoshi❤️❤️ https://telegram.me/HarfBeManBot?start=MTA1MzYyOTQw</t>
  </si>
  <si>
    <t>#دربی چند چند میشه ؟ خودم میگم یک بر صفر #پرسپولیس میبره #کوت #ریت</t>
  </si>
  <si>
    <t>مُ حَ مَد</t>
  </si>
  <si>
    <t>http://thenormalone.ir/</t>
  </si>
  <si>
    <t>محندث بیصوادی که به اشیاء پرواز یاد میدهد با افتخار اصلاحطلب تمام فالور هام رو دوست دارم و میخونمشون❤️ یک انسان معمولی 😊</t>
  </si>
  <si>
    <t>Lebanon</t>
  </si>
  <si>
    <t>https://pbs.twimg.com/media/Dn4rdfmUUAAgUJQ.jpg</t>
  </si>
  <si>
    <t>https://instagram.com/cafeark?utm_source=ig_profile_share&amp;igshid=1vqv2g3f5814w</t>
  </si>
  <si>
    <t>RT @ehsan_rastgar: دوستانی که مایلند پنج‌شنبه، دیدار #شهرآورد رو در #کافه_ارک تماشا کنن، لطفا در خصوصی اعلام بفرمایند. متأسفانه توییتر کافه توسط توییتر بسته شده و مجددا این هفته راه‌اندازی خواهد شد، اما صفحه‌ی اینستاگرام کافه اینه👇🏻  #پرسپولیس #استقلال #دربی #میستنی</t>
  </si>
  <si>
    <t>محندث بی صواد</t>
  </si>
  <si>
    <t>Mohhamad Reza Shajarian forever❤ Man United forever❤ Persepolis forever❤ Poldark , Romelza forever❤</t>
  </si>
  <si>
    <t>RT @DorostNevisi: + اگه دربی فردا رو استقلال ببره بهت شام می‌دم. - برد شهرآورد با پرسپولیسه، شام استقلالیا خوردن نداره 😂😂😂 به‌جای «#دربی» یا «#داربی» بگیم #شهرآورد. #پرسپولیس #استقلال #درست‌_نویسی با درست‌نویسی همراه باشید:</t>
  </si>
  <si>
    <t>Badri Sharifian🇮🇷</t>
  </si>
  <si>
    <t>http://www.instagram.com/osro8_7</t>
  </si>
  <si>
    <t>http://facebook.com/osro</t>
  </si>
  <si>
    <t>نتیجه بازی امروز #پرسپوليس #دربی #استقلال</t>
  </si>
  <si>
    <t>Osro8_7</t>
  </si>
  <si>
    <t>کارگر.همسر.پدر . نگران ایران</t>
  </si>
  <si>
    <t>مهم نیست</t>
  </si>
  <si>
    <t>جعفرجنی🇦🇷</t>
  </si>
  <si>
    <t>آچار فرانسه</t>
  </si>
  <si>
    <t>مشروطه خواه و طرفدار نظام پادشاهي پارلماني 👑constitutional monarchy👑</t>
  </si>
  <si>
    <t>👑عاشق وطن پرست👑</t>
  </si>
  <si>
    <t>فروردینی، گرافیست، نوازنده سازهای کوبه‌ای، طبیعت گرد و مستقل از هر نوع کیش، دین و مسلک ...</t>
  </si>
  <si>
    <t>سرتق الدوله</t>
  </si>
  <si>
    <t>RT @alimoosavi786: این اوضاع داغونی که دولت لیبرال برای مردم بوجود آورده مگر اینکه با برد #پرسپوليس یکم بهتر بشه:))) #دربی</t>
  </si>
  <si>
    <t>ان نخل ناخلف که تبر شد زما نبود ، ماراگر زمانه شکند ساز میشویم</t>
  </si>
  <si>
    <t>ماماخمیری</t>
  </si>
  <si>
    <t>Old Red🔴Now Red🔴Future Red🔴 Madridista❤️</t>
  </si>
  <si>
    <t>Kermanshah</t>
  </si>
  <si>
    <t>سال٧٢ #دربى تو نيم فصل اول انجام نشد نيم فصل دومم انجام نشد جالبه فصل بهار انجام نشد فصل تابستون و پاييز هم انجام نشد حتى فصل زمستون هم انجام نشد چون تيمى به اسم استقلال تو سطح اول ليگمون نبود جالبه حتى سطح دوم هم نبود ولى بى انصافيه نگيم تو دسته٣،دربى رو با پورا تهران بازى كرد</t>
  </si>
  <si>
    <t>Red_Man</t>
  </si>
  <si>
    <t>عادت کردیم به عادت کردن</t>
  </si>
  <si>
    <t>برای من ویرانِ</t>
  </si>
  <si>
    <t>#دربی فقط شوت آقا کریم 🚀</t>
  </si>
  <si>
    <t>زهريام</t>
  </si>
  <si>
    <t>هر کسی کو دور ماند از اصل خویش باز جوید روزگار وصل خویش</t>
  </si>
  <si>
    <t>raha.a.s</t>
  </si>
  <si>
    <t>‏‏‏اصلاح طلب عضو حزب مشارکت ...</t>
  </si>
  <si>
    <t>واقعا در مورد شرف بازیکنای #استقلال و #پرسپولیس چه فکری کردید که میگید بهشون گفتن باید بازی مساوی دربیاد؟ یعنی یارو صاف تو چشم ۲۰ نفر بازیکن تیمش نگاه میکنه و میگه وا بدید مساوی بشه؟ یعنی بازیکنای این دو تا تیم بی شرفن؟ یا شما خیلی سیاسی هستین؟ يا من بَبواَم؟ #پرسپولیس_ام</t>
  </si>
  <si>
    <t>مهدی اقبال</t>
  </si>
  <si>
    <t>ورود عرزشی،مجاهد،سلطنت طلب ممنوع! برانداز ! طرفدار نظام پارلمانی و غیرمذهبی</t>
  </si>
  <si>
    <t>lebende4immer_zwei🕕</t>
  </si>
  <si>
    <t>توس/خراسان</t>
  </si>
  <si>
    <t>مهدی خان افشار</t>
  </si>
  <si>
    <t>‏‏‏‏‏‏آزادی نعمت نیست ، مسئولیت است... ‎‎‎‎‎#WeStandWithPahlavi</t>
  </si>
  <si>
    <t>Sorena 💎</t>
  </si>
  <si>
    <t>‏‏‏‏‏‏‏‏‏من نه خوش بینم، نه بد بینم / من شد و هست و شود بینم</t>
  </si>
  <si>
    <t>pic.twitter.com/k2SrdZ8Tx7</t>
  </si>
  <si>
    <t>خلاصه ی دربی ۵ مهر رو می تونید اینجا ببینید 😊👌 #پرسپولیس #دربی #منشا</t>
  </si>
  <si>
    <t>Saeed</t>
  </si>
  <si>
    <t>Palange Juybar</t>
  </si>
  <si>
    <t>http://t.me/hicch</t>
  </si>
  <si>
    <t>‏فیلسوف اهل هیچ دسته فکری نیست. فیلسوف بودن او به همین است.</t>
  </si>
  <si>
    <t>یادتون باشه، آخوندا گفتن فردا #دربی باید مساوی بشه. بدونید اگه مساوی شد کار خودشونه. #براندازم</t>
  </si>
  <si>
    <t>محمد وحیدی🇮🇷‏</t>
  </si>
  <si>
    <t>‏‏‏‏‏‏‏‏‏‏‏‏‏‏Bi[t]o شعر تنها رفیقِ‌ زندگیمه بی‌کلک‌ترین و خستگی‌ناپذیرترینه. تمام غم‌ها رو میریزه تو دل واژه‌ها بدون هیچ‌شکایتی فوق اقتصاد گرافیست تدوینگر</t>
  </si>
  <si>
    <t>On the lips</t>
  </si>
  <si>
    <t>پیشنهاد می‌کنم استقلالیا امشب نخوابن بلکه موقع باخت مفتضحانه‌ی فرداشون خواب باشن... #دربی #پرسپوليس</t>
  </si>
  <si>
    <t>ملک‌الشعرای‌پاییز</t>
  </si>
  <si>
    <t>‏‏‏‏‏‏‏‏ما به تکرار خطا استادیم...!!</t>
  </si>
  <si>
    <t>arak</t>
  </si>
  <si>
    <t>https://pbs.twimg.com/media/DoC-lVfXcAMq0PC.jpg</t>
  </si>
  <si>
    <t>فردا داربیه به امید برد پرسپولیس ❤❤❤❤❤❤ #پرسپوليس #داربی</t>
  </si>
  <si>
    <t>یا حیدر کرار</t>
  </si>
  <si>
    <t>﮼‌همونکه‌همیشه‌عینکش‌کثیفه</t>
  </si>
  <si>
    <t>RT @RedRNZ70: سال٧٢ #دربى تو نيم فصل اول انجام نشد نيم فصل دومم انجام نشد جالبه فصل بهار انجام نشد فصل تابستون و پاييز هم انجام نشد حتى فصل زمستون هم انجام نشد چون تيمى به اسم استقلال تو سطح اول ليگمون نبود جالبه حتى سطح دوم هم نبود ولى بى انصافيه نگيم تو دسته٣،دربى رو با پورا تهران بازى كرد</t>
  </si>
  <si>
    <t>متیو</t>
  </si>
  <si>
    <t>‏هر چه از دست می رود بگذار برود چیزی که به التماس آلوده باشد نمی خواهم هر چه باشد حتی زندگی ... چگوارا</t>
  </si>
  <si>
    <t>Arash Kamangir</t>
  </si>
  <si>
    <t>‏‏‏🏴سیَه پوشِ حُسین🏴 به قول مُدبالاها رسانه میخونیم تومثلا قطب علمی کشورUT</t>
  </si>
  <si>
    <t>به سوی طُ</t>
  </si>
  <si>
    <t>نمیدونم چرا ناگهان بازیکنایی که ازشون متنفر بودم ریختن تو تیمای مورد علاقم:/ کورتوا به #رئال تبریزی به #استقلال:/</t>
  </si>
  <si>
    <t>آذردخت</t>
  </si>
  <si>
    <t>https://t.me/ALIJAZAYERI82</t>
  </si>
  <si>
    <t>عكاس - روزنامه‌نگار/ Photographer - Journalist</t>
  </si>
  <si>
    <t>🇮🇷 علی جزایری 🇮🇷</t>
  </si>
  <si>
    <t>‏‏‏‏‏‏‏‏‏‏‏‏‏‏‏‏‏‏‏‏‏‏‏‏متاهل ❤❤❤❤❤❤ قبل از توهین کردن از نگاه اقا بوفون خجالت بکش فقط از فوتبال مینویسم دوست نداری آنفالو کن ‏</t>
  </si>
  <si>
    <t>ناف واشنگتن</t>
  </si>
  <si>
    <t>RT @khorshidy0861: فردا داربیه به امید برد پرسپولیس ❤❤❤❤❤❤ #پرسپوليس #داربی</t>
  </si>
  <si>
    <t>‏‏‏نسلی که سرسپرده ی عصر حجر شده...</t>
  </si>
  <si>
    <t>AMIN GH</t>
  </si>
  <si>
    <t>A...</t>
  </si>
  <si>
    <t>Mehdi AAA</t>
  </si>
  <si>
    <t>If you have a beautiful smile, you don't need any makeup.</t>
  </si>
  <si>
    <t>Afghanistan.kabul.k4</t>
  </si>
  <si>
    <t>pic.twitter.com/y3j4uQLEiW</t>
  </si>
  <si>
    <t>ی اسکرین شات بگیرین، ببینید نتیجه دربی فردا چی میشه. #پرسپولیس #استقلال</t>
  </si>
  <si>
    <t>Tavakoli MH</t>
  </si>
  <si>
    <t>❤هم نَظَری هم خَبَری هم قَمَران را #قَمَری❤ industrial manager/ project manager/ translator/ teacher</t>
  </si>
  <si>
    <t>عرفانشون</t>
  </si>
  <si>
    <t>Planet Earth</t>
  </si>
  <si>
    <t>pooorandokht</t>
  </si>
  <si>
    <t>https://telegram.me/harfbzanbot?start=nBnaBoM</t>
  </si>
  <si>
    <t>My heart is in a million pieces.</t>
  </si>
  <si>
    <t>RT @miladliam76: کی فردا میاد ورزشگاه؟ #دربی</t>
  </si>
  <si>
    <t>Sara khanoomi</t>
  </si>
  <si>
    <t>موهایم را باد درهم ریخته , دلم را تو..... https://telegram.me/harfbzanbot?start=j4EoA2</t>
  </si>
  <si>
    <t>@maral_8888 @Sahand_Li من با پسرای استقلالی دوستی ندارم چون همون اول کارمون به دعوا میکشه 😁 فقط #پرسپولیس 🔴</t>
  </si>
  <si>
    <t>shim</t>
  </si>
  <si>
    <t>https://telegram.me/harfbzanbot?start=qy7jabV</t>
  </si>
  <si>
    <t>‏‏‏‏‏‏‏‏‏‏‏‏‏‏‏‏‏‏‏‏اول خودت را بشناس ⚘ بعد هم نوعانت را اینا همشون دیوانن...</t>
  </si>
  <si>
    <t>همین دورو برا...</t>
  </si>
  <si>
    <t>RT @sourena_ir: اسکرین شات بگیرید و نتیجه دربی رو پیش بینی کنید.منشن بدین #ریتوییت #پرسپولیس #استقلال</t>
  </si>
  <si>
    <t>🎶obeid,As🎵(ساده لوح سابق)لیمیت شدم</t>
  </si>
  <si>
    <t>https://telegram.me/HarfBeManBot?start=MzUyMjkwNjQ5</t>
  </si>
  <si>
    <t>‏‏‏‏‏‏‏‏‏‏‏‏‏‏به هر حال ما هم دلایل خاص خودمون داریم|☆|هنر جو|تحول خواه♤رفرمیست خواه|《》متعهد♡《》</t>
  </si>
  <si>
    <t>هر جا میر حسین باشه</t>
  </si>
  <si>
    <t>🔱سامان🎭مونتانا⛓</t>
  </si>
  <si>
    <t>‏‏‏‏‏‏وطنش بودم اگر،به خاطر من مي جنگيد!و مادرش اگر، به خاطرم جان... من اما هيچ كس اش نيستم،من هيچكس اش هستم!يك عشق ناباورِ متعهد!(آذرماهيِ متولدسالِ سگ سابق!)</t>
  </si>
  <si>
    <t>Dark Swan🆗🍁❤️</t>
  </si>
  <si>
    <t>‏‏‏‏براندازم ، سلطنت طلب . خسته از ظلم حکومت به مردم و از آن بدتر ظلم مردم به مردم ‏‍ ‍ ‍😲😲😲فریاد تو فریاد من فریاد ایران است، فریاد شیران است... ‎</t>
  </si>
  <si>
    <t>➰میلاد اریایی 👑</t>
  </si>
  <si>
    <t>‏‏‏‏‏‏‏‏‏‏‏‏‏‏‏‏. یک عدد حقوق خوان 📚 جزا و جرم شناسی 👣🔍 توییت کپی نداریم. از ریتوییت کنندگان 👼</t>
  </si>
  <si>
    <t>دور مانده از اصل خویش</t>
  </si>
  <si>
    <t>چی میشه امشب قرمزا ببرن فردا آبیا... #لیورپول #استقلال</t>
  </si>
  <si>
    <t>تلخون</t>
  </si>
  <si>
    <t>shahrzad</t>
  </si>
  <si>
    <t>RT @iranjaviidan: @tanasoli لیدر های #دربی ، ورزشگاه شهیاد را صحنه اتحاد هواداران ورزشی و شعار علیه رژیم فاسد ج.ا کنید #اعتصاب_سراسری_کامیونداران #IraniansWantRegimeChange #دلار</t>
  </si>
  <si>
    <t>عشقست پرسپولیس</t>
  </si>
  <si>
    <t>پرسپولیس فردا چندتا میزنه؟ خدا کنه زیاد نزنه استقلالیا در شرایط خوبی نیستن. سوپر جام، جام باشگاهها، لیگ، خلاصه گناین.(گنا دارن) #پرسپوليس</t>
  </si>
  <si>
    <t>Mohsen.Karami</t>
  </si>
  <si>
    <t>‏‏‏‏‏‏‏یه کاکوی شیرازی .مهندس کامپیوتر و عکاس حرفه ای 💙متولد پاییز .کوچه ی اول پلاک دوم😍 از قضاوت مردم نمیترسم . آنها آنگونه که تربیت شده اند مرا میبینند 😊💙</t>
  </si>
  <si>
    <t>shiraz</t>
  </si>
  <si>
    <t>@shamiiiiiiiiiim @Sahand_Li ولی من دخترای پرسپولیسی معقول رو دوس دارم . خییییییلی . البته با حفظ اصالت تاجی خودم #استقلال</t>
  </si>
  <si>
    <t>عکاسباشی(MOHAMMAD)💙</t>
  </si>
  <si>
    <t>https://pbs.twimg.com/media/DoC5lBuWkAITmOF.jpg</t>
  </si>
  <si>
    <t>RT @mehdimaleki59: فردا #دربی داریم. همیشه چندروز مونده به بازی #استقلال و #پرسپوليس کری ها شروع میشد و هر جا میرفتی، صحبت دربی هم می شنیدی اما الان هیچ.مردم انقدر درگیر مصاف با رقیب سنتی خودشون(مشکلات اقتصادی)هستن که هرساعت دارن یه دربی سخت روپشت سرمیذارن. کوچکترین دلخوشی هم پَر کشیده #دربی #دلار</t>
  </si>
  <si>
    <t>یه ادم معمولی🙂</t>
  </si>
  <si>
    <t>São Paulo, Brasil</t>
  </si>
  <si>
    <t>خدایا چنان کن سرانجام کار ما خشنود باشیم و لنگیا در فرار #دربی</t>
  </si>
  <si>
    <t>عاقای اجتماعی</t>
  </si>
  <si>
    <t>شیر مردی چو علی خامنه ای هست هنوز....</t>
  </si>
  <si>
    <t>مهدی</t>
  </si>
  <si>
    <t>http://Www.09112201135.ir</t>
  </si>
  <si>
    <t>‏‏‏‏خدمات حفاظتی امنیتی دُزدگیرسُورناآمل🚨 🚨اعلان سرقت اتومبیل،اماکن 💡یو پی اس (برق اضطراری) 📢اعلان حریق 🎦دوربین مداربسته ️آیفون تصویری ‎http://t.me/dozdgirsurna</t>
  </si>
  <si>
    <t>دُزدگیرسُورنا آمل 🚨</t>
  </si>
  <si>
    <t>‏‏‏‏‏‏‏‏‏‏‏‏‏‏‏‏‏این کاربر معتقد است که مسئله فوتبال فراتر از مسئله مرگ و زندگی است.. 💛 قرمزم ❤</t>
  </si>
  <si>
    <t xml:space="preserve">خودم طهران دلم رم </t>
  </si>
  <si>
    <t>خانوم توتی🔴</t>
  </si>
  <si>
    <t>Interior designer, Architect بلبل به چند واسطه شاگرد زاغ ماست</t>
  </si>
  <si>
    <t>tehran iran</t>
  </si>
  <si>
    <t>انقدر توی بدبختی و ناامیدی می‌لولیم که کلا یادمون رفته فردا دربیه. چه بلایی داره سرمون میاد؟! #دربی #پرسپولیس_استقلال</t>
  </si>
  <si>
    <t>Seyamak</t>
  </si>
  <si>
    <t>خیلی دوست داشتم لباس سبز پاسداری بر تن کنم ولی سرنوشت لباس شخصیم کرد</t>
  </si>
  <si>
    <t>طرفدار کدام تیم در #دربی پنجشنبه شب هستین ؟؟</t>
  </si>
  <si>
    <t>حمیدرضا عبدالمنافی</t>
  </si>
  <si>
    <t>ای رهبر واداده# قبرت شده آماده# ما یک براندازی خوفناک به آخوندها بدهکاریم</t>
  </si>
  <si>
    <t>farzan🇦🇹</t>
  </si>
  <si>
    <t>‏پرسپولیس و میلان</t>
  </si>
  <si>
    <t>انگار ن انگار فردا دربی هست!! #پرسپولیس</t>
  </si>
  <si>
    <t>جلال امیدم</t>
  </si>
  <si>
    <t>http://Peyvandha.ir</t>
  </si>
  <si>
    <t>از قديمى هام، اگه نميشناسى بخاطر اينه كه اهل جلب توجه نبودم از اولش، ناشناسم! هر فالويى بك داده ميشود...! ENTJ</t>
  </si>
  <si>
    <t>Home, Sweet Home...!</t>
  </si>
  <si>
    <t>بوفِ بور</t>
  </si>
  <si>
    <t>خسته تنها</t>
  </si>
  <si>
    <t>💙💙سوپرمن پلاستیکی💙💙</t>
  </si>
  <si>
    <t>درست روزی که #دربی قراره باشه قرار کوه گذاشتم و از کرده‌ی خود دلشادم. با توجه به اینکه این شبها ماه هم حسابی در حال تکامله گمونم خیلی خوش بگذره.</t>
  </si>
  <si>
    <t>زینب</t>
  </si>
  <si>
    <t>https://telegram.me/harfbzanbot?start=jJXRq1V</t>
  </si>
  <si>
    <t>‏‏‏‏‏یک عدد مترجمِ نقاشِ هیجده ساله ی عینکی🤓 سیاسی و مذهبی ام نیستم ارزشیا و مجاهدام خواهشا نیان⛔😑</t>
  </si>
  <si>
    <t>TEHRAN_IRAN</t>
  </si>
  <si>
    <t>شرط میبندم بازی فردا مساوی میشه ، دلیل داره ...حالا ببینید کی گفدم... ولی طرفدار #پرسپولیس بودم همیشه و الانم هسدم❤❤❤❤❤❤</t>
  </si>
  <si>
    <t>PariSs🥁</t>
  </si>
  <si>
    <t>http://www.e5150.mihanblog.com</t>
  </si>
  <si>
    <t>عاشق فوتبال//پرسپوليسي-ميلاني متعصب//معاون سازمان مخوف #ممك (حمايت از ممه هاي كوچك)</t>
  </si>
  <si>
    <t>Where Eagles Dare</t>
  </si>
  <si>
    <t>كورواسود متالهد🤘🏼</t>
  </si>
  <si>
    <t>خودِ خودم... جايي براي خودم بودن فارغ از جنسيت، شغل و مناسبات اجتماعي</t>
  </si>
  <si>
    <t>Marvel</t>
  </si>
  <si>
    <t>https://telegram.me/HarfBeManBot?start=MTIxMTg4Mzk5</t>
  </si>
  <si>
    <t>يك عدد ابلوموف</t>
  </si>
  <si>
    <t>كلانتر اسپيد</t>
  </si>
  <si>
    <t>کی میبره؟!🤔 #دربی۸۸ #پرسپولیس #استقلال</t>
  </si>
  <si>
    <t>BaHaR</t>
  </si>
  <si>
    <t>گویند کسان بهشت با حور خوش است/ من میگویم که آب انگور خوش است/ این نقد بگیر و دست از آن نسیه بدار/ کاوآز دهل شنیدن از دور خوش است/</t>
  </si>
  <si>
    <t>رو به میهن، پشت به دشمن</t>
  </si>
  <si>
    <t>Mr. Krabs</t>
  </si>
  <si>
    <t>قدس إشغالی</t>
  </si>
  <si>
    <t>https://pbs.twimg.com/media/DoDA6OUXoAAkYfS.jpg</t>
  </si>
  <si>
    <t>کسشعر ترین نظر سنجی تاریخ دربی از اول تا به امروز (ورزش3) #دربی #پرسپوليس #استقلال #کسشعر #دلار</t>
  </si>
  <si>
    <t>کامبیز زودباز</t>
  </si>
  <si>
    <t>https://t.me/BiChatBot?start=sc-285000275</t>
  </si>
  <si>
    <t>پرسپوليسي/بارسايي تيفوسي ، عرزشي و مجاهد ⛔️⛔️ مهندس نفت ، بسيار ريت كننده ،فالو = فالو بك،آنفالو در اسرع وقت پاسخ داده ميشه پس زرنگي ⛔️⛔️ توهين زير توئيت=بلاك</t>
  </si>
  <si>
    <t>جايي كه خيلي آرامش باشه</t>
  </si>
  <si>
    <t>RT @Poolamobede: آقا ریدم به خودم آدام همتی شوت زد یا شلاق زد👏👏👏😅 #پرسپولیس</t>
  </si>
  <si>
    <t>EL PISTOLERO ( ليميت از آلوِيز )</t>
  </si>
  <si>
    <t>Mohammad taheri</t>
  </si>
  <si>
    <t>کارشناس ارشد فیزیک هسته ای</t>
  </si>
  <si>
    <t>Mashhad</t>
  </si>
  <si>
    <t>RT @iamparhamm: #دربی چیه؟! همون بازی تدارکاتی قبل نیمه نهایی آسیا رو میگید؟</t>
  </si>
  <si>
    <t>زهرا فهیمی</t>
  </si>
  <si>
    <t>هوادار پهلوی ذوب شده در شخصیت محمدرضا خان، جان، جانان، پهلوی</t>
  </si>
  <si>
    <t>ما طرفداران #استقلال خوشحال میشیم بازی فردا رو #پرسپوليس ببره اگر بازی رو استقلال برد یعنی پرسپولیس قهرمان میشه و استقلال در لیگ خوب نخواهد بود اگر بازی رو پرسپولیس برد یعنی استقلال در ادامه لیگ عالی خواهد بود اگر مساوی شد یعنی قهرمان لیگ ی تیم اصفهانی خواهد بود😂😂😂 #تجربه</t>
  </si>
  <si>
    <t>آراد</t>
  </si>
  <si>
    <t>https://pbs.twimg.com/media/Dn_mPLKXkAAHlxk.jpg</t>
  </si>
  <si>
    <t>RT @piroozinews: با خاطرات #دربی; روزی که استقلال با همه ستاره هایش ۶تایی شد</t>
  </si>
  <si>
    <t>#diet_theraphist🍏 #violinist🎻#چاوشیسم</t>
  </si>
  <si>
    <t>کره زمین🌍</t>
  </si>
  <si>
    <t>اصلا دل و دماغی مونده برای کل کل سر #دربی با این حجم از غم زدگی و اوضاع دردناک دلار؟</t>
  </si>
  <si>
    <t>Mahdiiiyehhh🎗</t>
  </si>
  <si>
    <t>خود نه از امید رستم نی ز غم . . وین میان خوش دست‌ و پایی می‌ زنم</t>
  </si>
  <si>
    <t>چپ استقلالی نوبره والا !! #پرسپولیس #استقلال #دربی</t>
  </si>
  <si>
    <t>🇮🇷عرفان پرویزی</t>
  </si>
  <si>
    <t>https://www.instagram.com/haem313/</t>
  </si>
  <si>
    <t>‏‏‏‏‏‏‏‏‏‏‏‏‏‏‏‏‏دانشجو ، حزب اللهیِ انقلابی ، همسر آینده</t>
  </si>
  <si>
    <t>بیچه محله ی امام رضایُم</t>
  </si>
  <si>
    <t>(ازین مسخره بازیا) استقلالیای تایملان ریت کنن همو بشناسیم 😎 #استقلال</t>
  </si>
  <si>
    <t>💙حسن💙امامی💙</t>
  </si>
  <si>
    <t>اکانت قبلی به دلیل فراموشی پسورد غیر فعال 😢</t>
  </si>
  <si>
    <t>RT @seda1995555: ١٧ساله تاجيم،تاجى معمولى نه! جورى تواين١٧سال هوادارش بودم كه هركى اسممو يادش ميره ميگه:همون دخترتاجيه! اولين باره كه هيچ هيجانى به دربى و بردوباختش ندارم!وقتى ايرانم انقدرآشفته وپريشون وسياهه آقاى ج.ا چه كردى باهمون يه ذره دلخوشى ماجووناى ايران؟ #استقلال #IraniansWantRegimeChange</t>
  </si>
  <si>
    <t>سارابانو</t>
  </si>
  <si>
    <t>دختر عاشق سیاست و رانندگی که سخت تلاش میکنه تا به چیزی که میخواد برسه...</t>
  </si>
  <si>
    <t>RT @haem313: (ازین مسخره بازیا) استقلالیای تایملان ریت کنن همو بشناسیم 😎 #استقلال</t>
  </si>
  <si>
    <t>زهراقبادی</t>
  </si>
  <si>
    <t>همون شهروند بازی مافیا</t>
  </si>
  <si>
    <t>https://twitter.com/nasazegaram7/status/1045042419924897795</t>
  </si>
  <si>
    <t>منتظریم دوباره تو #دربی بیرانوند درست شیرجه بزنه و وریا اشتباه شوت بزنه #استقلال RT @nasazegaram7: چقدر دربی به هیچ جاتون نیست :)</t>
  </si>
  <si>
    <t>E H S A N</t>
  </si>
  <si>
    <t>‏‏‏ایران پادشاهیم آرزوست</t>
  </si>
  <si>
    <t>Asadi Hastam</t>
  </si>
  <si>
    <t>پس از حذف لیورپول توسط چلسی به امید تحقیر قرمز های پایتخت توسط استقلال شب را صبح میکنیم #دربی #استقلال</t>
  </si>
  <si>
    <t>Ehsan sadri</t>
  </si>
  <si>
    <t>‏مَِثَِ سَِگَِ کَِاَِرَِ مَِیَِکَِنَِمَِ کَِهَِ مَِثَِ سَِگَِ زَِنَِدَِگَِیَِ نَِکَِنَِمَِ</t>
  </si>
  <si>
    <t>شما از هوادارایی که هرسال حرکتی که مایه ننگ تاریخ #دربی ها بوده(مشت برومند) رو با افتخار یاد اوری میکنه و کری میخونه انتظار پیشرفت دارین؟؟</t>
  </si>
  <si>
    <t>فامیل نزدیک</t>
  </si>
  <si>
    <t>در جستجوی عشق حقیقی ... 😊</t>
  </si>
  <si>
    <t>* ایران خاک دلیران *</t>
  </si>
  <si>
    <t>https://pbs.twimg.com/media/DoDC6XkXcAktJLH.jpg</t>
  </si>
  <si>
    <t>#دلار رو ووولششش کنین ... 🤑 #دربی رو بچسبییییییین ... ⚽️🤪 #پرسپوليس رو عششششششقه ... ❤️❤️❤️❤️❤️❤️ #استقلال 😖</t>
  </si>
  <si>
    <t>Lady Mary</t>
  </si>
  <si>
    <t>‏‏وقتی خاطره ها از امیدها پررنگ تر و قوی تر بشن، پیر شدنت شروع میشه...</t>
  </si>
  <si>
    <t>آلامتو</t>
  </si>
  <si>
    <t>http://www.islamshia.org</t>
  </si>
  <si>
    <t>مترجم تخصصى زبان ايتاليايي/كارشناسى ارشد حقوق بين الملل</t>
  </si>
  <si>
    <t>رم</t>
  </si>
  <si>
    <t>واقعاً فوتبال چیز عجیبیه! این همه آدم در تمام دنیا، واسش سکته می کنند، پول خرج می کنند، دعوا می کنند، حتی شده آدم هم میکشند! واسه چی؟! یه توپ که قل میخوره تو زمین! بعد مثلاً در بدترین شرایط زندگی هستند ولی خودشونو تکون نمیدن که وضعشون رو اصلاحی بکنند! اگه مخدر نیست پس چیه؟! #دربی</t>
  </si>
  <si>
    <t>Farzane 🇮🇷</t>
  </si>
  <si>
    <t>به انتظارِ قصه هاي بي غُصه سرگردانَم! !!! 🚩پرسپولیس 🚩&amp; یووه</t>
  </si>
  <si>
    <t>🍂وارش🍂</t>
  </si>
  <si>
    <t>‏‏‏‏تا پای جان پای امامم می مانم ❤ ❤️ Lover khomeini and khamenei ❤️🌹</t>
  </si>
  <si>
    <t>فی قلوب من والاه</t>
  </si>
  <si>
    <t>ابوالقاسم جعفری</t>
  </si>
  <si>
    <t>نتیجه #دربی۸۸ را چه پیش بینی میکنید ؟ #پرسپولیس #استقلال #شهرآورد_پایتخت</t>
  </si>
  <si>
    <t>شاهدوست افراطی حالاکسی میخوادخوشش نیادمهم نیست</t>
  </si>
  <si>
    <t>hosseinsolhjoo</t>
  </si>
  <si>
    <t>بدترین شکنجه آن است که دیگر نتوانی دوست بداری...</t>
  </si>
  <si>
    <t>Tehran,Iran</t>
  </si>
  <si>
    <t>🎗🇮🇷Orkide🇮🇷🎗</t>
  </si>
  <si>
    <t>http://telegram.me/parsatavakolii</t>
  </si>
  <si>
    <t>ضعیف باش ، کمرنگ باش ، اما خودت باش…</t>
  </si>
  <si>
    <t>خب از امشب بايد كم كم آماده شيم براى دربى😍🔥 كى ميبره؟ #پرسپوليس ❤️🔴</t>
  </si>
  <si>
    <t>‏‏‏مهندسِ بابام❤پرسپولیسی❤من انقلابی م❤</t>
  </si>
  <si>
    <t>یجای دور</t>
  </si>
  <si>
    <t>Mahsa</t>
  </si>
  <si>
    <t>‏‏‏بدلیل علاقه شخصی ، تلاشم بر این است تا حوزه ورزش زنان در رسانه‌ها بیشتر مورد توجه قرار بگیرد/پرسپولیس جان عشق است❤️/آواز میخونم و‌ تئاتری‌ام و گویا مترجم</t>
  </si>
  <si>
    <t>به عنوان یک پرسپولیسی اعتراف میکنم که هیچی بدتر از این نبود که #دربی قبل بازداشتگاه وزرا باشی و #پرسپولیس هم ببازه 😂تحملش واقعا برای ما پرسپولیسی های وزرا نشین سختتر بود سر دربی قبل 😂.. ایشاالله این دفعه اینطور نشه</t>
  </si>
  <si>
    <t>Negar</t>
  </si>
  <si>
    <t>http://t.me/montazeran_zuhhur</t>
  </si>
  <si>
    <t>‏‏‏‏‏‏ورزش سیاست موسیقی پاپ سرگرمی‌ فرهنگ و هنر بازی</t>
  </si>
  <si>
    <t>gorgan</t>
  </si>
  <si>
    <t>سلام پرسپولیسیا ریت کنم همو کنیم... ⁦❤️⁩⁦❤️⁩⁦❤️⁩⁦❤️⁩⁦❤️⁩⁦❤️⁩ #پرسپوليس #دربی #ریتوییت_لطفا</t>
  </si>
  <si>
    <t>abuezrail_gorganii</t>
  </si>
  <si>
    <t>- «الهی و ربی من لی غیرک» شعار منه - اگه منو بیرون از اینجا میشناسید، راجع به کارم و اسمم و هرچی که میدونین منشن ندین! سرجدتون! -</t>
  </si>
  <si>
    <t>https://pbs.twimg.com/media/DoDFs62WsAYLxJK.jpg</t>
  </si>
  <si>
    <t>من این پست رو چند ساعت پیش گذاشتم به اعتراض اینکه شورای پلیمر دانشگاه ایمرکبیر داره تماشای #دربی میذاره بدون حضور دانشجوها. بعد از انتقادها، این برنامه لغو شد. و فکر میکنم لازمه از بچه های شورای پلمیر تشکر کنم که شجاعت پذیرش و تغییر نظشون رو داشتن. #پلی_تکنیک</t>
  </si>
  <si>
    <t>میس آی برو!</t>
  </si>
  <si>
    <t>building builder, researcher</t>
  </si>
  <si>
    <t>New York, USA</t>
  </si>
  <si>
    <t>asedzade86💙</t>
  </si>
  <si>
    <t>‏‏‏‏‏❤پرسپولیس❤ ❤رئال مادرید❤</t>
  </si>
  <si>
    <t xml:space="preserve">kermanshah </t>
  </si>
  <si>
    <t>https://pbs.twimg.com/media/DoDJFBRXsAEax33.jpg</t>
  </si>
  <si>
    <t>هر چند که بعید میدونم بزارن برنده باشیم #پرسپولیس #دربی #دربی_واس_ماست</t>
  </si>
  <si>
    <t>Atefeh</t>
  </si>
  <si>
    <t>Peace Be Upon ME😃 // Mechanical &amp; Energy Engineer // Water-energy nexus Researcher</t>
  </si>
  <si>
    <t>Gorgan &amp; Tehran</t>
  </si>
  <si>
    <t>RT @abuezrail: سلام پرسپولیسیا ریت کنم همو کنیم... ⁦❤️⁩⁦❤️⁩⁦❤️⁩⁦❤️⁩⁦❤️⁩⁦❤️⁩ #پرسپوليس #دربی #ریتوییت_لطفا</t>
  </si>
  <si>
    <t>سید محمد</t>
  </si>
  <si>
    <t>تمامی ما از هنگام تولد خداناباوریم تا زمانی که کسی دروغ گفتن به ما را شروع می‌کند.</t>
  </si>
  <si>
    <t>pic.twitter.com/0RzAdwIWHg</t>
  </si>
  <si>
    <t>RT @Reza_Gh1990: هفت تیم پرطرفدار دنیا که خارج از اروپا هستند؛ #پرسپولیس در صدر آسیا حالا ب ی بار پر کردن استادیوم بنازید</t>
  </si>
  <si>
    <t>kamran</t>
  </si>
  <si>
    <t>‏‏‏‏‏‏‏‏‏‏‏خبرنگار|عکاس|پرسپولیسی|من انقلابی ام|</t>
  </si>
  <si>
    <t>@zahrachakhmaghi برانکو : با قلب مان به میدان میرویم. قطعا شاهد شکست شش تایی ها خواهیم بود #پرسپولیس</t>
  </si>
  <si>
    <t>محمد دهداری 🇮🇷</t>
  </si>
  <si>
    <t>‏‏آدمیزادی که دوست داره انسان بشه</t>
  </si>
  <si>
    <t>هر جا که خاک این سرزمین هستش</t>
  </si>
  <si>
    <t>#جهرمی وزیر ارتباطات زنگ زده به سید جلال حسینی و گفته تو یکی ستاره‌های #دربی هستی؟؟😐 وجدانا بیاید وظایف ش رو براش شرح بدیم،این بنده خدا تنظیمات ش بهم ریخته داره ارور میده 😏</t>
  </si>
  <si>
    <t>علی 🇮🇷 ‏‏🎗️</t>
  </si>
  <si>
    <t>RT @kheng7496: آخرین باری که استقلال بالاتر از #پرسپولیس بود تو جدول دندون من شکسته بود و تو مطب دکتر بودم و داشت پر میکردش الان 3 سال از پر کردن دندونم گذشته 😂 برا کی کری میخونید😂😂😂😂😂😂</t>
  </si>
  <si>
    <t>http://telegram.me/majid_org</t>
  </si>
  <si>
    <t>‏‏‏‏‏‏‏‏‏ایران 13 این حقوق بشر من ره بریزین به حسابم</t>
  </si>
  <si>
    <t>بین استقلال و پرسپولیس تراکتورسازی تبریزو انتخاب میکنم #دربی</t>
  </si>
  <si>
    <t>Majid Ranjbaran</t>
  </si>
  <si>
    <t>https://telegram.me/harfbzanbot?start=yMy45W</t>
  </si>
  <si>
    <t>نتيجه #دربى تهران؟</t>
  </si>
  <si>
    <t>Journalist بهروز صمدبیگی</t>
  </si>
  <si>
    <t>✅</t>
  </si>
  <si>
    <t>https://pbs.twimg.com/media/DoDHmdCUcAAiJWf.jpg</t>
  </si>
  <si>
    <t>RT @mehdimaleki59: امشب پشت در بسته ورزشگاه #آزادی . فعلا آزاد هستند البته فقط تا پشت درهای بسته. صبح میشه این شب اما بازم درها قرار نیست باز بشه... متاسفانه... عکس:سیدعلیرضا کیایی #دربی۸۸ #دربی #زنان #زنان‌درآزادی</t>
  </si>
  <si>
    <t>Behrooz Samadbeygi</t>
  </si>
  <si>
    <t>RT @Mehrdad70sm: بهمن کوچیک ۷۰۰۰تومن!!! #پرسپولیس #دلار #استقلال #کوت #اهواز_تسلیت #سلام</t>
  </si>
  <si>
    <t>صعید🐢</t>
  </si>
  <si>
    <t>نویسنده ای گمنام با بیش‌ترین تجدید چاپ کتاب،جهت آشنایی بیش‌تر در گوگل مرا بیابید.... عاشق ماهیگیری🐠 و‌تنیس 🎾 و‌فیلم سینمایی🎬 و‌سفر 🚌🚋🚍🚝✈️🚢</t>
  </si>
  <si>
    <t>عبدل  اسمیت</t>
  </si>
  <si>
    <t>‏‏‏‏‏‏‏‏‏‏‏‏‏‏‏‏‏‏‏‏‏‏‏‏‏‏‏‏‏‏‏‏‏‏‏‏‏‏‏‏‏‏‏‏‏‏‏‏‏‏‏‏‏‏‏‏‏‏‏‏میگن صنایع دستی ومرمت ابنیه خوندم!!! پرسپولیسی☝️✋🔥، عاشق قدم زدن با طعم سیاوش قمیشی</t>
  </si>
  <si>
    <t>پشت ناکجا اباد</t>
  </si>
  <si>
    <t>قدم‌زن</t>
  </si>
  <si>
    <t>https://pbs.twimg.com/media/Dn9s5pZXUAAAlHs.jpg</t>
  </si>
  <si>
    <t>RT @ManMeysam: هفتادوسه سال عاشقی هفتادوسه سال صلابت تولدت مبارک #عشق #تاج #استقلال #چهارم_مهر</t>
  </si>
  <si>
    <t>Panda</t>
  </si>
  <si>
    <t>‏اسماعیل‌فر خبرنگار تسنیم استقلالی💙</t>
  </si>
  <si>
    <t>m.esmaeilfar</t>
  </si>
  <si>
    <t>اینکا</t>
  </si>
  <si>
    <t>دکتر فرض کنید ،از اتفاق های استثنایی حرف میزنه که رخ میده در آینده نزدیک ...</t>
  </si>
  <si>
    <t>فرض کنید ۱۰۰ هزار نفر تو ورزشگاه آزادی اینو بگن توپ تانک فششه آخوند باید گم بشه ‌... #پرسپوليس #استقلال #دربی #روحاني #IraniansWantRegimeChange</t>
  </si>
  <si>
    <t>دکتر فرض کنید</t>
  </si>
  <si>
    <t>ابله</t>
  </si>
  <si>
    <t>مگه #استقلال امسال تو لیگِ برتر هست؟ #پرسپوليس #دربی</t>
  </si>
  <si>
    <t>Sajjad Ramesht</t>
  </si>
  <si>
    <t>آقایون خانم ها من دوباره این و خودکار کردم جون عزیزتون هشتگ و خراب نکنید زیر ریتوییت ها هم نیایی فخش بدید منم مثل پسر خودتون! باسپاس</t>
  </si>
  <si>
    <t>توییتر</t>
  </si>
  <si>
    <t>ریتوییت</t>
  </si>
  <si>
    <t>Mahoor755</t>
  </si>
  <si>
    <t>در دلم بود كه دلدار تو باشم... واي بر من كه ندانستم از اول... روزي آيد كه دل آزار تو باشم.</t>
  </si>
  <si>
    <t>برگ جهان</t>
  </si>
  <si>
    <t>به نظرتون اينبار پاس ميده يا هتريك ميكنه؟ #پرسپوليس</t>
  </si>
  <si>
    <t>آ_وحيدي</t>
  </si>
  <si>
    <t>*تو معبود منی بگذار داد از دل بگیرم پناهم ده كه بر سقف حرم منزل بگیرم* *سیاسی بودن را از مادرمان به ارث برده ایم و عشق را از مادرانمان* *#امام_رضایی_ام*</t>
  </si>
  <si>
    <t>ժმʊɠɧԵɛɾ վმსժმ</t>
  </si>
  <si>
    <t>nsalei🏳️💎</t>
  </si>
  <si>
    <t>‏‏‏‏‏‏‏‎‎‎‎‎‎‎#فالو= ‎#فالوبک ‏‏Hope for freedom of opinion✌ ‎‎‎‎‎‎‎‎‎#میسازیمت_وطن #جاوید_شاه ‎‎‎‎‎‎‎#براندازم ورودهرنوع #براندازمجاز✌ #اتحاد_براندازان</t>
  </si>
  <si>
    <t>RT @miladfarooghi: هرکس در بین امت تفرقه انداخت سرش را بزنید حتی اگر زیر عمامه من بود... امیرالمومنین علیه السلام احمق تر از این بچه نیس آبروی بچه هیأتی ها رو نبر آبروی مکتب امام صادق رو نبر خوشت میاد اونها هم به مقدسات ما توهین کنند ادم نادان؟؟؟؟ #شایان_مصلح #پرسپولیس</t>
  </si>
  <si>
    <t>🌏💙DONYA💙🌏</t>
  </si>
  <si>
    <t>‏‏محمد علی/استقلالی/بایرنی</t>
  </si>
  <si>
    <t>عاقا من چن وقته یه سوالی ذهنمو درگیر کرده. سورپرایز #برانکو برا #دربی چیه؟؟</t>
  </si>
  <si>
    <t>*جنگلبان خسته*</t>
  </si>
  <si>
    <t>‏‏‏‏‏‏‏‏‏‏‏‏‏‏‏‏شهروند خبرنگارم، ‎‎‎‎‎‎‎‎‎‎‎‎‎‎‎‎#رشت_الکتریک دیده و چشیده</t>
  </si>
  <si>
    <t>زیر چتر کرامت خدا</t>
  </si>
  <si>
    <t>هنوز ارزشی‌ها طعنه به سلبریتی‌ها نگفتن که هزینه‌ی بازی استقلال و پرسپولیس رو خرج فقرا کنید؟ #دربی</t>
  </si>
  <si>
    <t>ابوالفضل احمدی</t>
  </si>
  <si>
    <t>http://Linux-zone.org</t>
  </si>
  <si>
    <t>اگه نمیدونی بابات کیه فالو نکن ، با کسی حرفی ندارم اگه دعوا داری بیا جلو</t>
  </si>
  <si>
    <t>Canada,Toronto 🔄 Sari</t>
  </si>
  <si>
    <t>عمــو حسن</t>
  </si>
  <si>
    <t>‏یک ایرانی مسلمانم</t>
  </si>
  <si>
    <t>ایرانی</t>
  </si>
  <si>
    <t>Mostly I Talk About Music Here:)) #music</t>
  </si>
  <si>
    <t>دربی یه طلسم جالب داره یه دوستی هست اگه از من راضی باشه استقلال میبره اگه راضی نباشه خب استقلال میبازه... بعد همین واس رئال برعکسه دقیقا😂😂 #دربی #طلسم</t>
  </si>
  <si>
    <t>Kindness ocean</t>
  </si>
  <si>
    <t>#‏‏‏‏‏‏‏براندازم . ورود عرزشی، مجاهد، اسهال طلب و باقی لجن هایی از این دست ممنوع</t>
  </si>
  <si>
    <t>Some day we're gonna fly again</t>
  </si>
  <si>
    <t>RT @drfarzkonid: فرض کنید ۱۰۰ هزار نفر تو ورزشگاه آزادی اینو بگن توپ تانک فششه آخوند باید گم بشه ‌... #پرسپوليس #استقلال #دربی #روحاني #IraniansWantRegimeChange</t>
  </si>
  <si>
    <t>🌀 Robate ghoraze 🌀</t>
  </si>
  <si>
    <t>‏یه بقالِ خسته</t>
  </si>
  <si>
    <t>https://pbs.twimg.com/media/DoDLz6ZX0AsEolJ.jpg</t>
  </si>
  <si>
    <t>دوستان فالوور بالا لطفا اطلاع رسانی کنید از پتانسیل #دربی استفاده کنیم فردا اعتراضات رو از آزادی شروع کنیم خیابونها رو تسخیر می کنیم #براندازم #استقلال #پرسپولیس #روحانی #IraniansWantRegimeChange #IranRegimeChange</t>
  </si>
  <si>
    <t>mr.baghal</t>
  </si>
  <si>
    <t>@Averell5Dalton دوستان فالوور بالا لطفا اطلاع رسانی کنید از پتانسیل #دربی استفاده کنیم فردا اعتراضات رو از آزادی شروع کنیم خیابونها رو تسخیر می کنیم #براندازم #استقلال #پرسپولیس #روحانی #IraniansWantRegimeChange #IranRegimeChange</t>
  </si>
  <si>
    <t>RT @WeNeedThePeace: بعنوان ۱ پرسپولیسی از بودن امثال #شایان_مصلح تو تیمم واقعا شرمنده ام!! #پرسپولیس کبیر جای این موجودات نیست!</t>
  </si>
  <si>
    <t>‏‏یه زندانی بین نود میلیون زندانی</t>
  </si>
  <si>
    <t>unknown</t>
  </si>
  <si>
    <t>XYZ</t>
  </si>
  <si>
    <t>@tanasoli دوستان فالوور بالا لطفا اطلاع رسانی کنید از پتانسیل #دربی استفاده کنیم فردا اعتراضات رو از آزادی شروع کنیم خیابونها رو تسخیر می کنیم #براندازم #استقلال #پرسپولیس #روحانی #IraniansWantRegimeChange #IranRegimeChange</t>
  </si>
  <si>
    <t>‏‏زگهواره تا گور سرخ سرخ سرخ</t>
  </si>
  <si>
    <t>RT @mrbaghal: @Averell5Dalton دوستان فالوور بالا لطفا اطلاع رسانی کنید از پتانسیل #دربی استفاده کنیم فردا اعتراضات رو از آزادی شروع کنیم خیابونها رو تسخیر می کنیم #براندازم #استقلال #پرسپولیس #روحانی #IraniansWantRegimeChange #IranRegimeChange</t>
  </si>
  <si>
    <t>یا سوسیالیسم یا بربریت</t>
  </si>
  <si>
    <t>@Beth7876 منم یه #پرسپوليس #لیورپولیم خوشحالم😍😍😍</t>
  </si>
  <si>
    <t>مم رضو</t>
  </si>
  <si>
    <t>....goner....</t>
  </si>
  <si>
    <t>فعلااینجا‌بعداً‌اونجا🚶‍♀️</t>
  </si>
  <si>
    <t>izabelle🏳️</t>
  </si>
  <si>
    <t>#براندازم</t>
  </si>
  <si>
    <t>Star</t>
  </si>
  <si>
    <t>https://telegram.me/harfbzanbot?start=bKW5EK3</t>
  </si>
  <si>
    <t>‏‏‏‏‏‏‏‏‏‏‏چه حال دور و درازیست پیرمان کرد ولی دردی را نکاست</t>
  </si>
  <si>
    <t>instagram: @mataee_arman</t>
  </si>
  <si>
    <t>چندلر(آرمانم)</t>
  </si>
  <si>
    <t>مدرسِ نحوه يِ صحيح نشون دادنِ ميدل فينگر با هر دو دست</t>
  </si>
  <si>
    <t>فردا تايملاين پرِ پوست تخمه ميشه #دربي</t>
  </si>
  <si>
    <t>غولِ چراغِ راهرو</t>
  </si>
  <si>
    <t>RT @mrbaghal: دوستان فالوور بالا لطفا اطلاع رسانی کنید از پتانسیل #دربی استفاده کنیم فردا اعتراضات رو از آزادی شروع کنیم خیابونها رو تسخیر می کنیم #براندازم #استقلال #پرسپولیس #روحانی #IraniansWantRegimeChange #IranRegimeChange</t>
  </si>
  <si>
    <t>farnkfurt</t>
  </si>
  <si>
    <t>هیچ</t>
  </si>
  <si>
    <t>لطفا اگر هویت پیجتون مشخص نیست فالوو نکنید</t>
  </si>
  <si>
    <t>pic.twitter.com/nA6yG1EBQ3</t>
  </si>
  <si>
    <t>💔24 چرا همه رفته بودناشونو میذارن واسه پاییز !؟ چرا پاییز هیشکی برنمی گرده !؟ . #هادی_نوروزی #پاییز #دربی #رادیوچهرازی</t>
  </si>
  <si>
    <t>خان دایی</t>
  </si>
  <si>
    <t>نیک‌اندیش نیست اهریمن / شاهدم روی دوش ضحاک است #سارا_هوشمندی</t>
  </si>
  <si>
    <t>قطب وسط</t>
  </si>
  <si>
    <t>میگن قراره #دربی همه چیز رو بشوره ببره #دلار</t>
  </si>
  <si>
    <t>روفائیل</t>
  </si>
  <si>
    <t>قراره مشاور بشم 😊😊</t>
  </si>
  <si>
    <t>elisa67</t>
  </si>
  <si>
    <t>‏‏نویسنده (فیلمنامه نویس، نمایشنامه نویس ، دلنویس) ، دانشجوی BME ، عاشق شعر و فلسفه</t>
  </si>
  <si>
    <t>ولی ای کاش فردا هیچکس نره برای اعتراض به ورود خانم ها به ورزشگاه #stadiumazadi #Derby #Esteghlal #Perspolis #دربی٨٨ #ورزشگاه_آزادی #استقلال #پرسپولیس #پرسپولیس_استقلال</t>
  </si>
  <si>
    <t>Sina joharian</t>
  </si>
  <si>
    <t>شیراز</t>
  </si>
  <si>
    <t>سیتالوپرام هگزال</t>
  </si>
  <si>
    <t>Airline employee✈ shahrivar🍒 my love music♫ Just👉perspolis💞</t>
  </si>
  <si>
    <t xml:space="preserve"> Shiraz</t>
  </si>
  <si>
    <t>mahshidtavakoli🎗️</t>
  </si>
  <si>
    <t>به عنوان یک پرسپولیسی اعتراف میکنم که هیچی بدتر از این نبود که #دربی قبل بازداشتگاه وزرا باشی و #پرسپولیس هم ببازه 😂تحملش واقعا برای ما پرسپولیسی های وزرا نشین سختتر بود سر دربی قبل 😂 ایشاالله این دفعه اینطور نشه 😜 #زنان_ورزشگاه #استقلال #پرسپولیس</t>
  </si>
  <si>
    <t>هيچ اگر سايه پذيرد ، منم آن سايه ي هيچ Being Mohammad Ali Taheri's student is my greatest honor , former cinema &amp; tv actress</t>
  </si>
  <si>
    <t>Brandenburg, Germany</t>
  </si>
  <si>
    <t>Nahid Seif 🕕</t>
  </si>
  <si>
    <t>حالا با دست اشاره نمیکنم. یه سری استقلالی هم هستن از کل کل ترسیدن و فقط با استقلالی ها دارن صحبت میکنن و هعی الکی از تیمشون تعریف میکنن :))) #پرسپولیس #دربی</t>
  </si>
  <si>
    <t>‏«آهو» نام یک حیوان نیست! «آهو» نام دیگر دل آدم هاست!!..باید به «مشهد» بیایی تا ببینی ... 🌸صلی الله علیک یا علی بن موسی الرضا المرتضی🌸</t>
  </si>
  <si>
    <t>RT @abolfazllahmadi: هنوز ارزشی‌ها طعنه به سلبریتی‌ها نگفتن که هزینه‌ی بازی استقلال و پرسپولیس رو خرج فقرا کنید؟ #دربی</t>
  </si>
  <si>
    <t>🍃فاطمه زهرا🍃</t>
  </si>
  <si>
    <t>RT @mrbaghal: @tanasoli دوستان فالوور بالا لطفا اطلاع رسانی کنید از پتانسیل #دربی استفاده کنیم فردا اعتراضات رو از آزادی شروع کنیم خیابونها رو تسخیر می کنیم #براندازم #استقلال #پرسپولیس #روحانی #IraniansWantRegimeChange #IranRegimeChange</t>
  </si>
  <si>
    <t>به تمامي تفكرات و عقايد احترام ميگذارم.باشد كه تعامل كنيم!!!</t>
  </si>
  <si>
    <t>همين نزديكي...</t>
  </si>
  <si>
    <t>جك هستم جك:)</t>
  </si>
  <si>
    <t>1985-8-23 Dream 🤔as if you'll live💛 for ever 🙅‍♂️live as if you'll die today😛 اصلاح طلب و عضو حزب ندای ایرانیان</t>
  </si>
  <si>
    <t>Iran.Golestan</t>
  </si>
  <si>
    <t>https://pbs.twimg.com/media/DoDGbX1WkAAbRTQ.jpg</t>
  </si>
  <si>
    <t>https://twitter.com/_Zahra72_/status/1045053458037051392</t>
  </si>
  <si>
    <t>#دربی #پرسپولیس RT @_Zahra72_: مگه میشه مشکلات باعث بشه عشق و دلخوشیمون یادمون بره❤❤❤❤❤❤ #دربی #پرسپولیس</t>
  </si>
  <si>
    <t>sajjad mirdarvatan</t>
  </si>
  <si>
    <t>‏‏‎‎#پرسپولیس ‎‎#بارسا اینجا عاشقانه هام برای پرسپولیس و عشقم رو مینویسم</t>
  </si>
  <si>
    <t xml:space="preserve"> تو قلبش</t>
  </si>
  <si>
    <t>S🚗let Witch</t>
  </si>
  <si>
    <t>https://www.instagram.com/roshnall/</t>
  </si>
  <si>
    <t>‏‏‏‏‏به خداسوگنداین واقعیت قلب انسان رامیمیراند و دچار غم و اندوه میکندکه دشمنان در باطل خود وحدت دارند و شما در حق خود متفرق و پراکنده هستید امام علي(ع)</t>
  </si>
  <si>
    <t xml:space="preserve">Islamic Republic of Iran  </t>
  </si>
  <si>
    <t>خداوکیلی کی الان به فکر #دربی فرداست؟ من همش دارم به #تا_1400_با_روحانی فکر میکنم خداکنه فردا با برد ❤ #پرسپولیس یکم خوشحال بشیم بالا رفتن قیمت #دلار تو #دولت #روحانی یه چیز عادیه البته شکست #استقلال هم عادیه ولی خب ... #پرسپولیس_سرور_استقلالِ ❤</t>
  </si>
  <si>
    <t>🇮🇷 محمّدرضا محمّدی</t>
  </si>
  <si>
    <t>Sadeqi Tehran</t>
  </si>
  <si>
    <t>@Spinooza #پرسپوليس</t>
  </si>
  <si>
    <t>hossein ferdousi 🇮🇷 🇮🇷</t>
  </si>
  <si>
    <t>‏من تا همین اواخر فکر میکردم 《بیو》 همون 《بیا》 با لهجه مشهدیه! بفرما جوج</t>
  </si>
  <si>
    <t>الان باید واسه #دربی کری بخونیم و کون همو پاره کنیم ولی کلا ذهنا درگیر دلار و بدبختیمونه #ريتوييت</t>
  </si>
  <si>
    <t>آل کفن</t>
  </si>
  <si>
    <t>جهنم همین زندگیه اجباری با احمق‌های اطرافه</t>
  </si>
  <si>
    <t>یه زمانی از یه هفته قبل واسه دربی کُری میخوندم و هیجان داشتم، الان انقد نگرانم و دغدغه آینده رو دارم که شور و شوق دیدنش رو هم ندارم... #دربی</t>
  </si>
  <si>
    <t>هُودور</t>
  </si>
  <si>
    <t>ECONOMIST LINGUIST 3RDWAY MARXIST AHIMSA HUMAN ANIMAL PLANT ORGANISM RIGHTS ACTIVIST ECOCENTRIST BIOPHILIC BIOCENTRIST ENVIRONMENTALIST RAW-FRUITARIANIST NUDIST</t>
  </si>
  <si>
    <t>Tehran iran</t>
  </si>
  <si>
    <t>shahryar erami aryamehr🇨🇭🇪🇺🇮🇱🇺🇸</t>
  </si>
  <si>
    <t>RT @aideenmot1359: 💔24 چرا همه رفته بودناشونو میذارن واسه پاییز !؟ چرا پاییز هیشکی برنمی گرده !؟ . #هادی_نوروزی #پاییز #دربی #رادیوچهرازی</t>
  </si>
  <si>
    <t>برد و باخت مهم نیست، #پرسپولیس میبره یا #استقلال میبازه، مهم اینه که دوستی ها حفظ بشه و همچنان از بازی فوتبال لذت ببریم :))</t>
  </si>
  <si>
    <t>https://www.linkedin.com/in/farazfatemimoghaddam/</t>
  </si>
  <si>
    <t>دکتر فراز فاطمی مقدم. محقق و نویسنده در زمینه رایانش ابری و امنیت شبکه های توزیعی. انجمن علمی داده پردازی دانشگاه گوتینگن، آلمان.</t>
  </si>
  <si>
    <t>Göttingen, Germany</t>
  </si>
  <si>
    <t>شب دربی همیشه پر از هیجان و استرسه... حتی اگه لحظه لحظه خبر بد از نیویورک و بازار تهران بیاد #دربی #پرسپوليس #شورای_امنیت #سازمان_ملل‌_متحد #قیمت_دلار #دلار</t>
  </si>
  <si>
    <t>Faraz Fatemi Moghaddam</t>
  </si>
  <si>
    <t>IT engineer/ my family❤/ Bakhtiyari &amp; kurd</t>
  </si>
  <si>
    <t>https://pbs.twimg.com/media/DoDQCQJW0AAyvyJ.jpg</t>
  </si>
  <si>
    <t>#دربی #شهر_آورد #استقلال #پرسپولیس #خوزستان #اهواز_تسلیت #اهواز</t>
  </si>
  <si>
    <t>so🌹</t>
  </si>
  <si>
    <t>🏳️🕊️ آروانیا 🕊️🏳️</t>
  </si>
  <si>
    <t>خُسران یعنی تو این هاگیر واگیر دلار، طرفدار #استقلال باشی #دربى #پرسپولیس_سرور_استقلالِ #پرسپوليس</t>
  </si>
  <si>
    <t>زنده بادپهلوی</t>
  </si>
  <si>
    <t>دوستدار نقی(ع)</t>
  </si>
  <si>
    <t>Im Haj Yanga</t>
  </si>
  <si>
    <t>https://pbs.twimg.com/media/DoDQmPyXkAED17X.jpg</t>
  </si>
  <si>
    <t>#دربی داره با #دلار طرفدار پیدا می‌کنه فوتبال هم شکست خورد در مقابل دلار #IraniansWantRegimeChange</t>
  </si>
  <si>
    <t>haj Yanga</t>
  </si>
  <si>
    <t>‏‏گر بر خاشاک یکی پَشّه بجنبد، آن پشّه منم!</t>
  </si>
  <si>
    <t>یبار زنگ زدم کانادا ،حسابه؟؟😐</t>
  </si>
  <si>
    <t>‌‌   ژیلبرتو‌‌</t>
  </si>
  <si>
    <t>‏‏‏‏مهندسی برق ، انقلابی، اکانت اصلی : ‎‎‎@ddani1onee</t>
  </si>
  <si>
    <t>ازین اسم خفنا :|</t>
  </si>
  <si>
    <t>📖🎧🏊⚽️🥊Perspolis❤🏆🏆🔴</t>
  </si>
  <si>
    <t>‏‏عاقلان نقطه ی پرگار وجودند ولی عشق داند که در این دایره سرگردانند(حافظ) مهندس قبل ازین،دکوراتور بعد ازین😊 بدی های منو پای دینم ننویسین. انقلابی ام</t>
  </si>
  <si>
    <t>Shima.sh</t>
  </si>
  <si>
    <t>https://instagram.com/cyber802s</t>
  </si>
  <si>
    <t>‏‏‏‏‏‏‏‏‏‏‏‏‏رسیده ام به خدایی که اقتباسی نیست/شریعتی که در آن حکم ها قیاسی نیست/دل از سیاست اهل ریا بکن خود باش/هوای مملکت عاشقان سیاسی نیست</t>
  </si>
  <si>
    <t>چریک چادری</t>
  </si>
  <si>
    <t>RT @seyyedgomnam135: سيستم 3-10-10 پرسپوليس چيست؟ سيستمى است كه در آن ١٠ نفر در ١٠ دقيقه ٣ تا گل مى زنند. #دربى</t>
  </si>
  <si>
    <t>أَلْشَیْنُ لِمَوْلاهِ ...</t>
  </si>
  <si>
    <t>تا فردا تایملاینم باید پر شه از چیزی که ازش بدم میاد ؛ یعنی #فوتبال ! ولی اگه توئیت هاتون لهِ نماینده ایران تو آسیا (🔴) باشه ، اشکالی نداره 😉 #پرسپولیس ⁦⁦❤️⁩</t>
  </si>
  <si>
    <t>أَلْشَیْنْ ⁦⁦⁦⁦⁦⁦⁦⁦⁦⁦⁦⁦⁦⁦⁦⁦⁦</t>
  </si>
  <si>
    <t>‏مهندس مکانیک، تورلیدر، طبیعتگرد، پرنده نگر، پلی تکنیکی، پرسپولیسی، حساس سیاسی و اجتماعی، عاشق فوتبال و والیبال، فیلم و کتاب و عکاسی و......</t>
  </si>
  <si>
    <t>sheldon</t>
  </si>
  <si>
    <t>‏‏‏‏‏‏بالاتر از خدا چیست؟ هیچ , من همان هیچ‌ام. پاستافاریانیست. توسعه پایدار با احزاب و روزنامه‌های آزاد میسر است.</t>
  </si>
  <si>
    <t>EARTH</t>
  </si>
  <si>
    <t>Mim.Aftab</t>
  </si>
  <si>
    <t>‏کره حیوانی ‎#تاجی💙</t>
  </si>
  <si>
    <t>سر قبرم</t>
  </si>
  <si>
    <t>💙saͣmͫiͥrͬaͣ💙</t>
  </si>
  <si>
    <t>‏‏فعال در حقوق انسان وجامعه مدنی</t>
  </si>
  <si>
    <t>dxb</t>
  </si>
  <si>
    <t>تلنگر👈👆👉</t>
  </si>
  <si>
    <t>‏خدایا امید به فیو تو بسته ایم، ما را چه به فیو غیر؟</t>
  </si>
  <si>
    <t>RT @MHN7596: واقعیت را از دانش آموز دبستانی شنیدم ، هنگامی که از او پرسیدند چرا در کلاس تو تعداد پرسپولیسی ها از استقلالی ها بسیار بیشتر است ؟ و او جواب داد : به همان صورت که تعداد پراید های داخل خیابان از پورشه ها بسیار بیشتر است. #دربی</t>
  </si>
  <si>
    <t>محمد محمودی💙</t>
  </si>
  <si>
    <t>‏‏‏همسر،پدر،عاشق کشورم ایران _ ‏‏‏‏‏‏آخرالأمر گٍل کوزه گَران خواهیم شد http://instagram.com/hamid.m3y/‎‎‎</t>
  </si>
  <si>
    <t>حمید محمودی🏴(Hamid m3y)</t>
  </si>
  <si>
    <t>‏‏اولین روئیدنی ام که به ولایت اقرار کردم .</t>
  </si>
  <si>
    <t>بادنجان🍆</t>
  </si>
  <si>
    <t>‏‏‏الْحَمْدُ لِلَّهِ الَّذِی جَعَلَنَا مِنَ الْمُتَمَسِّکِینَ بِوِلاَیَةِ أَمِیرِ الْمُؤْمِنِینَ وَ الْأَئِمَّةِ عَلَیْهِمُ السَّلاَم</t>
  </si>
  <si>
    <t>حاشر ۳۱۳ 🇮🇷</t>
  </si>
  <si>
    <t>https://t.me/sinaiswriting</t>
  </si>
  <si>
    <t>تمام می شوم شبی ، فقط به من اشاره کن...</t>
  </si>
  <si>
    <t>این سینا</t>
  </si>
  <si>
    <t>‏‏‏‏‏‏فعال دانشجویی| خبرنگار | انقلابی خسته نمی شود ‏غافل از اینکه فاطمه(س) گمنام میخرد...</t>
  </si>
  <si>
    <t>فردا دربی رو ما می بریم و فقط رو سیاهی توییت ها میمونه واسه تون #پرسپوليس ❤</t>
  </si>
  <si>
    <t>جوان انقلابی</t>
  </si>
  <si>
    <t>‏‏روزنامه‌نگار، تهیه‌کننده</t>
  </si>
  <si>
    <t>Amir azimi</t>
  </si>
  <si>
    <t>zeroxy</t>
  </si>
  <si>
    <t>‏‏‏استاد طاهری تنها نیست او، یک نفر نیست... ماااا... طاهری هستیم ‎‎#we_are_taheri ما در پیاله عکس رخ یار دیده ایم ای بی خبر ز لذت شرب مدام ما...</t>
  </si>
  <si>
    <t>Nazanin</t>
  </si>
  <si>
    <t>‏‏‏‏‏‏‏‏‏آنم آرزوست...</t>
  </si>
  <si>
    <t>Mati🏳</t>
  </si>
  <si>
    <t>‏‏‏‏‏‏‏‏‏‏‏‏‏‏‏‏‏جُزْ حُسِینْ هَرْ چِه که بوده استْ زِ چِشمَمْ اُفتادْ #یاحسین</t>
  </si>
  <si>
    <t>#ادمین_هم افزایی🏴</t>
  </si>
  <si>
    <t>pic.twitter.com/Jfk9biAkno</t>
  </si>
  <si>
    <t>من برای بازی فردا دل تو دلم نیست #پرسپولیس</t>
  </si>
  <si>
    <t>nb</t>
  </si>
  <si>
    <t>اینقدر وضعیت دلار اعصاب نذاشته که حال #دربی و کی میبره کی میبازه ندارم از دست این دولت بیخیال و دلال</t>
  </si>
  <si>
    <t>‏فاطمه عزت عالم است...</t>
  </si>
  <si>
    <t>صمثا</t>
  </si>
  <si>
    <t>https://pbs.twimg.com/media/DoDVn8pXcAApvhp.jpg</t>
  </si>
  <si>
    <t>درسته که وضع اقتصادی خوب نیست ولی یکی هست که همیشه با بردش حالمون رو خوب میکنه😍 #پرسپولیس</t>
  </si>
  <si>
    <t>enough is enough with this shit #IslamicRegimeMustGo #IranRegimeChange #WeWillReclaimIran عين بز فقط نگاه نكن</t>
  </si>
  <si>
    <t>شمال</t>
  </si>
  <si>
    <t>F🦋🖤</t>
  </si>
  <si>
    <t>Sajjaaad</t>
  </si>
  <si>
    <t>🔴perspolis🔴❄️Bahmani ❄️♥️❄️</t>
  </si>
  <si>
    <t>❄️ᎷᎪᎻᏴᎾᎾᏴᎬᎻ❄️</t>
  </si>
  <si>
    <t>‏‏‏‏جامعه سکولار دموکرات،حاکمیت مردم و حکومت قانون ‌‌‌‎‎‎‎‎#پادشاهی_پارلمانی #رستاخیز_فیروزه‌ای💙✌🏻</t>
  </si>
  <si>
    <t>https://pbs.twimg.com/media/DoDU-hVWsAIpak9.jpg</t>
  </si>
  <si>
    <t>https://twitter.com/KohnavardTanha/status/1045069485462487040</t>
  </si>
  <si>
    <t>با شعار مرگ بر دیکتاتور #دربی #پرسپولیس #IraniansWantRegimeChange RT @KohnavardTanha: 📣📣📣 وعده ما فردا ۵ مهرماه ورزشگاه آزادی ساعت ۱۸۳۰ با شعار مرگ بر گرانى ايرانى با غيرت حمايت حمايت با ریتوییت اطلاع رسانی کنید لطفا #IraniansWantRegimeChange #براندازم #IranRegimeChange</t>
  </si>
  <si>
    <t>💙ShA YeS TeH💙</t>
  </si>
  <si>
    <t>‏‏‏‏‏‏‏‏‏‏‏‏‏‏‏‏‏‏‏ژورنالیست, فوتوگرافر, فعال‌مدنی و وجترین [فعلا همینا] نیستم به حول قوه الهی</t>
  </si>
  <si>
    <t>خب، بریم که فراموش کنیم #دربی</t>
  </si>
  <si>
    <t>باز.مرور.می‌کنم</t>
  </si>
  <si>
    <t>@iaaraash #پرسپولیس هست دیگه 💪😎😊⁦❤️⁩</t>
  </si>
  <si>
    <t>‏‏‏‏‏‏*** ‏‏‏‏فقط ‎‎‎‎‎‎‎‎‎‎#آزادی ***</t>
  </si>
  <si>
    <t>sali_khan</t>
  </si>
  <si>
    <t>ایران هرگز نخواهد مرد</t>
  </si>
  <si>
    <t>برزخ</t>
  </si>
  <si>
    <t>دیوگنس</t>
  </si>
  <si>
    <t>Iran👑💙⭐️Taji⭐️💙ordibehesht ایرانم آرزوست 🌈</t>
  </si>
  <si>
    <t>pic.twitter.com/9PSIIyvogz</t>
  </si>
  <si>
    <t>#پراید #استقلال⭐️💙💙👑💙💙⭐️ #پرچم_بالاست بی کیفیت عین پراید 😂😂😂</t>
  </si>
  <si>
    <t>sayeh</t>
  </si>
  <si>
    <t>‏‏‏چرا شتر رنج همیشه در بستر ما خوابید؟| مبتلا به اختلال در تنفس| دارای زانو درد شدید و یک بیماری منشوری. همسر یک دلبر</t>
  </si>
  <si>
    <t>https://twitter.com/aaarhaaam/status/1045071535298543616</t>
  </si>
  <si>
    <t>کیسه ها ایتجوری خودشونو دارن برا باخت آماده میکنن. دلار صد تومن بشه یا ی تومن فرقی در سوراخ بودن کیسه ایجاد نمیکنه #دربی</t>
  </si>
  <si>
    <t>ش گوارا با عینک جدید برگشته</t>
  </si>
  <si>
    <t>https://t.me/MSarkeshikian</t>
  </si>
  <si>
    <t>مردم یا برادر دینی ما هستند یا انسانی شبیه ما در خلقت... پس با هم مهربان باشیم</t>
  </si>
  <si>
    <t>RT @mahdimasaeli: کلیپ توهین‌ به #مقدسات_اهل‌سنت توسط بازیکنی از #پرسپولیس در مناطق سنی‌نشین کشور منتشر شده در مسائل مذهبی #خشونت_گفتاری تولیدگر #خشونت_رفتاری است زیرا افرادی حاضرند جان خود را بدهند ولی به مقدسات‌شان توهین نشود. خشونت‌رفتاری جسم‌ها را مجروح می‌کند و خشونت گفتاری قلب‌ها را.</t>
  </si>
  <si>
    <t>Sarkeshikian</t>
  </si>
  <si>
    <t>تورک هستم آرزویم اتحاد اقوام است</t>
  </si>
  <si>
    <t>Güney Azerbaycan</t>
  </si>
  <si>
    <t>Ayatay🌝</t>
  </si>
  <si>
    <t>رونین به سامورایی هایی گفته میشود که ارباب ندارند</t>
  </si>
  <si>
    <t>RT @valerian_2018: با شعار مرگ بر دیکتاتور #دربی #پرسپولیس #IraniansWantRegimeChange</t>
  </si>
  <si>
    <t>Ronin5050👑</t>
  </si>
  <si>
    <t>خوشبحالتون اگر فوتبالی نیستید #دربی #استرس</t>
  </si>
  <si>
    <t>#الیاس_چاپی</t>
  </si>
  <si>
    <t>‏پیرو خط امام و انقلاب و رهبرم فقط بخاطر لبیک به استادم آماده ام توئیتر #رائفی_پور_صدای_ماست</t>
  </si>
  <si>
    <t>Miradis68</t>
  </si>
  <si>
    <t>‏( ا نــــــــــــــــقـــــــــــــــلابـــــــــــــــیـــــــــــــــم )</t>
  </si>
  <si>
    <t>قلبم جمهوری اسلامی ایران</t>
  </si>
  <si>
    <t>RT @Tahmineh_6: درسته که وضع اقتصادی خوب نیست ولی یکی هست که همیشه با بردش حالمون رو خوب میکنه😍 #پرسپولیس</t>
  </si>
  <si>
    <t>🇵🇸سجاد ایزدپناه🇮🇷</t>
  </si>
  <si>
    <t>Le_taon.... متعهد نسبت به یک نفر😍</t>
  </si>
  <si>
    <t>جمهوری اسلامی ایران_تهران</t>
  </si>
  <si>
    <t>با دلار بیست هزارتومنی که دست‌اورد انقلابه هنوز روتون میشه به ورزشگاه رفتن خانمها گیر بدین چقدر وقیح هستین بخدا !!! #دربی</t>
  </si>
  <si>
    <t>معصوم فردوست</t>
  </si>
  <si>
    <t>https://pbs.twimg.com/media/DnT0kC-WwAA1RrX.jpg</t>
  </si>
  <si>
    <t>RT @PMR0731: دليل حال خوشم #سيد_جلال_حسيني #پرسپوليس</t>
  </si>
  <si>
    <t>Sohrab</t>
  </si>
  <si>
    <t>‏‏‏‏‏‏‏‏‏پرسپولیسی ترین عاشقِ پرسپولیسِ تاریخ❤ طرد شده/ترک شده/فراموش شده/گوشه‌ی عزلت گزیده..</t>
  </si>
  <si>
    <t>همین حوالی</t>
  </si>
  <si>
    <t>طهور</t>
  </si>
  <si>
    <t>|رئــال مادريـد| |اســتــقـلال|</t>
  </si>
  <si>
    <t>RT @ManMeysam: خوشبحالتون اگر فوتبالی نیستید #دربی #استرس</t>
  </si>
  <si>
    <t>بنده طلعت آن باش که آنی دارد [ #پرسپولیس ، #منچستریونایتد ، #زامیاران ]</t>
  </si>
  <si>
    <t>پرهام</t>
  </si>
  <si>
    <t>ژاندارک</t>
  </si>
  <si>
    <t>لانگ دیستنس</t>
  </si>
  <si>
    <t>RT @Tahtaqari: یعنی از صدهزار صندلی بازی فردا، یکیش سهم من نیست؟ :( #دربی #پرسپولیس</t>
  </si>
  <si>
    <t>مه تاب</t>
  </si>
  <si>
    <t>https://telegram.me/harfbzanbot?start=n6elg3R</t>
  </si>
  <si>
    <t>‏‏‏‏‏‏زنده باد تمامیِ اعتقادات... استقلال/رئال</t>
  </si>
  <si>
    <t>https://pbs.twimg.com/media/DoDbfnmWkAEwVtv.jpg</t>
  </si>
  <si>
    <t>ه‍ــوادارتـم تو بـــرام نابـــی ه‍ــوادارتـم تا ابــد آبـــ💙ــــی #استقلال</t>
  </si>
  <si>
    <t>Setayesh</t>
  </si>
  <si>
    <t>https://telegram.me/harfbzanbot?start=vZnE8Yv</t>
  </si>
  <si>
    <t>آبى💙 بارسا. پير شديم ولى بزرگ نه #برانداز</t>
  </si>
  <si>
    <t>Iran kermanshah</t>
  </si>
  <si>
    <t>اينايي كه همش ميگن #دربى دربى اصلى ٥ نوامبر حالا بشين واسه اين دو تا تيم بزنين تو سرو كله هم اونا كه ميلياردى پول ميگيرن تا حالا كداموشون اومده از اين وضعيت حرفى بزنه ها؟ البته به جز على كريمى</t>
  </si>
  <si>
    <t>YazdaN</t>
  </si>
  <si>
    <t>وحید محمّدحسینی</t>
  </si>
  <si>
    <t>‏‏‏‏‏میکشم بر دوش خود هر روز دار خویش را تا کجا پایان دهم آغاز کار خویش را !!</t>
  </si>
  <si>
    <t>بازم #دربی بی خاصیت در ماتمکده ایران و فراموشی آلام مرد و زن و کودک و پیر.... #استقلال #پرسپوليس</t>
  </si>
  <si>
    <t>Halla1357</t>
  </si>
  <si>
    <t>‏‏‏‏‏‏ياٰغْـــــــــي تر از آنم که مهارم بزنند</t>
  </si>
  <si>
    <t>محکوم به جبر جغرافیا</t>
  </si>
  <si>
    <t>ياٰغْـــــــــي</t>
  </si>
  <si>
    <t>http://Instagram.com/mohammadamin_talati</t>
  </si>
  <si>
    <t>iran🇮🇷. Perspolis🇮🇹Juventus❤️❤️❤️❤️❤️❤️فالو = بک</t>
  </si>
  <si>
    <t>MohammadTalati</t>
  </si>
  <si>
    <t>باهامون چیکار کردین که دل و دماغ کُری خوندن ندارم... #دلار #پرسپولیس</t>
  </si>
  <si>
    <t>https://www.instagram.com/sogand_keramati013/</t>
  </si>
  <si>
    <t>‏‏‏‏‏‏‏‏‏‏‏‏‏‏‏‏‏‏‏‏‏‏درجواب ابلهان آنقدر خاموش نمانید که بگویند دیدید؟ حرف حساب جواب ندارد ! انقلابے امـ</t>
  </si>
  <si>
    <t>جمهوری اسلامی ایران/گیلان</t>
  </si>
  <si>
    <t>سوگند کرامتی 💙</t>
  </si>
  <si>
    <t>https://instagram.com/babakghannad/</t>
  </si>
  <si>
    <t>http://facebook.com/babakghannad</t>
  </si>
  <si>
    <t>https://pbs.twimg.com/media/DoDccnYXgAAr1xs.jpg</t>
  </si>
  <si>
    <t>سایت ورزش۳ اومد شیرین‌بازی در بیاره، ولی ناگهان بی‌شعور بازی در آورد! #دربی</t>
  </si>
  <si>
    <t>Babak Ghannad</t>
  </si>
  <si>
    <t>‏‏‏‏‏‏‏‏‏‏‏‏‏‏‏‏‏‏‏‏‏‏‏‏‏‏‏‏‏‏‏‏‏‏‏‏‏‏‏‏‏‏‏دغدغه‌‌‌ جدی‌ام‌ فوتبال، منچستر، رئال و پرسپولیس است. [حق با شماست!] اهل بحث و کل‌کل نیستم. منشن و کوت احمقانه=بلاک ‎</t>
  </si>
  <si>
    <t>RT @Haanaa72: باهامون چیکار کردین که دل و دماغ کُری خوندن ندارم... #دلار #پرسپولیس</t>
  </si>
  <si>
    <t>️ فیــــک☆اســـتار</t>
  </si>
  <si>
    <t>https://t.me/Tell4Me_bot?start=604146637</t>
  </si>
  <si>
    <t>برنده‌ی جایزه‌ی کرگدن طلایی بهترین برخورد با دیوار</t>
  </si>
  <si>
    <t>دهقانِ خطاکار</t>
  </si>
  <si>
    <t>‏‏‏‏‏به نام حق-کمی سیگاری،کمی سیاسی-طرفدار حقوق کودک،کارگر،زن،حیوانات و ادیان- شدیدا فوتبالی-شوخ طبع اما گاهی عصبی-عاشق خانواده و پول-مهندس شاغل در شغل بی ربط</t>
  </si>
  <si>
    <t>با افتخار ایرانیم</t>
  </si>
  <si>
    <t>آیفون جدید رو قیمت زدن ۴۳ میلیون. قبلا با ۴۳ میلیون غلام پیروانی می‌تونست ۳ فصل فجرسپاسی رو تو لیگ نگه داره، تازه آخرش ۱۰ میلیونم اضافه میاورد #دربی</t>
  </si>
  <si>
    <t>رهگذر غریب</t>
  </si>
  <si>
    <t>شمالـى كـيـجـا..😍🤓😌 خواهر بزرگه ى : @Mordabi_👩‍❤️‍👩 و متعهد به عـشـقـم : @realmiloo 💏 (به شدَّت پرسپوليسى♥️ و بارسايى..♥️💙)🥋🏊🏼‍♂️🍫🥤🍒🍓</t>
  </si>
  <si>
    <t xml:space="preserve">Karaj! 🏡 </t>
  </si>
  <si>
    <t>‏راپونزِل‏..🍂👸🏼🍁</t>
  </si>
  <si>
    <t>https://Soundcloud.com/PVRSAROLEX</t>
  </si>
  <si>
    <t>Infamous Lunatic | FTP MY BLOOD | ＴＲＡＳＨ 新 ドラゴン</t>
  </si>
  <si>
    <t>YHARNAM</t>
  </si>
  <si>
    <t>RT @urbanizeeation: فردا تايملاين پرِ پوست تخمه ميشه #دربي</t>
  </si>
  <si>
    <t>لاعَلاج | 狂人🕯</t>
  </si>
  <si>
    <t>journalist</t>
  </si>
  <si>
    <t>الان میبایست واسه دربی فردا برای هم کری میخوندیم نه اینکه دغدغه مون قیمت #دلار، #سکه و #طلا باشه لعنت به اونایی که همین #لذت_ساده رو ازمون گرفتن😑 #دربی #استقلال #پرسپولیس #دلار</t>
  </si>
  <si>
    <t>rmsl</t>
  </si>
  <si>
    <t>Godfather</t>
  </si>
  <si>
    <t>‏‏‏‏‏‏‏‏‏‏‏‏گویند هر آن کسان که با پرهیزند/ زانسان که بمیرند چنان برخیزند/ ما با می و معشوقه از آنیم مدام/ باشد که به حشرمان چنان انگیزند/</t>
  </si>
  <si>
    <t>خوره کتاب و پادکست</t>
  </si>
  <si>
    <t>RT @Alikzm7: #جهرمی وزیر ارتباطات زنگ زده به سید جلال حسینی و گفته تو یکی ستاره‌های #دربی هستی؟؟😐 وجدانا بیاید وظایف ش رو براش شرح بدیم،این بنده خدا تنظیمات ش بهم ریخته داره ارور میده 😏</t>
  </si>
  <si>
    <t>ژان رنو</t>
  </si>
  <si>
    <t>به خودم هِي زدم از اينجا برو - اما موش خورده شناسنامه ي من</t>
  </si>
  <si>
    <t>بعد از بيست و چند سال هوادار فوتبال بودن ميتونم به جرأت بگم اگه #استقلال_تهران بتونه بدون كمك تيم داوري، اين تيم #پرسپوليس رو ببره! لياقت قهرماني ليگ رو هم داره</t>
  </si>
  <si>
    <t>ليث صفاري</t>
  </si>
  <si>
    <t>‏‏‏ریت کردن شما یعنی حرف دل ما یه ارسنالی</t>
  </si>
  <si>
    <t>بگاخانه ایران</t>
  </si>
  <si>
    <t>CJ</t>
  </si>
  <si>
    <t>pic.twitter.com/306Ozdo9kN</t>
  </si>
  <si>
    <t>https://twitter.com/Roozarooznews/status/1044867653557473280</t>
  </si>
  <si>
    <t>نکته خنده دار ماجرا می‌دونید چیه؟ما پنج تا زن #دربی قبلی از روی دلتنگی و حسرت نزدیک آزادی بودیم چنان مارو تعقیب و گریز کردند و بعد لباس شخصی ها با برخورد زشت محاصره کردند و بعد هم بازداشت که هنگ این بودیم مگه ما چه کردیم! اونوقت با توجه به توضیحات این آقا در #اهواز چه خبر بود! RT @Roozarooznews: روایت نقوی حسینی از نمایش فیلم حمله تروریستی به #رژه_اهواز در کمیسیون امنیت ملی: ۱۲ دقیقه شلیک میکردند و تیرخلاص میزدند و خشاب عوض میکردند و کسی به آنها شلیک نمیکرد. یکی از آنها صبح در محوطه رژه قدم میزد و محل را ارزیابی میکرد. فضای سبز پشت محوطه اصلا حفاظت نداشت. منبع: خانه ملت</t>
  </si>
  <si>
    <t>#براندازم پرسپولیسی یوونتوسی به شدت عاشق دنیای ماشین</t>
  </si>
  <si>
    <t>هیچ چیز نمیتونست فوتبال رو ازمون بگیره تحت هر شرایطی براش شور و شوق داشتیم... اما امروز خیلیامون اصلا حواسمون نبود که فردا دربیه... #IraniansWantRegimeChange #دربی</t>
  </si>
  <si>
    <t>آقای میرفندرسکی</t>
  </si>
  <si>
    <t>کارگر با فوق لیسانس...متاهل... هوادار...</t>
  </si>
  <si>
    <t>Hong Kong</t>
  </si>
  <si>
    <t>دنبال راه در رو...</t>
  </si>
  <si>
    <t>شهروند ایرانی، ‏براندازم برای رسیدن به آزادی در ایرانم، انسان.اخلاق.منطق.قانون</t>
  </si>
  <si>
    <t>RT @mr_mirfenderski: هیچ چیز نمیتونست فوتبال رو ازمون بگیره تحت هر شرایطی براش شور و شوق داشتیم... اما امروز خیلیامون اصلا حواسمون نبود که فردا دربیه... #IraniansWantRegimeChange #دربی</t>
  </si>
  <si>
    <t>Sheldon Javan 🏳</t>
  </si>
  <si>
    <t>‏‏‏‏‏‏‏نام باستانی زرتشتی به معنی محافظ ایران</t>
  </si>
  <si>
    <t>Armin💎</t>
  </si>
  <si>
    <t>‏‏میتونم... هر کس مخالف آزادیه 🚫مخصوصا دیکتاتور های زیر پوستی🚫</t>
  </si>
  <si>
    <t>هر جا که دلی برای آزادی میتپه</t>
  </si>
  <si>
    <t>پژمان</t>
  </si>
  <si>
    <t>‏‏کنکوریِِ مجاهد :) این اکانت فقط ریتوئیترچی‌ِ :) اکانت اصلی‌ام: @Ghalam_e_Tiz</t>
  </si>
  <si>
    <t>RT @MohsenKarami985: پرسپولیس فردا چندتا میزنه؟ خدا کنه زیاد نزنه استقلالیا در شرایط خوبی نیستن. سوپر جام، جام باشگاهها، لیگ، خلاصه گناین.(گنا دارن) #پرسپوليس</t>
  </si>
  <si>
    <t>آقای ریتوئیتر</t>
  </si>
  <si>
    <t>HR activist. Small is the new big. We will win this game.....</t>
  </si>
  <si>
    <t>دختر كنجكاو</t>
  </si>
  <si>
    <t>‏‏‏‏‏‏‏‏یه جوون ۳۰ ساله که هیچی‌از جوونیش نفهمید🌵🌵🌵🌵 دردا که ز درد ما کس آگاه نشد، فریاد که فریاد به جایی نرسید</t>
  </si>
  <si>
    <t>همه دوستان استقلالی وضعیت بد اقتصادی رو عامل اصلی بی انگیزه بودن و بی علاقه بودنشون به فوتبال و دربی فردا میدونن... مدیونید اگه فک‌ کنید یه درصد نتایج بازی‌های اخیر استقلال و البته پرسپولیس تو این داستان تأثیر داشته 😂👊 #پرسپولیس</t>
  </si>
  <si>
    <t>Negan</t>
  </si>
  <si>
    <t>‏“سقوط” سرنوشت ِ دل دادن بہ هر جاذبہ اے غیر از خداست ..! عاشق راه دین خدا که در عصر غیبت مولایمان؛ پرچمدارش نائب بر حقش امام خامنه ای است</t>
  </si>
  <si>
    <t>ان شالله که فردا بازی برد_برد میشه استقلال بازی رو‌میبره و پرسپولیسام با رعایت کردن اخلاق و قبول شکستشون اخلاق رو ببرن #دربی</t>
  </si>
  <si>
    <t>milad ghanbari</t>
  </si>
  <si>
    <t>‏‏‏‏‏‏‏‏بسم الله و بالله و فی سبیل الله و علی مله رسول الله (ص) صل الله علی الباکین علی الحسین</t>
  </si>
  <si>
    <t>🏴ستیلا سادات ( آی پاراسی ریتوییت )</t>
  </si>
  <si>
    <t>‏‏‏‏‏‏‏‏‏‏‏‏‏‏‏‏‏‏‏‏‏‏⚠️با نهایت احترام؛ ‏‏‏‏‏فقط یه بار ❞آنفالوت❝ می‌کنم. ❨ریت〓ریت❩ ➠ ‏❪لاک/لیمیت ۲۴/۷❫ ‎‎‎‎‎‎‎‎‎‎‎‎#Retweeter 🔁</t>
  </si>
  <si>
    <t>Quantum Dimension</t>
  </si>
  <si>
    <t>Sorkheh🔁</t>
  </si>
  <si>
    <t>به همه چیز و همه کس انتقاد دارم. بی حم و بی پروا من اون مشکل لعنتیم که دهن وا کرده</t>
  </si>
  <si>
    <t>Montaghed آقای منتقد</t>
  </si>
  <si>
    <t>Atheist. Feminist #براندازم</t>
  </si>
  <si>
    <t>هنی نمنم</t>
  </si>
  <si>
    <t>بچه ها یه دوست گربه جدید پیدا کردم صداش میزنم بیو سریع میدوهه میاد پیشم #معاوضه با دو باشگاه #استقلال و #پرسپولیس #دربی</t>
  </si>
  <si>
    <t>مشد</t>
  </si>
  <si>
    <t>https://pbs.twimg.com/media/DoCtwJJUcAAhTcs.jpg</t>
  </si>
  <si>
    <t>RT @halfspace_: هرجای دنیا بری بگی این لباس دو تا تیم رقیب سنتیه که بزرگترین #دربی آسیا بینشون برگزار می‌شه، همونجا بستریت می‌کنن.</t>
  </si>
  <si>
    <t>بخشى</t>
  </si>
  <si>
    <t>https://telegram.me/harfbemanbot?start=MTAxODQ2Mzkz</t>
  </si>
  <si>
    <t>‏‏‏‏‏‏‏‏حرفای دلمو اینجا مینویسم/گاهی 30یا30/اکثرا طنز</t>
  </si>
  <si>
    <t>جمهوری اسلامی</t>
  </si>
  <si>
    <t>pic.twitter.com/6okkR36cQt</t>
  </si>
  <si>
    <t>اسکرین بگیرید ببینید نتیجه بازی فردا چی میشه؟! مال خودم شد 1_1 البته چرت گفته #پرسپولیس میبره!😏💪</t>
  </si>
  <si>
    <t>مَــهدیــــــارم</t>
  </si>
  <si>
    <t>http://telegram.me/perspolis_twitt</t>
  </si>
  <si>
    <t>‏‏‏‏﷽ بازنشر محبوبترین توییت های پرسپولیسیِ روزِ توییتر و توییت های کاربران کانال پرسپولیس توییت</t>
  </si>
  <si>
    <t>پرسپولیس توییت</t>
  </si>
  <si>
    <t>‏‏‏عقاید نو‌کانتی برای تو شقایق نورماندی برای من مزاحم خلق، عرزشی، اصلاح طلب🚫🚾</t>
  </si>
  <si>
    <t xml:space="preserve"> مجتمع شهدای دیپ وب</t>
  </si>
  <si>
    <t>سرایدار دیپ وب</t>
  </si>
  <si>
    <t>Freelance Translator EFL/ESL Teacher an introvert, friendly, and atheist man trying to get his opinions heard</t>
  </si>
  <si>
    <t>Amirilicious</t>
  </si>
  <si>
    <t>RT @FarzaneGholami: واقعاً فوتبال چیز عجیبیه! این همه آدم در تمام دنیا، واسش سکته می کنند، پول خرج می کنند، دعوا می کنند، حتی شده آدم هم میکشند! واسه چی؟! یه توپ که قل میخوره تو زمین! بعد مثلاً در بدترین شرایط زندگی هستند ولی خودشونو تکون نمیدن که وضعشون رو اصلاحی بکنند! اگه مخدر نیست پس چیه؟! #دربی</t>
  </si>
  <si>
    <t>‏‏‏‏‏‏‏‏‏‏‏‏‏ناشر اکاذیب، تشویشگر اذهان عمومی، روزماله‌نگار، ژورمالیست، غیرفعال رسانه‌ای، کارنشناس در حوزه‌های اجتماعی سیاسی فرهنگی اقتصادی ورزشی هنری و ...</t>
  </si>
  <si>
    <t>RT @ehsan_cheraghi: خبر رسیده شفر رو تو مرز ترکیه دستگیر کردند!😂 #پرسپولیس #استقلال</t>
  </si>
  <si>
    <t>احسان چراغی</t>
  </si>
  <si>
    <t>آزاديخواه ✌🏼 چو ايران نباشد تن من مباد</t>
  </si>
  <si>
    <t>Shahin</t>
  </si>
  <si>
    <t>http://t.me/sarbazane_barandaz</t>
  </si>
  <si>
    <t>پادشاهی خواه #Rezapahlavi</t>
  </si>
  <si>
    <t>Nederland</t>
  </si>
  <si>
    <t>💙babak irani👑</t>
  </si>
  <si>
    <t>‏اسرائیل ، مهد پرورش تفکر فاشیسم فیک یاب هستم بنده اسرائیلیای فیک رو می یابم:)</t>
  </si>
  <si>
    <t>تهران ، پل رومی</t>
  </si>
  <si>
    <t>حاجی کماندو</t>
  </si>
  <si>
    <t>‏‏‏‏یاد بعضی نفرات رزق روحم شده است مادرم مادر</t>
  </si>
  <si>
    <t>jabelgha</t>
  </si>
  <si>
    <t>چرا این وقت شب من یاد دوست دختر سوشا مکانی افتادم #دربی</t>
  </si>
  <si>
    <t>ghazal</t>
  </si>
  <si>
    <t>‏‏‏‏‏‏‏‏‏‏‏‏‏‏‏‏دنیا به درک رفتو ده بی سروسامان شد سهم من وتو از آن یک سفره بی نان شد</t>
  </si>
  <si>
    <t>🏳 جد آخا🏳</t>
  </si>
  <si>
    <t>👤‏‏‏بی‌تعارف ، ‎‎‎#رک ‏‏‏‏‏‏‏‏‏‏‏دارای ‎‎‎‎#منطق ، بعد از ۳ روز بک می‌دم. نخواستی نیا. بودور کی وار💪 ‎‎‎‎‎#engineer ‎‎‎‎‎#tech_lover ‎‎‎#lybra</t>
  </si>
  <si>
    <t>Zeitgeist</t>
  </si>
  <si>
    <t>Ronin♎</t>
  </si>
  <si>
    <t>‏من سرم گرم گناه است سرم داد بزن... ‎#اللهم_عجل_لولیک_الفرج ریتوئیتر</t>
  </si>
  <si>
    <t>یا لثارات الحسین</t>
  </si>
  <si>
    <t>http://ipresta.ir</t>
  </si>
  <si>
    <t>ایده‌آل گرا، جستجوگر، ایده‌پرداز، برنامه‌نویس وب، متخصص #پرستاشاپ و مشاور تجارت الکترونیک. مدافع #کپی_رایت، ترویج‌گر حوزه #معلولیت و #دیستروفی عضلانی</t>
  </si>
  <si>
    <t>RT @ArtLover1367: نکته خنده دار ماجرا می‌دونید چیه؟ما پنج تا زن #دربی قبلی از روی دلتنگی و حسرت نزدیک آزادی بودیم چنان مارو تعقیب و گریز کردند و بعد لباس شخصی ها با برخورد زشت محاصره کردند و بعد هم بازداشت که هنگ این بودیم مگه ما چه کردیم! اونوقت با توجه به توضیحات این آقا در #اهواز چه خبر بود!</t>
  </si>
  <si>
    <t>یک نِرد (دانوش)</t>
  </si>
  <si>
    <t>دل داده ی مهربانی ؛</t>
  </si>
  <si>
    <t>آراندور (سرزمین شاهی نومه نور)</t>
  </si>
  <si>
    <t>مِهـــٓــرْداٰد</t>
  </si>
  <si>
    <t>Fight For Freedom</t>
  </si>
  <si>
    <t>🏳Mina Davis</t>
  </si>
  <si>
    <t>‏‏‏‏خدایی جز او نیست، پس از درگاه او به کجا می روید؟</t>
  </si>
  <si>
    <t>عَبـد ناصالحِ خُدا</t>
  </si>
  <si>
    <t>‏‏‏‏‏‏‏‏‏‏</t>
  </si>
  <si>
    <t>YouTaab</t>
  </si>
  <si>
    <t>‏‏‏‏‏‏‏‏‏‏‏‏‏‏‏‏‏فارق‌التحصیل تحصیل دانشگاه ملی و دانشگاه تهران ،ریشه در خاک ایران روییده درخت مهربانی. زندانی سال ۱۳۵۳.زندانی سال ۵۹ زندانی سال ۶۶-۶۸ هنوز زنده</t>
  </si>
  <si>
    <t>RT @kord8585: استادیوم فردا باید یکصدا فریاد مرگ بر دیکتاتور سر دهد #دربی #استقلال_پرسپولیس</t>
  </si>
  <si>
    <t>یعقوب لیث(رادمان پور ماهک)</t>
  </si>
  <si>
    <t>همیشه از یه هفته قبل #دربی استرس داشتم تا روز بازی برسه ، الان اصلا دیگه به دربی فکر نمیکنم ، شوق همه چی رو ازمون گرفت این #دلار و زندگی لعنتی #فوتبال #دربى٨٨ @footfuniran</t>
  </si>
  <si>
    <t>alidada</t>
  </si>
  <si>
    <t>http://www.khabarvarzeshi.com</t>
  </si>
  <si>
    <t>صفحه رسمی روزنامه و سایت خبرورزشی| Khabarvarzeshi official account</t>
  </si>
  <si>
    <t>https://pbs.twimg.com/media/DoDsnnLXUAAIETn.jpg</t>
  </si>
  <si>
    <t>جلد #روزنامه_خبرورزشی پنج‌شنبه ۵ شهریور ۹۷ #خبرورزشی #دربی #دربی۸۸ #استقلال #پرسپولیس #برانکو #شفر #علیپور #جهرمی #وریا #سیدجلال #کی‌روش</t>
  </si>
  <si>
    <t>خبرورزشی</t>
  </si>
  <si>
    <t>برانداز خشونت طلب نیست.براندازان از عاشقترین انسانها هستند.نظام ظلم و فساد و اعدام را برمی اندازیم و نظام عشق و برابری و آزادی را جایگزینش میکنیم. #براندازم</t>
  </si>
  <si>
    <t>امیدوارم شاهد حضور گسترده مردان و زنان برای حمایت از ورود زنان به ورزشگاهها در بازی #دربی باشیم. #ما_همه_با_هم_هستیم #زنان‌در‌آزادی</t>
  </si>
  <si>
    <t>Idin_Persian</t>
  </si>
  <si>
    <t>سیاسی .....اصلاح طلب سابق برنداز کنونی ...كتاب نميخونم ...استقلالي.بارسايي. تپل . زشت. بدبخت. اره هرچي صفته بده واس منه</t>
  </si>
  <si>
    <t>عشق یعنی حالش خوب نباشه حالت توام خوب نباشه سر فرم‌نیستم مثل عشقم که بدخواهاش دارن نابودش میکنن #استقلال و میگم واقعا میبینم حالش خوش نیست حالم خوب نیست این شعار تا ابد تو قلبمه: ما خانه به دوشیم ما خانه به دوشیم غم اس اس رو به عالم نفروشیم تا ابد #استقلال #دربی</t>
  </si>
  <si>
    <t>مارمولك کلک</t>
  </si>
  <si>
    <t>‏‏‏‎‎‎#اصلاح_طلب مخالف هر گونه رانت و پارتی بازی. عاشقانه استقلال 💙💙 را دوست دارم. به مهران مدیری و شهاب حسینی علاقه مندم. دوست دار سید محمد خاتمی...</t>
  </si>
  <si>
    <t>RT @BaymaniSetayesh: ه‍ــوادارتـم تو بـــرام نابـــی ه‍ــوادارتـم تا ابــد آبـــ💙ــــی #استقلال</t>
  </si>
  <si>
    <t>Hashem Taqizade Soq</t>
  </si>
  <si>
    <t>http://line.me/ti/p/~1365amirali</t>
  </si>
  <si>
    <t>http://FB.me/amiralisadeqi65 ✍🏻✏️🖊📱💻🆔 wechat amir-ali</t>
  </si>
  <si>
    <t>iran tehran narmak</t>
  </si>
  <si>
    <t>🔵#استقلال و 🔴#پرسپولیس بار دیگر مقابل هم می‌ایستند. به نظر شما کدام تیم برنده داربی ۸۸ می‌شود؟❕❓🏆⚽️🏟🏃🏻‍♂️😍🤩👋🏻👍🏻✌🏻👎🏻</t>
  </si>
  <si>
    <t>Amiralisadeqi</t>
  </si>
  <si>
    <t>https://telegram.me/harfbzanbot?start=Y8yrP2M</t>
  </si>
  <si>
    <t>learning life... ارزشی فالو نکنه:)</t>
  </si>
  <si>
    <t>Mia Wallace</t>
  </si>
  <si>
    <t>RT @khabar_varzeshi: جلد #روزنامه_خبرورزشی پنج‌شنبه ۵ شهریور ۹۷ #خبرورزشی #دربی #دربی۸۸ #استقلال #پرسپولیس #برانکو #شفر #علیپور #جهرمی #وریا #سیدجلال #کی‌روش</t>
  </si>
  <si>
    <t>https://www.instagram.com/world_stock/?hl=en</t>
  </si>
  <si>
    <t>‏‏‏‏‏‏‏‏‏‏‏‏بیداری این روزا خوابه تلخیه....</t>
  </si>
  <si>
    <t>اون دنیا</t>
  </si>
  <si>
    <t>RT @Ho3einMohmad: ببین اوضاعمون چقد تخمی شده که حتی هیجان #دربی رو هم نداریم</t>
  </si>
  <si>
    <t>خرپول</t>
  </si>
  <si>
    <t>https://pbs.twimg.com/media/DoDwpLcX0AAReM6.jpg</t>
  </si>
  <si>
    <t>http://www.iranboom.ir/tazeh-ha-sp-285929972/khabar/16359-khabar-950125-033.html
https://telegram.me/joinchat/BTli7Dy87gKr4Pr7-2LhsA</t>
  </si>
  <si>
    <t>درخواست فرهنگستان در آستانه بازی پرسپولیس و استقلال در آستانه #بازی_پرسپولیس_استقلال، #فرهنگستان_زبان_و_ادب_فارسی از رسانه‌ها خواست به‌جای واژه «#دربی» یا «#داربی» از واژه «#شهرآورد» استفاده کنند.</t>
  </si>
  <si>
    <t>فريبا</t>
  </si>
  <si>
    <t>من رو به بزرگی خودتون ببخشید به علت کهولت سن کمتر به فالو کردن میرسم</t>
  </si>
  <si>
    <t>roham</t>
  </si>
  <si>
    <t>‏‏‏‏‏‏‏‏(متأهل- دهه شصتی- ولایی- کارشناس ارشد مهندسی صنایع) ‏‏‏‏‏‏‏‏‏‏‏‏‏‏‏‏‏‏‏‏‏‏‏‏‏‏‏هرکس میخواهد ما را بشناسد، داستان کربلا را بخواند.</t>
  </si>
  <si>
    <t xml:space="preserve"> 🇮🇷 ایران ؛ تبریز 🇮🇷</t>
  </si>
  <si>
    <t>RT @leylazare: با افزایش قیمت دلار و رب گوجه فرنگی رقابت سختی بین این دو ایجاد شده است تا عصر امروز دلار با نرخ 18600 تومان از رب گوجه 18 هزار تومانی سبقت گرفته است #دربی _دلار_رب گوجه</t>
  </si>
  <si>
    <t>جهان نور - احمدیان</t>
  </si>
  <si>
    <t>ارنست همینگوی میگه : "دنیا جای زیباییه و ارزش مبارزه رو داره" باهاش موافقم</t>
  </si>
  <si>
    <t>The Netherlands</t>
  </si>
  <si>
    <t>الان خیلی خوب شده.یه زمانی لیگ انقدر بی‌برنامه بود که بازیکن قرار مدار عروسی میذاشت. یه هفته قبل از موعد اعلام میکردن همون روز #دربی هستش. همین‌قدر خرتوخر !! #رهبری‌فرد</t>
  </si>
  <si>
    <t>Amir</t>
  </si>
  <si>
    <t>http://danialnadertehrani.blogfa.com/</t>
  </si>
  <si>
    <t>‏‏‏‎‎#Danial ‎#nt ‏‏‏‏‎‎‎‎‎‎‎‎‎‎‎‎‎#Personal_Blog ‏‏‏‏🌟🌟💙 ‏‏متولد ۳۱روزخرداد</t>
  </si>
  <si>
    <t>Esfahan,Iran</t>
  </si>
  <si>
    <t>Danial Nt</t>
  </si>
  <si>
    <t>A man on a mission to unpeel the union of life</t>
  </si>
  <si>
    <t>Farahmand Kalayeh</t>
  </si>
  <si>
    <t>ريتوييت كنندگانيم باشد كه رستگار شويم</t>
  </si>
  <si>
    <t>RT @reyhan_pay: يكي شبايي كه فرداش فوتباله ماتم ميگيرم اونم ازنوع #دربي ش يكي شبايي كه فرداش مجلس رأي گيري داره ماتم ميگيرم ،اونم ازنوع #لابيجاني ش</t>
  </si>
  <si>
    <t>zahra</t>
  </si>
  <si>
    <t>تو شرایط نرمال من الان باید کل کل کنم واسه #دربی فردا ولی بقدری مغزم رد داده که همش دارم #چسناله میکنم #دربى٨٨ #پرسپوليس #استقلال #دلار #جنگ_اقتصادی</t>
  </si>
  <si>
    <t>https://pbs.twimg.com/media/DoD0yMkX0AAYD8U.jpg</t>
  </si>
  <si>
    <t>پرسپوليس خیلی بزرگه تامام #پرسپولیس</t>
  </si>
  <si>
    <t>رضا یوسفی</t>
  </si>
  <si>
    <t>Life is a Matter of Black and White</t>
  </si>
  <si>
    <t>My heart is in Turin</t>
  </si>
  <si>
    <t>https://pbs.twimg.com/media/DoD1Ed8VsAIN6Kv.jpg</t>
  </si>
  <si>
    <t>امروز دربی اینجا برگزار میشه جایی که خانم های عاشق و هوادار فوتبال، هیچ سهمی ازش ندارن تاسف برای مغزهای کوچک زنگ زده زن ستیز #استادیوم_آزادی #پرسپولیس #استقلال #ورزشگاه #فوتبال #نود</t>
  </si>
  <si>
    <t>aLeX 🇮🇹</t>
  </si>
  <si>
    <t>RT @sdehghanpour: با مدیریتی که #برانکو بر #پرسپولیس خوب، بدون ذخیره و‌ خسته انجام داده، اگر جای رئیس جمهور یا رهبر سکان مدیریت کشور را در‌ دست داشته باشه، قطعا جلوی سقوط #ریال به دسته ۲ را می گیره. #دربی_۸۸ #پرسپولیس_استقلال #دلار۱۹۰۰۰تومانی</t>
  </si>
  <si>
    <t>🎈😎</t>
  </si>
  <si>
    <t xml:space="preserve">جنوبی 🌴 </t>
  </si>
  <si>
    <t>RT @babianconeri: امروز دربی اینجا برگزار میشه جایی که خانم های عاشق و هوادار فوتبال، هیچ سهمی ازش ندارن تاسف برای مغزهای کوچک زنگ زده زن ستیز #استادیوم_آزادی #پرسپولیس #استقلال #ورزشگاه #فوتبال #نود</t>
  </si>
  <si>
    <t>میشام</t>
  </si>
  <si>
    <t>هیچ‌وقت هیچُ از هیچی نترسون .</t>
  </si>
  <si>
    <t>Home SWEET Home</t>
  </si>
  <si>
    <t>امیدوارم فردا لنگ به فجیع‌ترین شکلِ ممکن ببازه ‌و‌ هوادارانش با جمله‌ی “ همه ی تیم های بزرگ دیشب باختند ، پس‌ پرسپولیسم تیم بزرگیه “ خودشون رو آروم کنند. #دربی</t>
  </si>
  <si>
    <t>alibandeloo</t>
  </si>
  <si>
    <t>https://pbs.twimg.com/media/DnxDuvCWkAAqshx.jpg</t>
  </si>
  <si>
    <t>RT @fereshtevpt: روزهايي كه #پرسپوليس بازي داره باروزهاي ديگه فرق داره شما هم ايجوري هستين يا من زيادي عاشقم #پرسپولیس_سپيدرود</t>
  </si>
  <si>
    <t>RT @Haanaa72: محمد انصاری با فرشاد احمدزاده تولدشون توی یه روز اما این کجا و اون ‌جا ... #پرسپوليس</t>
  </si>
  <si>
    <t>RT @Donisss71: تمام آقای برانکو من به شخصه خیلی عاشقتمممممممممممممم♥️♥️♥️♥️♥️♥️♥️♥️♥️♥️♥️♥️♥️♥️♥️ #پرسپولیس</t>
  </si>
  <si>
    <t>‏‏‏‏‏‏‏‏‏‏‏‏‏‏‏‏ما فرزندان مادر پهلو شکسته ایم - مامثل کوه پشت علی(ع)ایستاده ایم/ اللهم العن الجبت والطاغوت/ اللهم عجل لولیک الفرج / آواتار:شاه اسماعیل صفوی(رض)</t>
  </si>
  <si>
    <t xml:space="preserve"> آذربایجان</t>
  </si>
  <si>
    <t>SaYYeD ShAmSHiRi</t>
  </si>
  <si>
    <t>Esteghlal 👑💙</t>
  </si>
  <si>
    <t>https://pbs.twimg.com/media/DoD9NQrW0AAfEYi.jpg</t>
  </si>
  <si>
    <t>خداوندا امروز حس حالی نظیرِ حس حال دربی قبل که در استادیوم سر میدادند شعارِ سال 96 دربی 86 وریا تک به 6 گذاشت درِ عشق 6 وریا وریا گذاشت درِ .... 😘 را نصیبمان کن 🙏 آمیـن🙏 #دربی</t>
  </si>
  <si>
    <t>مِستر بی کی</t>
  </si>
  <si>
    <t>من سوربيتول،ماليتول،زايليتول،منيتول،كلسيم كربنات،سوياليستين گليسيرين مشتق گياهي و طلق هستم</t>
  </si>
  <si>
    <t>pic.twitter.com/fyHRWZDg0w</t>
  </si>
  <si>
    <t>RT @sorbitolC6H14O6: رجزخونی استقلالیا منو یاد این یه تیکه ی این فیلمه میندازه #پرسپوليس</t>
  </si>
  <si>
    <t>‏سقز جويدني ‏(Shaho)</t>
  </si>
  <si>
    <t>https://t.me/xHarfBot?start=196933148</t>
  </si>
  <si>
    <t>يك عدد پوتيتوي عكوج مكوجِ مومن به رنگ صورتي ^_____.^|بسيار گذارنده و گذرنده|بضيا رو ريت ميزنم بفهمين درياي كسشر ساحل ندارد| بد دهن اما بي ادب|ريش پورفسوري⛔️</t>
  </si>
  <si>
    <t>در وطن خويش غريب</t>
  </si>
  <si>
    <t>دلبر🐰💖</t>
  </si>
  <si>
    <t>هیس 💏💍</t>
  </si>
  <si>
    <t>Georgia, USA</t>
  </si>
  <si>
    <t>باريس</t>
  </si>
  <si>
    <t>http://exportedwolf.blogspot.com</t>
  </si>
  <si>
    <t>تهران را گرديده ام، درب همه ماليده ام، داف باحالي ديده ام، اما تو چيز ديگري</t>
  </si>
  <si>
    <t>آقای میم</t>
  </si>
  <si>
    <t>‏a physician and MPH educated but before all of them i was educating civil engineeringپزشکی که اکثر مناطق ایران راخدمت کرده وکمی مهندسی عمران خوانده ونیز مدیریت</t>
  </si>
  <si>
    <t>Mohamad Mahdi Soroor محمد مهدی سرور</t>
  </si>
  <si>
    <t>‏‏زندگی نمی کنم چون ظلم در کشورم بیداد می کند و کرکسان منتظر هستند بر جنازه ی ایران برقصند انسانم آرزوست</t>
  </si>
  <si>
    <t>رستاخیز فیروزه ای💙</t>
  </si>
  <si>
    <t>فرزندایران...💙🤴💙</t>
  </si>
  <si>
    <t>http://www.al-ain.com</t>
  </si>
  <si>
    <t>#بوابة_العين.. بوابة إخبارية عربية شاملة، تغطي أخبار العالم العربي والدولي .. تضعك دائما في قلب الحدث، لتصبح #عينك_على_العالم برؤية مختلفة، ومحتوى متميز</t>
  </si>
  <si>
    <t>أخبار العالم</t>
  </si>
  <si>
    <t>https://pbs.twimg.com/media/DoEIeVAXcAE1bRx.jpg</t>
  </si>
  <si>
    <t>رئيس الوزراء الكويتي جابر مبارك الحمد الصباح أمام الجمعية العامة لـ #الأمم_المتحدة: ندعو كل أطراف الصراع في #سوريا إلى إيجاد تسوية سلمية تحافظ على #استقلال البلاد واستقرارها #UNGA #الكويت</t>
  </si>
  <si>
    <t>العين الإخبارية</t>
  </si>
  <si>
    <t>RT @alain_4u: رئيس الوزراء الكويتي جابر مبارك الحمد الصباح أمام الجمعية العامة لـ #الأمم_المتحدة: ندعو كل أطراف الصراع في #سوريا إلى إيجاد تسوية سلمية تحافظ على #استقلال البلاد واستقرارها #UNGA #الكويت</t>
  </si>
  <si>
    <t>عبدالواحد الكعبي🇦🇪</t>
  </si>
  <si>
    <t>‏ما قبل از اختراع قرص های ضد بارداری به دنیا آمدیم!</t>
  </si>
  <si>
    <t>https://pbs.twimg.com/media/DoEJYeRXsAA5dzB.jpg</t>
  </si>
  <si>
    <t>ورزشگاه آزادی بدون حضور زنان یعنی اسارت.. زن مساوی مرد #فوتبال #دربی #آزادی</t>
  </si>
  <si>
    <t>Majid</t>
  </si>
  <si>
    <t>yasin saeedi instageram: @y_sd______</t>
  </si>
  <si>
    <t>انقدر به فکر قیمت #دلار و #سکه و بقیه مشکلات هستیم که یادمون رفته فردا #دربی #پرسپولیس و #استقلاله! #حب_الحسین_یجمعنا #حب_الحسین_یجمعنا</t>
  </si>
  <si>
    <t>Y_sd____</t>
  </si>
  <si>
    <t>https://pbs.twimg.com/media/DoEMpw0UUAAMg47.jpg</t>
  </si>
  <si>
    <t>ورزشگاه آزادی بدون حضور زنان یعنی اسارت..زن مساوی مرد #فوتبال #دربی #زنان‌درآزادی</t>
  </si>
  <si>
    <t>آنها که واقعاً خواهان دموکراسی هستند چه جمهوری و چه پادشاهی پارلمانی، در مقابل هم جبهه نمیگیرند و خود را تافته جدا بافته نمیدانند</t>
  </si>
  <si>
    <t>RoboRocky</t>
  </si>
  <si>
    <t>‏‏‏‏‏‏‏‏‏‏‏‏‏ *سرباز ولایت* یک حزب اللهی متعهد(اگه خدا قبول کنه)،بدهکار شهدا و امام شهدا،شهروند نظام جمهوری اسلامی ایران،(مردان بدون اصول برای تمامی فصول اند)</t>
  </si>
  <si>
    <t>ABALFAZL(عشق فقط یک کلام، حسین علیه السلام)</t>
  </si>
  <si>
    <t>اخ اخ.... بمیرم برای کسایی که قراره امروز گریه شان دربیاد😭 گریه نکنید دوستان شش تایی قول میدم بیشتر از چهارتا بهتون نزنیم 😊😊😊 #پرسپوليس</t>
  </si>
  <si>
    <t>من آن گلبرگ کس مغزم که می میرم ز بی آبی ولی با منت و خواری پی شبنم( فالوور) نمی گردم.</t>
  </si>
  <si>
    <t>خارج</t>
  </si>
  <si>
    <t>بیاین یک روز هم شده این دعواهای سیاسی مزخرف رو کنار بگذاریم و همه از ته دل دعا کنیم برای برد #پرسپولیس عزیز و بزرگ در بازی دربی پیش رو. #دربی</t>
  </si>
  <si>
    <t>شاهد عینی</t>
  </si>
  <si>
    <t>Accountant extrovertido cazzo sta la viva 🇮🇷🇮🇹</t>
  </si>
  <si>
    <t>آلدو‌ مورو</t>
  </si>
  <si>
    <t>#FreePalestine ⚽️🇮🇷🏐</t>
  </si>
  <si>
    <t>https://pbs.twimg.com/media/DoEQNq1XcAA58pT.jpg</t>
  </si>
  <si>
    <t>دوباره یک بازی بزرگ ورزشی و بحث حظور زنان در ورزشگاه ... خانومها از دغدغه هاشون بگن و اینکه دلشون میخواد بیان ورزشگاه عیبی نداره ... مردان فمینیست مدافع حقوق زنان حرص آدم رو درمیارن ... #دربی #استقلال #پرسپولیس</t>
  </si>
  <si>
    <t>حميــــــــد</t>
  </si>
  <si>
    <t>عاشق ثقلین</t>
  </si>
  <si>
    <t>یه مصداق جهالت مدرن یعنی کل کل کردن رو تیمی که دوسش داری #دربی #پرسپوليس #استقلال</t>
  </si>
  <si>
    <t>خودمم(حسینی ام)</t>
  </si>
  <si>
    <t>‏‏‏متحد شویم برای ساختن ایران ازاد و دور از زور و استبداد.طرفدار نظام مردی و عضو گروه های سیمرغ برای براندازی نظام جاعش و غارتگر اسلامی ایران!-اتحاد اتحاد اتحاد</t>
  </si>
  <si>
    <t>ایران ازاد</t>
  </si>
  <si>
    <t>امروز اصلا شبیه روزی که قراره دربی برگزار بشه نیست. ینی دیگه فوتبالم حواسمونو از بدبختیامون پرت نمیکنه؟ به شخصه آخر دنیا که میگفتن برای من همین‌جاست. #IraniansWantRegimeChange #دربی</t>
  </si>
  <si>
    <t>Amir hosseini</t>
  </si>
  <si>
    <t>RT @bar_andazam: امروز اصلا شبیه روزی که قراره دربی برگزار بشه نیست. ینی دیگه فوتبالم حواسمونو از بدبختیامون پرت نمیکنه؟ به شخصه آخر دنیا که میگفتن برای من همین‌جاست. #IraniansWantRegimeChange #دربی</t>
  </si>
  <si>
    <t>ای کسی که هنوز آفتاب نزده با پوشش آبی گازشو گرفتی بری استادیوم.... #صبح_شما_هم_بخیر بیخود دلتو خوش نکن چون قراره گریه ات دربیاد 😜😜😜😜 #پرسپوليس</t>
  </si>
  <si>
    <t>RT @m_amin_karimi: یه مصداق جهالت مدرن یعنی کل کل کردن رو تیمی که دوسش داری #دربی #پرسپوليس #استقلال</t>
  </si>
  <si>
    <t>سمیه  علی زاده 🏴🏴🏴</t>
  </si>
  <si>
    <t>http://linkedin.com/in/zide-alshehhi-658752167</t>
  </si>
  <si>
    <t>عندي الامارات وحكامي خط احمر انا عدو من يعادي الامارات مهما كانت القرابة</t>
  </si>
  <si>
    <t>رأس الخيمة</t>
  </si>
  <si>
    <t>زيد محمد الشحي3</t>
  </si>
  <si>
    <t>http://instagr.am/Farzininjast</t>
  </si>
  <si>
    <t>که مرگ داشت تویِ رگم زندگی می‌کرد</t>
  </si>
  <si>
    <t>لی‌لی پوت 🇮🇷</t>
  </si>
  <si>
    <t>#دربی رو کجا می‌بینی؟؟</t>
  </si>
  <si>
    <t>فرزین اینجاست</t>
  </si>
  <si>
    <t>https://pbs.twimg.com/media/DoDGsw0X0AABfWY.jpg</t>
  </si>
  <si>
    <t>RT @hoseinbipanahi1: اینم ازشات نتیجه بازی فردا،الهی به امید برتری:))❤❤❤❤❤❤ #پرسپوليس #دربی_واس_ماست</t>
  </si>
  <si>
    <t>پیتِر بِیلیش</t>
  </si>
  <si>
    <t>https://alnu3ami.sarahah.com</t>
  </si>
  <si>
    <t>🇦🇪 قانوني - تغريداتي في المفضلة ، انستقرام و سناب : a_alnu3ami</t>
  </si>
  <si>
    <t>الإمارات</t>
  </si>
  <si>
    <t>عبدالله ناصر النعيمي</t>
  </si>
  <si>
    <t>http://www.kosar3d.ir</t>
  </si>
  <si>
    <t>Aircraft Engineer</t>
  </si>
  <si>
    <t>Mohsen313</t>
  </si>
  <si>
    <t>طرفدار ازادي بيان، رعايت حقوق بشر، دموكراسي</t>
  </si>
  <si>
    <t>Alfered</t>
  </si>
  <si>
    <t>‏‏‏‏‏‏‏‏‏‏‏‏‏‏‏‏‏‏‏‏ارشد مشاوره دانشگاه شهید بهشتی وقتى زنى روزنامه می خواند آن هم صفحه سياست؛ آن جامعه خوشبخت است ..!</t>
  </si>
  <si>
    <t>Tooran  zamin</t>
  </si>
  <si>
    <t>آفتاب</t>
  </si>
  <si>
    <t>https://telegram.me/HarfBeManBot?start=MjMyNzUxOTAy</t>
  </si>
  <si>
    <t>‏‏‏‏‏‏‏‏‏‏‏‏‏‏ما زنده به آنیم که آرام نگیریم</t>
  </si>
  <si>
    <t>‏‏سنت ماری</t>
  </si>
  <si>
    <t>‏‏‏‏‏‏‏‏‏‏‏خـیـــــلی حـــرفِ نگــفته دارَم ➖〰➖〰➖〰 💯مـــــسـتِــر (o‿∩)کـــاکـــا👨 Wrestling🏅 Music. 🎶 Genaveh 🇮🇷 ⏹⏹⏹⏹⏹⏹⏹⏹⏹⏹</t>
  </si>
  <si>
    <t>پیش بینی بازی شهر آورد استقلال و پرسپولیس بازتوییت 🔂🔁لطفا #دربی #استقلال #پرسپوليس</t>
  </si>
  <si>
    <t>Morteza.kaka</t>
  </si>
  <si>
    <t>RT @morteza_kaka: پیش بینی بازی شهر آورد استقلال و پرسپولیس بازتوییت 🔂🔁لطفا #دربی #استقلال #پرسپوليس</t>
  </si>
  <si>
    <t>University Lecturer| Mech PhD| Journal Referee| Entrepreneur| Analyst| IR &amp; N. America| Pseudoscience| MOSTLY tweet, not retweet, #وطنفروشی_شغل_است</t>
  </si>
  <si>
    <t>Boston, NY</t>
  </si>
  <si>
    <t>https://pbs.twimg.com/media/DoEbUMxXoAAxuit.jpg</t>
  </si>
  <si>
    <t>این نظرسنجی ورزش3، ورزشی ترین و غیرسیاسی ترین رسانه کشور است! #دلار۱۹۰۰۰تومانی #دربى89 #پرسپوليس</t>
  </si>
  <si>
    <t>Sadramid Amouzegar</t>
  </si>
  <si>
    <t>https://telegram.me/harfbzanbot?start=VLVXKlM</t>
  </si>
  <si>
    <t>‏‏‏‏‏‏‏‏‏‏‏‏‏‏‏‏‏‏‏خستـه تر از آنم کـــه bio بنویسم...</t>
  </si>
  <si>
    <t>دهکده ای دور افتاده در فرآنسه</t>
  </si>
  <si>
    <t>بـنـژامـیـن 🇫🇷</t>
  </si>
  <si>
    <t>M.S of Civil Engineering🌷kuhdasht&amp; lor🌷</t>
  </si>
  <si>
    <t>https://pbs.twimg.com/media/DoEdDQMXUAAkffj.jpg</t>
  </si>
  <si>
    <t>وقتی فکر میکنی خیلی خوشمزه ای افزایش قیمت #دلار #استقلال_پرسپولیس #دربی89 @PerspolisFCIran @PejmanRahbar</t>
  </si>
  <si>
    <t>🇮🇷saeed ahmadi</t>
  </si>
  <si>
    <t>‏‏‏‏‏‏‏‏‏‏‏‏‏‏‏‏‏‏‏‏‏‏‏‏🌟👑🌟استقلال💙💙💙💙🌈 رئال مادرید، اندکی یوونتوسی لنگی مزاحم نشو</t>
  </si>
  <si>
    <t>استرس بازی نموده مارا😐 #دربی #تاجی ام</t>
  </si>
  <si>
    <t>Violet</t>
  </si>
  <si>
    <t>همه رو به یه چشم نگاه میکنم😉</t>
  </si>
  <si>
    <t>توی مردمک</t>
  </si>
  <si>
    <t>اگه تونستی رنگ لایک(فیو) توییتر رو عوض کنی حرفه 💓 #دربی</t>
  </si>
  <si>
    <t>چشمک</t>
  </si>
  <si>
    <t>https://pbs.twimg.com/media/DoEeTw8WsAMkJCQ.jpg</t>
  </si>
  <si>
    <t>کمتر از ۱۲ ساعت تا شروع دربی! چه حسی دارین و به نظرتون این بازی با چه نتیجه ای به پایان میرسه؟ #پرسپولیس</t>
  </si>
  <si>
    <t>@PerspolisFCIran نتيجه که مشخصه يا #پرسپوليس ميبره يا استقلال ميبازه از اين دو حال خارح نيست #قرمزته</t>
  </si>
  <si>
    <t>OmidG2</t>
  </si>
  <si>
    <t>همه در گیر دلار شدن یادشون رفته فردا دربیه #دربی #استقلال #پرسپوليس #شهراورد #گرانی</t>
  </si>
  <si>
    <t>هر که به این سرای آید، راهش دهم و مرامش نپرسم. هر که برفت نیز گویی از روز ازل نبوده / بازنشر # تایید / فحاشی، قلدربازی، مزه‌پرانی، متلک = بلاک</t>
  </si>
  <si>
    <t>Land of milk &amp; honey</t>
  </si>
  <si>
    <t>RT @PerspolisFCIran: کمتر از ۱۲ ساعت تا شروع دربی! چه حسی دارین و به نظرتون این بازی با چه نتیجه ای به پایان میرسه؟ #پرسپولیس</t>
  </si>
  <si>
    <t>کرگدن</t>
  </si>
  <si>
    <t>RT @omiidG2: @PerspolisFCIran نتيجه که مشخصه يا #پرسپوليس ميبره يا استقلال ميبازه از اين دو حال خارح نيست #قرمزته</t>
  </si>
  <si>
    <t>کوردها تروریست نیستند</t>
  </si>
  <si>
    <t>iran,ilam</t>
  </si>
  <si>
    <t>#دربی با دعای طرفداران دربی را دوباره خواهیم برد زنده باد پرسپولیس ، زنده باد قرمز رنگ خون شهیدان آزاده #پرسپولیس</t>
  </si>
  <si>
    <t>گلاویژ</t>
  </si>
  <si>
    <t>این مردن زندگی نیست</t>
  </si>
  <si>
    <t>RT @mnsamooo: ببین اوضاعمون چقد تخمی شده که حتی هیجان #دربی رو هم نداریم</t>
  </si>
  <si>
    <t>behnazkaveh</t>
  </si>
  <si>
    <t>شبهاي هجر را گذرانديم و زنده ايم، ما را به سخت جاني خود اين گمان نبود</t>
  </si>
  <si>
    <t>https://twitter.com/sarrafsaeed/status/1044660383074652161</t>
  </si>
  <si>
    <t>این شوخیه؟ یعنی میهن‌دوستی و غرور هندیها از آلمانیها و ژاپنیها بیشتره؟ عاقلترند؟ واقعأ هند قویتره؟ به قیمت غوطه خوردن یک جمعیت عظیم توی فقر؟ این #استقلال و اون #وابستگی را میشه مقایسه کرد؟ RT @SarrafSaeed: میشه مثل ژاپن، آلمان و خیلی از کشور های دیگه از آمریکا شکست خورد اما تا ابد میزبان سربازان آمریکایی بود و در سیاست خارجه وابسته. میشه هم مثل هند، قوی، مستقل و از استعمار رها شده بود. روزهای سخت ایران، پیچ گردنه ایست که پشت اون، استقلال و آزادیه. ایران قابل احترام. #Westand4Iran</t>
  </si>
  <si>
    <t>Rahi</t>
  </si>
  <si>
    <t>http://government.ae</t>
  </si>
  <si>
    <t>Instagram : @ra3i_al3in</t>
  </si>
  <si>
    <t>UAE</t>
  </si>
  <si>
    <t>عبدالله يونس البلوشي</t>
  </si>
  <si>
    <t>‏‏‏با ادب باشیم</t>
  </si>
  <si>
    <t>تهران فعلن</t>
  </si>
  <si>
    <t>توييت امشب: ما اينيم #پرسپوليس</t>
  </si>
  <si>
    <t>ممد خان</t>
  </si>
  <si>
    <t>من تو را بر شانه‌هایم میکَشَم یا تو میخوانی به گیسویت مرا /زخم‌ها زد راه بر جانم ولی زخمِ عشق آورده تا کویت مرا</t>
  </si>
  <si>
    <t>سیاوش اکبرپور هنوز تو خیابون راه میره پشت سرش رو نگاه میکنه ببینه علی کریمی هست یا نه #دربی</t>
  </si>
  <si>
    <t>گلهاي دربي. رو كي ميزنه؟ يكيشو آدام، ٥ تاي ديگه را شما بگين #دربي</t>
  </si>
  <si>
    <t>پاييز بهاري ست كه عاشق شده است</t>
  </si>
  <si>
    <t>موج مكزيكي گيسوي تو مي خواهد دلم به تماشاي نشينم اگر اين دربي را #علوي #دربي</t>
  </si>
  <si>
    <t>ملك الشعراى پاييز</t>
  </si>
  <si>
    <t>http://www.titreazad.ir</t>
  </si>
  <si>
    <t>‏‏فعال فرهنگی و سیاسی،‏‏‏‏‏‏‏‏‏‏‏‏‏خبرنگار رسمی سایت تیتر آزاد ، مدرس شبکه های اجتماعی</t>
  </si>
  <si>
    <t>میخوام امروز هم در مورد fatf فک بدم!... ببخشین ک کام شیرینی بُرد #پرسپوليس رو با فکت های #خيانت_‌FATF تلخ میکنم :-) #مردم_بدانید</t>
  </si>
  <si>
    <t>عیسی شفائی</t>
  </si>
  <si>
    <t>I,m human, just like you . Be kind to one another. Not even for God . Just for humanity</t>
  </si>
  <si>
    <t>inspector japp</t>
  </si>
  <si>
    <t>http://www.radiopopcorn.de/</t>
  </si>
  <si>
    <t>‏Die erste Radiosendung auf Persisch in Deutschland. اولین رادیوی رسمی فارسی زبان در آلمان</t>
  </si>
  <si>
    <t>Bremen, Deutschland</t>
  </si>
  <si>
    <t>https://pbs.twimg.com/media/DoEplXtWsAAgLbR.jpg</t>
  </si>
  <si>
    <t>حال اقتصادمون انقد خرابه که هیجان #دربی هم نمیتونه این قضیه رو برای 90 دقیقه بشوره ببره.</t>
  </si>
  <si>
    <t>Radio Popcorn</t>
  </si>
  <si>
    <t>نجات دهنده در گور، وي تا پايان عمر به اخذ تصديق راهنمايي و رانندگي نائل نيامد</t>
  </si>
  <si>
    <t>RT @faarshaadi: سیاوش اکبرپور هنوز تو خیابون راه میره پشت سرش رو نگاه میکنه ببینه علی کریمی هست یا نه #دربی</t>
  </si>
  <si>
    <t>ناناصِرِالدّین</t>
  </si>
  <si>
    <t>https://scriptics.ir</t>
  </si>
  <si>
    <t>Cyber Security Expert / Python developer / Music Enthusiast | PGP:3C85 C54F 56F7 F42C 3B9B D9BA 54AB 442A 50C6 7C87</t>
  </si>
  <si>
    <t>-33.8671892,-63.9868826</t>
  </si>
  <si>
    <t>https://twitter.com/PerspolisFCIran/status/1045149916308402176</t>
  </si>
  <si>
    <t>به نظرم #پرسپولیس بازی رو ۶ به صفر می‌بره. :)) RT @PerspolisFCIran: کمتر از ۱۲ ساعت تا شروع دربی! چه حسی دارین و به نظرتون این بازی با چه نتیجه ای به پایان میرسه؟ #پرسپولیس</t>
  </si>
  <si>
    <t>هوشمند</t>
  </si>
  <si>
    <t>با رنگ‌ها بازی می‌کنم تا رنگ دلخواه زندگی رو پیداکنم تا زندگی زیبا و رنگی بسازم. در حال جستجو ی تکه‌ی گمشده‌ی قلبم هستم. به خنده بر گزار کن😊</t>
  </si>
  <si>
    <t>RT @hooshmandk: به نظرم #پرسپولیس بازی رو ۶ به صفر می‌بره. :))</t>
  </si>
  <si>
    <t>shahdokhtam🕊🎗</t>
  </si>
  <si>
    <t>احوال رفقای دوچرخه سوارانی توی خونه مون چطوره؟ #دربی</t>
  </si>
  <si>
    <t>In a time of universal deceit, telling the truth is a revolutionary act.-- George Orwell</t>
  </si>
  <si>
    <t xml:space="preserve">Tehran, Canada </t>
  </si>
  <si>
    <t>RT @Mehrnaz_7077: توی قلب من نوشته رنگ #قرمز رنگ عشقه واسه تو جونمو میدم پرسپولیس دریای عشقه #هدرم😍 #پرسپولیس</t>
  </si>
  <si>
    <t>Pouria Artimani</t>
  </si>
  <si>
    <t>“Dance in the middle of the fighting” Rumi</t>
  </si>
  <si>
    <t>Toronto, Ontario</t>
  </si>
  <si>
    <t>https://pbs.twimg.com/media/DoErC1lV4AArWiT.jpg</t>
  </si>
  <si>
    <t>هر نتیجه‌ای تو دربی به دست بیاد، ما فراموش نمی‌کنیم که شما تو‌ شرایط سخت #پرسپولیس را تنها نگذاشتید و دارید از جونتون مایه میذارید. به احترام تک‌تکتون سر خم می‌کنم. شما باعث شدید که غرورم از پرسپولیسی بودن بیشتر از پیش باشه. دمتون گرم با غیرت‌ها.</t>
  </si>
  <si>
    <t>Mr.Hope</t>
  </si>
  <si>
    <t>Political Activist/ journalist/iranefardaTv / New Account</t>
  </si>
  <si>
    <t>امروز قراره شفر ترمز برانکو رو بکشه #استقلال #پرسپوليس</t>
  </si>
  <si>
    <t>mahistan</t>
  </si>
  <si>
    <t>‏میگن قراره عشق ایران زمین، به زودی برگرده....❤</t>
  </si>
  <si>
    <t>مهندس بیکار</t>
  </si>
  <si>
    <t>هیچ مشکلی بزرگ،هیچ دیواری واسم بلند نیست...</t>
  </si>
  <si>
    <t>Ahwaz</t>
  </si>
  <si>
    <t>این یکی دو ساله #دربی مثه تاب بازی دوران بچگی شده دفعه ی قبلی کی برنده شده؟!حالا نوبت اون یکیه برنده بشه اگه مساویم بشه که چه بهتر نه سیخ میسوزه نه کباب این همه تو سر زدنا و کری خوندنا همش کشکه نتیجه از قبل معلومه</t>
  </si>
  <si>
    <t>آیــــــــ🎀ــــــــــه</t>
  </si>
  <si>
    <t>عموی همه خفنا!ا!ا . خوش اشتها🍖 .اما. بد غذا🍳 . شده دیگه</t>
  </si>
  <si>
    <t>آشپز خونه</t>
  </si>
  <si>
    <t>RT @shafaeieisa: میخوام امروز هم در مورد fatf فک بدم!... ببخشین ک کام شیرینی بُرد #پرسپوليس رو با فکت های #خيانت_‌FATF تلخ میکنم :-) #مردم_بدانید</t>
  </si>
  <si>
    <t>آق عمو</t>
  </si>
  <si>
    <t>‏یک بانوی مسلمان ایرانی با حجاب موفق به کوری چشم دشمنان</t>
  </si>
  <si>
    <t>اشک ماه 🏴 یا حسین 🏴</t>
  </si>
  <si>
    <t>Software Developer and Human Being</t>
  </si>
  <si>
    <t>مترو کرج، جا به جا میشه طرفدارای #استقلال و #پرسپوليس رو دید که دارن میرن ورزشگاه #داربی_تهران</t>
  </si>
  <si>
    <t>رضکش</t>
  </si>
  <si>
    <t>ArAsH</t>
  </si>
  <si>
    <t>‏‏عشق فیلم، خوره سابق کتاب، معتاد فعلی فضای مجازی، علاقمند به سیاست- تاریخ- ادبیات, خاصه رمان مقهور موسیقی- وابسته میتولوژی-هنر و تکنولوژی-ورزش .هیچکاره کنجکاو</t>
  </si>
  <si>
    <t xml:space="preserve">درک </t>
  </si>
  <si>
    <t>https://twitter.com/ranarahimpour/status/1045003794059350022</t>
  </si>
  <si>
    <t>معلومه که نیست.#رئیس_جمهور #روحانی بهتر از هرکس میداند تکرار نخ نمای بهانه ی #استقلال #قوه_قضائیه او را در موقعیت چالشی ناخوشایندی قرار میدهد که نشانگر ضعف شخصیت و #پارادوکس وظایف و اختیارات جایگاه مقام #ریاست_چمهوری در #نظام_اسلامی است. #تدارکاتچی #انقلاب_بی_ثمر #سرکوب RT @ranarahimpour: رئیس جمهوری ایران حاضر نشد به سوال لیز دوست، خبرگار بخش جهانی بی بی سی درباره آزار و اذیت کارکنان بی بی سی فارسی و خانواده های آنها پاسخ دهد. @JZarif @HassanRouhani #روزنامه_نگاری_جرم_نیست</t>
  </si>
  <si>
    <t>Samiboaliii</t>
  </si>
  <si>
    <t>‏‏‏‏‏آسمونشم بگیری این پرنده مردنی نيست... ✌️</t>
  </si>
  <si>
    <t>جیم کریمی</t>
  </si>
  <si>
    <t>شکر خدا که نام علی (علیه السلام) در اذان ماست.</t>
  </si>
  <si>
    <t>کهکشان</t>
  </si>
  <si>
    <t>‏‏‏‏‏‏‏‏‏‏‏‏ﺑﺨﻮﺭﻡ ﺯﻣﯿﻦ ﭘﺎ ﻣﯿﺸﻢ ﯾﮑﺒﺎﺭ دیگهـ ﺗﺎﺭﯾﺦ ﺑﻬﻢ ﯾﺎﺩ ﺩﺍﺩ ﻫﻤﻪ ﭼﯽ ﺗﮑﺮﺍﺭ میشهـ</t>
  </si>
  <si>
    <t xml:space="preserve">too ghalbet city </t>
  </si>
  <si>
    <t>https://pbs.twimg.com/media/DoEwrubXUAYH91b.jpg</t>
  </si>
  <si>
    <t>#فوتبال #دربی #دلار #پرسپولیس</t>
  </si>
  <si>
    <t>مَمَد بیتو🏆MaMaD BiTO</t>
  </si>
  <si>
    <t>توييت ميكرد ك ...</t>
  </si>
  <si>
    <t>Iran o karaj</t>
  </si>
  <si>
    <t>RT @mahtabmoond: طرفدار هر هر تیمی هستیم ، بددهنی و توهین نکنیم #دربی #پرسپولیس #ورود_زنان_به_ورزشگاه #استقلال</t>
  </si>
  <si>
    <t>Mahtabmoond</t>
  </si>
  <si>
    <t>شوریده</t>
  </si>
  <si>
    <t>اين چه وضعيه؟ پس كي ميخواي كري ها را شروع كني؟ #دربي</t>
  </si>
  <si>
    <t>یک آدم زخم خورده</t>
  </si>
  <si>
    <t>کاملا ظریف</t>
  </si>
  <si>
    <t>ناله اگر که برکشم ،خانه خراب می‌شوی.....خانه خراب‌گشته‌ام بس که سکوت کرده ام</t>
  </si>
  <si>
    <t>Bar bad rafteh</t>
  </si>
  <si>
    <t>‏‏‏‏‏‏دانشجوی علوم سیاسی، دبیر سرویس سیاسی روزنامه «روزان»، عضو حزب اتحاد ملت</t>
  </si>
  <si>
    <t>RT @Babakghannad: سایت ورزش۳ اومد شیرین‌بازی در بیاره، ولی ناگهان بی‌شعور بازی در آورد! #دربی</t>
  </si>
  <si>
    <t>علیرضا خوشبخت</t>
  </si>
  <si>
    <t>http://english.sina.com/index.html</t>
  </si>
  <si>
    <t>♥ ✈ ☺ ♬ ♠ ☎☻ ♫ ☒ ♤ ☤ ☹ ♪ ♀✩ ✉ ☠ ♂★ ✇ ♺ ✖ ♨ ❦ ☁ ✌♛ ❁ ☪ ☂ ✏ ♝ ❀ ☭ ☃ ☛ ♞ ✿ ☮ ☼ ☚ ♘ ✾ ☯ ☾ ☝ ♖ ✽ ✝ ☄ ☟ ♟ ✺ ☥ ✂ ✍ ♕ ✵</t>
  </si>
  <si>
    <t>Sina</t>
  </si>
  <si>
    <t>#انقلابی</t>
  </si>
  <si>
    <t>آرام</t>
  </si>
  <si>
    <t>اما هرچی باشه امروز دربیه و هیچی یه روز رو کامل نمیسازه جز برد #استقلال 💙💙💙💙</t>
  </si>
  <si>
    <t>‏‏‏‏روزمرگی های یک طراح شهر 👑💙⭐⭐ ‎‎‎‎‎‎‎‎‎‎‎‎‎‎‎‎‎‎‎‎‎‎‎‎‎‎‎‎‎‎‎‎‎‎استقلال ‎‎‎‎‎‎‎‎‎بارسلونا ‎‎</t>
  </si>
  <si>
    <t>دوست دارم یه امروز فارغ از قیمت دلار فقط و فقط به دربی فکر کنم،به قشنگ ترین و آبی ترین عشق دنیا تا شاید اندازه ی چند ساعت بشه تمام دغدغه ها و نگرانی های این روزهارو فراموش کرد... به امید برد⭐💙 استقلال جان💙⭐در بازی امروز 👑 #دربی #استقلال #تاج</t>
  </si>
  <si>
    <t>دلآراما</t>
  </si>
  <si>
    <t>1985-8-23 Dream 🤔as if you'll live💛 for ever 🙅‍♂️live as if you'll die today😛 Reformist and member of the Iranian Call of Duty</t>
  </si>
  <si>
    <t>GORGAN</t>
  </si>
  <si>
    <t>دوست دارم یه امروز فارغ از قیمت دلار فقط و فقط به دربی فکر کنم،به قشنگ ترین و آبی ترین عشق دنیا تا شاید اندازه ی چند ساعت بشه تمام دغدغه ها و نگرانی های این روزهارو فراموش کرد! به امید برد⭐💙 استقلال جان💙⭐در بازی امروز 👑 #دربی #استقلال #تاج</t>
  </si>
  <si>
    <t>‏‏‏یه هافبک دفاعی تخریبی که هیچوقت تو پست اصلیش به بازی گرفته نشد.</t>
  </si>
  <si>
    <t>باز دوباره این کاور جادوییم رو گذاشتم. فصل پیش اون دوره ای که این کاورم بود ۳تا ۳تا میزدیم. #دربی #خرافات</t>
  </si>
  <si>
    <t>لطفا جواب منطقی و صادقانه در برابر سوال منطقی؛ چی شد طرفدار #استقلال شدید؟ فقر اطلاعات ورزشی یا اجبار خانواده؟ #پرسپولیس #پرسپولیس_سرور_پدیده_است</t>
  </si>
  <si>
    <t>‏‏‏‏‏‏‏فعال سیاسی، روز نگار، کارشناس اقتصادی بورس و بازارهای مالی، فکر کنم در هر نظام حکومتی، اصلاح طلب باشم...</t>
  </si>
  <si>
    <t>من اگر جای اونایی بودم که #دربی میرن امروز #استادیوم_آزادی #آزادی رو #تریبون میکردم برای برای اعتراض به وضعیت #اقتصادی کشور #شهرآورد #قرمز #آبی #اعتراض_مدنی #مسئولین #دلار۱۹۰۰۰تومانی #عادل_فردوسی_پور #100هزارنفری #ریت #ريتوييت_لطفا #ريتوييت #ريتويت</t>
  </si>
  <si>
    <t>Mohsen Teimouri</t>
  </si>
  <si>
    <t>هر از گاهی اینجا یه شول و شوروایی می پزم یه وقتم دیدید یه آشی بپزم یه وجب روغن روش باشه🍲</t>
  </si>
  <si>
    <t>پای دیگ</t>
  </si>
  <si>
    <t>#پرسپولیس ی ها ریت کنند همدیگرو پیدا کنیم. ما پایه فالو کردن پرسپولیسیها هستیم. دوست داشتین بک بدین دور هم باشیم</t>
  </si>
  <si>
    <t>نَنه خانومِ شُلو پِز</t>
  </si>
  <si>
    <t>#دربی امروز صد در صد مساوی میشه. برد یکی از این دو تیم با #دلار ۲۰ هزار تومان به هیچ وجه به مصلحت نیست.</t>
  </si>
  <si>
    <t>arashbarfi</t>
  </si>
  <si>
    <t>‏‏‏‏‏‏‏‏‏‏‏‏‏‏‏فارغ التحصیل مهندسی کامپیوتر😊 گرافیست ، عکاس، طراح، (دنبال حقیقتم، و از حق دفاع میکنم تا پای جان)</t>
  </si>
  <si>
    <t>https://pbs.twimg.com/media/DoE4u28W0AAnx8c.jpg</t>
  </si>
  <si>
    <t>ارزوی موفقیت برای تیم محبوبم دارم💙💙💙 #استقلال #آبی #دربی</t>
  </si>
  <si>
    <t>kou_sa</t>
  </si>
  <si>
    <t>http://www.piping24.ir</t>
  </si>
  <si>
    <t>‏‏‏‏عضو داوطلب جمعیت دانشجویی امام علی(ع) - موسس و مدیر بازاریابی سایت http://Piping24.ir‎‎‎ و این هم توئیتر رسمی مجموعه ‎@Piping24_ir</t>
  </si>
  <si>
    <t>هرجا دلم خوش باشه</t>
  </si>
  <si>
    <t>https://pbs.twimg.com/media/DoE5O4UXUAA2QtU.jpg</t>
  </si>
  <si>
    <t>توهم توطئه: بی دلیل نیست رنگ لوگوشون قرمزه و با تاخیر هم شروع میکنند میخان روز دربی #پرسپولیس رو خراب کنند #dmconf18</t>
  </si>
  <si>
    <t>عمو نیما</t>
  </si>
  <si>
    <t>دلگیرم از استقلال و استقلالی ها که سال ۷۲ به جای اینکه دربی رو با #پرسپولیس برگزار کنن، رفتن و با پورا بازی کردن. البته ترکیه نرفته بودنا، سطحشون ایجاب میکرد.</t>
  </si>
  <si>
    <t>http://t.me/meysammottei</t>
  </si>
  <si>
    <t>‏استاد دانشگاه #امام_صادق/عضو هيت علمي دانشگاه /منتقد دولت #فسادطلبان /بین الملل/دكتراي تخصصي علوم قران وحديث/مداح أهل بيت/أين صفحه منتسب به اقاي مطيعي ميباشد</t>
  </si>
  <si>
    <t>#نظرسنجی: نتیجه شهراورد 88 چی میشه؟ (بازتوییت کنید) #دربی #استقلال #پرسپولیس #شش_تایی_ها #دلار18000تومانی #TrumpPressConference #Idlib</t>
  </si>
  <si>
    <t>ميثم مطيعي</t>
  </si>
  <si>
    <t>من اهل دوست داشتنم تو اهل كجاي</t>
  </si>
  <si>
    <t>@hooshmandk Viva #پرسپولیس ❤️🚩❤️🚩❤️🚩</t>
  </si>
  <si>
    <t>Shirin Ar</t>
  </si>
  <si>
    <t>https://t.me/xHarfBot?start=320587206</t>
  </si>
  <si>
    <t>عشق همیشه پیروزه #پرسپولیس</t>
  </si>
  <si>
    <t>گرگان</t>
  </si>
  <si>
    <t>خب امشب قراره جرتون بدیم ظاهرا #دربی</t>
  </si>
  <si>
    <t>آقا سید حبیب</t>
  </si>
  <si>
    <t>من فیک یک قدیمی اکانت تعطیل شده‌ام!!!! #پرسپولیس #halamadrid بلاک شده توسط کارمند عزیز بی‌بی‌سی😂😂</t>
  </si>
  <si>
    <t>همین دور و اطراف</t>
  </si>
  <si>
    <t>https://pbs.twimg.com/media/DoE7JDfWkAAQ8fJ.jpg</t>
  </si>
  <si>
    <t>#NewProfilePic سلام #پرسپولیس. من عاشق توام.</t>
  </si>
  <si>
    <t>کمندِ زلفش</t>
  </si>
  <si>
    <t>http://instagram.com/mohmd.h.vahedi</t>
  </si>
  <si>
    <t>Thrn</t>
  </si>
  <si>
    <t>سلام صبحتون بخیر عزیزای دل❤ امروزمونم با امید برد #استقلال شروع میکنیم 💙⭐⭐💙</t>
  </si>
  <si>
    <t>Mohammad Vahedi</t>
  </si>
  <si>
    <t>"من از سلاله ى درختانم، تنفس هواى مانده ملولم مى كند."</t>
  </si>
  <si>
    <t>https://twitter.com/perspolisfciran/status/1045149916308402176</t>
  </si>
  <si>
    <t>من از بیمارستان بازی رو می‌بینم. #پرسپولیس جان بِبَر بازی رو یه کم بشوره ببره :) RT @PerspolisFCIran: کمتر از ۱۲ ساعت تا شروع دربی! چه حسی دارین و به نظرتون این بازی با چه نتیجه ای به پایان میرسه؟ #پرسپولیس</t>
  </si>
  <si>
    <t>سارا استنلى‌‌</t>
  </si>
  <si>
    <t>http://instagram.com/ahmadsaeedi22</t>
  </si>
  <si>
    <t>‏‏‏‏‏‏‏‏‏‏توییتر چاه کوفه منه... ‏ ‎‎‎‎‎‎‎‎‎‎#ENFP</t>
  </si>
  <si>
    <t>دروازه دولاب تِیرون</t>
  </si>
  <si>
    <t>ما که کسیو نداریم باهاش #دربی ببینیم...</t>
  </si>
  <si>
    <t>هانیبال لِڪتــــرM.D</t>
  </si>
  <si>
    <t>‏‏‏مارا کبوترانه وفادار کرده است... نه خبرنگارم نه فعال سیاسی فقط یه بازاری ساده ام که دغدغه انقلاب داره</t>
  </si>
  <si>
    <t>تباها این همه استقلالی داریم تایم لاین؟؟ امیدوارم امشب بعد باختتون هم حضور داشته باشین لهتون کنم😂 #دربی #شیش_تایی_ها</t>
  </si>
  <si>
    <t>کفترباز</t>
  </si>
  <si>
    <t>صبخ بخیر برانکو من عاشق سیستم ۲-۴-۴ لوزی توام #پرسپولیس❤️</t>
  </si>
  <si>
    <t>Daryaaa</t>
  </si>
  <si>
    <t>همینجا قول میدم امروز #پرسپوليس میبره!... این رو ریت کنین اگه نبرد تُف کنین تو صورت اونهایی کهfatf رو تصویب کردن! :-) #خیانت_fatf #مردم_بدانید</t>
  </si>
  <si>
    <t>Tehran in the night time</t>
  </si>
  <si>
    <t>تهران امروز قرمزه #دربی</t>
  </si>
  <si>
    <t>el señor FOX</t>
  </si>
  <si>
    <t>بیو نمیخاد! توییتامو بخونید بشناسینم.</t>
  </si>
  <si>
    <t>همین آب وخاک</t>
  </si>
  <si>
    <t>#هشتاد_نه #دربی</t>
  </si>
  <si>
    <t>امید/8\شاکی</t>
  </si>
  <si>
    <t>‏‏‏‏‏‏‏‏‏‏‏‏‏‏‏‏‏‏‏‏‏‏‏‏‏‏‏‏‏این منی که همگان مرابدان میشناسندباهمه‌ی من‌هایِ من‌متفاوت است/مادر/مهربان/لجباز/دهه‌ی ۵۰/مودب/مغرور/مستقل/عاشق سفر/دایرکت =بلاک🛇</t>
  </si>
  <si>
    <t>Bandar,mandar</t>
  </si>
  <si>
    <t>@DdpAaMQ37GUFAfo #پرسپولیس چه ببازه چه ببره عزیز دل ماست❤❤❤❤</t>
  </si>
  <si>
    <t>نعناع</t>
  </si>
  <si>
    <t>‏‏‏‏‏‏‏‏‏‏وسط معرکه ات رقص جنون میخواهم🖑هیچی نیستم😏خاکم🙌</t>
  </si>
  <si>
    <t>آخرین #دربی قبل از دلار ۵۰ هزار تومنی :/ خدا میدونه دربی بعدی کیا به خاک سیاه نشستن کیا سر از خاک کانادا و سوییس درآوردن خدایا ما را بفرما🙌</t>
  </si>
  <si>
    <t>یدالله شهریاری</t>
  </si>
  <si>
    <t>#استقلال قهرمان میشه خدا میدونه که حقشه به لطف یزدان و بچه ها #استقلال قهرمان میشه استقلال قهرمان میشه ها لا لای لای لا لای لا لای ... #استقلال هوووووراااا #پرسپولیس سوووووراخ</t>
  </si>
  <si>
    <t>Leon</t>
  </si>
  <si>
    <t>‏‏‏‏‏‏‏‏‏‏‏‏‏‏‏‏‏‏‏‏‏‏‏‏‏‏‏‏‏‏‏‏‏‏‏‏‏‏‏‏‏‏‏‏‏‏‏‏‏‏‏‏‏‏‏‏‏‏‏‏‏‏‏‏‏‏‏‏‏‏‏‏‏‏‏‏‏‏‏‏‏‏‏‏‏‏‏‏‏‏‏‏‏‏پَرِ عشق چون قَوی شد، غَمِ نردبان نمانَد.</t>
  </si>
  <si>
    <t>فار فار اوی</t>
  </si>
  <si>
    <t>https://pbs.twimg.com/media/DoE-I2sUUAAJJ0h.jpg</t>
  </si>
  <si>
    <t>از لحاظ سایت ۹۰ #دربی #استقلال #پرسپولیس #نود #فوتبال</t>
  </si>
  <si>
    <t>ایمرسی ویو تیر خورده، شما ادامه بدید ⚡</t>
  </si>
  <si>
    <t>http://www.jamejamonline.ir/</t>
  </si>
  <si>
    <t>این حساب رسمی جام جم آنلاين است..... عضو کانال جام جم آنلاين شويد : http://sapp.ir/jamejam</t>
  </si>
  <si>
    <t>Tehran, I.R.IRAN</t>
  </si>
  <si>
    <t>امروز #دربی 88 برگزارمیشود.همیشه قبل ازدربی ها نگرانیهای زیادی دررابطه باحواشی مسابقه وجود دارد.به منظورفرهنگ سازی در رابطه با این دربی هشتگ #لطفا_با_فرهنگ_باشیم راه افتاده.هواداران #پرسپولیس و #استقلال با پیوستن به این #هشتگ برای جلوگیری از ناهنجاری های احتمالی تلاش خواهند کرد.</t>
  </si>
  <si>
    <t>جام جم آنلاین</t>
  </si>
  <si>
    <t>Son, Student</t>
  </si>
  <si>
    <t>https://pbs.twimg.com/media/DoE-ePxXcAEjuft.jpg</t>
  </si>
  <si>
    <t>طرفدار #استقلال نیستم، علاقه چندانی به #پرسپولیس هم ندارم ولی با این شعار خیلی حال میکنم: سال ۸۹ تو #دربی ۶۹ شیث رضایی دنبال فرهاد بدو آی بدو آی بدو آی بدو آی بدو #دربی۸۸</t>
  </si>
  <si>
    <t>amir</t>
  </si>
  <si>
    <t>‏‏تنها وجه اشتراک من و شخصیت جک اسپارو اینه 👈عاقل ترین دیوانه (انقلابی ام)</t>
  </si>
  <si>
    <t>https://twitter.com/shafaeieisa/status/1045183405971959808</t>
  </si>
  <si>
    <t>همینجا قول میدم #استقلال می بره !... این روریت کنین اگه نبرد تف کنیین تو صورت اونهایی که #شفافیت_آراء_مجلس رو تصویب نکردن ! : - )) RT @shafaeieisa: همینجا قول میدم امروز #پرسپوليس میبره!... این رو ریت کنین اگه نبرد تُف کنین تو صورت اونهایی کهfatf رو تصویب کردن! :-) #خیانت_fatf #مردم_بدانید</t>
  </si>
  <si>
    <t>جک  اسپارو</t>
  </si>
  <si>
    <t>من هیچم و این از لطف (او)ست</t>
  </si>
  <si>
    <t>https://pbs.twimg.com/media/DoE-r81X0AIho7H.jpg</t>
  </si>
  <si>
    <t>میریم که داشته باشیم ی برد دلچسب و با یازده تا بازیکن در مقابل n تعداد بازیکن...😂 ❤️❤️❤️❤️❤️❤️ #پرسپوليس #دربی</t>
  </si>
  <si>
    <t>khadem.1992</t>
  </si>
  <si>
    <t>ساغرم شکسته ای ساغی</t>
  </si>
  <si>
    <t>امیدوارم #پرسپوليس مثل بازی الدحیل یه روز حالمونو عالی کنه خسته از #دلار تنها امیدمون به سرور سالار تیمهای ایرانی</t>
  </si>
  <si>
    <t>الفردو هیچکاک</t>
  </si>
  <si>
    <t>https://pbs.twimg.com/media/DoE-_BnXUAEX7Ly.jpg</t>
  </si>
  <si>
    <t>استقلالیا اینجوری بی اعصابن هااا معلوم نیست بعد از باختشون میخوان چیکار کنن 😂 این کارتون برای 4 سال پیشه اون زمان ممیزی شد نرفت برای چاپ از اون وقت تا حالا هر دربی میشه اینو منتشر میکنم... بچه ها قاطی کردن 😂😂😂 #دربی #استقلال</t>
  </si>
  <si>
    <t>http://Instagram.com/zahratabrizii</t>
  </si>
  <si>
    <t>از ٦سالگى ديوانه فوتبال شدم-.- و در ١٧ سالگى به اسلام روى آوردم*.*كنكور رياضى:)سمپادى:)</t>
  </si>
  <si>
    <t>تو اين گيرودارِ هستى وقتى مشكلات داره مثه بارون رو سرمون ميباره تنها،بردِ تيم موردعلاقمونه كه ميتونه مثه چتر عمل كنه #استقلال #پرسپوليس</t>
  </si>
  <si>
    <t>ظَـحريٰ🧕🏻🇮🇷</t>
  </si>
  <si>
    <t>@DR_FRANKESHTEIN لطفا" فالوور بالاها این موضوع رو منتشر کنید و از مردم بخواهید اسیر هیجان گذرای #دربی نشوند امروز روز اتحاد در #دربی باشد تا رژیم صدای محکمی از مردم ستمدیده ببیند #IraniansWantRegimeChange</t>
  </si>
  <si>
    <t>فرمانده نیروی انتظامی دیروز گفت ما یک گردان انسان عادی برا کنترل ورزشگاه آموزش دادیم همانهایی که شیپور بدست دارن و با ایجاد صدا های ناهنجار اجازه شعار سیاسی نمیدن مردم باید یکدست و با صدای بلند #مرگ_بر_جمهوری_اسلامی سر بدهند و شیپور ها رو از دستان این افراد بردارن #دربی</t>
  </si>
  <si>
    <t>‏‏‏‏بیو؟ گور بابای همه این چیزها وقتی جرئت نداریم آدم‌ها را با هیولای درون خود آشنا کنیم.</t>
  </si>
  <si>
    <t>اگر الآن حالمون خوب بود #دربی ترند میشد. خوب نیست حالمون</t>
  </si>
  <si>
    <t>صدرا ایوانکوویچ</t>
  </si>
  <si>
    <t>@ma30mo فرمانده نیروی انتظامی دیروز گفت که ما یک گردان انسان عادی برا کنترل ورزشگاه آموزش دادیم همانهایی که شیپور بدست دارن و با ایجاد صدا های ناهنجار اجازه شعار سیاسی نمیدن مردم باید با صدای بلند #مرگ_بر_جمهوری_اسلامی سر بدهند و شیپور ها رو از دستان این افراد برداریم #دربی</t>
  </si>
  <si>
    <t>http://www.fcesteghlal.ir</t>
  </si>
  <si>
    <t>Esteghlal (استقلال in Persian, meaning 'Independence') (formerly known as Taj, meaning 'Crown') is a football club in Iran. #استقلال #Esteghlal ⚽</t>
  </si>
  <si>
    <t>IRAN / Tehran</t>
  </si>
  <si>
    <t>https://pbs.twimg.com/media/DoE_9NIXcAAwVNP.jpg</t>
  </si>
  <si>
    <t>استقلال vs پرسپوليس ساعت هجده و سى دقيقه ورزشگاه بزرگ آزادى #استقلال #پرسپولیس #دربی</t>
  </si>
  <si>
    <t>استقلال تهران</t>
  </si>
  <si>
    <t>https://telegram.me/HarfBeManBot?start=MTA1NTE1Njg0</t>
  </si>
  <si>
    <t>‏‏‏‏‏‏‏‏‏‏من جلال، به انواع هنر ارزانم</t>
  </si>
  <si>
    <t>حوصله‌ی بحث ندارم، پس بپذیرید که استقلال سوراخه. #پرسپوليس</t>
  </si>
  <si>
    <t>جلال ليون</t>
  </si>
  <si>
    <t>" An Iranian Muslim " . . . جان من و جان تو گویی که یکی بودست،سوگند به این یک جان کز غیر تو بیزارم</t>
  </si>
  <si>
    <t>با برد تو یه بازی بی معنی که هیچ نقشی توش نداریم و سالی چند بار اتفاق میشه خوشحال میشیم و انگار دنیارو دادن بهمون اون هم در این شرایط همینقدر الکی خوش و خجسته #دربی</t>
  </si>
  <si>
    <t>🏴Bahman Sameti</t>
  </si>
  <si>
    <t>https://telegram.me/HarfBeManBot?start=NjE0Mjk0MTY5</t>
  </si>
  <si>
    <t>‏‏‏‏‏‏‏پرسپولیسی ام ⚽ مدیرفروشم 💵 حقوق خوندم📚 و از همه مهمتر عاشقم 💑❤ (بسیار بک دهنده)</t>
  </si>
  <si>
    <t>آقای جمهوری اسلامی چه کردی با ما که حتی واسه دربیم اون شور و شوق قبلی نیست :(( #دربی</t>
  </si>
  <si>
    <t>₣ลτϊ๓ส</t>
  </si>
  <si>
    <t>اصلاح طلب نه به معنای حزبی،منتقد نه به معنای مخالف با همه چیز/ عاشق سربلندی ایران و ایرانی❤️🇮🇷/به شرط احترام پذیرای همه ی طیف های فکری</t>
  </si>
  <si>
    <t>امروز #دربی ست بیایید برای یک روز هم که شده سیاست و دلار و تحریم و ... فراموش کنیم به بهانه ی دربی در این روزها یک روز آرامش هم یک روز است #پرسپولیس_استقلال #دربی</t>
  </si>
  <si>
    <t>دیـالِکـتـور</t>
  </si>
  <si>
    <t>شورش فوتبال علیه دلار امروز دوساعت داربی راعاشقی میکنیم.شایدغم نان ونام وجان رافراموش کردیم.پس زنده بادفشارواسترس ودوساعت نیم خیز ب داربی 89خوش آمدید. #داربی89 #پرسپوليس</t>
  </si>
  <si>
    <t>Mrahmadheidari</t>
  </si>
  <si>
    <t>https://pbs.twimg.com/media/DoFCJ9MX0AAs2__.jpg</t>
  </si>
  <si>
    <t>سلطان آسیا عشقم محبوبم برنده ی #دربی پرسسسسسسسسپپپپپپوووووللللللیسسسس</t>
  </si>
  <si>
    <t>https://pbs.twimg.com/media/DoFC4nCXUAAjt2q.jpg</t>
  </si>
  <si>
    <t>من از عشق میگم آخرش میشه تو ❤️ #پرسپولیس</t>
  </si>
  <si>
    <t>Tinaى</t>
  </si>
  <si>
    <t>از فیسبوک واینستاگرامو واتس آپو پیام رسان فیسبوک بعدم میاد چون فیسبوک جبهه تاریکیه</t>
  </si>
  <si>
    <t>#دربی خوب پرسپولیسیا امشب قراره ببازین خیلی ازبردهای قبلیتون مغرور شدین و سپید رود رو به سختی شکست دادین</t>
  </si>
  <si>
    <t>ممد توییتر باز</t>
  </si>
  <si>
    <t>‏‏‏‏‏‏‏‏‏‏‏‏‏‏‏‏‏‏‏‏‏‏‏‏‏‏‏‏‏‏‏‏‏‏‏‏‏‏‏‏‏‏‏‏‏‏‏‏‏‏‏ ‏‏‏‏‏‏‏تاوان عشق رادل ماهرچه بود داد/ چشم انتظارباش دراین ماجراتو هم... ‎‎‎‎‎‎‎‎‎‎‎‎‎‎‎‎‎‎‎‎‎‎‎‎‎✌🌟آسیا💙</t>
  </si>
  <si>
    <t>کاخ چهلستون</t>
  </si>
  <si>
    <t>اصرار یه سری آدما واسه دنبال کردنم رو اگه پول داشت من الان پولدارترین بودم😂 عزیز من #استقلال مهمترین رکن زندگی منه خوشت نمیاد پاک کن منو از جلو چشمت!!!!</t>
  </si>
  <si>
    <t>🌟دختری که رهایش کردی🌟</t>
  </si>
  <si>
    <t>اصلاح طلب ها و سایر ماله کش های آخوندها دوست دارن #دربی ،فقط مکان تجمع انسانهای هیجان زده فوتبال باشه هواداران فوتبال: ورزشگاهها مکان فریاد زدن شما است برای زندگی و پیشگیری از آینده سیاه مان فریاد میزنیم #مرگ_بر_خامنه_ای #مرگ_بر_جمهوری_اسلامی #IraniansWantRegimeChange</t>
  </si>
  <si>
    <t>واقعه ی نیویورک را ولکن #دربی در راه است</t>
  </si>
  <si>
    <t>https://pbs.twimg.com/media/DoFD94HW0AAR14f.jpg</t>
  </si>
  <si>
    <t>#NewProfilePic سلام #پرسپوليس من عاشق توئم ❤️</t>
  </si>
  <si>
    <t>‏‏‏‏‏‏هیچ ادابی و ترتیبی مجو هرچ میخواهد دل تنگت بگو پرسپولیسی</t>
  </si>
  <si>
    <t>https://pbs.twimg.com/media/DoFD-GuWkAAxPbC.jpg</t>
  </si>
  <si>
    <t>اسکرین شات گرفتم این اومد قربه الی الله #پرسپوليس</t>
  </si>
  <si>
    <t>🇮🇷M🌏h@m@d🇮🇷</t>
  </si>
  <si>
    <t>http://www.ayakhabar.ir</t>
  </si>
  <si>
    <t>‏یک روزنامه نگار اصلاح طلب و یک دفترتحکیمی علامه ای.تنها مسئولیت آنچه خودم نوشته ام را بر عهده دارم.</t>
  </si>
  <si>
    <t>امروز #دربی است. میلیونها آدم بعلاوه یکصد هزار نفر در #ورزشگاه_آزادی . کاش #زنان هم در کنار مردان جمعی از یکصد هزار نفر را تشکیل می دادند.</t>
  </si>
  <si>
    <t>amir raeefard</t>
  </si>
  <si>
    <t>‏perspolisi فالو=بک</t>
  </si>
  <si>
    <t>از معجزه های فوتبال اینه 90دقیقه یادت میره گرونی و مشکلات و میشینی با خیال راحت تخمه میشکنی بازی تیمتو میبینی... ها چیشد... تخمه شد کیلویی30؟ پس هیچی ولش کن:( #دربی #پرسپولیس #استقلال #دلار</t>
  </si>
  <si>
    <t>شماره 33</t>
  </si>
  <si>
    <t>Proud to be Persian ! Travel &amp; Football lover ! FC Barcelona , FC Perspolis</t>
  </si>
  <si>
    <t>تو اين اوضاع مملكت سخته حس و حال داشتن ولى امروز فرق داره ! #دربى حداقل واسه چند ساعت ما رو ميبره يه دنياى ديگه. البته اين بازى تداركاتي واسه ما حساب ميشه ! بازى اصلى ٣شنبه اس :) #Iran #پرسپوليس #ليگ #پرسپولیس_سرور_استقلال #پرسپولیس_قهرمان</t>
  </si>
  <si>
    <t>Nim@</t>
  </si>
  <si>
    <t>آخوندها از هواداران متعصب استفاده ابزاری میکنند ورزشگاه آزادی بهترین و مهمترین پایگاه برای فریاد 100 هزهر نفری است #دلار۱۹۰٠٠تومن #دربی #مرگ_بر_خامنه_ای</t>
  </si>
  <si>
    <t>گيرم وصال دوست درخواهم يافت /اين عمر گذشته راكجا دريابم</t>
  </si>
  <si>
    <t>https://pbs.twimg.com/media/DoFFvhxWkAAPPIo.jpg</t>
  </si>
  <si>
    <t>نظر سنجی جالب ورزش 3 برای #دربی و #دلار</t>
  </si>
  <si>
    <t>BeHnAm 🏳️</t>
  </si>
  <si>
    <t>🎈من فقط یک خبرنگار هستم🎈 #journalist</t>
  </si>
  <si>
    <t>امروز که رفتید #استادیوم و از هیجان صورتتون سرخ شد یادتون باشه ما هم دلمون میخواست اونجا باشیم، قولشو هم بهمون دادن؛ اما نشد.#دربی #استقلال #پرسپولیس</t>
  </si>
  <si>
    <t>yasaman.khaleghian</t>
  </si>
  <si>
    <t>من همونم که یه روز میخواستم دریا بشم</t>
  </si>
  <si>
    <t>تهران...تهران...تهران</t>
  </si>
  <si>
    <t>تو این وضع درب و داغون فقط دل بستیم به برد پرسپولیس...تو میتونی دلمو شاد کنی...منو از درد و غم آزاد کنی #پرسپولیس</t>
  </si>
  <si>
    <t>Arash Ghasemian</t>
  </si>
  <si>
    <t>https://t.me/RadioOffside</t>
  </si>
  <si>
    <t>پادکست هفتگی فوتبال اروپا</t>
  </si>
  <si>
    <t>pic.twitter.com/ptlO4JhsaZ</t>
  </si>
  <si>
    <t>توی پرونده‌ی این هفته‌مون راجع به تاریخچه‌ی باشگاه آرسنال تا قبل از ونگر حرف زدیم اگه گوش ندادید هنوز برید گوش بدید در اسرع وقت #آرسنال #فوتبال #تاریخچه #آرسن‌ونگر #arsenal #هایبری #eflcup #جام‌حذفی #دربی</t>
  </si>
  <si>
    <t>Radio Offside</t>
  </si>
  <si>
    <t>‏‏‏‏‏‏‏‏‏‏‏‏‏‏‏[پرسپولیسی] ‏‏‏‏‏‏‏‏‏«فوتبال ضربان قلب من است وپرسپولیس خود قلبم»</t>
  </si>
  <si>
    <t>جنوب جهنم</t>
  </si>
  <si>
    <t>الهی آن ده که بابرد پرسپولیس تموم بشه. #پرسپوليس</t>
  </si>
  <si>
    <t>مرتضا.‍</t>
  </si>
  <si>
    <t>https://www.Nima.today</t>
  </si>
  <si>
    <t>💣 Iranian IT journalist, cyber freak, digital marketing geek | CMO at @PayPing_ir</t>
  </si>
  <si>
    <t>تهران Tehran</t>
  </si>
  <si>
    <t>https://pbs.twimg.com/media/DoFG5r9W0AAnTBG.jpg</t>
  </si>
  <si>
    <t>بالا سر تاجمونه 🌟🌟 #استقلال #دربی</t>
  </si>
  <si>
    <t>ریتوعیتر</t>
  </si>
  <si>
    <t>‏‏طراح گرافیک ومشورت دهنده ی امورات آرت وهرآنچه بدان مربوط است.زبون ناطق قشرمتوسط روبه ضعیف وحتی روبه فنا. Freelance Graphic Designer 📚📝💭💻short film lover📹</t>
  </si>
  <si>
    <t>از هواداری تیم محبوبم در ایران،شال همرنگ سر کردنش برای ماست. #دربی #پرسپوليس #زنان #هواداری #استادیوم_چند_هزار_مَردی_آزادی</t>
  </si>
  <si>
    <t>میدیاواثقی</t>
  </si>
  <si>
    <t>زجر زیستن را بیلاخی ده👍😒</t>
  </si>
  <si>
    <t>خب امشبم ک استقلالیا باید با فیلتر شکن بازیو ببینن و به هشتاد درصد لذت برسن😊 #دربی #پرسپولیس #استقلال #فوت_توییت #توئیت_اسپورت #فوتفان</t>
  </si>
  <si>
    <t>Alireza Golrokh</t>
  </si>
  <si>
    <t>‏‏شما بگو اینجا چی بنویسم خو</t>
  </si>
  <si>
    <t>Nowshahr</t>
  </si>
  <si>
    <t>امروز یک عشق بازی بازی داره, عشقی که حتی یک اپسیلون از کودکی تا الان از عشقم بهش کم نشده, #پرسپولیس من</t>
  </si>
  <si>
    <t>مسترصالحی</t>
  </si>
  <si>
    <t>https://t.me/iNashenas_Bot?start=181919277</t>
  </si>
  <si>
    <t>‏‏‏‏منشن زیادی میدم ناراحتی به کیرم</t>
  </si>
  <si>
    <t xml:space="preserve">مکان ندارم </t>
  </si>
  <si>
    <t>یادش بخیر یه زمانی لنگیا مثل امروز هیچ هیجانی برا دربی نداشتن البته اون موقع دلار بحث اصلی نبود ناراحتی شون پرویز خان مظلومی بود سال نود رو عرض میکنم #دربی</t>
  </si>
  <si>
    <t>الی لزا</t>
  </si>
  <si>
    <t>‏‏‏‏‏(‏‏‏‏‏‏‏‏‏‏‏‏‏‏‏‏‏‏‏‏‏‏فقط خدا)بنده خدا، دوستدار هنر، روزنامه نگاری و موسیقی پاپ،PS4 پرسپولیس،یونایتد،رئال،یونتوس (عاشق مرام دکتر شریعتی(ره)</t>
  </si>
  <si>
    <t>هِی جلویِ من از تیمِ محبوبتان(آبی/قرمز) حرف نزنید ! تیم ، باید دو نفره باشد ...🌼 تیمی به نامِ "عشق" ...❤ تیمی که بدونِ رقابت و بدونِ حذف ؛ تا دروازه ی خوشبختی ، پیش برود ... من طرفدارِ این تیمم ! هرکجایِ دنیا که ببینم ؛ به افتخارش ، تمام قد ، می ایستم !👌👏 #دربی</t>
  </si>
  <si>
    <t>SAMYAR</t>
  </si>
  <si>
    <t>ازادى برابرى برادرى وخواهرى! ارامش و طبيعت❤️ خيلى پرسپوليسى ام و بارسلونا! با مردمى زندگى ميكنم كه فكر ميكنن طبيعت و خيابون ارث باباشونه ارام باش حيوان ٢پا!</t>
  </si>
  <si>
    <t>دغددغه هوادار #دربى هست اما من نه،من بچه كشاورزم١سال زحمت كشيديم باالان امروز ٥ روز كاميون نمياد تا بار بزنه بخاطر اعتصاب،محصولات داره از بين ميره خيلى عصبى ام بغض دارم كسى ما كشاورزارو درك نميكنه خيلى تنهايم خدايا خودت كمك كن تو،حتى برددربى هم خوشحال نميكنه #اعتصاب_کامیونداران</t>
  </si>
  <si>
    <t>🔴مِستر تيفوسى🔴</t>
  </si>
  <si>
    <t>‏‏‏‏‏‏‏‏‏‏‏‏‏‏‏‏‏‏‏‏‏‏‏‏‏‏‏‏‏‏‏‏‏‏‏‏‏‏‏‏‏‏‏‏‏‏‏‏‏‏‏‏‏‏‏‏‏‏‏‏‏‏‏‏‏‏‏‏‏عاقلِ دیوانه؛ غیره این اگه چیزی شنیدی بهش توجّه نکن... (برای بک فالو نکن، خواستی بگو)</t>
  </si>
  <si>
    <t xml:space="preserve">توئیتر </t>
  </si>
  <si>
    <t>منتظرم #دربی رو هم سیاسی کنید. در حال انتظار...</t>
  </si>
  <si>
    <t>مهدی نصرتی</t>
  </si>
  <si>
    <t>https://instagram.com/mahdifalsafi</t>
  </si>
  <si>
    <t>‏‏‏‏هرگز از کسی که همیشه با من موافق بود ، چیزی یاد نگرفتم . . . ( دکتر علی شریعتی )</t>
  </si>
  <si>
    <t>خیلی دور ، خیلی نزدیک</t>
  </si>
  <si>
    <t>https://pbs.twimg.com/media/DoFI9y1XUAA6pxt.jpg</t>
  </si>
  <si>
    <t>چه خوب چه بد، قرمز و آبی و کَل کَلاشون تنها دلخوشی مردمه، خدا این دلخوشی رو از ما نگیره!!. ❤️❤️❤️قرمزته❤️❤️❤️ #پرسپوليس</t>
  </si>
  <si>
    <t>میم مثل ققنوس!</t>
  </si>
  <si>
    <t>‏ژورنالیست و منتقد سینما از ۱۳۸۵ تا زمانی که توان و وظیفه ایجاب کند. در حال حاضر پژوهشگر رسانه و مدیر شبکه چند رسانه‌ای آرمان تی وی ‎@armantv_ir /</t>
  </si>
  <si>
    <t>tehran.</t>
  </si>
  <si>
    <t>https://pbs.twimg.com/media/DoFIqQuWsAAYjY4.jpg</t>
  </si>
  <si>
    <t>نظر سنجی بی ربط سایت ورزش سه برای #دربی ؟!!! به نظر شما در حالی که در این وضعیت ملتهب اقتصادی، جامعه نیاز به آرامش روانی و فکری داره، چرا یک سایت ورزشی نظر سنجی‌ای قرار میده که به التهاب فکری و روانی مردم در حوزه #ارز دامن میزنه و سعی در ارتباط موضوعات بی ربط به هم داره؟</t>
  </si>
  <si>
    <t>masoud amiri kalyaee</t>
  </si>
  <si>
    <t>http://arsenal.ir</t>
  </si>
  <si>
    <t>tehran, iran</t>
  </si>
  <si>
    <t>دلار ۱۹۰۰۰ تومنی رو هم دربی میشوره میبره. همونجوری که دلار ۱۵۰۰۰ تومنی رو کارناوال مزاحمتهای حسینی شست و برد. همونجوری که دلار ۱۱۰۰۰ تومنی رو رمضون شست و برد. همونجوری که دلار ۱۰۰۰۰ تومنی رو جام جهانی شست و برد... ملت خفته #دلار #دربی #شهرآورد</t>
  </si>
  <si>
    <t>اون درختِ سربلند و پُر غرور ➰</t>
  </si>
  <si>
    <t>ی آرژانتینیه 🇦🇷سرسخت،هیچهایکر⛺️،فوتبال پرست ،بارسایی💙،وجمله معروف ⬅️به عشق تو زنده ایم آبادان✌🏼️😎💛</t>
  </si>
  <si>
    <t>Abadan✌️️😎💛💛</t>
  </si>
  <si>
    <t>حالا دور از شوخی شماها امروز میشینید #دربی رو نگا میکنید بعد به خودتون هم میگید عشق فوتبال😕😕😕😕 چی بگم والا............... #s_a_m_a_n❤️🦋💙</t>
  </si>
  <si>
    <t>s_a_m_a_n</t>
  </si>
  <si>
    <t>Fußballtrainer Fußball- Experte!</t>
  </si>
  <si>
    <t>Deutschland</t>
  </si>
  <si>
    <t>https://pbs.twimg.com/media/DoFKWLmXkAEPOif.jpg</t>
  </si>
  <si>
    <t>امروز تماشاگران پا می کوبند، دست می افشانند. بازیکنان آیا ترانه ای برای خواندن خواهند داشت؟ #پرسپوليس #استقلال</t>
  </si>
  <si>
    <t>Koorosh Bazyar</t>
  </si>
  <si>
    <t>متاهل و توّابم،ان شاءالله تعالی</t>
  </si>
  <si>
    <t>https://twitter.com/kalyaee/status/1045197348429877248</t>
  </si>
  <si>
    <t>شهر که شلوغ میشه قورباغه هفت تیر میکشه! #دربی RT @kalyaee: نظر سنجی بی ربط سایت ورزش سه برای #دربی ؟!!! به نظر شما در حالی که در این وضعیت ملتهب اقتصادی، جامعه نیاز به آرامش روانی و فکری داره، چرا یک سایت ورزشی نظر سنجی‌ای قرار میده که به التهاب فکری و روانی مردم در حوزه #ارز دامن میزنه و سعی در ارتباط موضوعات بی ربط به هم داره؟</t>
  </si>
  <si>
    <t>حسین</t>
  </si>
  <si>
    <t>‏‏‏‏‏‏‏‏‏‏‏‏‏‏‏‏‏‏‏‏‏‏‏‏‏‏‏من ‎‎‎‎‎‎‎‎‎‎‎اِنقلابـےاَم سَـردار جنگ نرم سـَرباز ‏‎سیــد؏ـلےاَم‏‏‏‏‏‏‏‏‏‏‏‏‏‏‏‏‏‏‏‏‏‏‏‏‏‏‏‏‏‏‏‏‏‏‏‏‏</t>
  </si>
  <si>
    <t>Rabor , Kerman</t>
  </si>
  <si>
    <t>لیست فالو تیم انقلابی #استقلالی بمناسبت #دربی @keramati013 @haem313 @NARGES_ss7 @Reza_Shaban78 @kimiyagar_irani @hajmasoor @azadi_shiva @Mjavad_ @ebrahimiavval @Hoor_eyn @0Ahmadi0</t>
  </si>
  <si>
    <t>Sαɓεર(limit) 🇮🇷</t>
  </si>
  <si>
    <t>لیست فالو تیم انقلابی #پرسپوليسی بمناسبت #دربی @m_Dusttt @Hosseinmoqadasi @sm_1361 @FathAlichah @shafaeieisa @Zahrashakeri1 @seyedporia @masoudasadi67 @z_aspartam @MostafaPirhaya3 @Leila100ri</t>
  </si>
  <si>
    <t>pic.twitter.com/VkZzxidEaF</t>
  </si>
  <si>
    <t>شکوه #پرسپوليس #دربی_مال_ماست #دربى٨٨</t>
  </si>
  <si>
    <t>https://t.me/Nashenastel_bot?start=u618187226</t>
  </si>
  <si>
    <t>‏‏‏Vive la bagatelle جاج نکن حوصله نداریم ویس و اهنگ بفرستید❤👇</t>
  </si>
  <si>
    <t>امروز اگه پرسپولیس به استق ۴تا کمتر بزنه در حقش ظلم کرده #دربی</t>
  </si>
  <si>
    <t>اتخانژه-میراندا (فیو لیمیت شدم)</t>
  </si>
  <si>
    <t>مگه #دربی همون نبود که از یه هفته قبلش استرسش خوردوخوراکو ازت میگرفت؟! باورتون میشه من هنوز مطمئن نیستم بازی ۶.۳۰ یا هفت نیم :/</t>
  </si>
  <si>
    <t>Live for ourselves not for showing that to other...</t>
  </si>
  <si>
    <t>pic.twitter.com/Ale0r1IAEH</t>
  </si>
  <si>
    <t>@HichkasOfficial ✌️💜💜 #دربي #استقلال #پرسپوليس</t>
  </si>
  <si>
    <t>https://about.me/molina9415</t>
  </si>
  <si>
    <t>فروشگاه اینترنتی محصولات زناشویی مولینا ارسال در بسته بندی محرمانه به کل کشور با مجوز وزارت صنعت و معدن انواع کاندوم و متعلقات جنسی مجاز</t>
  </si>
  <si>
    <t>https://pbs.twimg.com/media/DoFLn0iXkAAXoEE.jpg</t>
  </si>
  <si>
    <t>http://WWW.MOLINA.IR</t>
  </si>
  <si>
    <t>@ برنده #دربی کیه؟ 💙❤</t>
  </si>
  <si>
    <t>molina</t>
  </si>
  <si>
    <t>یادمه موقع دربی‌های پارسال بعضی‌ها میگفتن خدا کنه مساوی بشه که توی این شرایط مملکت کسی ناراحت نشه ولی حالا شرایط یه طوریه که اگه دوتا تیم ببرن هم دیگه فایده نداره #دربی</t>
  </si>
  <si>
    <t>پرسپولیسی و رئالی ب میزان فراوان | ارائه دهنده ی تعداد بسیاری منشن | دارای مشکل شخصی با سوارز | مهر 75</t>
  </si>
  <si>
    <t>وسط چمن فوتبال</t>
  </si>
  <si>
    <t>به امید اینکه امروز شش بار تو تایم لاین همه با هم تایپ کنیم گللللللللللللللللل #دربی</t>
  </si>
  <si>
    <t>AmiRreZza</t>
  </si>
  <si>
    <t>http://newspaper.hamshahri.org</t>
  </si>
  <si>
    <t>The most-read daily newspaper in Iran Published by the municipality of Tehran توییتر رسمی روزنامه #همشهری پرتیراژترین روزنامه ایران</t>
  </si>
  <si>
    <t>https://pbs.twimg.com/media/DoFLZTiWkAAdQph.jpg</t>
  </si>
  <si>
    <t>#دربی ۸۸؛ هم اکنون صف بلیت فروشی در آزادی</t>
  </si>
  <si>
    <t>روزنامه همشهری</t>
  </si>
  <si>
    <t>توییت تراز! ومن الله التوفیق ❤️❤️❤️قرمزته❤️❤️❤️ #پرسپوليس RT @shafaeieisa: همینجا قول میدم امروز #پرسپوليس میبره!... این رو ریت کنین اگه نبرد تُف کنین تو صورت اونهایی کهfatf رو تصویب کردن! :-) #خیانت_fatf #مردم_بدانید</t>
  </si>
  <si>
    <t>‏‏‏‏‏‏‏‏‏‏‏‏‏‏‏‏‏‏گور پدر نشئگیِ بعد التماس⁦</t>
  </si>
  <si>
    <t>مکان دارم</t>
  </si>
  <si>
    <t>به احترام هموطنان داغدیده اهوازی امروز از کل کل فوتبالی ندارم.اما برای #پرسپولیس آرزوی موفقیت میکنم .#دربی</t>
  </si>
  <si>
    <t>شوهرآهوخانم</t>
  </si>
  <si>
    <t>carry on my wayward son,There'll be peace when you are done🤘🏻</t>
  </si>
  <si>
    <t>آمه‌گاکوره</t>
  </si>
  <si>
    <t>https://pbs.twimg.com/media/DoFMhFHVsAAQvmA.jpg</t>
  </si>
  <si>
    <t>ما که برای برد میریم و میبریم ولی یادمون نره #برانکو اینکارو باهامون کرد که حتی نتیجه #دربی واسمون مهم نیس</t>
  </si>
  <si>
    <t>دامون هیمورا</t>
  </si>
  <si>
    <t>‏‏‏‏‏‏‏‏‏‏‏‏‏‏‏‏‏‏‏‏‏‏‏‏‏‏‏‏‏‏‏‏‏‏‏‏‏‏‏‏‏‏‏‏‏‏‏‏‏‏‏‏‏‏‏‏‏‏‏‏‏‏‏‏‏‏‏‏‏‏‏‏‏‏‏‏‏‏‏‏‏‏حامی جنبش سبز✌دوستدار محیط زیست🌴 جهان وطن🌍 مهندس مملکت 🏠 هوادار تاج کبیر 💙</t>
  </si>
  <si>
    <t>پشت کوه</t>
  </si>
  <si>
    <t>ولم کنید بابا #دربی چیه تو این اوضاع مملکت .. گور بابای جفتشون هم پرسپولیس هم جوانان پرسپولیس :)</t>
  </si>
  <si>
    <t>Pejman</t>
  </si>
  <si>
    <t>@Amirhosein_dp نه دیگه چون اسم #استقلال هست پس سوال اشتباه هست....😁</t>
  </si>
  <si>
    <t>مازنی ریکا ،عشق فوتبال ‏‎#Peresepolis ‎#Barcelona</t>
  </si>
  <si>
    <t>بابل 💚</t>
  </si>
  <si>
    <t>https://pbs.twimg.com/media/DoFMm0RXkAIA5M1.jpg</t>
  </si>
  <si>
    <t>علاوه بر بهترین تیم تاریخ دربی، این تیم میتونه بهترین تیم تاریخ #پرسپولیس هم باشه البته به جای اون هاشمی نسب خائن مجتبی محرمی باید تو ترکیب باشه به نظرم</t>
  </si>
  <si>
    <t>روزبه</t>
  </si>
  <si>
    <t>just cruising here! nothing interesting to say!</t>
  </si>
  <si>
    <t>فکر کنم امشب بازی #پرسپولیس #استقلال مساوی شه.چون واسه هردوتا نتیجه ی قابل قبولیه</t>
  </si>
  <si>
    <t>Alireza HZ</t>
  </si>
  <si>
    <t>راننده تاکسیه میگفت #دربی هم کار خودشونه مخصوصا میندازن #شب_جمعه که شما غرق بحث بشید یادتون بره اصل موضوع</t>
  </si>
  <si>
    <t>https://telegram.me/HarfBeManBot?start=ODYwOTY5NTA</t>
  </si>
  <si>
    <t>‏‏‏‏‏‏‏‏‏‏‏‏ایده آلیست، عشق فوتبال، میگن مهندس،فعال محیط زیست، یه وقتاییم فعال رسانه ای و سیاسی. ﻟﻪ دارِ ﺑﻪرزِ کەڵهڕم</t>
  </si>
  <si>
    <t>آدم‌باس یه دوس دختر/پسر استقلالی داشته باشه و همیشه باهاش کل کل کنه و شرط ببنده چرا که تو همه شرطا برندس(وی افکار خبیثی از پس ذهنش می گذرد ) #دربی</t>
  </si>
  <si>
    <t>سجایا خان🇮🇷</t>
  </si>
  <si>
    <t>اومدم با #دربی مخ بزنم رفتم سر صحبت رو باز کنم به دختره گفتم طرفدار کدوم تیمی ؟ گفت استقلال گفتم امروز جررررتون میدیم بلاک کرد بیشعور ...</t>
  </si>
  <si>
    <t>‏هم دردسر سازم هم دست و پا گیرم.</t>
  </si>
  <si>
    <t>https://pbs.twimg.com/media/DoFNdHLXsAASQmY.jpg</t>
  </si>
  <si>
    <t>با یه عکس خوب صبح روز #دربی شروع میکنیم. #صبح_شما_هم_بخیر ( یه آخی عزیزم خاصی توی نگاهش بود.)</t>
  </si>
  <si>
    <t>حاج حسین مشتی💙</t>
  </si>
  <si>
    <t>‏‏‏‏‏Master of science ♢ Electrical Power Engineering♢Control &amp; Protection هرکه را صبح شهادت نیست شام مرگ هست ‎‎#من_انقلابی‌ام</t>
  </si>
  <si>
    <t>جزیره مجنون</t>
  </si>
  <si>
    <t>کام‌بک های قبل و بعد "اون #دربی که ۲ بر صفر تا دقیقه ۸۰ از تیم ده نفره جلو بودی" سوءتفاهم بود ! #پرسپوليس</t>
  </si>
  <si>
    <t>🇮🇷اورانیوم🇵🇸🇸🇾🇮🇶</t>
  </si>
  <si>
    <t>I'm Cool</t>
  </si>
  <si>
    <t>یعنی حسرت شعار سیاسی یکپارچه تو دربی میمونه به دلمون یا امشب قراره پشمامون بریزه ؟ #IraniansWantRegimeChange #دربی #استقلال #پرسپولیس #تاج</t>
  </si>
  <si>
    <t>اریک کارتمن</t>
  </si>
  <si>
    <t>https://www.instagram.com/pr.davood/</t>
  </si>
  <si>
    <t>ارشد ‏فرهنگ و ارتباطات امام صادق 🎓 ادبیات، فرهنگ و رسانه 📚</t>
  </si>
  <si>
    <t>#دربی بود و امتحان قواعد عربی داشتم، با خودم گفتم درس همیشه هست ولی فوتبال نه! نشستم پای تلویزیون و بازی رو دیدم. القصه #پرسپولیس چهار تا زد و امتحان رو هم قبول شدم! ❤️❤️❤️❤️❤️❤️</t>
  </si>
  <si>
    <t>داوود پوریا طالقانی</t>
  </si>
  <si>
    <t>هنوز از اسرائیل نگفتن که برای برد استقلال و پرسپولیس برنامه داریم؟! #دربی</t>
  </si>
  <si>
    <t>نصف دخترایی که #دربی ⁩رو ببینن از فردا دنبال شماره رنگ موی "شفر" میگردن ! 😒😑😂</t>
  </si>
  <si>
    <t>‏‏وی در خانواده‌ای مذهبی که اعضایش اورا ملول صدا می‌کردند دیده به جهان گشود! وهنوزهم ازهمه جا و همه چیز ملول است!</t>
  </si>
  <si>
    <t>من اهل دیار دل بی تاب توهستم:)</t>
  </si>
  <si>
    <t>تباه‌ترین خاطره‌ای که توذهنمه وحالمو می‌گیره اینه که راهنمایی بودم مامانم داشت نمازمیخوند.استقلال هم بازی داشت بایه تیم عربی.وسط نمازش بهش گفتم مامان دعا کن استقلال ببره:/ استقلال نبرد منم بعدها دیگه فوتبال ندیدم ولی حس می‌کنم خیلی تباه بودم وخاطرات تباهی محاله یادم بره:) #دربی</t>
  </si>
  <si>
    <t>مَــلـول</t>
  </si>
  <si>
    <t>‏همه خفتند، به غیر از من و پروانه و شمع/قصه ما دوسه دیوانه درازست هنوز.⛔عرزشی،مجاهد، اسهال طلب⛔</t>
  </si>
  <si>
    <t>https://pbs.twimg.com/media/DoFN8baXUAAf5w-.jpg</t>
  </si>
  <si>
    <t>بهترین نظرسنجی سایت ورزش 3 #دلار #سقوط_ریال #استقلال #پرسپولیس #دربی</t>
  </si>
  <si>
    <t>Donatello6060</t>
  </si>
  <si>
    <t>‏‏‏‏‏‏‏‏‏‏‏‏‏‏‏‏‏امسال به نقد کمتر از پارم* عرزشی⛔ https://telegram.me/harfbzanbo ریت به معنای موافقت نیست :) انفالو یاب موجود است:-|</t>
  </si>
  <si>
    <t>تو لاک خودم</t>
  </si>
  <si>
    <t>از همین تریبون باید عرض کنم ک:استقلال سولاخه ^_^ #دربی</t>
  </si>
  <si>
    <t>Artiston286</t>
  </si>
  <si>
    <t>‏خدای من در پکی است که باید شیک و رول شود .... ❤Perspolis❤ 🖤❤AC Milan❤🖤</t>
  </si>
  <si>
    <t>عشق یعنی چشاتو باز کنی اولین چیز تو ذهنت این باشه که کص خار استقلال #پرسپولیس</t>
  </si>
  <si>
    <t>تورجینو</t>
  </si>
  <si>
    <t>+ عشقم من برات مهمم یا #دربی ؟ ... (۱۸:۳۰) - معلومه که تو مهمی زندگیم ... (۲۰:۴۵)</t>
  </si>
  <si>
    <t>‏‏‏‏‏‏‏‏‏‏‏‏‏‏‏‏‏‏‏‏‏‏‏‏‏‏‏‏‏کاپیتان‌ تیم ملی تجدیدی های جمهوری اسلامی ایران</t>
  </si>
  <si>
    <t>🌴</t>
  </si>
  <si>
    <t>امروز حالمونو خوب کن #پرسپولیس</t>
  </si>
  <si>
    <t>رضـــا</t>
  </si>
  <si>
    <t>‏‏‏‏‏‏سلام آزادی،زیبایی،رهایی را برای وطن میخواهم ‎‎‎‎‎#جمهوری_خواهم مشکلی با بقیه به جز مارکسیست و مجاهد و عرزشی و استمرار طلب ندارم.اینا فالو کنن بلاکند☢⛔☢</t>
  </si>
  <si>
    <t>اوزاخ لاردا.</t>
  </si>
  <si>
    <t>https://twitter.com/golabiist/status/1045201891813216256</t>
  </si>
  <si>
    <t>پرسپولیس ببره که تعدا بیشتری آدم حسابی میریزه تو خیابونا.هرچی باشه پرسپولیس پرطرفدار تره😎😍 اینطوری مردم بیشتری شاد میشن و شهر هم خوشگلتر میشه😍😁 #دربی #پرسپولیس RT @golabiist: استقلال که ببره یه عده آدم حسابی میریزن تو خیابونا.اینجوری شهر هم خوشکلتر میشه</t>
  </si>
  <si>
    <t>ولمار🇺🇸🇹🇷(لیمیت)🎗🦁</t>
  </si>
  <si>
    <t>https://pbs.twimg.com/media/DoFOqXIXkAE5RVX.jpg</t>
  </si>
  <si>
    <t>https://www.yjc.ir/00S1lx</t>
  </si>
  <si>
    <t>لحظه به لحظه با حاشیه‌های پیش از دیدار #استقلال و #پرسپولیس درهای ورزشگاه آزادی از ساعت ۸:۳۰ باز شد تا هواداران شهرستانی استقلال و پرسپولیس وارد ورزشگاه شوند #دربی</t>
  </si>
  <si>
    <t>سرطان یعنی دختر کوچولوت از تو و شوهرت بیشتر درد بکشه و نتونین کاری براش بکنین(اینجا از سختی های سرطان دخترم وامید برای بهبودیش می نویسم)</t>
  </si>
  <si>
    <t>نه من به فوتبال علاقه دارم نه شوهرم و نه طبیعتا آنیل.اما از فوتبال استقلال پرسپولیستون مرسی هستم که به روییس شوهرم به خاطرش سفرش رو لغو کرده و من میتونم امروز بیشتر با شوهرم باشم #دربی</t>
  </si>
  <si>
    <t>مامانِ آنیل</t>
  </si>
  <si>
    <t>Daneshjoo-- Esteghlali seft-- Zadeye khake pake shiraz</t>
  </si>
  <si>
    <t>Bandarabbas.Iran</t>
  </si>
  <si>
    <t>به فضل خدا و با کمک اقا امام زمان و شهدای گرانقدر جنگ تحمیلی دربی را میبریم #استقلال</t>
  </si>
  <si>
    <t>تام کروز</t>
  </si>
  <si>
    <t>https://telegram.me/HarfBeManBot?start=MjI1ODg1NzQx</t>
  </si>
  <si>
    <t>‏‏گمان میکنم زندگی بدون فوتبال چیزی شبیه مرگ است .. ‎‎#استقلال ‎‎#بارسلونا ‎</t>
  </si>
  <si>
    <t>حوالی استادیوم💙</t>
  </si>
  <si>
    <t>از خاطرات #دربی اینو بگم که دربی۸۲ بود و من خوابگاه بودم رفتم تواتاق تی وی تا دربی ببینم که دیدم خرابه رفتم نگهبانی خوابگاه به سرپرستمون گفتم میشه من کنارشما دربی ببینم(باپوزخند) گفت نه برو تواتاقت ، منم رفتم اتاق نگهبانی بیرون خوابگاه که یه پیرمرد دوست داشتنی بودن و خواهش کردم</t>
  </si>
  <si>
    <t>miss.taji💙</t>
  </si>
  <si>
    <t>8️⃣ اعتقاد به روش‌ها و الگوهای کشورداری تامین‌کننده #حقوق_عامه به ویژه طبقه محروم و مستضعف و محدود کننده منافع اقلیت بهره‌مند. 9️⃣ اعتقاد به #تعامل و گسترش #متوازن روابط با کشورهای جهان بر مبنای احترام به حاکمیت ملی و #استقلال کشور.</t>
  </si>
  <si>
    <t>هسته "ما"</t>
  </si>
  <si>
    <t>"Sometimes life is going to hit you in the head with a brick. Don't lose faith."</t>
  </si>
  <si>
    <t>قرار شد زيدم بياد باهم دربي ببينيم😌 خدايا كمكم كن نهار درخوري بپزم، #استقلال هم كه ببره ميريم زيد بازي😌</t>
  </si>
  <si>
    <t>Samios</t>
  </si>
  <si>
    <t>electronic engineer android programmer creator of derique coin open source projects religion of mazdak anarshism distributed government 5G,iot,nfc</t>
  </si>
  <si>
    <t>#پرسپولیس و #استقلال دو تا تیم #تهرانی که #پول بیت المال رو به راحتی هدر میدن و بعد اعتراض هم دارن به اینکه چرا پول فدراسیون خرج سرمربی تیم ملی میشه . چرا باید این همه پول کل مردم ایران فقط خرج این دو تیم مزخرف تهرانی بشه ؟ دوست دارین مالیاتی که میدین خرج کدوم یک از تیم ها بشه ؟</t>
  </si>
  <si>
    <t>derique666</t>
  </si>
  <si>
    <t>پرسپولیسی ها رو معرفی کنید فالو کنیم #دربی #صبح_شما_هم_بخیر #پرسپولیس</t>
  </si>
  <si>
    <t>درسته اوضاع کشور خرابه ولی لازمه یادآوری کنم که #استقلال سرور پرسپولیسه . #دلار #دربي #گروني #آزادي</t>
  </si>
  <si>
    <t>🗽</t>
  </si>
  <si>
    <t>مشتاق هستم ، يك الهه ٨___٨</t>
  </si>
  <si>
    <t>در قلوب مومنين</t>
  </si>
  <si>
    <t>انقدارم حالم تو این شرایط خرابه که حتی ذوق #دربی رو هم دیگه ندارم با برد و باخت تیممون نه خوشحالی و انرژی داره نه ناراحتی</t>
  </si>
  <si>
    <t>الهه ى توعيتر</t>
  </si>
  <si>
    <t>ɴᴇᴠᴇʀ ɢɪᴠᴇ ᴜᴘ⚐</t>
  </si>
  <si>
    <t>Iran,Tehran</t>
  </si>
  <si>
    <t>چند وقت پیش یکی از فالورهام تو اینستا خیلی داشت از کون پرسپولیس میخورد ۸تا استوری گذاشته بود..خلاصه که زدم بلاکش کردم😌😂 حواستون باشه هرکی برد انشو در‌ نیاریم امشب #استقلال💎💙</t>
  </si>
  <si>
    <t>ᴢᴀʜʀᴀ☃︎</t>
  </si>
  <si>
    <t>https://pbs.twimg.com/media/DoFO5VsW0AAB1Om.jpg</t>
  </si>
  <si>
    <t>این #نظرسنجی کوفتی چیه ورزش ۳ در مورد #دربی گذاشته؟! آخه برد #استقلال یا باخت #پرسپولیس چه ربطی به قیمت #دلار داره؟! یعنی فقط اگه مساوی بشن هیچ تاثیری تو قیمت دلار نداره؟!</t>
  </si>
  <si>
    <t>https://pbs.twimg.com/media/DoFP2FpXgAAr5Fc.jpg</t>
  </si>
  <si>
    <t>نزدیک ۱۱۰ هزار نفر (از جمله خودم برای این که بتونم نتایجش رو ببینم) در نظرسنجی شرکت کردن؛ ۸۱٪ فارغ از این که برد #استقلال یا #پرسپولیس رو پیش‌بینی کردن، برای #دلار افزایش پیش‌بینی کردن. #دربی اقتصادی-سیاسی! (در مجموع ۳۲٪ برد استقلال و ۵۷٪ برد پرسپولیس رو پیش‌بینی کردن)</t>
  </si>
  <si>
    <t>MA degree of Arts(International Film Business from @uniofexeter @lfsorguk | Arts&amp;Cultural management | Asghar Farhadi’s PA | All opinions shared are my own</t>
  </si>
  <si>
    <t>نامِ من، سرخ😎🎈 #پرسپولیس</t>
  </si>
  <si>
    <t>Samin Mohajerani</t>
  </si>
  <si>
    <t>زمانی که کشور و مردم کشور در این وضع قرار دارند و از چپ و راست میخورند خیلی کل کلم نمیاد #استقلال</t>
  </si>
  <si>
    <t>💻🤔🦍🚶🏻‍♂️</t>
  </si>
  <si>
    <t>بدترین تیم تاریخ استقلال بود حاجی! [از امشب در تمام شبکه های اجتماعی کل کشور] #پرسپولیس #دربی</t>
  </si>
  <si>
    <t>Saleh</t>
  </si>
  <si>
    <t>‏‏‎‎‎#شهید_محمدرضا_تورجی_زاده</t>
  </si>
  <si>
    <t>sowme`eh sara</t>
  </si>
  <si>
    <t>پیش بینی شما از #دربی چیه ؟</t>
  </si>
  <si>
    <t>alireza</t>
  </si>
  <si>
    <t>دانشجوی م.شیمی علم و صنعت- فعال دانشجویی- از روزمرگی و نظراتم می‌نویسم</t>
  </si>
  <si>
    <t>بن بست اختر</t>
  </si>
  <si>
    <t>دربي محبوب من: ١٠-٣-٣ ايمون زائد هتريك ميكنه يا پاش ميده طارمي #دربي</t>
  </si>
  <si>
    <t>آمیرزا</t>
  </si>
  <si>
    <t>https://t.me/xHarfBot?start=76972005</t>
  </si>
  <si>
    <t>‏‏‏‏‏دلت را خانه ما کن مصطفی کردنش با من/اگه اومدی دنبال فالوئر جمع کردن از همین راهی که اومدی برگرد</t>
  </si>
  <si>
    <t>سلام بر همه پرسپولیسیها درسته بازی امروز برای ما تمرینیه و بازی با السد مهم تره ولی امیدوارم اینم ببریم و شب اینجا رو بترکونیم #پرسپولیس پرسپولیس قهرمانه</t>
  </si>
  <si>
    <t>mostafa</t>
  </si>
  <si>
    <t>برد #پرسپولیس اوردیم غم #دلار تون بردیم</t>
  </si>
  <si>
    <t>If you can, CATCH ME... 🕵️‍♂️</t>
  </si>
  <si>
    <t>A Place in Iran ...</t>
  </si>
  <si>
    <t>https://pbs.twimg.com/media/DoFSIPvWsAABgWa.jpg</t>
  </si>
  <si>
    <t>امروزبرای 90دقیقه هم که شده بیخیال قیمت #دلار18000تومانی و #طلا و #سکه به امیدبرد #پرسپولیس</t>
  </si>
  <si>
    <t>جیمزالدّین</t>
  </si>
  <si>
    <t>‏واسه روزای خوب بجنگ</t>
  </si>
  <si>
    <t>https://pbs.twimg.com/media/DoFSciaWkAAMhK5.jpg</t>
  </si>
  <si>
    <t>با تمام وجود #غمگینم شادیمون مال سال ها قبله چه جماعت عجیبی شدیم ما که با یه #دربی غماشو گم کرده زندگیمون #ریالی سر میشه آرزومون ولی به نرخ #دلار #پخمه هامون سرخوشن از جهل #نخبه ها چشم به راه ، راه فرار #خودمگو</t>
  </si>
  <si>
    <t>دایی اســــــــــــــــــــــــی😎</t>
  </si>
  <si>
    <t>https://telegram.me/HarfBeManBot?start=Mzk2NTY2Mjk</t>
  </si>
  <si>
    <t>در واقع ز دست مدعی پنهان شدیم اینجا!</t>
  </si>
  <si>
    <t>از شما بعیده از من بپرسید« استقلالی‌ای؟نتیجه چند میشه؟» الان ما باید روی بهترین بازیکن #استقلال بحث کنیم. #دربی</t>
  </si>
  <si>
    <t>maryamMJ</t>
  </si>
  <si>
    <t>انقدر که رقبای #پرسپولیس تو بازیای این فصل ازش تیر خوردن سید جواد هاشمی تو کل فیلم جنگی هاش نخورد</t>
  </si>
  <si>
    <t>‏‏یه استقلالی با شعار هرگز تنها قدم نخواهی زد💙❤</t>
  </si>
  <si>
    <t xml:space="preserve">anfield </t>
  </si>
  <si>
    <t>https://pbs.twimg.com/media/DoFTvAsXUAA-u2A.jpg</t>
  </si>
  <si>
    <t>یاد باد آن روزگاران یاد باد... #دربی #استقلال</t>
  </si>
  <si>
    <t>گارفیلد</t>
  </si>
  <si>
    <t>حامی دولت تدبیر و امید 🇮🇷🇮🇷🇮🇷 حامی فرهنگ و هنر ایران🇮🇷🇮🇷🇮🇷 تئاتر ، سینما ، موسیقی</t>
  </si>
  <si>
    <t>https://pbs.twimg.com/media/DoFT7cYW0AALWen.jpg</t>
  </si>
  <si>
    <t>امروز #دربی #تهران #پرسپولیس #استقلال ساعت۱۸:۳۰ - #ورزشگاه_آزادی با آرزوی موفقیت برای #تیم محبوبم ... #فوتبال #لیگ_برتر #ایران #قرمزته #football #Iran #perspolis #Tehran #Champions #FIFA #AFC #darb</t>
  </si>
  <si>
    <t>محمد زمانی</t>
  </si>
  <si>
    <t>https://pbs.twimg.com/media/DoFULTnXoAAtp2V.jpg</t>
  </si>
  <si>
    <t>#روزنامه_پیروزی ۵ مهر ماه ۹۷ #دربی</t>
  </si>
  <si>
    <t>https://telegram.me/harfbzanbot?start=W0J4gng</t>
  </si>
  <si>
    <t>mechanical engineering welding engineering</t>
  </si>
  <si>
    <t>انقد وضعیت خرابه ک اصن حوصله ی دربی و کل کل ندارم ایشالا که میبریم بازم #پرسپولیس</t>
  </si>
  <si>
    <t>صلاح الدین ایوبی</t>
  </si>
  <si>
    <t>https://www.instagram.com/moghadase_dousti</t>
  </si>
  <si>
    <t>‏‏‏‏‏نرسد اگر به على كسى، به كجا رود؟ به كجا رسد؟ به خدا قسم كه اگر كسى، به على رسد، به خدا رسد</t>
  </si>
  <si>
    <t>دیشب خواب دیدم برای بازی #دربی، ورود خانومها به ورزشگاه آزاد شد ما رو صندلی جا نداشتیم پشت نرده ها داشتیم بازی رو میدیدیم☹ دروازه بان استقلال بیرون محوطه توپُ با دست گرفت بعدش بیدار شدم ندیدم رو ضربه کاشته #پرسپوليس چطوری گل زد😉</t>
  </si>
  <si>
    <t>مقدسه دوستی</t>
  </si>
  <si>
    <t>http://about.me/mrkavousi</t>
  </si>
  <si>
    <t>‏‏‏‏‏از چيزى نخواهم گفت، جز عشقم به زندگى.اما اين نكته را به شيوه ى خود خواهم گفت ...</t>
  </si>
  <si>
    <t>خودم پرسپولیسی‌م ولی به نظرم نتیجه بازی امروز برد-مساوی استقلاله #دربی</t>
  </si>
  <si>
    <t>MohammadReza</t>
  </si>
  <si>
    <t>دوستان سخته و ميدونم تنها تفريح هاى موندست. ولى تحريم كنين ديدن بازى دربى رو. اينكار كه نه هزينه داره نه خطرناكه. بذارين حكومت بفهمه شرايط از وضعيت نرمال خارج شده #تحريم_دربى #دربى #پرسپوليس_استقلال #فوتبال</t>
  </si>
  <si>
    <t>Ned_Ned</t>
  </si>
  <si>
    <t>‏‏‏او میزند من کیستم؟! من صورتم خاکیستم...</t>
  </si>
  <si>
    <t>من تازه متوجه شدم منبر امشب مصادف با #دربی علیه اللعنه است! من از دهکده باید برم تهرانسرشمالی و برگردم امیدوارم منبر رو که خراب کردن، ترافیک ایجاد نکنن فقط... اه اه اه</t>
  </si>
  <si>
    <t>أبامحمد</t>
  </si>
  <si>
    <t>اصلاح طلب</t>
  </si>
  <si>
    <t>بریم تو فاز فوتبال غم دلارو بشوره ببره فعلا 💙💙💙💙💙💙💙💙💙💙💙💙💙#استقلال</t>
  </si>
  <si>
    <t>⁦⁩Mahshid</t>
  </si>
  <si>
    <t>دل تو دلم نیس کاش زودتر #دربی شروع شه</t>
  </si>
  <si>
    <t>گول خورده از بنیاد سوروس</t>
  </si>
  <si>
    <t>Portland, OR</t>
  </si>
  <si>
    <t>اسراییل که ۲۵ سال آینده را نخواهید دید ولی باز خوبه ما هستیم میبینیم هر دلار آمریکا شده مثلا ۱میلیارد تومان #اسراییل #دلار #روحانی #ریال @IsraelPersian #IraniansWantRegimeChange #iran #دربی #به_عقب_برمیگردیم #اعتراضات_سراسری</t>
  </si>
  <si>
    <t>🏳️  معلوم الحال 🏳️</t>
  </si>
  <si>
    <t>‏‏استقلالی آرسنالی !دانشجوی روانشناسی، آتئیست</t>
  </si>
  <si>
    <t>ایران بدون هیچ پسوند و پیشوندی</t>
  </si>
  <si>
    <t>براساس آخرین تحقیقات نشریه معتبر گالوپ ، تیمی که بازی قبل دربی رو برده قطعاً لُنگیه #دربی #استقلال_پرسپولیس #شهرآورد</t>
  </si>
  <si>
    <t>آسِسک مصطفا</t>
  </si>
  <si>
    <t>در جستجوی معنا...</t>
  </si>
  <si>
    <t>حال و هوای این روزها شوق و ذوقی برای #دربی باقی گذاشته؟!</t>
  </si>
  <si>
    <t>گرگ گیاه خوار</t>
  </si>
  <si>
    <t>‏متاهل دارای دوپسر گل ..فیلم و سریال بین نیمه حرفه ای....آنفالویاب دارم ..پس زحمت نکش اگه انتظار داری فالوو کنی و بک بگیری و بعد آنفالو کنی ......زحمتت میشه</t>
  </si>
  <si>
    <t>IRAN...</t>
  </si>
  <si>
    <t>https://twitter.com/piroozinews/status/1045209238463815680</t>
  </si>
  <si>
    <t>#پرسپولیس #دربی RT @piroozinews: #روزنامه_پیروزی ۵ مهر ماه ۹۷ #دربی</t>
  </si>
  <si>
    <t>RAMIN🇿🇼🇻🇨🇺🇦💯</t>
  </si>
  <si>
    <t>http://axprint.com/app</t>
  </si>
  <si>
    <t>لذت واقعی تماشای عکس 📷 سرویس طراحی و #چاپ_آنلاین_عکس روی محصولات متنوع مانند #فتوبوک، #شاسی، #مگنت، #ماگ، #پوستر، #تقویم، #کارت_تبریک 💜 #چاپش_کن</t>
  </si>
  <si>
    <t>Islamic Republic of Iran, Tehran</t>
  </si>
  <si>
    <t>به نظر شما نتیجه #دربی ۸۸ چه خواهد شد؟</t>
  </si>
  <si>
    <t>عکس پرینت</t>
  </si>
  <si>
    <t>http://Www.rezapahlavi.org</t>
  </si>
  <si>
    <t>Hi, I'm fighting for the liberation of my country. My leader is Prince Reza Pahlavi.HIM Reza Pahlavi Supporter✌️✊✍️</t>
  </si>
  <si>
    <t>Sãri, Iran</t>
  </si>
  <si>
    <t>https://pbs.twimg.com/media/DoFT8JWXkAEV5Nr.jpg</t>
  </si>
  <si>
    <t>امروز در ما در #دربی تماشاچی نیستیم صدایمان را به جهانیان میرسانیم. با شعار #رضاشاه_روحت_شاد #شاهنشاه_روحت_شاد #شهبانو_زنده_باد_شاهزاده_پاینده_باد #ورزشگاه_آریامهر را در دستان خود میگیریم وبه #خامنه_ای ظالم اخرین هشدار ها را می دهیم وعده دیدیار ما ساعت 18 در #ورزشگاه_آزادی. 👑</t>
  </si>
  <si>
    <t>گارد جاویدان شاهنشاهی👑</t>
  </si>
  <si>
    <t>https://www.instagram.com/khodayar_saeedvaziri</t>
  </si>
  <si>
    <t>Legal consultant especialy for STARTUPS, Political analyst, Freelance writer, Journalist Ph.D candidate in Public International Law</t>
  </si>
  <si>
    <t>Iran, Tehran</t>
  </si>
  <si>
    <t>شمایی که هنوز دارید به #دربی فکر می‌کنید و کل کل می‌کنید که #پرسپولیس میبره یا #استقلال خیلی سرخوشید!!!</t>
  </si>
  <si>
    <t>Khodayar Saeedvaziri 🖋</t>
  </si>
  <si>
    <t>اینقدر همه گفتند که خودمم باورم شد...!</t>
  </si>
  <si>
    <t>#فوتبال افیون توده‌هاست نقطه #دربی</t>
  </si>
  <si>
    <t>سید آمریکایی</t>
  </si>
  <si>
    <t>‏‏‏‏‏دارنده پرشیا سفید 68</t>
  </si>
  <si>
    <t>https://pbs.twimg.com/media/DoFV6KaVsAAkVRL.jpg</t>
  </si>
  <si>
    <t>چرا وقتی نشون میداد درصدو اقای فردوس پور میخند؟ #پرسپوليس</t>
  </si>
  <si>
    <t>🌵کلاغِ دم سیاه🌵</t>
  </si>
  <si>
    <t>‏سَر دَر گُم</t>
  </si>
  <si>
    <t>حالا شاید یه روزی شد 🇮🇹</t>
  </si>
  <si>
    <t>امروز قراره با اونایی که تخصصشون آسیاست بازی کنیم. همونایی که یازدهم جدولن #پرسپولیس</t>
  </si>
  <si>
    <t>R e Z z</t>
  </si>
  <si>
    <t>‏‏‏‏‏‏‏‏‏‏‏ممکنه ﺧﯿﻠﯽ ﭼﯿﺰﻫﺎﯼ ﻣﻘﺪﺱ تو ﺩﻧﯿﺎ ﻭﺟﻮﺩ ﺩﺍﺷﺘﻪ ﺑﺎشه ﺍﻣﺎ ﻣﻦ فقط ﯾﮏ ﭼﯿﺰ ﻣﻘﺪﺱ ﻣﯽ ﺷﻨﺎﺳﻢ اونم استقلاله💙👑 زاده شهر باران⛈🌧 استاد قمیشی🎤💙</t>
  </si>
  <si>
    <t>Karaj</t>
  </si>
  <si>
    <t>بیایید با ذکر شعار منچستر انگلیس کیر تو کون پرسپولیسسسس صبح خود را زیبا کنید!! #دربی</t>
  </si>
  <si>
    <t>Saman_esteghlali</t>
  </si>
  <si>
    <t>https://twitter.com/ImperialGrdIR/status/1045210733900951553</t>
  </si>
  <si>
    <t>#IraniansWantRegimeChange #Iran #IranRegimeChange #دربى٨٨ #دربی #پرسپوليس_استقلال #پرسپوليس #تاج #پرسپولیس_تاج 👑✌️👏✊👍💞👊🤝 RT @ImperialGrdIR: امروز در ما در #دربی تماشاچی نیستیم صدایمان را به جهانیان میرسانیم. با شعار #رضاشاه_روحت_شاد #شاهنشاه_روحت_شاد #شهبانو_زنده_باد_شاهزاده_پاینده_باد #ورزشگاه_آریامهر را در دستان خود میگیریم وبه #خامنه_ای ظالم اخرین هشدار ها را می دهیم وعده دیدیار ما ساعت 18 در #ورزشگاه_آزادی. 👑</t>
  </si>
  <si>
    <t>https://www.instagram.com/jafar_usf/</t>
  </si>
  <si>
    <t>‏‏‏‏‏‏‏‏‏‏‏‏‏‏‏‏‏ارشد فقه و حقوق جزا و جرم شناسی ‎‎‎‎/ کمی رسانه / اندکی فرهنگ /</t>
  </si>
  <si>
    <t>اولین سالیه که #دربی حتی اندازه سر سوزن برام ارزش نداره قبلا از ۱۰روز قبلش خبرای مربوط به بازی رو دنبال میکردم اما الان فقط نیم ساعته فهمیدم امروز دربیه. 💙💙 #استقلال 💙💙</t>
  </si>
  <si>
    <t>نسیم مطهر  🏴</t>
  </si>
  <si>
    <t>http://instagram.com/hosein_sheykhian</t>
  </si>
  <si>
    <t>Engineer, Activist, Researcher,</t>
  </si>
  <si>
    <t>حيف امروز #دربي، #دلار۱۹۰۰۰تومانی رو ميشوره مي بره. آري اين چنين ميگذرد روز و روزگار...</t>
  </si>
  <si>
    <t>حسين شيخيان</t>
  </si>
  <si>
    <t>فقط عاشقانه می نویسم / البته اگر دولت تدبیر بذاره</t>
  </si>
  <si>
    <t>اگه #لنگ برد بریزید توی خیابونا #دربی</t>
  </si>
  <si>
    <t>هلوی پوست کنده</t>
  </si>
  <si>
    <t>‏‏‏خسته‌ام از آرزوها؛ آرزوهای شعاری!</t>
  </si>
  <si>
    <t>https://pbs.twimg.com/media/DoFXSfdXcAAwG4b.jpg</t>
  </si>
  <si>
    <t>بدون شرح... :) #استقلال #پرسپولیس #دربی</t>
  </si>
  <si>
    <t>Milad :)</t>
  </si>
  <si>
    <t>https://t.me/BiChatBot?start=sc-512683360</t>
  </si>
  <si>
    <t>بی حوصله؛ کم حرف؛ بی اعصاب</t>
  </si>
  <si>
    <t>بی سرزمین‌تر از باد</t>
  </si>
  <si>
    <t>pic.twitter.com/ItdntIWkWF</t>
  </si>
  <si>
    <t>به مناسبت بازی امروز #استقلال و #پرسپولیس دیدم حیفه یادی نکنیم از چرخنده ترین سیاوش دنیا :))) #دربی۸۸ #علی_کریمی</t>
  </si>
  <si>
    <t>‌آقای ‌دَدی</t>
  </si>
  <si>
    <t>https://telegram.me/harfbzanbot?start=vRRLVqL</t>
  </si>
  <si>
    <t>Java &amp; Android Developer/ IT Management at UT</t>
  </si>
  <si>
    <t>بزرگترین محال زندگیم این بود که شرایط زندگی باعث بشه شوق و ذوقم به فوتبال کم شه که به لطف ج.ا این اتفاق افتاد #دربی</t>
  </si>
  <si>
    <t>افشین الدین</t>
  </si>
  <si>
    <t>ولی خب این #دلار رو بردن بالا که حواس مارو از #دربی پرت کنن، اینا همش کار خودشونه</t>
  </si>
  <si>
    <t>http://www.instagram.com/mahsajasbi</t>
  </si>
  <si>
    <t>‏‏‏‏‏‏We're Better Together ❤💙 ‎</t>
  </si>
  <si>
    <t>#دربی را می‌بَریم❤💪🏻💪🏽✌🏻✌🏽 #پرسپوليس #عشقپولیس #پیروزی</t>
  </si>
  <si>
    <t>Mahsa Jasbi</t>
  </si>
  <si>
    <t>‏‏پایگاه اجتماعی، سیاسی، اقتصادی تحلیلی و تخصصی در حوزه‌ی آموزش و پرورش - آدرس سايت : http://sarmashghnews.com‎‎ ‎‎@sarmashghnews</t>
  </si>
  <si>
    <t>https://pbs.twimg.com/media/DoFXjCpWkAAmvkz.jpg</t>
  </si>
  <si>
    <t>از پیراهن استقلال و پرسپولیس برای #دربی ۸۸ رونمایی شد</t>
  </si>
  <si>
    <t>sarmashghnews.com</t>
  </si>
  <si>
    <t>روبه‌رو آماده باش رو شروع بکنیم یا زوده؟ #استقلال</t>
  </si>
  <si>
    <t>https://www.instagram.com/panjereh_cafe/</t>
  </si>
  <si>
    <t>‏‏‏‏‏بیا باهمدیگه برقصیم،بخندیم و به این زندگی فحش بدیم... یه کافه دنج دارم که به توییتریا ۱۰% تخفیف میدم واسه اینکه ما توییتری هستیم نه اینستاگرامی ☘❤🐱</t>
  </si>
  <si>
    <t>توی کافه بازی #پرسپولیس و #استقلال رو پخش میکنیم هر کسی دوست داره میتونه دایرکت بده رزرو کنه هزینه رزرو هم نمیگیریم از شما توییتریا عزیز #ريتوییت #اصفهان #کافه‌پنجره</t>
  </si>
  <si>
    <t>Adib</t>
  </si>
  <si>
    <t>اعتقاد عملی به حقوق بشر و اندیشه. 😃 نه چپ نه راست، فقط منافع ملی و مردم.🙏 چرا با من دشمنی، من با تو دشمنی ندارم. بیا با هم حرف بزنیم...🤝 🚫بی ادب</t>
  </si>
  <si>
    <t>چه قرمز، چه آبی، امروز همه در ورزشگاه «مرگ بر دیکتاتور» #دربی</t>
  </si>
  <si>
    <t>لوترکینگ</t>
  </si>
  <si>
    <t>امروز در تهرانیم و فردا در سیلیکون ولی خواهیم بود سوال های مربوط به نرم افزارتون رو بپرسین جواب نمیدم</t>
  </si>
  <si>
    <t>تلویزیون تو این وانفسا تیر آخر رو با عوض کردن گزارشگر در بی به احمدی بهمون زد #دربی</t>
  </si>
  <si>
    <t>Who_Am_I</t>
  </si>
  <si>
    <t>http://Zoomit.ir</t>
  </si>
  <si>
    <t>Student / Freelance Journalist at Zoomit</t>
  </si>
  <si>
    <t>اولین توییتم رو می‌نویسم به‌عشق #دربی و امیدوار به برد #پرسپولیس 😬</t>
  </si>
  <si>
    <t>Mobin Ahmadi</t>
  </si>
  <si>
    <t>مبتلا به #ام_اس كه خودش ريپورتِ آزمايششو خونده،گريه كرده،نااُميد شده،خورده زمين.بعدش گفته منتظرهيچ معجزه اي نباش، زندگيشو عوض كرده ولي به سختي.</t>
  </si>
  <si>
    <t>گنجشک به گیلکی میشه چیچنک</t>
  </si>
  <si>
    <t>دیشب خواب دیدم برای #دربی، برانکو از بس که بازیکن نداره بیرانوند رو گذاشته دفاع چپ.</t>
  </si>
  <si>
    <t>چیچْنَک</t>
  </si>
  <si>
    <t>https://pbs.twimg.com/media/DoFYfu5WsAIjVtp.jpg</t>
  </si>
  <si>
    <t>@RaminR85 با چی‌؟ #استقلال</t>
  </si>
  <si>
    <t>مرا هیچ از وطن محبوبتر نیست</t>
  </si>
  <si>
    <t>https://pbs.twimg.com/media/DoFYmdfW0AAYzMU.jpg</t>
  </si>
  <si>
    <t>من درد مشترکم 💙مرا فریاد کن❤ #دربی #استقلال #پرسپوليس</t>
  </si>
  <si>
    <t>دری وری</t>
  </si>
  <si>
    <t>‏‏‏‏‏‏‏از مادری ایرانی 🇮🇷 و پدری یمنی 🇾🇪 زاده شدم. مسلمان،علاقه مند به ‎‎‎‎‎‎‎‎‎‎‎‎‎‎‎‎سینما،‎‎‎بسکتبال،‎طنزنویسی و صداپیشگی | ‎‎‎‎‎‎‎‎‎‎‎‎‎#عربیات_آستیگمات</t>
  </si>
  <si>
    <t>خرمشهر</t>
  </si>
  <si>
    <t>با این روند نزولی ای که استقلال در پیش گرفته باس گفت : #استقلال 25 سال آینده را نخواهد دید.</t>
  </si>
  <si>
    <t>آستیگمات ™</t>
  </si>
  <si>
    <t>‏‏مهندس نرم افزار / برنامه نویس و توسعه دهنده وب</t>
  </si>
  <si>
    <t>از آرزوهای امروزم اینه که #پرسپولیس امشب ببره و شام #لازانیا بخورم ببین سطح دغدغه جوان ایرانی رو به کجا رسوندن :)))</t>
  </si>
  <si>
    <t>A #fifamasteralum كارشناس ارشد فيفا در مديريت و حقوق ورزش. همسر و پدر دو پسر كه به #ورزش مبتلاست! نظرات شخصى است. لايك يا ريتوييت به معناى تاييد نيست</t>
  </si>
  <si>
    <t>https://pbs.twimg.com/media/DoFYvALWsAArI0f.jpg</t>
  </si>
  <si>
    <t>شما يادتون نمى آيد، اون موقع كه كسى نمى دونست شهرآورد چيه ، دربى فقط اين بود واسه ما! #دربى٨٨ #پرسپوليس #استقلال</t>
  </si>
  <si>
    <t>Amir Sedighi</t>
  </si>
  <si>
    <t>برد واسه #پرسپولیس جلوی #استقلال اونم پنج روز مونده به بازی السد واقعا بده.میریم تو باد برد میخوابیم و غرور.اونوقت تنبیه بدی میشیم</t>
  </si>
  <si>
    <t>https://pbs.twimg.com/media/DoFYxMAWsAAsipc.jpg</t>
  </si>
  <si>
    <t>جایگاه افرادی که بلیت الکترونیکی در اختیار دارند از افرادی که می خواهند بلیت کاغذی تهیه کنند جدا شده است #دربی</t>
  </si>
  <si>
    <t>https://www.youtube.com/channel/UC6IHWIyYckeu04J9yOPl_vA</t>
  </si>
  <si>
    <t>I Just Don't Care Anymore 🎬🎸⚽🏊📚 IT Engineer 😎 https://www.instagram.com/alireza.hz93</t>
  </si>
  <si>
    <t>Ye Jaye Dige</t>
  </si>
  <si>
    <t>به نظرتون تا آخر امروز چند نفرمون همو بلاک آنبلاک میکنیم؟ :)) #پرسپوليس #دربى٨٨</t>
  </si>
  <si>
    <t>ALIREZA 😇</t>
  </si>
  <si>
    <t>‏باشگاه فرهنگی ورزشی استقلال Esteghlal Football Club</t>
  </si>
  <si>
    <t>هواداران #استقلال با باز شدن درهای ورزشگاه آزادی، در برخی سکوها مستقر شده‌اند</t>
  </si>
  <si>
    <t>FC Esteghlal</t>
  </si>
  <si>
    <t>روزنامه نگاری خوندم...</t>
  </si>
  <si>
    <t>همچنان #پرسپولیس امید اول و آخر و دلخوشیه همشیگی منه . #دربی رو ببر که منه عاشقت این چند وقت همه چیمو باختم. ناامیدم نکن عشق قدیمی.</t>
  </si>
  <si>
    <t>mohamad.j.khoshkhoi</t>
  </si>
  <si>
    <t>‏‏‏‏‏‏‏‏فدایی رهبر دهه شصتی متاهل پدر یه سرباز امام زمان</t>
  </si>
  <si>
    <t>چرا صدا سیما همش میزنه شهراورد 88 بابا ما #شهراورد 88 رو 3 به صفر بردیم #پرسپولیس_استقلال</t>
  </si>
  <si>
    <t>میثم تمار</t>
  </si>
  <si>
    <t>در سیاست، اصلاح طلب دموكراسی خواه و جامعه محورم. سخنگوی حزب اتحاد ملت هستم و مسئولیتی در قبال کامنت افراد به توییت هایم ندارم.</t>
  </si>
  <si>
    <t>https://pbs.twimg.com/media/DoFZICwXgAAidEj.jpg</t>
  </si>
  <si>
    <t>پیرهن استقلالشو آورد که تنش کنم. پرسیدم پیرهن پرسپولیست هم بیارم؟ با مِن و مِن گفت گم کردم :)) ببینم بعد باخت امروزشون بازم استقلالی میمونه یا مثل #دربی پارسال رنگ عوض میکنه. #پدروپسری</t>
  </si>
  <si>
    <t>Hossein Nooraninejad</t>
  </si>
  <si>
    <t>http://www.farsnews.com</t>
  </si>
  <si>
    <t>خبرهای ویژه و فوری فارس را دراین صفحه دنبال کنید</t>
  </si>
  <si>
    <t>تهران-میدان فردوسی-کوچه شاهرود</t>
  </si>
  <si>
    <t>pic.twitter.com/KZvrCY4Rxj</t>
  </si>
  <si>
    <t>🎥 حال و هوای ورزشگاه آزادی کمتر از ۸ ساعت تا شروع #دربی ۸۸</t>
  </si>
  <si>
    <t>خبرگزاری فارس</t>
  </si>
  <si>
    <t>✿ Live Minimal • Die Surreal ✿ Architect....Taji💙💙👑💙💙Blaugrana</t>
  </si>
  <si>
    <t>None Territory</t>
  </si>
  <si>
    <t>https://twitter.com/Mas0udii/status/1022848109519532032</t>
  </si>
  <si>
    <t>دوباره عشق و دوباره لحظه دیدار 💙💙💙💙 اون روزی که این توییت رو زدم اولین بازی استقلال توو لیگ برتر امسال بود و گوشیم رو دزدین ولی خب دلیل نمیشه بخاطرش از عشقم بگذرم میریم تیم محبوبمون رو تشویق میکنیم به امید برد✌️💙💪 #دربی RT @Mas0udii: راه تو را میخواند پیش به سوی استادیوم به امید برد تاج محبوب و کور شدن چشم دشمنان تاج💙💙✌</t>
  </si>
  <si>
    <t>Masoud</t>
  </si>
  <si>
    <t>https://telegram.me/harfbzanbot?start=negEND</t>
  </si>
  <si>
    <t>ساكنِ بهــشتم زاده ي جَــــهَـــّنَــم ..</t>
  </si>
  <si>
    <t>فوتبالي نيستم عاشق الفبام اگه باشه -&gt;الف سين ت قاف لام الف لام #تاج #استقلال</t>
  </si>
  <si>
    <t>جَنَوارآلفا</t>
  </si>
  <si>
    <t>Como, Lombardy</t>
  </si>
  <si>
    <t>پیش بینی من از #دربی برد 2-0 #پرسپولیس ه. ببینید حالا کی گفتم</t>
  </si>
  <si>
    <t>Hassan</t>
  </si>
  <si>
    <t>https://youtu.be/wWgCHaLmfnI</t>
  </si>
  <si>
    <t>why so serious?</t>
  </si>
  <si>
    <t>Hell</t>
  </si>
  <si>
    <t>شنیدم امشب دربیه. چیطوری استقلالی؟ #دربی</t>
  </si>
  <si>
    <t>اکبروویچ</t>
  </si>
  <si>
    <t>ستاره‌شناس، ریاضیدان و اقتصاددان قرن پانزدهمی که فعلا در هزاره سوم می نویسه</t>
  </si>
  <si>
    <t>https://pbs.twimg.com/media/DoFaKZVWsAA3ADP.jpg</t>
  </si>
  <si>
    <t>باید جایزه ملی ربط دادن #گودرز به #شقایق را بدهند به سایت #ورزش۳ بابت ایجاد همبستگی میان نتیجه #دربی و #قیمت_دلار</t>
  </si>
  <si>
    <t>Kopernik</t>
  </si>
  <si>
    <t>کاش امروز خانومها هم میتونستن بیان استادیوم و بازی تیم محبوبشون استقلال رو ببینن. #دربی</t>
  </si>
  <si>
    <t>I’m a girl and yah I love girls. is that a problem?🌈 Persepolis🔴 کارمند اطلاعات سازمان مخوف #ممک</t>
  </si>
  <si>
    <t>NoWhere</t>
  </si>
  <si>
    <t>https://pbs.twimg.com/media/DoFaXkMXoAAFtFF.jpg</t>
  </si>
  <si>
    <t>اینجا جاییست که از #آزادی فقط اسمش را دارد. جاییست که هر سال موقع #دربی که میگه باید حسرتشو بخورم. #پرسپوليس #استقلال</t>
  </si>
  <si>
    <t>صیما پرسپولیسی🌈🎗</t>
  </si>
  <si>
    <t>#پرسپولیس به امید برد پرسپولیس و روحیه بالا واسه زدن السد رویا نیس یه حقیقته قهرمانی آسیاوخوشحالی ایران حتی اگه تظاهر یه استقلالی پشتش باشه</t>
  </si>
  <si>
    <t>Ali.arya</t>
  </si>
  <si>
    <t>Perspolis❤️Barca💙❤️Arsenal❤️💛</t>
  </si>
  <si>
    <t>مشمئزکننده ترین نوع استقلالیا اونایی هستن که مثلاً واسه تحقیر #پرسپولیس اونو پیروزی خطاب میکنن ما از اول پرسپولیس بودیم و تا تهشم همینیم نه اینکه با هر نسیمی اسم تغییر بدیم 😏</t>
  </si>
  <si>
    <t>فر💤ام</t>
  </si>
  <si>
    <t>https://twitter.com/avant_tv</t>
  </si>
  <si>
    <t>تصویربردار، عکاس، شاید هم بشه گفت خبرنگار. تصویربردار و مدیر تولید و توزیعِ @Avant_TV . بعضی وقت ها هم شاید بنویسم</t>
  </si>
  <si>
    <t>https://pbs.twimg.com/media/DoFafblXUAAWYCA.jpg</t>
  </si>
  <si>
    <t>اصلا نهادی هست برای نظارت بر رسانه‌ها؟ هرکی هر غلطی دلش میخواد بکنه؟ اون از ماجراهای شرق و ایرنا و چندتا روزنامه و خبرگزاری دیگه، حالا هم سایت ورزش 3 با این نظرسنجی! تو این شرایط اقتصادی و زمینه بروز آشوب در جریان بازی یا قبل و بعدش، بهش دامن بزنی! #دربی #دلار</t>
  </si>
  <si>
    <t>محمد ملکی</t>
  </si>
  <si>
    <t>‏‏‏‏‏‏‏‏‏‏‏درمانده ام به درد دل بی علاج خویش 💌یا رَفیقَ مَن لا رَفیقَ لَهُ</t>
  </si>
  <si>
    <t>میریم که داشته باشیم برد #پرسپوليس رو #دربی</t>
  </si>
  <si>
    <t>دختر آفتاب☉(یک پرسپولیسی❤)</t>
  </si>
  <si>
    <t>https://pbs.twimg.com/media/DoFa3AwWkAAVtVt.jpg</t>
  </si>
  <si>
    <t>از اون نگاها که حواسش نیست :) #پرسپولیس</t>
  </si>
  <si>
    <t>‏‏اصلاح طلب عاشق پرسپولیس</t>
  </si>
  <si>
    <t>ما #زنان هم حق داریم بازی تیم محبوبمون رو تو استادیوم ببینیم ما هم حق داریم غم و شادی حاصل از برد و باخت تیممون رو با هم تقسیم کنیم تا کی میخوان مانع باشن؟! #دربی #زنان_ورزشگاه</t>
  </si>
  <si>
    <t>sara khorram</t>
  </si>
  <si>
    <t>http://Varzesh3.com</t>
  </si>
  <si>
    <t>اکانت قبلی نمیدونم چی شد، دیگه لاگین نشد. ورزش سه هستم؛ قبلا مخاطبش، ۲ ساله نویسنده و خبرنگارش. اظهاراتم اینجا به خودم ربط داره نه جایی که توش کار میکنم.</t>
  </si>
  <si>
    <t>امروز حواشی #دربی85 رو تا شروع بازی پوشش میدم. باکس حواشی توییت هم خواهد داشت، اگه می خواید توییتتون توی #ورزش_سه یا زیرش تگم کنید یا لینکشو بفرستید دایرکت #پرسپولیس #استقلال</t>
  </si>
  <si>
    <t>MohammadHemmati</t>
  </si>
  <si>
    <t>به امیدِ یه دربیِ پر دعوا😎 به شخصه منتظر دعوای سید جلال و رحمتیم😂 #پرسپولیس #سید_جلال_حسینی</t>
  </si>
  <si>
    <t>دائم الخسته و خوابالو</t>
  </si>
  <si>
    <t>خبرهایی از مصلحت اندیشی پوچ به گوش میرسه.احتمال زیاد #دربی مساوی شه.شما که مصلحت اندیشی بلدین چرا مصلحت ملتو نمی اندیشین؟این وضع اقتصاده اخه؟تویه کار دخالت نکنین میمیرین؟#استقلال #پرسپولیس #دربی88</t>
  </si>
  <si>
    <t>ملاتونین</t>
  </si>
  <si>
    <t>کی ام و چی ام همینم</t>
  </si>
  <si>
    <t>اونقد همه چی رو هواست ک طرفدار هیچ تیمی طاقت باخت نداره....کاش #دربی مساوی بشه</t>
  </si>
  <si>
    <t>همه هیچم</t>
  </si>
  <si>
    <t>#پرسپولیس ببره نود میذارم #استقلال ببره عکس با یقه اسکی😁</t>
  </si>
  <si>
    <t>and like a passing sun, love is here then it's gone...</t>
  </si>
  <si>
    <t>چند سال پیشا درست سر ساعت شروع دربی رفتم دیت و فکر میکردم چقدر کولم، و الان میبینم چه تباهی بودم #دربی</t>
  </si>
  <si>
    <t>Mashal</t>
  </si>
  <si>
    <t>ورود مجاهدین، عرازشه و اصلاح طلبها ممنوع ❤️🤗</t>
  </si>
  <si>
    <t>https://pbs.twimg.com/media/DoFbpHnWsAA4owh.jpg</t>
  </si>
  <si>
    <t>نظر سنجی سایت ورزش 3 در مورد #دربی امروز! تمام ابعاد زندگیمون درگیر نرخ دلاره ولی دولت میگه مهم نیست!</t>
  </si>
  <si>
    <t>دی باگِر‏‎</t>
  </si>
  <si>
    <t>‏تا‌ همـّت عشـق اسـت؛چـرا منـّت مـرگ؟!</t>
  </si>
  <si>
    <t xml:space="preserve"> جمــهورےاســلامــےایــران</t>
  </si>
  <si>
    <t>خب دوست دارید در طول بازی شیش تا بزنیم یا ده دقیقه آخر سه تا؟ حق انتخاب با شماست دوست اس تق لالی :)))) #دربی</t>
  </si>
  <si>
    <t>مهــــآجـــر</t>
  </si>
  <si>
    <t>نتیجه بازی #دربی #پرسپولیس و #استقلال رو چی پیش بینی میکنید</t>
  </si>
  <si>
    <t>‏ما را دو قبله است: کعبه برای عبادت،و قدس را برای شهادت...</t>
  </si>
  <si>
    <t>هر وقت تونستی رنگ فیو توییتر رو عوض کنی بعد بیا این جا کُری بخون... #دربی</t>
  </si>
  <si>
    <t>⁦✒️⁩🏴mojtaba karami🏴</t>
  </si>
  <si>
    <t>‏‏‏‏‏‏‏‏‏‏‏‏‏‏‏‏‏‏‏‏‏‏جامانده ای از قبیله شهیدان،سیاست را فقط با دیانت قبول دارم،گاهی شعر مذهبی میگویم وگاهی دلنوشته. مرگ بر آمریکا و اسرائیل</t>
  </si>
  <si>
    <t>دربی؟!!؟ کدام دربی!!!؟ دربیِ اصلی خیلی وقت است بین #اصلاح_طلب و #اصولگرا شروع شده، آنها با هم بازیِ کثیفِ سیاسی می کنند غافل از اینکه تنها نتیجه این بازی باخت ملّت است.#دربی</t>
  </si>
  <si>
    <t>جوادصلوات</t>
  </si>
  <si>
    <t>بچه سوم خانواده که قرار بود دختر بشه ولی ننش پسرزا بود! زن و مرد فرق نداره انسان باشیم! زبون بسته مغز باز! خوبی کن! خدایی داری ک جا همه برات جبران می‌کنه!</t>
  </si>
  <si>
    <t>مهدیه تهران</t>
  </si>
  <si>
    <t>شدیم شبیه اونایی که توی رویاهاشون زندگی می‌کنن. هرروز پا میشیم منتظریم ی هشتگ بالا بگیره و همه ت کنیم و ریت,فکر می‌کنیم که بله،همه چیو درست کردیم و ابر قهرمانیم. #آزادی در کف #خیابان است #دربی #روحانی #اسلام #پرسپولیس #استقلال #ورزشگاه_آزادی #زنان #IraniansWantRegimeChange</t>
  </si>
  <si>
    <t>سَجی جون</t>
  </si>
  <si>
    <t>https://telegram.me/Sara_mosavi</t>
  </si>
  <si>
    <t>🇮🇷🇮🇷🇮🇷🇮🇷فرزند انقلاب🇮🇷🇮🇷🇮🇷🇮🇷 اردیبهشتی ، اهل مطالعه ، مهربان وپرسپولیسی ناراضی از وضعیت موجود در کشور عزیزم ایران، دانشجوی کارشناسی ارشد علوم سیاسی😍😍😍</t>
  </si>
  <si>
    <t>ایران - تهران</t>
  </si>
  <si>
    <t>به کوری چشم @AlinejadMasih @PahlaviReza @Maryam_Rajavi و هرچی برعندازه در مشهد عراقی ها و ایرانی ها برادرانه حول حرم رضوی می گردند و امشب بنا دارند #دربی را در کنار هم ببینند . #دربى٨٨</t>
  </si>
  <si>
    <t>سارا موسوی</t>
  </si>
  <si>
    <t>دقت كردين چقدر حساب شده روز #دربی انتخاب شده؟ اسباب بازي امشبمونه كه يادمون بره #دلار۱۹۰٠٠تومن رو</t>
  </si>
  <si>
    <t>گاف گا</t>
  </si>
  <si>
    <t>sports journalist http://90tv.ir</t>
  </si>
  <si>
    <t>و به طرز عجیبی، اولین باره نه #دربی مهمه برام نه فوتبال. داشتم فک میکردم گیرم ٢ ساعتمو گذاشتم پای فوتبال و هیجانش و لذت و شایدم عصبانیتش، بدبختی مملکت و زندگیمون متاسفانه خیلی توی ذهنم پررنگ تره 😞</t>
  </si>
  <si>
    <t>zaraaaa</t>
  </si>
  <si>
    <t>خبرنگار، نویسنده، گوینده و مجری ورزشی گزارشگر برنامه ۹۰</t>
  </si>
  <si>
    <t>https://pbs.twimg.com/media/DoFeaKJUUAEse1D.jpg</t>
  </si>
  <si>
    <t>روی صحبتم با شما بازیکن #استقلال و #پرسپولیس این ملت با گلابی کیلو 19 تومنو رب 17 تومنی چیزی واسه از دست دادن ندارن. یه دو ساعت میخان از شر این بدبختیا خلاص شن و حالا پناه آوردن به فوتبال. خواهشا پشیمونشون نکنید. برید؛ بجنگید؛ عرق بریزید و فوتبال بازی کنید</t>
  </si>
  <si>
    <t>Navid Ostadrahimi 🇮🇷</t>
  </si>
  <si>
    <t>حالا هی بگید #دربی اهمیتی نداره و تو این حال خرابی و گرونی و ... اتفاق خاصی نیست این بازی.‌ امشب حالتون دیدن داره بعد دیدن برد و باخت تیمتون، البته اگه مساوی نشه :))</t>
  </si>
  <si>
    <t>⁦⁦⁩REZ</t>
  </si>
  <si>
    <t>https://twitter.com/meysametammar/status/1045217876607676416</t>
  </si>
  <si>
    <t>طرفداران #پرسپوليس و #استقلال بیان اینجا منشن #کری خونی کنند برای #شهراورد ببینیم چی به چیه RT @meysametammar: نتیجه بازی #دربی #پرسپولیس و #استقلال رو چی پیش بینی میکنید</t>
  </si>
  <si>
    <t>https://pbs.twimg.com/media/DoFej8zXsAAJImX.jpg</t>
  </si>
  <si>
    <t>#دربی #مرگ_بر_دیکتاتور #IraniansWantRegimeChange</t>
  </si>
  <si>
    <t>🔝🇮🇷ian</t>
  </si>
  <si>
    <t>milkywaygalaxy</t>
  </si>
  <si>
    <t>https://twitter.com/niloofarghadiri/status/1045000174047842304</t>
  </si>
  <si>
    <t>اوضاع کشور دقیقا مشابه آخرین روزهای احمدشاه قاجار است. #ایران #ماهیچ_مانگاه #قاجار #FATF #دربی ته بی کفایتی و میهن فروشی را در آورده اند. -اختلاس -میهن فروشی -خیانت -کاسپین_چای -وزارت خارجه مزدور و ابله -مجلس فاسد و ضد ایرانی -برجام ننگین -FATF RT @niloofarghadiri: روحاني: آمريكا روزي بازخواهد گشت ( به برجام) دير يا زود.</t>
  </si>
  <si>
    <t>8.5 out of 10</t>
  </si>
  <si>
    <t>آتئیست، دانشجوی دکترای مکانیک، مخالف هر ماتریس و ایدئولوژی، آزادی خواه.</t>
  </si>
  <si>
    <t>اگر امروز به جای فریاد زدن برای #استقلال و #پرسپولیس که به طفلان یتیم وزارت ورزش دولت اسلام می مانند، کمی برای آزادی ایران در ورزشگاه اسیران صد هزار پسری فریاد بزنید به قول @tanasoli قلب امام به درد می آید.</t>
  </si>
  <si>
    <t>journalist/روزنامه نگار</t>
  </si>
  <si>
    <t>جشنواره فیلم بود،#دربی ۷۴،قرار شد از سالن میلاد پخش بشه.استقلالیا نشسته بودیم کنار هم و خب همه همو‌ می شناختیم.تا دقیقه ۸۱ بیچارشون کردیم ،از بس داد زدیم وکری خوندیم ،اما توی ده دقیقه آخر به اسم صدامون می‌کردن و هو می کردن.فضای کاملا فرهنگی:) بدترین خاطره ی شما از دربی چیه؟!</t>
  </si>
  <si>
    <t>ayda mesbahi</t>
  </si>
  <si>
    <t>مثل خیلی ها شاعر.مثل خیلی ترها روزنامه نگار</t>
  </si>
  <si>
    <t>طهرانِ پساکودتا</t>
  </si>
  <si>
    <t>https://pbs.twimg.com/media/DoFfBq7XUAA9u6A.jpg</t>
  </si>
  <si>
    <t>کاری کنید امروز اینطوری شهرو خوشگل کنیم لعنتیا... #دربى٨٨ #دربی #استقلال</t>
  </si>
  <si>
    <t>هادی عیار</t>
  </si>
  <si>
    <t>https://pbs.twimg.com/media/DoFfWw9XUAAcOzM.jpg</t>
  </si>
  <si>
    <t>جایگاه تماشاچیای کیسه #پرسپولیس #کیسه #استقلال</t>
  </si>
  <si>
    <t>اون وَرِش پیدا</t>
  </si>
  <si>
    <t>تو بیومون نمیزنیم ای ای اس یو تی که ریا نشه:/</t>
  </si>
  <si>
    <t>https://pbs.twimg.com/media/DoFfYRcXsAEU_UT.jpg</t>
  </si>
  <si>
    <t>تنها ستون به جا مونده از فصل پیش #استقلال امروز یکی از اینا میخوایم ازت دلبرجان💙 (ترجیحا تا آرنج😂)</t>
  </si>
  <si>
    <t>TheRealSamuel</t>
  </si>
  <si>
    <t>🍍🍊I'm way too good at goodbyes</t>
  </si>
  <si>
    <t>tabriz iran</t>
  </si>
  <si>
    <t>https://pbs.twimg.com/media/DoFfdTGXUAAbgCA.jpg</t>
  </si>
  <si>
    <t>نظرسنجی سایت #ورزش ۳ بدون شرح #پرسپولیس #استقلال #دربی</t>
  </si>
  <si>
    <t>Salar Ghesmati</t>
  </si>
  <si>
    <t>‏‏‏‏‏🎒لیدرطبیعتگرد</t>
  </si>
  <si>
    <t>sari</t>
  </si>
  <si>
    <t>امروز عصر همتونو بلاک میکنم #دربی</t>
  </si>
  <si>
    <t>ماهی</t>
  </si>
  <si>
    <t>این صفحه جهت درج مشکلات روزافزون همه فارغ‌التحصیلان بیکار ایرانی بنا نهاده شده است و هیچ ارزش دیگری ندارد!</t>
  </si>
  <si>
    <t>نه واقعا #دربی پایتخت لیگ برتر فوتبال ایران براتون مهمه و نگاش می‌کنید؟:))) بازی فوتبال؛ فقط ده بیست بازی خوب جام جهانی تامام</t>
  </si>
  <si>
    <t>فارغ‌التحصیل بیکار</t>
  </si>
  <si>
    <t>و ضمنا خاک بر سر کسایی که میبینن مردمشون هر روز دارن ناامیدتر و فقیرتر میشن بعد پلیس زن میفرستن ورزشگاه که نکنه خدای نکرده دختری با گریم پسرونه بره #دربی رو از نزدیک ببینه!</t>
  </si>
  <si>
    <t>‏‏دوربین به دست استقلالی💙 رهبرم سید علی❤ شهید زنده</t>
  </si>
  <si>
    <t>واقعا خیلی باحالید :/ یا پرسپولیس میبره یا استقلال میبازه... ما خندیدیم بسه دیگه #دربی #موقت</t>
  </si>
  <si>
    <t>مَـحــزُون الحــسـیـن~</t>
  </si>
  <si>
    <t>برای تماشای سالم #دربی امروز کسی جا داره؟ لطفا #ریتوییت کنید ترجیحا #پرسپولیس ای . #استقلال</t>
  </si>
  <si>
    <t>ما اون کیر گوزاییم که قبل بازی کری میخونیم نه بعدش که از برد تیممون مطمئن بشیم. #پرسپولیس ❤❤❤❤❤❤</t>
  </si>
  <si>
    <t>http://telegram.me/aminassadi</t>
  </si>
  <si>
    <t>‏‏‏‏‏‏‏‏‏یک دهه هفتادی/ ‏‏‏‏‏‏‏‏‏‏‏‏‏‏دبیرکل جمعیت حامیان صلح پایدار/ فعال حقوق بشر، محیط زیست و سیاسی/دکتری عمومی ، رزیدنت جراحی دامپزشکی</t>
  </si>
  <si>
    <t>#دربی نیاز به کل کل نداره که! برای چی وقت خودتون رو تلف میکنید؟ واقعا با تیمی که توی ۱۰ دقیقه ۳ تا گل میخوره کل کل میکنید؟</t>
  </si>
  <si>
    <t>امین اسدی ۲</t>
  </si>
  <si>
    <t>‏‏‏‏‏‏‏‏‏‏‏‏‏گفتنی ها کم نیست.. من و تو کم گفتیم...!</t>
  </si>
  <si>
    <t>دیگه حال و حوصله کل کل فوتبالی ندارم. فقط امیدوارم یه بازی خوب باشه یادش بخیر. از اولین دربی که در کودکی ام رفتم که با گل پرویز مظلومی یک بر هیچ بردیم تا اون سه تای اختر، تقوی، ورمزیار سال هفتاد چهار، گل دقیقه آخر پیروز قربانی.. کلی خاطره خوب و غم انگیز دارم. 💙💙💙💙 #دربی</t>
  </si>
  <si>
    <t>nima</t>
  </si>
  <si>
    <t>Persepolis ❤❤❤❤❤❤</t>
  </si>
  <si>
    <t>@fereshtevpt #پرسپولیس #من_یونایتد ❤❤❤❤</t>
  </si>
  <si>
    <t>S.D.7</t>
  </si>
  <si>
    <t>امروز دربی ولی حالش مث قبل نیس هیجان مث قبل نیست کاش حداقل امروز یکم مث قبل بود #کری ها سر جاش بود #دربی</t>
  </si>
  <si>
    <t>http://Instagram.com/ehsanrastgar</t>
  </si>
  <si>
    <t>Writer, Media-Worker, Journalist, Movie Critic &amp; exBlogger/telegram.me/RastgarEhsan LinkedIn:ehsanrastgar/PoliticalScience@UT/MediaManagement@IRIBU/MediaWorker</t>
  </si>
  <si>
    <t>https://pbs.twimg.com/media/DoFgmxiXoAANHYt.jpg</t>
  </si>
  <si>
    <t>به یاد ایّام مسابقات #جام_جهانی... این عکس مربوط به روز افتتاحیه‌ی #کافه_ارک بود که مصادف شد با #عید_فطر و بازی #ایران_مراکش. امروز منتظرتونیم برای بازی #استقلال_پرسپولیس. صفحه کافه ارک رو دنبال کنید: @cafeark1</t>
  </si>
  <si>
    <t>احسان رستگار</t>
  </si>
  <si>
    <t>I’m an Iranian, a Perspolisi and a vegetarian, in that order.</t>
  </si>
  <si>
    <t>تو #دربی امروز من دوست دارم #پرسپولیس ۲ تا گل بزنه بعد دعوا شه ، #رحمتی اخراج شه . #کلاسیک</t>
  </si>
  <si>
    <t>NamNam</t>
  </si>
  <si>
    <t>https://t.me/ArmanMehriOfficial</t>
  </si>
  <si>
    <t>‏‏‏‏‏‏‏‏‏‏‏‏‏‏‏‏‏‏‏‏‏‏‏‏‏‏‏‏‏‏‏‏‏‏‏‏‏‏مجری صداوسیما ‎‎‎‎‎‎‎‎‎‎‎‎‎‎‎‎‎‎‎‎‎‎‎‎‎‎/ نویسنده / پژوهشگر مولاناشناسی/تولستوییست #Bağlama 🎸🎶🎵🎼</t>
  </si>
  <si>
    <t>امروز باید برم کتاب رستاخیز تولستوی رو نقد کنم، ولی نمیرم تا بردِ #پرسپولیس رو ببینم! :)💪🏻❤</t>
  </si>
  <si>
    <t>Arman Mehri</t>
  </si>
  <si>
    <t>‏اول ببین من چی میگم اگه بد بود بعد میوت کن حیوان!⚠️</t>
  </si>
  <si>
    <t>نامه ای به رئیس جمهور: محبوب من،مطمئنم اگه روی برگه رای جای اسمت نوشته بودم "هر چی برانکو بگه"وضع مملکت به مراتب بهتر از این بود #پرسپولیس #برانکو #هرچی_برانکو_بگه #دربی</t>
  </si>
  <si>
    <t>نقاش سورئال</t>
  </si>
  <si>
    <t>‏‏‏‏‏‏‏‏‏‏‏‏‏ایران🇮🇷 غذا🧀🍺 استقلال💙 فیلم🎬 بازی🕹 کتاب📖 موزیک🎵 عکس📸 گایا🌲</t>
  </si>
  <si>
    <t>فوتبال زیباست, خیلی هم زیباست, اما نه تو استادیوم از تلویزیون #استقلال #دربی #پرسپولیس #امنیت</t>
  </si>
  <si>
    <t>Parsa Shin</t>
  </si>
  <si>
    <t>وی ساکن ِ دنیای آرزوهایش است . 🌈</t>
  </si>
  <si>
    <t>محمدرضا داشت ازم میپرسید امروز برای استادیوم کدوم پیرن پرسپولیسشو بپوشه. پرسید بوق و اینا نداری؟ یهو یادم اومد بچه بودم بوق و مچ بند خریدم به عشق اینکه یه روزی بزرگ بشم برم دربی و ببینم.چمیدونستم قرار نیس حالا حالاها اون روز و ببینم =) #دربى #پرسپولیس❤ #آزادی #استادیوم</t>
  </si>
  <si>
    <t>| S.A.H.A.R |</t>
  </si>
  <si>
    <t>امیدوارم #دربی امروز همه گل های #پرسپولیس بخوره به تیر دروازه بره تو گل #استقلال که دیگه #رحمتی رو تیر دروازه دعای کمیل نخونه #پنگوین</t>
  </si>
  <si>
    <t>از #دلار بکشیم بیرون بریم سراغ #استقلال_پرسپولیس؟</t>
  </si>
  <si>
    <t>PayamHaddad</t>
  </si>
  <si>
    <t>تو هم قشنگي !</t>
  </si>
  <si>
    <t>همين جام</t>
  </si>
  <si>
    <t>ما دقيقا همون لحظه كه با دوتا ستاره طلايي روي پيرهن تيممون مقابل يه تيم بي ستاره بازي داريم بُرديم هموطن💙 #دربي #تاج #استقلال</t>
  </si>
  <si>
    <t>اكرمشونم</t>
  </si>
  <si>
    <t>pic.twitter.com/NvgY0ZPDe1</t>
  </si>
  <si>
    <t>هر زمان اتمسفر استادیوم اینگونه شد, دوباره باز خواهم گشت به استادیوم #دربی #استقلال #پرسپولیس</t>
  </si>
  <si>
    <t>لطفا به این رفقایی که میرن استادیوم بگید که خیلی مواظب موبایل هاشون و اینا باشن که دزدا دندوناشون رو تیز کردن برای این رفقا... اگه حواسشون نباشه باید یه کلیه شونو بفروشن و موبایل جدید بخرن... #دربی #ورزشگاه_آزادی #استادیوم #پرسپوليس #استقلال</t>
  </si>
  <si>
    <t>https://pbs.twimg.com/media/DoFiDtTXoAAO8kR.jpg</t>
  </si>
  <si>
    <t>روی قلب من نوشته رنگ قرمز رنگ عشقه واسه تو جونمو میدم #پرسپولیس سرور عشقه</t>
  </si>
  <si>
    <t>‏‏تو زندگیم یا فرشته دیدم یا شیطان ولی آدم هنوز نه ! تخم جن که تا دلت بخواد.</t>
  </si>
  <si>
    <t>https://pbs.twimg.com/media/DoFh3vHXgAAwFvR.jpg</t>
  </si>
  <si>
    <t>یه کاری کردن که بگیم حجاب اجباری چیه #برقع_پوشم کنین ولی قیمتها رو برگردونین سر جاش حال #دربی هم ازمون گرفتن #خوک های #قلعه_حیوانات</t>
  </si>
  <si>
    <t>حَوُای آدم ندیده</t>
  </si>
  <si>
    <t>#کافه_ارک، یک کافه‌بستنی هست که ابتدای خیابون ۱۶ آذر (از بلوار کشاورز) قرار گرفته. #میستنی های کافه‌ی ما کم‌نظیره و دانشجویان دانشگاه تهران، ده درصد تخفیف دارن.</t>
  </si>
  <si>
    <t>https://twitter.com/ehsan_rastgar/status/1045222954227904512</t>
  </si>
  <si>
    <t>منتظرتونیم. #کافه_ارک‌ #شهرآورد #دربی #استقلال #پرسپولیس RT @ehsan_rastgar: به یاد ایّام مسابقات #جام_جهانی... این عکس مربوط به روز افتتاحیه‌ی #کافه_ارک بود که مصادف شد با #عید_فطر و بازی #ایران_مراکش. امروز منتظرتونیم برای بازی #استقلال_پرسپولیس. صفحه کافه ارک رو دنبال کنید: @cafeark1</t>
  </si>
  <si>
    <t>کافه ارک</t>
  </si>
  <si>
    <t>And I waited. A Three word short story. lonely whale....</t>
  </si>
  <si>
    <t>احمدی گزارشگر دربیه یاد اون بازی چهار تا و حال خوش همسایمون بخیر الان زن و بچشو ول کرده ورفته .کارگر بود واخراج شد .میخوام بگم حال دل مردمت که خوب نباشه دربی که هیچ حتی بردن تیمت هم حالتو خوب نمیکنه #دربی</t>
  </si>
  <si>
    <t>52Hertz</t>
  </si>
  <si>
    <t>پلیس زن برای شناسایی هواداران دخترِ پسرنما در ورزشگاه آزادی حضور دارد و چنانچه مورد مشکوکی گزارش شود نسبت به این موضوع ورود می‌کنند. #دربی</t>
  </si>
  <si>
    <t>‏ به نام استقلال 💙👑</t>
  </si>
  <si>
    <t xml:space="preserve">Ahw </t>
  </si>
  <si>
    <t>انقد استرس دارم دستم به توییت نمیره،الانم که داره میره من نیستم که داره توییت میکنه یعنی این من اون من واقعی نیست در واقع خودم نیستم! گوه تو استرس #دربی #استقلال</t>
  </si>
  <si>
    <t>مهردادلی</t>
  </si>
  <si>
    <t>🔬🌡💉💊 esteghlal💙</t>
  </si>
  <si>
    <t>https://pbs.twimg.com/media/DoFjBfgXkAAl7LQ.jpg</t>
  </si>
  <si>
    <t>💙👑 #استقلال</t>
  </si>
  <si>
    <t>Mobina</t>
  </si>
  <si>
    <t>http://T.me/boxemotions</t>
  </si>
  <si>
    <t>‏اون چیزی که تو دنبالشی تو مُخ منه ..!</t>
  </si>
  <si>
    <t>ایران اِشغالی</t>
  </si>
  <si>
    <t>هر کی از ضربات آزاد بتونه خوب استفاده کنه برنده بازیه #دربی</t>
  </si>
  <si>
    <t>⛾فـرانـســیـسـت</t>
  </si>
  <si>
    <t>‏‏‏‏فعال سیاسی و اجتماعی - دهه شصتی - علاقه مند به هنر ماییم و نوای بی نوایی /بسم الله اگر حریف مایی</t>
  </si>
  <si>
    <t>https://pbs.twimg.com/media/DoFjc20W0AAAdIg.jpg</t>
  </si>
  <si>
    <t>پرسپولیسیا یه جمله کوت کنن. خودم؛الانه که کل توییتر قررررمز بشه. استقلالیا چشماتون اذیت نشه یه موقع #دربی #پرسپولیس_سرورِ</t>
  </si>
  <si>
    <t>ماهی خانوم</t>
  </si>
  <si>
    <t>‏‏‏‏‏متناقض نما بودم دست و پا درآوردم میگن دانشجوی ارشد مکانیکم ولی شما باور نکن.😉 اذیتم نکن من وقتی ناراحتم کسی رو ندارم که آرومم کنه</t>
  </si>
  <si>
    <t>thehran.iran</t>
  </si>
  <si>
    <t>شما یادتون نمیاد تا دو سه سال پیش اینایی که الان واسه ما کری میخونن سخت پیگیر لیگهای اروپایی بودن ومیگفتن لیگ ایران ارزش دیدن نداره #استقلال</t>
  </si>
  <si>
    <t>🏴پارادوکس🌟🌟</t>
  </si>
  <si>
    <t>جهان زیر سیگاری من است</t>
  </si>
  <si>
    <t>بازی #دربی هم انجام میشه ما هم دیگه از هیچی تعجب نمی کنیم #دلار</t>
  </si>
  <si>
    <t>kiamehr13627</t>
  </si>
  <si>
    <t>‏یه پسرِ عاشق پرسپولیس و رئال که کصشرم زیاد میگه</t>
  </si>
  <si>
    <t>ایستگاه سبلان - گلشهر</t>
  </si>
  <si>
    <t>https://pbs.twimg.com/media/DoFj0ByU4AE-H8H.jpg</t>
  </si>
  <si>
    <t>تَــکرار میکنیم❤💪 #دربی #پرسپولیس</t>
  </si>
  <si>
    <t>زد اچ 🏆🇩🇪</t>
  </si>
  <si>
    <t>‏‏مرگ برنامه ریزی شده سلول های سورمه ای یک مغزِسیاسی،اجتماعی،و هرچیز گاینده دیگر</t>
  </si>
  <si>
    <t>شروع کنم خون بیارم یا زوده؟؟؟؟ #دربی</t>
  </si>
  <si>
    <t>آپاپتوز 🎩</t>
  </si>
  <si>
    <t>‏‏‏《‏‏‏‏مدهوش نقطه باءبسم الله》</t>
  </si>
  <si>
    <t>قبله تهران</t>
  </si>
  <si>
    <t>https://pbs.twimg.com/media/DoFj2MXXgAECCYA.jpg</t>
  </si>
  <si>
    <t>طرفداران تیم سوم پایتخت کمتر کری بخونید #استقلال</t>
  </si>
  <si>
    <t>سیاه دونه</t>
  </si>
  <si>
    <t>لکن طوری کری نخوانید که بعد از بازی هفته‌ها پیدایتان نشود. #دربی</t>
  </si>
  <si>
    <t>مثل هیچکدام</t>
  </si>
  <si>
    <t>اگه هنوز واستون پشمی مونده ،بشینید و بازی امروز رو ببینید. قطعا همونا هم خواهد ریخت . #دربی #استقلال</t>
  </si>
  <si>
    <t>غریبه ای در شهر</t>
  </si>
  <si>
    <t>‏‏تنها چون مسیرم با شما متفاوت است دلیل نیست گم شده باشم و تنها چون دری وری را تحمل میکنم دلیل نیست به آن اعتقاد داشته باشم .</t>
  </si>
  <si>
    <t>چرا همه قهرمانی های استقلال به قبل از اختراع دوربین برمیگرده؟ #پرسپولیس</t>
  </si>
  <si>
    <t>الف_الف</t>
  </si>
  <si>
    <t>خیلی مهم نیست</t>
  </si>
  <si>
    <t>پرسپولیسی نیستم اما پرسپولیس رو دوس دارم ❤️ #پرسپوليس</t>
  </si>
  <si>
    <t>علیرضای توئیتر</t>
  </si>
  <si>
    <t>http://www.bazareshabake.com</t>
  </si>
  <si>
    <t>ارائه برترین های تجهیزات شبکه در فضای مجازی</t>
  </si>
  <si>
    <t>به نظر شما برنده دربی 88 کدوم تیمه؟ شما طرفدار کدوم تیم هستید؟ #پرسپولیس #استقلال #بازار_شبکه #بازارشبکه #مودم #ایران #تهران #فوتبال #دربی88</t>
  </si>
  <si>
    <t>BazareShabake</t>
  </si>
  <si>
    <t>این استقلالی ها رو که باهاشون مصاحبه میکنن همشون میگن نقطه قوت تیم ما شفر هست😂 یعنی این حرف باید به عنوان بهترین جوک قرن تو تاریخ ثبت بشه. #دربی</t>
  </si>
  <si>
    <t>حر توییتر</t>
  </si>
  <si>
    <t>Tehran, IRAN</t>
  </si>
  <si>
    <t>#استقلال سروره 💙 گفتم یادآوری کرده باشم قبل #دربی</t>
  </si>
  <si>
    <t>Amirhossein Sohani</t>
  </si>
  <si>
    <t xml:space="preserve">‏‏‏من به كنار زدن پرده ها اميدوارم... </t>
  </si>
  <si>
    <t>حدفاصل زهره و مریخ</t>
  </si>
  <si>
    <t>از دوستان تقاضا دارم بذارین یه #دربی برا این ملت بمونه... دولت که غلط خاصی نمیکنه، حداقل بذاریم ملت با برد #پرسپوليس شاد باشند.</t>
  </si>
  <si>
    <t>جهان بین 🏴</t>
  </si>
  <si>
    <t>اگزیستانسیالیسم از نوعِ نیچه , 💙💙استقلالیسم افراطی💙💙,مهندس معماری که هنوز نتونسه زندگی خودشو بسازه</t>
  </si>
  <si>
    <t>سر یه کل کل با یه لنگی برداشتیم زنگ زدیم پندار #توفیقی طبق گفته ی پندار، شخص وزیر مقصر نموندن تیام و جباروف بود، گفت بعد دربی همه چیو میگم.شخص آقای #فتحی هم باند وزیر ورزش هس(طبق گفته ی پندار توفیقی) #استقلال</t>
  </si>
  <si>
    <t>گیلمور(ع)</t>
  </si>
  <si>
    <t>حاشیه های دیدار پرسپولیس و استقلال پلیس زن برای شناسایی هواداران دخترِ پسرنما در ورزشگاه آزادی حضور دارد و چنانچه مورد مشکوکی گزارش شود نسبت به این موضوع ورود می‌کنند. 😒😒😐😐😐 #زن #پرسپوليس #IraniansWantRegimeChange</t>
  </si>
  <si>
    <t>مهندسیم و رسانه ای</t>
  </si>
  <si>
    <t>امروز از اون روزاس كه آخرش با برد شيرين پرسپوليس تموم ميشه. #دربي</t>
  </si>
  <si>
    <t>دارا نثاری🇮🇷</t>
  </si>
  <si>
    <t>فوتبال / پرسپوليس/رئال مادريد</t>
  </si>
  <si>
    <t>يه امروزو بيخيال ارز و دلارو گرونى و مريضى و دارو بى پولى و همه بدبختياى ديگه ى اين مملكت بشيم،ببينيم اين فوتبال ميتونه حالمونو خوب كنه يا نه. #دربى</t>
  </si>
  <si>
    <t>جندقفسكى</t>
  </si>
  <si>
    <t>اصلا تو بگو بی منطق من بی منطق بودن سر #استقلال را دوست دارم این بی منطقی من هزار برابر به منطق خشک زندگی تو می ارزد....</t>
  </si>
  <si>
    <t>#استقلال💙</t>
  </si>
  <si>
    <t>جرئت پیش بینی داشته باشید حتی اگه بعدبازی شیر میشید 😑 پیش بینی من: #استقلال ۲ #پرسپولیس ۱ تبریزی گرو #استقلال منشا #پرسپولیس #پیش_بینی_دربی</t>
  </si>
  <si>
    <t>Hamid Sabetnezhad</t>
  </si>
  <si>
    <t>مُسکن تو این روزا فقط برد #پرسپوليس #دلار #دربی #اعتصاب_کامیونداران #جنگ_اقتصادی</t>
  </si>
  <si>
    <t>https://pbs.twimg.com/media/DoFlXxtUcAAH74V.jpg</t>
  </si>
  <si>
    <t>خوشمزه بازی سایت پربیننده ورزش3 #دلار #دربی</t>
  </si>
  <si>
    <t>بی‌وطن</t>
  </si>
  <si>
    <t>Seattle, WA</t>
  </si>
  <si>
    <t>پرسید چرا تازگی اینقدر نگران #وطن شدی؟ گفتم بار اوله که چند ساعت مونده به #دربی هیچکس از #استقلال #پرسپولیس حرف نمی‌زنه! زنده باد #ارتش‌سرخ</t>
  </si>
  <si>
    <t>https://t.me/HarfBeManBot?start=MTI5MDEzMDU4</t>
  </si>
  <si>
    <t>‏‏‏‏‏‏‏‏‏‏‏‏‏‏خالی میبنده</t>
  </si>
  <si>
    <t>sin city</t>
  </si>
  <si>
    <t>احتمال قوی نتیجه #دربی امشب ی نتیجه فرمایشی مساویه خودتونو خسته نکنین</t>
  </si>
  <si>
    <t>علی بابا</t>
  </si>
  <si>
    <t>http://bankvarzesh.com</t>
  </si>
  <si>
    <t>‏پایگاه خبری تحلیلی ورزشی</t>
  </si>
  <si>
    <t>بالاخره دربی چندم؟ امروز با احتساب دربی دهه چهل که از تاریخ جا مانده است و با لحاظ کردن رای سوپرجام، دربی 89 برگزار خواهد شد. دربی جا مانده از تاریخ با نتیجه مساوی به اتمام رسیده است. #دربی #استقلال #پرسپوليس</t>
  </si>
  <si>
    <t>بانک ورزش</t>
  </si>
  <si>
    <t>دوبار پشت سر هم قهرمان لیگ برتر شدیم کمتر از دو سالِ که ۴تا نثارتون کردیم برای دومین سال پیاپی هم اومدیم نیمه نهایی لیگ قهرمانان آسیا استقلالی جان کُریِت چیه 😂😂😂😂😂😂😂😂 #دربی</t>
  </si>
  <si>
    <t>ورود انواع و اقسام حیوانات از جمله ارزشی و حزب اللهی و مجاهد ممنوع https://t.me/xHarfBot?start=412265493</t>
  </si>
  <si>
    <t>کاش مردا هم یه بار واسه همیشه تصمیم بگیرن و تا زمان باز شدن در استادیم برای خانم ها استادیوم هارو تحریم کنن #دربی</t>
  </si>
  <si>
    <t>جیالیس</t>
  </si>
  <si>
    <t>http://ghanoondaily.ir/</t>
  </si>
  <si>
    <t>‏‏🖎 روزنامه‌نگار‌/ خبرنگار ورزشی‌/ ‏️فوتبال نویس مملکت</t>
  </si>
  <si>
    <t>پلیس زن در #ورزشگاه_آزادی برای شناسایی دختران پسرنما!جهان سوم اینجاست.جاییکه #قانون فقط برای مقابله با مردم اجرا میشه.فقط اگر یک فردعادی ناهنجاری(حتی نه تخلف)داشته باشه،قانون و مامورانش سروکلشون پیدا میشه.هیچ راهکاری برای کم‌شدن‌ ناهنجاری‌ها نیست. فقط #قانون_علیه_مردم #دربی</t>
  </si>
  <si>
    <t>Mohammad</t>
  </si>
  <si>
    <t>#دربی_فقط_اونجاش_که سال 69 فینال لیگ در حالیکه لنگیا با چشم گریان ورزشگاه رو ترک میکردن هواداران #استقلال جشن قهرمانی لیگ و برد دربی رو با هم برگزار می کردن.</t>
  </si>
  <si>
    <t>rasool.m</t>
  </si>
  <si>
    <t>حرف که زیاده، کی گوش بده</t>
  </si>
  <si>
    <t>بشاش تو دربی، دلار داره میشه 20 تومن یا بشاش تو قیمت دلار، امروز دربیه مسئله این است... #‌دربی #پرسپولیس #دلار</t>
  </si>
  <si>
    <t>آنتی گا</t>
  </si>
  <si>
    <t>بنا بر شنیده های خبرنگار بانک ورزش، #استقلال با ترکیب زیر به مصاف #پرسپوليس خواهد رفت. رحمتی، ذکی پور، سهرابیان، منتظری، وریا، چشمی، علی کریمی، اسماعیلی، همام، باقری، مرتضی تبریزی</t>
  </si>
  <si>
    <t>‏‏‏‏‏‏‏‏لایِ درختا که به ارّه میگفتن تقدیر... ‎‎‎‎‎#یاغی_ام ‎‎‎#برانداز_ترین پرسپولیس💪</t>
  </si>
  <si>
    <t>زاده ی شهر هرت</t>
  </si>
  <si>
    <t>https://pbs.twimg.com/media/DoFm7arWkAAt_xy.jpg</t>
  </si>
  <si>
    <t>یعنی ایندفه پاس میده یا هتریک میکنه؟ 😞 #دربی</t>
  </si>
  <si>
    <t>خنزر پنزری 🇮🇹</t>
  </si>
  <si>
    <t>@sadeghZibakalam اینگونه نیست که حاکمیت هررفتاری داشته باشدسایرکشورهاوازهمه مهمترمردم موظف و مکلف باشندبرعهدی که بسته اندبمانند.مردم برای استقرار #حاکمیت_ملی ،#استقلال و #آزادی وبرعلیه #فساد و #تبعیض قیام کردند.حالاهیچیک را نداریموفسادو تبعیض راهم به حداکثر داریم.کدام دوئل؟کدام پیروزی؟</t>
  </si>
  <si>
    <t>Payamsafipur</t>
  </si>
  <si>
    <t>دیشب بارسا باخت با پاس گل رئیس پیکه، لیورپول هم بازی برده رو باخت حذف شد الان فقط باخت استقلال میتونه این آخر هفته رو برام لذت بخش تر کنه #پرسپوليس</t>
  </si>
  <si>
    <t>اینجا گرگها هم افسردگی مفرط گرفته اند دیگر گوسفند نمی درند به نی چوپان دل می سپارند و گریه می کنند</t>
  </si>
  <si>
    <t>اینکه امروز #دربی هست و دیگه شاهد کل کل های کسشر و مسخره نیستیم و اکثر مردم درد #آینده و کشور رو دارن یعنی اوضاع عوض شده و داریم راه رو درست میریم #اعتراضات_سراسری</t>
  </si>
  <si>
    <t>گرگ سياه🐺</t>
  </si>
  <si>
    <t>فعلا در همین حد بگم که: ⛔️مجاهد⛔️عرزشی⛔️ری استارت⛔️</t>
  </si>
  <si>
    <t>امروز دربیه و به نظرم ورزشگاه پتانسیل بسیار خوبی برای شعار دادن و بیان اعتراض مردم رو داره و میتونه صدای مردم ایران رو به همه جهان برسونه و کسایی که فکر میکردن فقط خودشون با این اوضاع مشکل دارن بفهمن تنها نیستن و اون ها هم به صف براندازان بپیوندن...#دربی #IraniansWantRegimeChange</t>
  </si>
  <si>
    <t>گربه نره</t>
  </si>
  <si>
    <t>Don't Worry, Evolution Will Take Care of It!</t>
  </si>
  <si>
    <t>England, United Kingdom</t>
  </si>
  <si>
    <t>نیت کردم امروز فقط راجع به #دربی بنویسم</t>
  </si>
  <si>
    <t>FalschNote</t>
  </si>
  <si>
    <t>یک رباته متخصص تفکر در مسائل الکی - خود تومخی درست کن - تا ابد ⚫️⚪️ #forzajuve #finoallafine</t>
  </si>
  <si>
    <t>https://pbs.twimg.com/media/DoFndemXcAAmsF1.jpg</t>
  </si>
  <si>
    <t>این #آزادی ک #آزاد نیست رفتن نداره حتی اگه بازی #استقلال #پرسپولیس باشه</t>
  </si>
  <si>
    <t>اِلْ پْیْبْه</t>
  </si>
  <si>
    <t>بنظر شما نتیجه ی #دربی چه خواهد شد ؟ بانوان گرامی : نتیجه ی مورد نظر خود را همراه با سن،شهرمحل سکونت،میزان تحصیلات به دایرکت ارسال نمیایید اقایان : نظر خود را روی کاغذی نوشته و در ماتحت خود فرو نمایید برنده شب چهارم صاحب هزار پوند انگلیس خواهد شد #پرسپولیس #استقلال 😂😂</t>
  </si>
  <si>
    <t>‏‏‏‏‏‏بی قیمتم و جز تو خریدار ندارم ...</t>
  </si>
  <si>
    <t>این همه حرمله ریخته تو عربستان و اسراییل ، این همه شمر اونجان ، این همه علی اصغر تو یمن پر پر میشه ، بعد شما به فکر #دربی هستی ؟! پس چیشد اون همه توییت # پیام _ حسین ؟!! #جرائم_امريكا_وحلفائها_باليمن</t>
  </si>
  <si>
    <t>گمنام</t>
  </si>
  <si>
    <t>‏‏‏‏به راه بادیه...</t>
  </si>
  <si>
    <t>جهت «بشوره ببره» امروز، منتظر برد #پرسپولیس توی #دربی هستم :))</t>
  </si>
  <si>
    <t>سرهنگ اُلی</t>
  </si>
  <si>
    <t>‏‏یه بیوی خوب یه‌ بیوی نانوشتست</t>
  </si>
  <si>
    <t>کرج</t>
  </si>
  <si>
    <t>فقط اونجاش که استقلال سه تا امروز از سرورش #پرسپولیس میخوره و من از #اسنپ‌ گوشی برنده میشم لطفا!</t>
  </si>
  <si>
    <t>لویجی أعظَم</t>
  </si>
  <si>
    <t>@sangarban @m_Dusttt @Hosseinmoqadasi @sm_1361 @FathAlichah @shafaeieisa @Zahrashakeri1 @seyedporia @masoudasadi67 @z_aspartam @MostafaPirhaya3 @Leila100ri خیلی متاسف شدم که #استقلال السد را شکست نداد و به نیمه نهایی نرسید بعد با خودم گفتم احتمالا عمدا از السد باختن(3-1درخانه؟؟؟) چون میدونستن به #پرسپولیس بخورن باختشون حتمی هست اونم باختی که پرسپولیس را به فینال میرسونه پس گفتند: از السد حذف بشیم بهتره تا با پرسپولیس ضایع شیم #دربی</t>
  </si>
  <si>
    <t>https://pbs.twimg.com/media/DoFoCAnXUAA-BVW.jpg</t>
  </si>
  <si>
    <t>پرسپولیس خیلی مغرور شدی بلایی که سرت میاد این عکسه #استقال_سرورته #دربی</t>
  </si>
  <si>
    <t>توی محل کارم نسبت قرمز به آبی۴۰نفر به ۲نفره. ما ۲نفر هم که عملا یکی هستیم، چون اون یکی شنبه که اومد مثلا میگه وااااااای مگه #دربی بودددد؟؟؟!!! خدایا خودت نزار توی این اوضاع شیر تو شیر مملکت بازی رو ببازیم، جان خودت روا نباشد ۴۰ تا به یکی</t>
  </si>
  <si>
    <t>اندر حكايت يك حيرونِ وليونِ مات و مبهوتِ هپروتيِ فوتبالپرست، در آستانه ى ٣٠سالگى</t>
  </si>
  <si>
    <t>برايم اين پريشون حالى* ها يعنى عبادت تورا جانا به حد بت پرستى دوست دارم. #پرسپوليس *اينجا مقصود شاعر(توييت كننده) از پريشون حالى، استرس قبل فوتبال مى باشد.</t>
  </si>
  <si>
    <t>آقاىِ مات در هَپَروت🇩🇪</t>
  </si>
  <si>
    <t>http://arvancloud.com</t>
  </si>
  <si>
    <t>Cloud Solutions for online businesses: CDN, Cloud DNS, Cloud Security, VoD Platform, Live Streaming, Video Ads, Cloud Compute, Cloud Storage.</t>
  </si>
  <si>
    <t>https://pbs.twimg.com/media/DoFojRJWkAAa5aV.jpg</t>
  </si>
  <si>
    <t>http://Bit.ly/2OTvBlk</t>
  </si>
  <si>
    <t>⚽ پخش زنده‌ی #دربی امروز را ساعت ۱۸:۳۰ بر بستر #آروان ببینید. لینک تماشای آنلاین:</t>
  </si>
  <si>
    <t>ArvanCloud</t>
  </si>
  <si>
    <t>Ɓє тнє яєαѕση ѕσмєσηє вєƖιєνєѕ ιη тнє gσσɗηєѕѕ σf ρєσρƖє🌸☺️</t>
  </si>
  <si>
    <t>از بچگی #دربی که بود کل خانواده جمع میشدیم با هم بازی رو می دیدیم کلی کل کل میکردیم و خوش میگذروندیم ولی یه دو سه سالی هست که دیگه هیچی مثل قبل نیست چه بلایی سرمون اومده که دلخوشی نداریم بر باعث و بانیش لعنت</t>
  </si>
  <si>
    <t>Mori varid</t>
  </si>
  <si>
    <t>https://telegram.me/harfbzanbot?start=4drjXwV</t>
  </si>
  <si>
    <t>‏‏گیلِ دختر❤ عاشق قهوه خصوصا موکا، کتاب،فیلم،موسیقی، ابرهای پنبه ای،آسمون،بارون،آزادی،برابری #پرسپولیسم❤</t>
  </si>
  <si>
    <t>https://pbs.twimg.com/media/DoFpECUWkAAQd01.jpg</t>
  </si>
  <si>
    <t>#NewProfilePic به امید یه بازی خوب و برد #پرسپولیس</t>
  </si>
  <si>
    <t>🍩☕Mocha☕🍩</t>
  </si>
  <si>
    <t>‏‏‏‏‏ 18 s پرسپولیسی</t>
  </si>
  <si>
    <t>https://pbs.twimg.com/media/DoFpD4NWkAARnLg.jpg</t>
  </si>
  <si>
    <t>#پرسپولیس #پرسپولیس_سرور_استقلالِ #دربی</t>
  </si>
  <si>
    <t>ماهان❣️</t>
  </si>
  <si>
    <t>‏‏‏‏‏‏‏‏‏‏‏نادر از هند نبرد آنچه تو بردی ز دلم... | ‎#دانشجومعلم | به دنبال آرزوی محالم</t>
  </si>
  <si>
    <t>#دربی #دربى٨٨ #استقلال #پرسپوليس کسایی که نمی‌خوان تایملانشون شلوغ شه این هشتگا رو میوت کنن یه بارم اصل کلمه رو فیلتر کنن</t>
  </si>
  <si>
    <t>‏‏والنسیا عشق است پرسپولیس جان است کاپتان پارخو</t>
  </si>
  <si>
    <t>بی حس ترین #دربی تاریخ رو هم تجریه داریم میکنیم چیه این نظام که فوتبالو هم سر کرده</t>
  </si>
  <si>
    <t>dani parejo⁦</t>
  </si>
  <si>
    <t>‏‏‏کسشعر گوی برگزیده سال</t>
  </si>
  <si>
    <t>یه جوری حساسیت دربی کم شده انگار بهش آنتی هیستامین دادن (لنگی نباشیم) #دربی</t>
  </si>
  <si>
    <t>سباستین فتل</t>
  </si>
  <si>
    <t>@Beth7876 امروز که روز #دربی هست باید بگم احتمالا پرسپولیس میبازه اگه هم نبازه مساوی میشه که اگه مساوی بشه همه کفری میشن</t>
  </si>
  <si>
    <t>برو بگو خدات بیاد</t>
  </si>
  <si>
    <t>هرچی به #دربی نزدیک میشیم تپش قلب من بیشتر میشه :/</t>
  </si>
  <si>
    <t>لاولاک💙</t>
  </si>
  <si>
    <t>یه جلمه ای بود که تو کل دنیا فقط طرفداران پیروزی اونو درک کردن 《همه چی از شوت فرشید شروع شد》 #استقلال</t>
  </si>
  <si>
    <t>https://t.me/harfbemanbot?start=MjU5MDg2OQ</t>
  </si>
  <si>
    <t>‏‏‏‏‏ِ ‏‏‏‏بیفکرِ منطقی؛ احترام بین ماها گمشده</t>
  </si>
  <si>
    <t>https://twitter.com/__JohnTaylor__/status/1045211961103912960</t>
  </si>
  <si>
    <t>+ارتش سرخ آسیا -ارتشی که جام آسیایی نداره؟ +قهرمانیتون توتیمای درجه3بود -چراشماروتوتیمای درجه3 راه ندادن؟ +ستاره مابه سبک ایتالیاست -عجیبه ستاره انقد فشارمیاره، ایتالیا؟اگه 5تا قهرمانی داشت میشدسبک آلمان؟ +ما 6تا زدیم -فتح که 6تا زدبه پرسپولیس تیم بزرگتریه؟ ادامه دارد... #دربی RT @__JohnTaylor__: + اخرين قهرمانيتون كى بوده؟ - ما دو تا ستاره داريم + تا حالا بك تو بك قهرمان ايران شدين؟ - ما دو تا ستاره داريم + تا حالا شده از هر تيمى ٦ تا نخورين؟ - ما دو تا ستاره داريم باشه #خاله_ستاره :))) #دربى٨٨</t>
  </si>
  <si>
    <t>امیدو</t>
  </si>
  <si>
    <t>English Literature | Untracked in Book Press| Playwright | Perspolis | Madridista |</t>
  </si>
  <si>
    <t>یکی علیپور میزنه که منشا پاسش ر میده، یکی احمد میزنه جر میده *-* #دربی</t>
  </si>
  <si>
    <t>HamiDRezA</t>
  </si>
  <si>
    <t>#دربی_فقط_اونجاش_که اسطوره پرسپولیس بین دو نیمه به بازیکنان #استقلال التماس میکنه بیشتر بهشون گل نزنن.</t>
  </si>
  <si>
    <t>آنچه یافت می نشود آنم آرزوست</t>
  </si>
  <si>
    <t>اگر امروز #پرسپولیس استقلالو ببره دیگه #استقلالی ها هیچ دلخوشی ندارن و امشب #انقلاب میکنن🤣🤣</t>
  </si>
  <si>
    <t>سامی ام</t>
  </si>
  <si>
    <t>@ahmad_slr68 #پرسپولیس</t>
  </si>
  <si>
    <t>ونلوپه</t>
  </si>
  <si>
    <t>pic.twitter.com/k5ux8ojrAA</t>
  </si>
  <si>
    <t>#پرسپولیس خسته فرزین #دربی یادمه بدلیل انقلابی بودن والدین،دسترسی به این کاستهانداشتیم و طرفداری فوتبال در دهه۶۰هم در شأن‌شان نبود:)لذا درکودکی روزی۱۰بار با دایی تماس میگرفتم و از او میخواستم پرسپولیس خسته را از پشت تلفن پلی کند. موزیک هم ژانر آهنگهای انقلابی گلریز را تداعی میکند</t>
  </si>
  <si>
    <t>https://facebook.com/officialaliashini</t>
  </si>
  <si>
    <t>مهندس عمرانی که دست بر قضا نويسنده، شاعر، ترانه سرا نیز هست! زاده ١٧ امرداد. همین Married 💍💙 Esteghlal</t>
  </si>
  <si>
    <t>اين ميزان نااميدي خشم نفرت رو شما حرومزاده ها تو دل حداقل سي ميليون نفر هوادار #استقلال گذاشتيد تف به شرف نداشتتون... رونوشت به: #وزير_ورزش و آقازاده حرامزادش #افتخاري #توفيقي و باقي #قلم_فروشان #دلالان_رسانه</t>
  </si>
  <si>
    <t>Ali Ashini</t>
  </si>
  <si>
    <t>‏‏‏‏‏‏‏‏ یه نیمچه فیلسوف ِ حقوق خوان که قراره خانم وکیل آینده باشه با چاشنیه قضاوت دروکالتِ خودش!</t>
  </si>
  <si>
    <t>شَـــــهـــــرِ راز</t>
  </si>
  <si>
    <t>اگه خدا بخواد 6 ساعت دیگه مرز هارو باز میکنیم ، فقط بین نیمه مجبوریم ببندیم که بعضی ها فرار نکنن برن ترکیه! #دربی</t>
  </si>
  <si>
    <t>فکیلسوف</t>
  </si>
  <si>
    <t>کیستم؟؟!!!! یک تکه تنهایی......!!!!</t>
  </si>
  <si>
    <t>ایران مازندران</t>
  </si>
  <si>
    <t>@nima_farzaneh بشینم ۶ تایی هامونو بشمرم؟؟؟ #پرسپولیس</t>
  </si>
  <si>
    <t>maryam</t>
  </si>
  <si>
    <t>http://facebook.com/asmaerfanifar</t>
  </si>
  <si>
    <t>‏‏آنچه پایانی ندارد نه تویی و نه من، این انسانیت است که تا ابد فریاد کشیده خواهد شد. ‎‎#Nanotechnology ‎‎#solar_cells ‎‎#solid_state_physics</t>
  </si>
  <si>
    <t>#پرسپولیس 🔴🔴🔴🔴🌷🌷</t>
  </si>
  <si>
    <t>asma erfanifar</t>
  </si>
  <si>
    <t>یکی از افتخارات(بخوانید حسرت‌ها)ی زندگیم اینه که دو سال با پایان رأفت همکار بودم و ازش نپرسیدم اونجا چی به پرویز برومند گفتی مرررد. #دربی</t>
  </si>
  <si>
    <t>Product Manager, DBA candidate (Doctorate of Business Administration) نمی‌خوام محصول دنیای اطرافم باشم،می‌خوام دنیای اطرافم محصول من باشه!👩🏼‍💻</t>
  </si>
  <si>
    <t>۱-۰ برد #پرسپولیس #دربی۸۸ RT @PerspolisFCIran: کمتر از ۱۲ ساعت تا شروع دربی! چه حسی دارین و به نظرتون این بازی با چه نتیجه ای به پایان میرسه؟ #پرسپولیس</t>
  </si>
  <si>
    <t>Sarah Helmzadeh</t>
  </si>
  <si>
    <t>Iran, mazandaran, sari</t>
  </si>
  <si>
    <t>امروز اصلا شبیه روزی که قراره #دربی برگزار بشه نیست، یعنی دیگه #فوتبال م حواسمونو از #بدبختیامون پرت نمیکنه! 😔 #پرسپولیس #استقلال</t>
  </si>
  <si>
    <t>Javad Emdadi</t>
  </si>
  <si>
    <t>http://www.tasnimnews.com</t>
  </si>
  <si>
    <t>Tasnim News Agency</t>
  </si>
  <si>
    <t>https://pbs.twimg.com/media/DoFsncwU4AEoPUY.jpg</t>
  </si>
  <si>
    <t>📸 نظرسنجی عجیب سایت #ورزش۳ درباره نتیجه #دربی امروز و ارتباط آن با کاهش و افزایش قیمت #دلار! #پرسپولیس #استقلال</t>
  </si>
  <si>
    <t>خبرگزاری تسنیم 🇮🇷</t>
  </si>
  <si>
    <t>http://T.me/arefsmart/</t>
  </si>
  <si>
    <t>وكيل عدليه</t>
  </si>
  <si>
    <t>دربي تهران كدام استقلال،كدام پرسپوليس دلخوشي كوچك #دربى٨٨ #پرسپولیس</t>
  </si>
  <si>
    <t>Arefmasouditabar</t>
  </si>
  <si>
    <t>I'm a human not a sandwich</t>
  </si>
  <si>
    <t>ینی امروز شفر چند بار دست تو دهنش میکنه سوت بزنه؟ بازیکنای استقلال مگه گوسفندن سوت میزنی :)))) #دربی</t>
  </si>
  <si>
    <t>شین شین</t>
  </si>
  <si>
    <t>http://t.me/ill3gals</t>
  </si>
  <si>
    <t>با #دکتر_همه_چی_دون مشکلات میشه شکلات. با ما به جنگ جهل بروید. متفکر در تمامی امور. فالو=معمولا بک. لینک آنفالویاب https://whounfollowedme.org</t>
  </si>
  <si>
    <t>بیاید بیاید این زیر #ببندیم سر #برد #تیم #استقلال یا #پرسپولیس ، پیشنهاد بدید #شرط چی‌ باشه تا ساعت ۳، ازون به بعد میبندیم #مردونه پاشم وایمیسیم، #ریتوییت کنین همه =)</t>
  </si>
  <si>
    <t>🗿سایکولوجیست روانی🗿</t>
  </si>
  <si>
    <t>https://www.lunato.net</t>
  </si>
  <si>
    <t>همش كه نبايد ترسيد، راه كه بيفتيم ترسمان ميريزد ....</t>
  </si>
  <si>
    <t>یه حس غریبی میگه امروز ۵ تا میزنیم شایدم بخوریم #دربی #پرسپولیس</t>
  </si>
  <si>
    <t>mehdi</t>
  </si>
  <si>
    <t>http://orosie.ir/</t>
  </si>
  <si>
    <t>«از تو چه پنهان» این اسم کتابم بود</t>
  </si>
  <si>
    <t>pic.twitter.com/f9c8hv7lij</t>
  </si>
  <si>
    <t>این منم وقتی درباره #دربی حرف می‌زنن 😁</t>
  </si>
  <si>
    <t>مجید ترکابادی</t>
  </si>
  <si>
    <t>https://www.instagram.com/alirezadarvishgholami</t>
  </si>
  <si>
    <t>‏‏‏منتقد به هرچی که قابل نقد باشه/ اینستاگرامم⬇️</t>
  </si>
  <si>
    <t xml:space="preserve">🇮🇷 Tehran, Damavand </t>
  </si>
  <si>
    <t>https://pbs.twimg.com/media/DoFteZPXcAYp15X.jpg</t>
  </si>
  <si>
    <t>من وقتی میفهمم یکی استقلالیه #دربی</t>
  </si>
  <si>
    <t>علیرضا درویش غلامی 🇮🇷</t>
  </si>
  <si>
    <t>https://pbs.twimg.com/media/DoFtuweXsAE-Mfw.jpg</t>
  </si>
  <si>
    <t>من وقتی میفهمم یکی پرسپولیسیه #دربی</t>
  </si>
  <si>
    <t>مترصد رسيدن تووپ.. طرفدار انسانيت ، حق ، منطق</t>
  </si>
  <si>
    <t>خارج از جو</t>
  </si>
  <si>
    <t>هيچوقت نفهميدم وقتي ميتوني انتخاب كني كه طرفدار #پرسپوليس باشي چه فعل و انفعالاتي تو مغزت رخ ميده كه ميري استق لالي ميشي...</t>
  </si>
  <si>
    <t>متــرصــــد..</t>
  </si>
  <si>
    <t>من آن سنگم که دیوانه‌ای به چاه انداخت...</t>
  </si>
  <si>
    <t>#پرسپولیس امروز سوراخه اسکرین بگیر</t>
  </si>
  <si>
    <t>مسعود اینجاست</t>
  </si>
  <si>
    <t>‏‏‏‏‏‏‏‏‏‏‏‏‏‏‏‏‏‏‏‏‏‏‏‏‏‏‏‏‏‏‏‏‏‏‏‏‏‏‏‏‏‏‏‏‏‏‏‏‏‏‏‏‏‏حمال کت و شلواری _ منطق ستیز 💙</t>
  </si>
  <si>
    <t>زیر سایه مرتضی علی پدرام هوشنگ</t>
  </si>
  <si>
    <t>#استقلال جان در این بلبشو دلارو اوضاع تختماتیک مملکت تو لاقل بزن لنگو بترکون شاید فرجی شد #دلار کشید پایین 💙💙💙💙💙💙💙💙💙💙💙💙💙💙💙💙💙💙💙💙💙💙💙💙💙💙💙💙💙💙💙💙💙💙💙💙💙💙💙💙💙💙💙💙💙💙💙💙💙💙💙💙💙💙💙💙💙💙💙💙💙💙💙💙💙💙💙💙💙💙💙💙💙💙💙💙💙💙💙💙💙💙💙💙💙</t>
  </si>
  <si>
    <t>ی ایرانی عصبی</t>
  </si>
  <si>
    <t>https://pbs.twimg.com/media/DoFuXH7XUAAsGS7.jpg</t>
  </si>
  <si>
    <t>جای رب چین چین خالیه! #استقلال_پرسپولیس #استقلال #پرسپولیس #دربی</t>
  </si>
  <si>
    <t>Saeid Koushki</t>
  </si>
  <si>
    <t>ما انقد این سه سال روزای خوب و تجربه کردیم اونم تو آسیا که واقعا دربی جذابیت قبل و نداره ، من بیشتر استرس بازی السد و دارم 🤦🏼‍♀️اگه امروز خوب بازی نکنیم کاملا طبیعیه چون برامون آسیا مهمتره وگرنه ما همون تیمی هستیم که السد و بردیم امان از نتیجه شما، امان😂#کیسه #کشون #داریم</t>
  </si>
  <si>
    <t>http://instagram.com/abolfazl_b_313</t>
  </si>
  <si>
    <t>‏‏‏‏‏‏‏‏‏‏‏‏‏‏‏‏‏‏🍃ابدا والله ما ننسی حسینا🍃سیدالشهدا به ما آموخت بهترین معنای زندگی شهادت در راه خداست. . . . . . . . . . طلبگی ام را افتخار_عشق سیاست ‎‎‎‎‎</t>
  </si>
  <si>
    <t>🔊خبر فور مرز های زمینی، هوایی،دریایی تا ساعت ۸ شب بسته میشوند. بخاطر اینکه استقلالی ها از دربی فرار نکن که برن ترکیه.((((: #استقلال #پرسپوليس</t>
  </si>
  <si>
    <t>طلبه اصلاح گرا🇮🇷</t>
  </si>
  <si>
    <t>‏‏‏‏فرزند سوم مهربان ترین رفتگر دنیا درتلاش برای بهترین بابای دنیا شدن</t>
  </si>
  <si>
    <t xml:space="preserve">آواره ی کوی و برزن  </t>
  </si>
  <si>
    <t>#دربی #خاطره سیدمحمد آدمی بود فراتر از یک کدخدای ساده، هنوز نوکر و کلفت داشت و خانه‌اش با همان سیستمی اداره میشد که در دربار قاجار مرسوم بود.صبح به صبح عده‌ای می‌آمدند برای بوسیدن دستش تاکمر خم می‌شدند وخواهشی که داشتند را مطرح می‌کردند.حرف زدن با او البته باترس ولرز بود.</t>
  </si>
  <si>
    <t>هذیان گو</t>
  </si>
  <si>
    <t>زُهــیر باش دلم! تا به کربـلا بـرسـی... | #بخر_ما_را_اربعین |</t>
  </si>
  <si>
    <t>یعنی امروز قراره دوباره ۴ تایی شون کنیم؟؟؟ #پرسپولیس</t>
  </si>
  <si>
    <t>أَمـیری‌حُــسِــیـنٌ🍂</t>
  </si>
  <si>
    <t>امروز دربی داریم روز پر از استرس و هیجان امیدوارم آخر این قصه آبی باشد #استقلال #دربی</t>
  </si>
  <si>
    <t>yashar_king</t>
  </si>
  <si>
    <t>كاش ميدونستيم كه نميدونيم ...</t>
  </si>
  <si>
    <t>Google Map</t>
  </si>
  <si>
    <t>امروز #دربی #مهدی_طارمی ریدم تو روحت همینجوری</t>
  </si>
  <si>
    <t>Ki?Arash</t>
  </si>
  <si>
    <t>‏آزادگی درس بزرگ کربلا</t>
  </si>
  <si>
    <t>حالمون که حسابی خرابه با این دولت #امید. پرسپولیس بهتره چند تا بزنه تا حالمون خوب بشه؟ #پرسپولیس #استقلال #دولت امید #روحانی #جنگ نمیشود مذاکره نمیکنیم</t>
  </si>
  <si>
    <t>اباذر  abazar</t>
  </si>
  <si>
    <t>روزنامه نگار گلونی‌نویس http://Golvani.ir</t>
  </si>
  <si>
    <t>https://pbs.twimg.com/media/DoFvl9VXkAAntOh.jpg</t>
  </si>
  <si>
    <t>جای #رب چین چین خالیه #دربی #استقلال #پرسپولیس #روحانی</t>
  </si>
  <si>
    <t>Meysamkarimiمیثم کریمی</t>
  </si>
  <si>
    <t>حساب رسمی متریکا، مرجع آماری فوتبال ایران http://metrica.ir https://t.me/metricasports https://www.instagram.com/metrica.ir/</t>
  </si>
  <si>
    <t>https://metrica.ir/site/content/559</t>
  </si>
  <si>
    <t>متریکا برای #دربی امروز صفحه ویژه‌ای دارد و می‌توانید با دنبال کردن آن آمارهای کاربردی از بازیکنان دو تیم را با هم مقایسه کنید. بازی را حرفه‌ای‌تر ببینید:</t>
  </si>
  <si>
    <t>metrica_ir</t>
  </si>
  <si>
    <t>‏‏‏‏‏‏‏‏شرط هواداری ما /شیدایی و شوریدگیست / گریار ما خواهی شدن /شوریده و شیدا بیا /</t>
  </si>
  <si>
    <t>همسایه ی استاد شهرام ناظری🎼🎼</t>
  </si>
  <si>
    <t>فقط برد امروز #پرسپولیس میتونه این هفته ی خراب و حالگیر و نامرد رو برام به فراموشی بسپاره .</t>
  </si>
  <si>
    <t>pareshan</t>
  </si>
  <si>
    <t>عاشق فوتبال⚽️⚽️ 🔴⚫️ پرسپولیس و میلان #جمهوری_خواهم</t>
  </si>
  <si>
    <t>پیش بینی من مساوی یا برد #پرسپولیس در بازی #دربی هست خط دفاعی خوبی که داریم و کمال کامیابی نیا اون وسط نباختن رو برای ما تضمین میکنن،امیدوارم بقیه هم فراتر از حد انتظار باشن به امید پیروزی</t>
  </si>
  <si>
    <t>گانچی</t>
  </si>
  <si>
    <t>‏‏‏‏‏‏‏مدیرمسئول دوهفته نامه 'سلام مدیر' ┃ ┃ System Dynamics Analyzer, Planner, Writer, Violinist</t>
  </si>
  <si>
    <t>دربی ۸۸ #سبز برنده است. . . . #دربی #دربى٨٨ #هشتادوهشت</t>
  </si>
  <si>
    <t>DaniZandi.ir</t>
  </si>
  <si>
    <t>توصیه روز : حتما #دربی را ببینید و از #برد_استقلال لذت ببرید. تمااااااام</t>
  </si>
  <si>
    <t>‏‏دریغ است ایران که ویران شود کنام پلنگان و شیران شود</t>
  </si>
  <si>
    <t>چرا نمیاید یه بار ورزشگاه رفتن رو تحریم کنیم و بگیم تا خانما نیان ماهم نمیریم ؟ #دربی #تحریم</t>
  </si>
  <si>
    <t>آنتی ضحاک</t>
  </si>
  <si>
    <t>https://pbs.twimg.com/media/DoFwiwiXsAAO6Je.jpg</t>
  </si>
  <si>
    <t>این است مردونگی پرسپولیسی هاااا #پرسپوليس #اهواز</t>
  </si>
  <si>
    <t>@fattaneh1982 جونم فقط #استقلال</t>
  </si>
  <si>
    <t>Ali</t>
  </si>
  <si>
    <t>#دربی امروز را پیشبینی کنید...</t>
  </si>
  <si>
    <t>https://telegram.me/HarfBeManBot?start=NzkzMDYxNjc</t>
  </si>
  <si>
    <t>‏‏‏‏بیو نمنه دی؟ آردان گلیبدی؟! منافقین خلق🚫</t>
  </si>
  <si>
    <t>#دربی دیگه چه عنیه؟؟ ولمون کنید بابا اه اه اه اه😷😷😷😷😷😷😷</t>
  </si>
  <si>
    <t>کنستانتین تسیولکفسکی</t>
  </si>
  <si>
    <t>مترجم/پشت سياهى هاى دنيامان سياهى بود</t>
  </si>
  <si>
    <t>اصولا پست گذاشتن و توييت كردن راحته اما به وقت عمل هرچى دنبال اين دوستان "چرا آزادى آزاد نيست" ميگرديم پيداشون نميكنيم!استاديوم قراره خود به خود آزاد شه يا شما يخ ميكنى از زير لحاف بياى بيرون دوست عزيز؟ #زنان_ورزشگاه #دربى</t>
  </si>
  <si>
    <t>manizheh</t>
  </si>
  <si>
    <t>متولد چله تابستون و روز جهاني شير مادر</t>
  </si>
  <si>
    <t>https://pbs.twimg.com/media/DoFxMnEX0AAxdxc.jpg</t>
  </si>
  <si>
    <t>ننويسيد رادوشوويچ،بنويسيد باغيرت.❤️ اولين نفر تو تمامي خوشحالي بعد از گل ها حضور داره،متعصب و جنگنده حتي روي نيمكت،بي شك بايد اسمش كنار باغيرت هاي پرسپوليس تو تاريخ بمونه... #بوژيدار_رادوشوويچ #پرسپوليس #باغيرت #متعصب</t>
  </si>
  <si>
    <t>moji</t>
  </si>
  <si>
    <t>‏‏‏‏‏‏آتش نشانی سوخت ٫ کجای کاری ؟؟ {ریتوییت کنید ٫ اینجا مگه اینستاگرامه لایک میکنید ؟؟ ... به هر حال به خودتون مربوطه}</t>
  </si>
  <si>
    <t>Tehran - Castel Of Mr Hasan</t>
  </si>
  <si>
    <t>طرفدار کدومشونی ؟ #پرسپولیس #استقلال #دربی</t>
  </si>
  <si>
    <t>علی دایی</t>
  </si>
  <si>
    <t>همیشه سکوت علامت رضایت نیست...</t>
  </si>
  <si>
    <t>امروز نه روز شعار برای پرسپولیسه نه روز شعار برای استقلاله، امروز روز فریاد زدن از درد مردمه، مردمی که انگار دیگه از زور درد بی حس شدن! #فردا_استادیوم_آزادی #دلار #دربی</t>
  </si>
  <si>
    <t>nooshin</t>
  </si>
  <si>
    <t>pic.twitter.com/r83MN0AXhJ</t>
  </si>
  <si>
    <t>رنگ قرمز رنگ عشقه... 😍💕💗 #پرسپولیس #پرسپولیس_قهرمان #دربی</t>
  </si>
  <si>
    <t>"بك دهنده اي براي تمام فصول" بسيار تحصيل كننده، بسيار شنا كننده، بسيار پيانو نوازنده، بسيار سفر رونده، بسيار دنده به دنده، بسيار چرا نميخنده؟؟؟</t>
  </si>
  <si>
    <t>تهران دست راست</t>
  </si>
  <si>
    <t>يكي كه بگه بپوش بريم استاديوم چيه؟ همونم نداريم #دربي</t>
  </si>
  <si>
    <t>💙دخترك فوتبال پرست💙</t>
  </si>
  <si>
    <t>حال و حوصله #دربی رو هم ندارم</t>
  </si>
  <si>
    <t>Lavamind</t>
  </si>
  <si>
    <t>‏من صدای سبز خاک سربی ام *صدایی که خنجرش رو به خداست *صدایی که توی بهت شب دشت *نعره ای نیست ولی اوج یک صداست*</t>
  </si>
  <si>
    <t>امروز با اینکه تاریکی زودتر فرا میرسد ولی آسمان ایران آبی تر از همیشه خواهد بود. #استقلال #دربی</t>
  </si>
  <si>
    <t>tony montana</t>
  </si>
  <si>
    <t>‏‏به برهوت حقیقت خوش آمدید...! ما خانه ب دوشیم، تیم اس اس ب دو عالم نفروشیم 💙👑💙</t>
  </si>
  <si>
    <t>همین گوشه کناره ها</t>
  </si>
  <si>
    <t>pic.twitter.com/zPQFEpwCG4</t>
  </si>
  <si>
    <t>https://twitter.com/oofski/status/1045239338798370816/video/1</t>
  </si>
  <si>
    <t>#فرهاد_مجیدی وقتی ب لنگ گل میزد علی کریمی ناخوناشو لاک میزد 🌟💙💙👑💙💙🌟 #شاه_فرهاد #استقلال #عشق #دربی</t>
  </si>
  <si>
    <t>ـــوفسکی :/</t>
  </si>
  <si>
    <t>درسته این روزها گرانی نمیزاره حالمون خوب باشد, اما این دلیل نمیشود استقلال پرسپولیس را نبرد #استقلال #دربی #پرسپولیس</t>
  </si>
  <si>
    <t>http://telewebion.com</t>
  </si>
  <si>
    <t>پخش زنده و آرشیو تلویزیون</t>
  </si>
  <si>
    <t>https://pbs.twimg.com/media/DoFxuuSWsAAFdLx.jpg</t>
  </si>
  <si>
    <t>http://www.telewebion.com/live/tv3</t>
  </si>
  <si>
    <t>🔵🔴 جدال آبی و قرمز در آزادی با #تلوبیون هرجا که هستی #دربی امروز رو تماشا کن ساعت ۱۸:۳۰ #پخش_زنده شبکه ۳ 👇  #استقلال #پرسپوليس</t>
  </si>
  <si>
    <t>تلوبیون</t>
  </si>
  <si>
    <t>آبانی😎 پرسپولیسی❤ آریایی💪</t>
  </si>
  <si>
    <t>@TheAFCCL @PerspolisFCIran عشق منی برانکو❤ بت شکنی برانکو❤ #برانکو #پرسپولیس</t>
  </si>
  <si>
    <t>Akbar Mohamadi</t>
  </si>
  <si>
    <t>سريع محكم به چپ.</t>
  </si>
  <si>
    <t>https://pbs.twimg.com/media/DoFyONCWsAEUS6O.jpg</t>
  </si>
  <si>
    <t>من دو تا شيطان رجيم سر كلاس دارم كه امروز به طرز عجيبي ساكت بودن و شلوغ نميكردن وختي رفتم ته كلاس قهميدم سرگرمي جديدشون به مناسبت #دربي چيبوده كه ساكتن 🤦🏻‍♂️ #معلمي</t>
  </si>
  <si>
    <t>*..صددص..*</t>
  </si>
  <si>
    <t>http://ostadkar.pro</t>
  </si>
  <si>
    <t>‏‏سینا عربشاهی، مهندسی عمران (ارشد سازه)، فعال سیاسی</t>
  </si>
  <si>
    <t>https://pbs.twimg.com/media/DoFyR5ZVsAEdPI4.jpg</t>
  </si>
  <si>
    <t>مقایسه فاکتورهای فنی #پرسپولیس و #استقلال در #لیگ_هجدهم #لشکر_سرخ</t>
  </si>
  <si>
    <t>sina arabshahi</t>
  </si>
  <si>
    <t>❤️مادر - پرسپوليس- على كريمى❤️ “ خداوندا سرنوشتم را طوری قرار بده تا مادرم از ته دل بخندد “</t>
  </si>
  <si>
    <t>https://pbs.twimg.com/media/DoFyodiXcAAFMv9.jpg</t>
  </si>
  <si>
    <t>در آستانه #دربی یادی کنیم از کسی که ۳ گل و ۲ پاس گل در دربی از خودش ثبت کرده بود ولی هیچوقت،هیچ ادعایی نداشت و آروم بود و آروم هم رفت. سه سال از رفتنش میگذره و دربی دلش برای یکی از محجوب‌تریت دربی‌بازها تنگ شده یادت گرامی #آقای_هادی_نوروزی آقای شماره‌ی #بیست‌و‌چهار</t>
  </si>
  <si>
    <t>navid_AK8</t>
  </si>
  <si>
    <t>‏یا رب تو کلید صبح در چاه انداز</t>
  </si>
  <si>
    <t>https://pbs.twimg.com/media/DoFys1SUYAE4nxr.jpg</t>
  </si>
  <si>
    <t>نظرسنجی سایت ورزش سه برد استقلال و افزایش قیمت دلار؟ برد پرسپولیس و افزایش قیمت دلار؟ ...... #دربی #دربى٨٨</t>
  </si>
  <si>
    <t>Abbas.Reader</t>
  </si>
  <si>
    <t>⁦🇮🇷⁩ 🇮 🇷 🇦 🇳 ⁦🇮🇷⁩</t>
  </si>
  <si>
    <t>تا ساعتی دیگه #دربی شروع میشه بنظرم بازی جذابی باشه #PER #PERSEPOLIS</t>
  </si>
  <si>
    <t>🇸 🇮 🇦 🇭 🇦 🇹 🇬 🇦 🇷</t>
  </si>
  <si>
    <t>شهر تو شهرفرنگ ولی من بی خانمان لابلای مردگان شهرمنگ کوله بارت آسمان پرستاره من ولی باپای لنگ کوله بارم خوابهای تکه پاره راه ما ازهم جداست آسمانهامان دوتاست</t>
  </si>
  <si>
    <t>شهرفرنگ</t>
  </si>
  <si>
    <t>#ایران تنها کشوریکه اجازه حضور زنان به استادیوم فوتبال رو نمیده ی لحظه فکر کن « تنها کشور » یعنی چی ): #دربی</t>
  </si>
  <si>
    <t>👓شهرفرنگ</t>
  </si>
  <si>
    <t>یه فوتبال واسمون مونده بود که هیجان و استرسش تو وضعیت آشغالی زندگیمون حل شده. #پرسپولیس #دربی</t>
  </si>
  <si>
    <t>‏‏معجزه ماییم که هنوز زنده ایم !</t>
  </si>
  <si>
    <t>جوری استقلالی ها میگن اسیا تخصص ماست که رئال با ۳ قهرمانی لیگ اروپا نمیگه لیگ اروپا تخصص ماست :// #استقلال #پرسپولیس</t>
  </si>
  <si>
    <t>ℳostمــصطفــ🎓ــیafa</t>
  </si>
  <si>
    <t>http://instagram.com/matinazizi16</t>
  </si>
  <si>
    <t>‏‏‏‏‏‏‏‏‏‏‏‏‏‏‏‏‏‏‏‏‏‏ایرانی🇮🇷 دانشجوی مهندسی شهرسازی. علاقمند به فوتبال، موتو جی پی و فرمول یک. فیلمباز. طرفدار سپاهان، رُم و ایتالیا.</t>
  </si>
  <si>
    <t>Iran, Isfahan</t>
  </si>
  <si>
    <t>pic.twitter.com/9INiRUXH4o</t>
  </si>
  <si>
    <t>حس و حال اصفهانی ها برای #دربی امروز :)))💛</t>
  </si>
  <si>
    <t>Matin</t>
  </si>
  <si>
    <t>عرزش و مجاهد⛔️</t>
  </si>
  <si>
    <t>اقايوني كه ميريد ورزشگاه امروز خيلي خوش به حالتون باشه 😞 #دربی</t>
  </si>
  <si>
    <t>بانو لاگرتا☺️</t>
  </si>
  <si>
    <t>‏‏ارشد مهندسی فوتونیک/هنوز تصمیمی برای Ph.D داخل یا خارج از ایران نگرفتم!!</t>
  </si>
  <si>
    <t>تو دنیای زمین و توپ رنگی یه پرسپولیس داریم به چه قشنگی ❤❤❤❤❤❤ #دربی</t>
  </si>
  <si>
    <t>🍁🍂انتظار بانو🍁🍂</t>
  </si>
  <si>
    <t>http://blog.wonderfulMe.eu</t>
  </si>
  <si>
    <t>‏‏‏برنامه نویس بدبخت، علاقمند به اندروید. گیتار فقط فندر، صدا فقط گیلمور</t>
  </si>
  <si>
    <t>Nimmerland</t>
  </si>
  <si>
    <t>بازی ساعت ۵ شروع میشه. من ساعت ۱۷:۴۵ وقت دندون دارم. نمیدونم تیز برم خونه نیم ساعت اول رو ببینم و بعدش برم تو سکوت رادیویی یا اصلا نبینم و از ساعت ۵ برم تو سکوت؟ گرفتار شدیما #پرسپوليس #دربی</t>
  </si>
  <si>
    <t>مُحَسْ</t>
  </si>
  <si>
    <t>کاش بودی😏</t>
  </si>
  <si>
    <t>نفر آخر #زیر_پل</t>
  </si>
  <si>
    <t>بازی #دربی امروز اصلان حال نمیده, چون قرار مساوی تموم بشه😒</t>
  </si>
  <si>
    <t>نفر آخر</t>
  </si>
  <si>
    <t>رشت ـ ایران</t>
  </si>
  <si>
    <t>https://pbs.twimg.com/media/DoFz10yXoAAcrOS.jpg</t>
  </si>
  <si>
    <t>امروز مصاف تاکتیک و تکنیک در حاشیه اند. امروز مصاف انگیزه هاست #دربی #پرسپوليس #persepolis</t>
  </si>
  <si>
    <t>Alireza Moayedifar</t>
  </si>
  <si>
    <t>قرمزته_قمرزمه_قرمزشه💘 #دربی</t>
  </si>
  <si>
    <t>لردان</t>
  </si>
  <si>
    <t>http://www.mizanonline.ir/sports</t>
  </si>
  <si>
    <t>خبرنگار ورزشي| جسارت تا وقتي تبديل به حماقت نشه خوبه!! جسور باش براي نوشتن حقيقت ولي لجن پراكن نباش!</t>
  </si>
  <si>
    <t>https://pbs.twimg.com/media/DoF0PVeXoAACA_-.jpg</t>
  </si>
  <si>
    <t>يك لحظه فكر كنيد الان تو اين مملكت #پرسپوليس #استقلال #دربي و اصلا فوتبال وجود نداشت!! چی میشد؟! . تو اين شرايط پر از فساد، رانت، تبعیض که کاسه صبر مردم در حال لبریز شدنه، فوتبال شده تنها سرگرمی خیلی ها! این دو‌ تا تیم هم که‌ دولتی هستن و اسیر مصلحت اندیشی و سیاست های خاص!</t>
  </si>
  <si>
    <t>حسين قهار</t>
  </si>
  <si>
    <t>دارم میرم استادیوم ولی خدا شاهده بیادتونم و جاتون بسی خالی ایشالله #دربی بعد همه با هم میریم #زنان‌درآزادی #زنان_استادیوم #نه_به_تبعیض_جنسیتی #پرسپولیس</t>
  </si>
  <si>
    <t>فوتبال(رئال،پرسپولیس)،تنیس(نادال)،ادبیات(مارکز)،فیلم(کوبریک)</t>
  </si>
  <si>
    <t>Shiraz</t>
  </si>
  <si>
    <t>سايت #نود بازيكنان منتخب #داربى هاى گذشته رو انتخاب كرده.اسامى يه دنيا حرف داره!!! #پرسپوليس عابدزاده،پيروانى،هاشمى نسب،استيلى،مهدوى كيا،كريمى،كلانى،ايرانپاك، بهزادى #استقلال طالب لو،فرزاد مجيدى،اميرحسين صادقى،ورمزيار،فكرى،جبارى،جبارى،قلعه نويى،فرهادمجيدى،مرفاوى،مظلومى</t>
  </si>
  <si>
    <t>M_Rasti</t>
  </si>
  <si>
    <t>https://pbs.twimg.com/media/DoF0Yy9XoAAyHUO.jpg</t>
  </si>
  <si>
    <t>بازم مثل همیشه،#استقلال برنده میشه! #تاج #قهرمان #ملت است؛ با تمام #ظلمی که #کاربدستان #لنگی #نظام #اسلامی به آن می‌کنند! #viva #taj #viva #esteghlal</t>
  </si>
  <si>
    <t>Nima Nasserabadi</t>
  </si>
  <si>
    <t>‏‏‏‏‏‏ ‏‏‏الحُکمُ لِلّه</t>
  </si>
  <si>
    <t>اونموقع که #استقلال از جوبیلو ایواتای ژاپن باخت من از شدت ناراحتی و غم یکی دو روز غذا نخوردم و کارم به بیمارستان کشید. الان خیلی به هیچ‌جام نی ولی از باخت پرسپولیس در هر میدانی و رقابتی لذت میبرم</t>
  </si>
  <si>
    <t>ابورئوف</t>
  </si>
  <si>
    <t>اگر #پرسپولیس امروز برد من به میمنت این پیروزی نصف توییتر رو شام میدم! :) #میم_سعید_طور [ صدای اسکرین برخی بزرگان :| ]</t>
  </si>
  <si>
    <t>https://pbs.twimg.com/media/DoF0jepWsAAGQnn.jpg</t>
  </si>
  <si>
    <t>#دربی</t>
  </si>
  <si>
    <t>‏‏خنک آن قماربازی که بباخت هر چه بودش بنماند هیچش الا هوس قمار دیگر</t>
  </si>
  <si>
    <t>بچگیام یه هفته قبل دربی از استرس شبا خوابم نمیبرد و کابوس میدیدم. اکثر دربیها رو یا زیر سرم بودم یا از شدت تب تکون نمیتونستم بخورم. بعضیاشم که با تب ۴۰ درجه تو استادیوم بودم. پرسپولیس واسه ماها یه تیم نیست خود خود زندگیه. #پرسپوليس</t>
  </si>
  <si>
    <t>Badbadak</t>
  </si>
  <si>
    <t>یک ندانم گرا ساده</t>
  </si>
  <si>
    <t>https://pbs.twimg.com/media/DoF0z0eXUAY4sBW.jpg</t>
  </si>
  <si>
    <t>به سلامتی سه تیم #پرسپوليس #پرسپولیس #پرسپوليس</t>
  </si>
  <si>
    <t>kakoo shirazi</t>
  </si>
  <si>
    <t>https://pbs.twimg.com/media/DoF1Dv9W0AAm8-0.jpg</t>
  </si>
  <si>
    <t>کاپیتان پاشو دربی داریم😢😢 #پرسپولیس #استقلال #دربی #هادی_نوروزی ریتوییت به یاد کاپیتان ابدی</t>
  </si>
  <si>
    <t>امان از دستت اى مقام معظم برترى/ مقام از دستت اى امان معظم/ كه مقام از تو برآيد از دستت/ دستت ! ...</t>
  </si>
  <si>
    <t>با وضعيت فعلى، #دربى امروز ميتونه يه آشوب اساسى تو تهران درست كنه. ما ديگه چيزى واسه از دست دادن نداريم، چرا وقتى صدهزارنفرمون با پتانسيل آشوبگرى يه جا جمعيم، يه حركتى نكنيم؟ جور ديگه اى ميشه وضعو تغيير داد؟</t>
  </si>
  <si>
    <t>💨بادبودك</t>
  </si>
  <si>
    <t>چه دل خجسته‌ای دارین که تو این وضع مزخرف می‌رین استادیوم. خوش به‌حالتون به قرآن! #دربی</t>
  </si>
  <si>
    <t>مادام موسيو</t>
  </si>
  <si>
    <t>‏‏‏‏برادرِ ناخلفِ بزرگ علوی</t>
  </si>
  <si>
    <t>خیابان۵۷ انتهای بن بست ۲۲ بهمن</t>
  </si>
  <si>
    <t>یه موقعی یه هفته قبل از دربی کری بود و کل کل اما الان همه نگران امرار معاششونن و کسی دیگه چیزی نمیگه تمام شور و نشاط زندگی رو ج ا گرفت اَزمون... #زنان‌در‌آزادی #پرسپولیس ❤️ #استقلال #دربی</t>
  </si>
  <si>
    <t>کوچک صفوی</t>
  </si>
  <si>
    <t>‏‏عرزشی و مجاهد، فالو نکنن!/ از بی ادبی ام مقابل ارزشی ها، از سایرین عذرخواهی میکنم./ ‎#برانداز_معتدل / مهندس برق / متولد 1360</t>
  </si>
  <si>
    <t>https://twitter.com/SadeghNikoo/status/1045239802080239616</t>
  </si>
  <si>
    <t>به عنوان یک پرسپولیسی، یک تار موی گندیده ی یک ضدانقلاب تاجی ر با 60 هزار قلاده عرزشی هم عوض نمیکنم! #IraniansWantRegimeChange #دربی #پرسپولیس #استقلال RT @SadeghNikoo: @rezahn56 ما از اول با تاجی‌ها و ساواکی‌ و ضدانقلاب مشکل داشتیم ❤</t>
  </si>
  <si>
    <t>یوونتوسی</t>
  </si>
  <si>
    <t>FINANCIAL MARKET TRADER / MUSIC AND BOOK LOVER / #coffee LOVER / I NEVER GIVE UP/ متاهل و متعهد😍😍</t>
  </si>
  <si>
    <t>اى كسانى كه #استقلال رو مسخره ميكنيد....ميدونيد تعداد بردهاى استقلال تو دربى ها بيشتر از #پرسپوليس مى باشد... 💙💙💙</t>
  </si>
  <si>
    <t>payam</t>
  </si>
  <si>
    <t>https://pbs.twimg.com/media/DoF1rFWV4AEX_Fh.jpg</t>
  </si>
  <si>
    <t>ايران را تَكـرار شما بر باد داد😊 ما تَكرار نميكنيم، خاطرات جديد و قشنگتر ميسازيم😊 #استقلال</t>
  </si>
  <si>
    <t>saba</t>
  </si>
  <si>
    <t>سال٧٢ #دربى تو نيم فصل اول انجام نشد نيم فصل دومم انجام نشد جالبه فصل بهار انجام نشد فصل تابستون و پاييز هم انجام نشد حتى فصل زمستون هم انجام نشد چون تيمى به اسم #استقلال تو سطح اول ليگمون نبود جالبه حتى سطح دوم هم نبود ولى بى انصافيه نگيم تو دسته٣،دربى رو با پورا تهران بازى كرد</t>
  </si>
  <si>
    <t>رهگذرى در نقش دانشجوى دكتراى مهندسى ... به همین بی‌ربطی، به همین گم‌گشتگی</t>
  </si>
  <si>
    <t>در جدال سرخ‌آبی، جای دختران خالی ... #دربى #زنان #ورزشگاه</t>
  </si>
  <si>
    <t>زهرا پیشگاهی‌فرد</t>
  </si>
  <si>
    <t>‏‏‏‏‏‏‏‏دنبال عیبی به آینه نگاکن نه ذره بین☺قلمت رابردار🖍بنویس ازهمه خوبیها😍 زندگی،عشق،امید😄وهرآنچه زیباس🌷گلمریم گل یاس🌷روی کاغذبنویس زندگی باهمه تلخیهایش</t>
  </si>
  <si>
    <t>https://twitter.com/saramosavi8/status/1045218288727470080</t>
  </si>
  <si>
    <t>سلام برمحرم سلام برحسین(ع) خون ما و شما در هم آمیخته؛ ایران و عراق جدا شدنی نیستند #دربی #نحن_إخوة RT @saramosavi8: به کوری چشم @AlinejadMasih @PahlaviReza @Maryam_Rajavi و هرچی برعندازه در مشهد عراقی ها و ایرانی ها برادرانه حول حرم رضوی می گردند و امشب بنا دارند #دربی را در کنار هم ببینند . #دربى٨٨</t>
  </si>
  <si>
    <t>یاس رازقی</t>
  </si>
  <si>
    <t>روزمرگی های یک ناشاعر...🇮🇷</t>
  </si>
  <si>
    <t>وصیتی از پدرم مانده بجا می گویم آسمان غیرت اگر داشت نمیشد آبی ❤️خدابیامرز دوآتیشه قرمز بود❤️ #پرسپولیس #استقلال</t>
  </si>
  <si>
    <t>‌‌‌‌‌‌‌‌‌‌‌❖﷽‌❖</t>
  </si>
  <si>
    <t>https://pbs.twimg.com/media/DoF3EiaVAAAhqqp.jpg</t>
  </si>
  <si>
    <t>تو خدای من در زمین و آسمونی تو خدای من در خشکی و آبی تو خدای من در منظومه و کهکشانی تو خدای من در ایران و خارجی تو برام زندگی هستی #پرسپولیس</t>
  </si>
  <si>
    <t>‏‏‏‏‏‏‏‏یک عدد آرشیتکت بیکار :)</t>
  </si>
  <si>
    <t>خیلی زیباااااا ملت ایران با #دربی امروز #دلار_خداتومنی، وضعیت معیشتی، اقتصاد فلج، سخنرانی روحانی و تحریم های آبان ماه رو فراموش کردن حافظه ماهی ی صور زده به حافظه ایرانی! #IraniansWantRegimeChange</t>
  </si>
  <si>
    <t>مریمونه</t>
  </si>
  <si>
    <t>https://pbs.twimg.com/media/DoF3gMVXcAUTBwa.jpg</t>
  </si>
  <si>
    <t>#باهم، آماده پیروزی در دربی #استقلال #دربی #داربی</t>
  </si>
  <si>
    <t>@YeganehKhodami #دربی یه مُسکن چند ساعته ست تو این وضعیت برای ما</t>
  </si>
  <si>
    <t>‏‏‏‏‏‏‏‏‏‏‏‏‏یه عشقِ فوتبالِ پرسپولیسی رئالیِ همه چی نویس ಠ_ಠ</t>
  </si>
  <si>
    <t>شوروی سابق</t>
  </si>
  <si>
    <t>pic.twitter.com/VaGhbfNNg1</t>
  </si>
  <si>
    <t>تو روزای خوب تو روزای بد همیشه باهاتم قسم میخورم ❤️❤️❤️ #پرسپولیس ❤️</t>
  </si>
  <si>
    <t>کُلُنِل</t>
  </si>
  <si>
    <t>‏‏‏‏‏‏دیگران چون بروند از نظر از دل بروند/تو چنان در دل من رفتی که جان در بدنی ❤ MIA SAN MIA ❤</t>
  </si>
  <si>
    <t>#دربی که توش #حنیف_عمران‌_زاده نباشه اصلا دربی نیست |=</t>
  </si>
  <si>
    <t>Ashkaney</t>
  </si>
  <si>
    <t>https://twitter.com/yaas_razeqi/status/1045247325436858369
https://twitter.com/saramosavi8/status/1045218288727470080</t>
  </si>
  <si>
    <t>اختلافی هم اگر داریم یکدستیم ما بین طوفان ها همیشه پشت هم هستیم ما شک نکن پایش بیوفتد جنگ هرکس می رویم بی محابا تاخود بیتُ المُقَدَس می رویم #حب_الحسین_یجمعنا #دربی RT @yaas_razeqi: سلام برمحرم سلام برحسین(ع) خون ما و شما در هم آمیخته؛ ایران و عراق جدا شدنی نیستند #دربی #نحن_إخوة</t>
  </si>
  <si>
    <t>آدم برای فراموش کردن سختی ها، نیاز داره برای ساعتی هم که شده درگیر یک موضوع داغ و هیجانی باشه. مثل امروز که میشه با دیدن #دربی برای 2 ساعت هم که شده، یادت بره #دلار چنده! به امید پیروزی پر گل #پرسپولیس ♥️💖</t>
  </si>
  <si>
    <t>‏‏‏هویت ملی رمز وحدت ملی</t>
  </si>
  <si>
    <t>non</t>
  </si>
  <si>
    <t>@shafaeieisa فقط با برد #پرسپولیس موافقم</t>
  </si>
  <si>
    <t>⁦🇮🇷⁩محمدرضا کاظمی⁦⁦🇮🇷⁩</t>
  </si>
  <si>
    <t>💓مهر ماهی ام💓</t>
  </si>
  <si>
    <t>https://pbs.twimg.com/media/DoF30ZbXoAEuTzm.jpg</t>
  </si>
  <si>
    <t>کاری به قرمز و آبیش ندارم، مرسی که هستی #قرمز #آبی #دربی</t>
  </si>
  <si>
    <t>Hossein Ferdovsi</t>
  </si>
  <si>
    <t>ظاھــــرے آرام دارد باطن طوفـــانے ام:))) ⚖ ‌دانشجوی حقوق📚</t>
  </si>
  <si>
    <t>محبوب من؛ درحالیکه امروزهمه مشغول پرداختن به دربی و کری خواندن برای هم هستند، من همچنان به شما فکرمیکنم... راستی محبوبم! من هنوز نمیدانم شما استقلالی هستید یا پرسپولیسی؟ حتی این را نمیدانم که اصلا شما کی هستید! :))) بیخیال هر کی که هستید! کاش بودید دربی را باهم میدیدم=( #دربی</t>
  </si>
  <si>
    <t>ทαяgεรร</t>
  </si>
  <si>
    <t>https://pbs.twimg.com/media/DoF4FVYWkAA8FNg.jpg</t>
  </si>
  <si>
    <t>اين تيمم شايسته احترام نيست عايااااا ❤️👑💪🏻 #پرسپوليس #دربي</t>
  </si>
  <si>
    <t>#پرسپوليس چیکارش میکنه؟! #دربی</t>
  </si>
  <si>
    <t>لولی وش مغموم،سنگ تیپا خورده،دشنام پست آفرینش</t>
  </si>
  <si>
    <t>بین زمین و آسمون</t>
  </si>
  <si>
    <t>این ستاره ای که #پرسپولیس رو پرچمش زده مال قهرمانی لیگ قهرمانان اروپاست؟ آخه تا یادمه تو آسیا به فینالم نرسیده تا حالا!!! #دربی_۸۷ #استقلال</t>
  </si>
  <si>
    <t>Bee_man</t>
  </si>
  <si>
    <t>عكاسى در مطبوعات باند بازى بود تصميم گرفتم عكاس خيابان شوم /من يه بَبرِ كوردَم/شاگرد مكتب حجازى</t>
  </si>
  <si>
    <t>pic.twitter.com/QVQUxMArRR</t>
  </si>
  <si>
    <t>#دربی_فقط_اونجاش_که همیشه تو استادیوم وقتی این شعار رو میخوندیم به اسم #ناصر_حجازی که میرسید چشام پر از اشک میشد. یادش گرامی #استقلال</t>
  </si>
  <si>
    <t>سَژّاد</t>
  </si>
  <si>
    <t>مانور اقتدار و نمایش امنیت نظام پیش از شهراورد تهران آغاز شد. #دخترگیرون #استقلال #پرسپولیس</t>
  </si>
  <si>
    <t>مهدی بختی</t>
  </si>
  <si>
    <t>http://favstar.fm/users/r33zaa</t>
  </si>
  <si>
    <t>‏‏‏‏‏‏‏‏‏‏‏‏‏‏‏‏‏‏‏‏‏‏‏‏‏‏‏‏‏‏‏‏‏‏افسوس که بیفایده فرسوده شدیم</t>
  </si>
  <si>
    <t xml:space="preserve">#دارالمجانین </t>
  </si>
  <si>
    <t>اس‌تخ‌لالیهای عزیز، شرمنده روی ماهتونم، امیدوارم سنگینی باخت رو بتونین تحمل کنین #دربی</t>
  </si>
  <si>
    <t>عموریضا</t>
  </si>
  <si>
    <t>http://telegram.me/ghalam_student</t>
  </si>
  <si>
    <t>دانشجوی کارشناسی مهندسی صنایع شریف نیمه فعال دانشجویی پیگیر سیاست دوستدار و دلسوز انقلاب اسلامی متأهل و بابای فاطمه هدی خانوم♥</t>
  </si>
  <si>
    <t>این #استقلال ، آماده ترین ستقلالِ بعد از انقلابه برای شیش تایی شدن دوباره 😂</t>
  </si>
  <si>
    <t>🇮🇷MrNaraghi</t>
  </si>
  <si>
    <t>یه پرسپولیسی قدیمی , ارادتمند همیشگی سلطان کانتونا</t>
  </si>
  <si>
    <t>ورزشگاه آزادی , جایگاه ۳۶</t>
  </si>
  <si>
    <t>https://pbs.twimg.com/media/DoF9CrgWkAgMkEH.jpg</t>
  </si>
  <si>
    <t>پرسپولیس امسال ترکیبی هست از تعصب پرسپولیس دهه ۵۰ ، مرام و معرفت پرسپولیس دهه ۶۰ و یکرنگی پرسپولیس دهه ۷۰ . این تیم تمام فاکتور های لازم برای ثبت در تاریخ داره. از اینکه شاهد این نسل فوق العاده پرسپولیسیم به خودمون می بالیم #پرسپوليس</t>
  </si>
  <si>
    <t>سلطان کانتونا</t>
  </si>
  <si>
    <t>@xmaridax خالا فعلا تا نتیجه ی #دربی مشخص نشده ابی میزارم و استقلالیم تا ببینم بعدش چی میشه</t>
  </si>
  <si>
    <t>‏‏‏‏‏‏‏‏‏‏‏‏‏‏از نشانه‌های آدم‌های مهربون اینه که فقط جلد دوم برادران کارامازف رو تو قفسه کتاباشون دارن...</t>
  </si>
  <si>
    <t>https://pbs.twimg.com/media/DoF90tYUwAA-KGe.jpg</t>
  </si>
  <si>
    <t>قوبونتون برم منم پرسپولیسی ام....❤ ولی احساساتتون و کنترل کنید ... برو داخل ماشین... الان تا کمر از پنجره ماشین آویزون شدی اتفاقی برات نیفته گلم😂😂🙏 #پرسپوليس</t>
  </si>
  <si>
    <t>سالیوان</t>
  </si>
  <si>
    <t>باید عرض کنم هیچوقت از کُری خونی خاطره خوبی ندارم و همیشه رفته تو پاچم پس سکوت می‌کنم #دربی</t>
  </si>
  <si>
    <t>Soheilgohari🇮🇷</t>
  </si>
  <si>
    <t>http://joorchin.co</t>
  </si>
  <si>
    <t>Digital Marketing Agency آژانس دیجیتال مارکتینگ جورچین</t>
  </si>
  <si>
    <t>https://pbs.twimg.com/media/DoF9wq8X0AAnpS6.jpg</t>
  </si>
  <si>
    <t>#دربی۸۸ #پرسپولیس #استقلال #ترددیلا #بازاریابی_محتوا #bestofJoorchin #riddle client: @tordillachips</t>
  </si>
  <si>
    <t>Joorchin</t>
  </si>
  <si>
    <t>‏‏‏‏‏‏‏‏‏‏‏‏‏‏‏‏‏‏‏پشت این نقاب چیزی فراتر از جسمه پشت این نقاب آرمانه و آرمان ها ضد گلوله اند ‎‎‎‎‎‎‎‎‎‎‎‎‎‎‎‎‎‎‎ ‎‎‎‎#آگنوستیک ‏‏‏‏‏‏‏‏‏‏‏‏‎#براندازم</t>
  </si>
  <si>
    <t xml:space="preserve">سراسر وطن </t>
  </si>
  <si>
    <t>کیا فوتبالین اونم عشق #دربی</t>
  </si>
  <si>
    <t>Sasar🏳️</t>
  </si>
  <si>
    <t>https://pbs.twimg.com/media/DoF90SlUUAEL8s-.jpg</t>
  </si>
  <si>
    <t>بلیت فروشی در #ورزشگاه_آزادی آغاز شد #دربى٨٨ #استقلال #پرسپولیس</t>
  </si>
  <si>
    <t>freedom ✌🏾مهربونا فالو کنین یخورده بریم بالا</t>
  </si>
  <si>
    <t>والا اینقدر رو مردم فشار گذاشتین که یه بازی #دربی که دلخوشیشون بودم از تب و تاب افتاده چجوری اینقدر #حرومزاده این؟!</t>
  </si>
  <si>
    <t>sickmiiind</t>
  </si>
  <si>
    <t>@xmaridax اره امیدوارم یه اتفاق جنجالی بیفته و یه هیجانی باشه . جدی اصن هیچ حس دربی نیس . ما هر سال با رفیقامون کلی جر و بحث و کوری امسال هیچکس تخمش نی دربی 😂😂 این سطح دایورت بودن و بی تفاوتی نسبت ب #دربی بی سابقس</t>
  </si>
  <si>
    <t>#دربی امشب یه مسعله نشنال سیکیوریتیه عزیزان</t>
  </si>
  <si>
    <t>اگه بازی #دربی بخواد مطابق شرایط کشور باشه اینجوریه که ثانیه اول پرسپولیس یه گل میزنه ثانیه سوم میشه چهار گل بعد ازثانیه پنجم پیستونهای استقلال اعتصاب میکنن و قحطی مهاجم بوجود میاد بعد مربیا میگن این خوبه نیم دوم بدبخت میشیم دروازبان اصلا گیر نمیاد</t>
  </si>
  <si>
    <t>قربانی ادوار</t>
  </si>
  <si>
    <t>https://telegram.me/joinchat/AAAAAEC2PWOlpFop1f17Bw</t>
  </si>
  <si>
    <t>Photoshop | Aftereffects | Python | Developer of http://t.me/RetweetBot | Acc.RT: @HsiN_RT</t>
  </si>
  <si>
    <t>کف تایم لاین</t>
  </si>
  <si>
    <t>یکی از دلایلی که برای اکانتم تیک آبی نگرفتم اینه که آبی بود! #پرسپوليس</t>
  </si>
  <si>
    <t>🏴❤ HsiN ❤🏴</t>
  </si>
  <si>
    <t>https://telegram.me/HarfBeManBot?start=NzEyMDU2MjU</t>
  </si>
  <si>
    <t>جامانده از دی ماه ۹۴</t>
  </si>
  <si>
    <t>@zmr_275l نه بابا جفتشون سوراخن هم #پرسپولیس هم #پیروزی 😂😂😂</t>
  </si>
  <si>
    <t>محمد</t>
  </si>
  <si>
    <t>همون قمارباز خُنُک</t>
  </si>
  <si>
    <t>ما از دلمون خوشمون واسه #دربی کل‌کل نمیکنیم، کری میخونیم شاید دلمون خوش بشه</t>
  </si>
  <si>
    <t>masoud abed</t>
  </si>
  <si>
    <t>معمار پرسپولیسی-منچستری، بسیار هدر دهنده زمان!</t>
  </si>
  <si>
    <t>Tehran/Isfahan</t>
  </si>
  <si>
    <t>می‌گه استقلال می‌بره یا پرسپولیس؟! به نظرم همه بازی‌هایی که ما آدام همتی رو می‌فرستیم توو زمین برنده‌ایم حتی اگر ببازیم. #پرسپوليس</t>
  </si>
  <si>
    <t>بی‌نــــــام</t>
  </si>
  <si>
    <t>‏فرزند تئودر٬ ارباب قلمرو روهان واقع شده در سرزمین میانه ‌ ‏‏‏‏‏‏‏‏‏ ‌‌پرسپولیس‌❤️ بهمن</t>
  </si>
  <si>
    <t>دوستم از ترس اینکه دربیو ببازن میخواد گیم نتشو ببنده که مشتریاش بهت تیکه نندازن بعد توی تلگرام راه به راه پست #دربی مال ماست میفرسته دقیقا میشه با مفهوم واژه شاخ‌مجازی اشنا شد اینجا:-)</t>
  </si>
  <si>
    <t>تئودن</t>
  </si>
  <si>
    <t>http://www.telecomnews.ir</t>
  </si>
  <si>
    <t>‏‏کارشناس ارشد علوم ارتباطات اجتماعی و دانشجو ، شاغل و مشغول در حوزه تلکام ، صاحب امتیاز و مدیرمسئول تلکام نیوز و مهمتر از همه بابای رها</t>
  </si>
  <si>
    <t>@violet37210 @zdemiurge مگه استقلال هنوز هم هست ؟ جدی بازی هم میکنه ؟ #دربی #استقلال #پرسپولیس</t>
  </si>
  <si>
    <t>بابای رها</t>
  </si>
  <si>
    <t>https://pbs.twimg.com/media/DoF_hCyXUAACY-h.jpg</t>
  </si>
  <si>
    <t>داریم‌به لحظات ملکوتی دربی نزدیک و نزدیک تر میشیم به امید برد #پرسپولیس_جانم #پرسپولیس_سرور_استقلالِ #دربی</t>
  </si>
  <si>
    <t>https://dalghakirani.blogspot.co.uk/</t>
  </si>
  <si>
    <t>ماسکم فلسفی و ده ساله برند است و نه برای پنهان شدن. شناسنامۀ نظامیم در وبلاگم و عکس بدون ماسکم در فیسبوکم موجود است.</t>
  </si>
  <si>
    <t>چند توصیه به آبیا تاجیا! 1- اگر قلبتان ضعیف است ازرفتن به استادیوم خودداری کنید. 2- بچه ها را با افسانه های ستاره داریم ویک روزی تیم واقعاً بزرگی هم بودیم سرگرم کنید تا ازباخت امروز شوکه نشوند ! 3- خودتان را یک گوشه ای قایم کنید. 4- به انصاف پروفسور دل ببندید وخرافات رحمتی! #دربی</t>
  </si>
  <si>
    <t>Dalghak.Irani</t>
  </si>
  <si>
    <t>https://pbs.twimg.com/media/DoF_kfMWkAARSx5.jpg</t>
  </si>
  <si>
    <t>من وقتی میفهمم یکی فوتبال نگاه میکنه #دربی #استقلال #پرسپولیس</t>
  </si>
  <si>
    <t>خبرنگار</t>
  </si>
  <si>
    <t>تو اين اوضاع افتضاح اقتصادي مملكت، دلم به تو پيرمرد خوشه ٧٤ سالگي #استقلال</t>
  </si>
  <si>
    <t>hamidreza behdad</t>
  </si>
  <si>
    <t>ای قاضی این مردم چی میگن؟آزادی آزادی آزادی.. !مجاهد و عرزشی فالو کنن ریپورت میشن!</t>
  </si>
  <si>
    <t>نافرمانی های مدنی خود را به داخل استادیوم ها بکشانیم چرا که بستری مناسب برای شنیدن صدای ملت است #دربی #براندازم #IraniansWantRegimeChange #اعتصاب_کامیونداران #اعتراضات_سراسری #پرسپولیس #استقلال</t>
  </si>
  <si>
    <t>پیکی بلایندرز</t>
  </si>
  <si>
    <t>پرسپولیسی جماعت رو با هر مرام و مسلکی باید دوست داشت. حتی اگه #برانداز هم باشه، امید به برگشتش خیلی زیاده. اما تاجی جماعت درست بشو نیست! احتمال عاقبت به خیری اینا خیلی کمه :)) #دربی</t>
  </si>
  <si>
    <t>❤I love cars. .....t.me/xHarfBot?start…</t>
  </si>
  <si>
    <t>iran.tehran</t>
  </si>
  <si>
    <t>نظرتون????? #دربی</t>
  </si>
  <si>
    <t>Mr.sh</t>
  </si>
  <si>
    <t>‏‏‏‏‏‏‏‏‏‏‏‏‏‏‏‏‏‏‏‏‏‏‏‏‏‏‏‏‏‏‏‏‏‏‏‏‏‏‏‏‏‏‏‏‏‏‏‏‏‏‏‏‏‏‏‏‏‏‏‏‏‏‏‏‏‏‏‏‏‏‏‏‏‏‏‏‏‏‏‏‏«یک عدد خسته ی درگیر فوتبال و تام هاردی » ‏‏‏‏‏‏‏‏‏‏‏‏‏‏‏‏ |92:48</t>
  </si>
  <si>
    <t>خونه آقای هاردی</t>
  </si>
  <si>
    <t>میشه امروز کاری کنی غم و غصه هامونو فراموش کنیم عشقم؟؟ #پرسپولیس</t>
  </si>
  <si>
    <t>ایتس می</t>
  </si>
  <si>
    <t>https://pbs.twimg.com/media/DoF_5-gX0AEXmHt.jpg</t>
  </si>
  <si>
    <t>دوستان عزیز، دربی پایتخت امروز برگزار خواهد شد. احتمال وقوع حمله تروریستی در استادیوم آزادی خیلی بالاست. به استادیوم نروید. #هومن_میرقاسمی #اخطار #وضعیت_قرمز #حمله_تروریستی_اهواز #استادیوم_آزادی #دربی #دربی_پایتخت #دربی_۸۸ #دربی_تهران #دربی_مال_ماست #استقلال #پرسپوليس</t>
  </si>
  <si>
    <t>یه عده قلیلی هم هستن از صبح دو سانت هم جابجا نشدن که سرِ مسابقه فول انرژی باشن. باباجان چیزی نیست درد نداره، شُل کنین :) #پرسپوليس</t>
  </si>
  <si>
    <t>sarah</t>
  </si>
  <si>
    <t>http://t.me/jalaledin</t>
  </si>
  <si>
    <t>‏‏‏‏‏دائماً یکسان نباشد حال دوران</t>
  </si>
  <si>
    <t>جِدَن چجوری میتونید استقلالی باشید؟! #پرسپوليس #استقلال #دربی</t>
  </si>
  <si>
    <t>jalaledin mousavi</t>
  </si>
  <si>
    <t>یه سال پیش چقدر شور و هیجان داشتم برای شروع #دربی ولی امسال انگار نه انگار .چی به سرمون آوردن تو کمتر از یه سال؟ #دربی #پرسپولیس #استقلال</t>
  </si>
  <si>
    <t>آقامسی</t>
  </si>
  <si>
    <t>‏‏کسی که اتفاقات روزانه مملکتش براش مهمه</t>
  </si>
  <si>
    <t>https://pbs.twimg.com/media/DoF6bm7XsAA_f8G.jpg</t>
  </si>
  <si>
    <t>https://twitter.com/yaghma_fashkham/status/1045251220095610881</t>
  </si>
  <si>
    <t>ای کاش در زمینه شناسایی تروریستهای اطراف محل رژه نیروهای مسلح هم همچین دقت و توانایی داشتند. #اهواز #استقلال_پرسپولیس #زنان‌در‌آزادی RT @yaghma_fashkham: خبرگزاری فارس دقایقی قبل از بازداشت تماشاگرانی که آنها را #دختران_مردنما معرفی کرده خبر داده است. فارس نوشته که این دختران که تلاش میکردند با گریم خود را به شکل مرد در بیاورند توسط نیروی انتظامی شناسایی و از ورود آنها جلوگیری شد.</t>
  </si>
  <si>
    <t>Arman</t>
  </si>
  <si>
    <t>http://instagram.com/amirsajaadian</t>
  </si>
  <si>
    <t>Badminton player / Mathematical</t>
  </si>
  <si>
    <t>از معیار های جذابیت اگه بخوام براتون بگم : دختری که استقلالیه ، 4_0 از بقیه جلوئه💙😏 #استقلال</t>
  </si>
  <si>
    <t>Amir Sajadian</t>
  </si>
  <si>
    <t>‏بیو؟؟ ما نمیوم</t>
  </si>
  <si>
    <t>D1</t>
  </si>
  <si>
    <t>جدا از تعصب امیدوارم هر تیمی که بهتر بود پرسپولیس ببره #پرسپولیس #استقلال #دربی</t>
  </si>
  <si>
    <t>انیماتور بی موضوع</t>
  </si>
  <si>
    <t>‏‏ فعال اجتماعی کارشناس مسائل سیاسی آدرس کانال تلگرامی: http://t.me/makarihasan</t>
  </si>
  <si>
    <t>به دربی دقت کنید این دو تیم وقتی بحث بازی ملی پیش می آید همه در یک تیم قرار می گیرند و می شوند تیم ملی. جناح‌های سیاسی هم الان باید بدانند که بازی ملی مهمی درپیش داریم که یکی از حریفانمان آمریکاست. #دربی #تیم_ملی #ایران_برنده_است</t>
  </si>
  <si>
    <t>حسن مکاری</t>
  </si>
  <si>
    <t>سایت ورزش سه امروز یه نظر سنجی گذاشته و نتیجه دربی رو به قیمت دلار گره زده از طرفی یه خبر از مجید جلالی در دعوت بانوان به ورزشگاه منتشر کرده، از طرف دیگه تو یه گزارش از وضعیت ارز همزمان با حضور روحانی تو سازمان ملل حرف زده. "يا هو لاعب بل تنظيمات 😫" #دربی #استقلال_پرسپولیس</t>
  </si>
  <si>
    <t>الغضبان</t>
  </si>
  <si>
    <t>مهسا سادات هستم:) ارشد ادبیات کودک بهشتی استقلالی😎💙 و البته رئال اینجا فقط از فوتبال میگم. باقی موارد باشه واسه باقی جاها😉</t>
  </si>
  <si>
    <t>ما چاره ی عالمیم و بیچاره ی تو... #استقلال #دربی</t>
  </si>
  <si>
    <t>مهساشونم</t>
  </si>
  <si>
    <t>Btaraf خبرنگار ایسنا - نظرات شخصی</t>
  </si>
  <si>
    <t>Iran.Tehran</t>
  </si>
  <si>
    <t>باز خوبی این #داربی برای هوادارای #پرسپولیس اینه که #برانکو حرفی از سورپرایز نزده ...</t>
  </si>
  <si>
    <t>AliAsghar Abdollahi</t>
  </si>
  <si>
    <t>https://pbs.twimg.com/media/DoGBO2XXoAEdlLT.jpg</t>
  </si>
  <si>
    <t>وقتی سر ظهر بیدار میشی میبینی کل فامیل پا سفره نشستن و همشونم قراره دربی رو خونه شما ببینن #دربی</t>
  </si>
  <si>
    <t>A Man Is My Desire...</t>
  </si>
  <si>
    <t>منابع خبری دقایقی قبل از بازداشت تماشاگرانی که آنها را دختران مردنما معرفی کرده خبر داده است این دختران که تلاش میکردند با گریم خود را به شکل مرد در بیاورند توسط نیروی انتظامی شناسایی و از ورود آنها جلوگیری شد #دربی #استقلال_پرسپولیس</t>
  </si>
  <si>
    <t>Out of Minds</t>
  </si>
  <si>
    <t>http://fa.euronews.com/</t>
  </si>
  <si>
    <t>Journalist @euronews. @euronews_pe PhD in Media &amp; Communication. Media researcher.</t>
  </si>
  <si>
    <t>Lyon, France</t>
  </si>
  <si>
    <t>https://pbs.twimg.com/media/DoGBZBcX0AA8Vpq.jpg</t>
  </si>
  <si>
    <t>دربی و سه نکته : یک : روزهای #دربی معمولا با بقیه روزها فرق داره حتی اینروزها که دغدغه ها یکی دو تا نیست ـ دو : دربی هیجان انگیزترین مسابقه فصله اما در ایران به دلیل نبود تماشاگران زن عقیمه ـ سه : برغم همه مشکلات برد هر تیم هوادارانش را حد اقل تا یک هفته شارژ می کنه ـ</t>
  </si>
  <si>
    <t>SADEGHI Mehrdad</t>
  </si>
  <si>
    <t>https://telegram.me/harfbzanbot?start=odamKPr</t>
  </si>
  <si>
    <t>‏‏‏‏🌈 آگنوستیک/پرسپولیس❤ مرا بخوان ب کاکتوس ماندن🌵</t>
  </si>
  <si>
    <t>کاپادوکی</t>
  </si>
  <si>
    <t>https://pbs.twimg.com/media/DoGBXBjWkAE3kbK.jpg</t>
  </si>
  <si>
    <t>بالاخره منم ی روز میرم اینجا👊 #پرسپولیس</t>
  </si>
  <si>
    <t>🦂سروین مرموز🚬</t>
  </si>
  <si>
    <t>‏‏‏گفتند تکلیف است، باید باشید. ما هم گفتیم بسم‌الله ...</t>
  </si>
  <si>
    <t>Tehran_ Gilan &amp;  ...</t>
  </si>
  <si>
    <t>https://pbs.twimg.com/media/DoGBnizXgAAmgz4.jpg</t>
  </si>
  <si>
    <t>طی یک بازیه حساسِ منچ با مادر که جهت پیش‌بینی نتیجه #دربی امروز بود ، مهره آبی با اختلاف مویی برنده دیدار شد !!!</t>
  </si>
  <si>
    <t>صـادق</t>
  </si>
  <si>
    <t>https://telegram.me/harfbzanbot?start=qb7G7N</t>
  </si>
  <si>
    <t>‏‏‏یه ادم اروم همیشه تو خودش عاشق خانواده سه نفرش. پرسپولیسی،لیورپولی.</t>
  </si>
  <si>
    <t>ساری</t>
  </si>
  <si>
    <t>https://pbs.twimg.com/media/DoGBtHOXUAAag34.jpg</t>
  </si>
  <si>
    <t>اینم از ترکیب و سیستم دربی امروز تا بوده همین بوده اتوبوسی و زیر توپ #پرسپولیس</t>
  </si>
  <si>
    <t>علی عرب</t>
  </si>
  <si>
    <t>با اینهمه درد بی درمون چجوری ب فکر #دربی ین</t>
  </si>
  <si>
    <t>‏‏نامبرده دوره‌ای از زندگی‌اش را در دانشگاه تهران گذرانده است. وی خاطر نشان کرد که معتقد است ‎#انقلاب_اسلامی در تمام زمینه‌ها سخن و عمل پیشرو دارد.</t>
  </si>
  <si>
    <t>جمهوری اسلامی ایران ؛ الحمدلله</t>
  </si>
  <si>
    <t>خب به نظرتون #پرسپولیس چند چند می‌بره؟! #دربی</t>
  </si>
  <si>
    <t>محمدجواد اصغری</t>
  </si>
  <si>
    <t>‏‏‏یه جوون که آرزوهاش هر روز سیخش میزنن!</t>
  </si>
  <si>
    <t>درسته نه حوصله دارم نه اعصابشو دیگه اما دلیل نمیشه یادم بره خون م #آبی ه که 😊😏 #دربی #دربى٨٨ #استقلال #تاج</t>
  </si>
  <si>
    <t>یاشورا هستم...</t>
  </si>
  <si>
    <t>‏‏‏‏‏‏‏‏‏‏‏‏‏‏‏‏‏دردیست در دلم، که دوایش نگاه توست ...!</t>
  </si>
  <si>
    <t>https://pbs.twimg.com/media/DoGCDHJW0AA56Wy.jpg</t>
  </si>
  <si>
    <t>یادش بخیر و ان شاءالله تو دنیای باقی همنشین حضرت ارباب باشه 🙏 کل نوجوانیش به طرفداری ❤️پرسپولیس❤️ گذشت #دربی</t>
  </si>
  <si>
    <t>مــهـــدیـــــــــه🏴</t>
  </si>
  <si>
    <t>https://pbs.twimg.com/media/DoGCLPxW0AAmWJD.jpg</t>
  </si>
  <si>
    <t>از الان تا اطلاع ثانوی #سیاست ممنوع! از الان فقط #دربی من که با افتخار #پرسپولیسی ام شماچی؟ :))))))</t>
  </si>
  <si>
    <t>‏‏‏‏‏‏‏‏‏‏‏‏امام خمینی(ره): تکلیف ما را سید الشهدا(ع) مشخص کرده است.🤚 (دانش آموخته و مدرس مدیریت و اقتصاد) ✌</t>
  </si>
  <si>
    <t>یه گوشه از مِلک خدا</t>
  </si>
  <si>
    <t>یه رفیق جاهل استقلالی دارم 😂 دور از جون بقیه استقلالیا میگفت: ما حرفامونو تو زمین میزنیم😂😂😂 #ارتش_سرخ #دربی</t>
  </si>
  <si>
    <t>اِبنِ فارسی 🇮🇷</t>
  </si>
  <si>
    <t>https://pbs.twimg.com/media/DoGCP2lX0AAJ4Wo.jpg</t>
  </si>
  <si>
    <t>من نمی فهمم این روزنامه های ورزشی و خبرگزاری ها چه اصراری دارن در آستانه تمامی دربی ها برن با این اشخاص متوهم و پوپولیست مثل فتح الله زاده و منزوی مصاحبه کنن ؟! هر بار حرفای پوچ و تکراری ، هر بار و هر بار ، و این داستان دوباره تکرار می شه ... #پرسپوليس #استقلال #دربی</t>
  </si>
  <si>
    <t>‏‏‏‏‏‏‏‏‏‏‏‏گیله مرد بی بند و باند ترین ‏‏‏</t>
  </si>
  <si>
    <t xml:space="preserve">North </t>
  </si>
  <si>
    <t>بدبختی اینه ک زیدت طرفدار تیم رقیب باشه #دربی</t>
  </si>
  <si>
    <t>کلاغ سه چشم</t>
  </si>
  <si>
    <t>http://p.tispun.com</t>
  </si>
  <si>
    <t>IKA🛫🛬IST🛫🛬JFK</t>
  </si>
  <si>
    <t>https://pbs.twimg.com/media/DoGCZsHXgAAggcF.jpg</t>
  </si>
  <si>
    <t>پونصد تا دوربین مخفی نصب کردن تا دختران حاضر در #استادیوم_آزادی رو شناسایی کنن. خسته نباشید #دربی</t>
  </si>
  <si>
    <t>Parviz Partokiyā</t>
  </si>
  <si>
    <t>وقتی به دنیا اومدیم گمونم قرار بود کارای مهم تری انجام بدیم... //دانشجوی ترم سومی مهندسی مکانیک//</t>
  </si>
  <si>
    <t>میگم #دربی شیش و نیم جدیده یا شیش و نیم قدیم؟!😐</t>
  </si>
  <si>
    <t>🏴 ح‌سـ‌ی‌ـن کاهوکار 🇮🇷</t>
  </si>
  <si>
    <t>مجنون شهر بودم و ليلا نداشتم/اكبر اگر نبود من آقا نداشتم</t>
  </si>
  <si>
    <t>حالم چو دليري است كه در لشگر دشمن پدري داشته باشد! "بابام پرسپوليسي هست و با هيچ كدومتون ميل سخنم نيست" #استقلال 💙💙💙</t>
  </si>
  <si>
    <t>komeil</t>
  </si>
  <si>
    <t>https://pbs.twimg.com/media/DoGClzyXkAIQ25E.jpg</t>
  </si>
  <si>
    <t>ریشه خشونت در ورزشگاه رو در این عکس جست و جو کنید... تماشاگری که از صبح امروز خودشو ب استادیوم رسونده تا ساعت 6:30 فوتبال ببینه... از این تماشاگر تشنه،گشنه،خسته و... چه انتظاری میشه داشت برای رعایت مسائل اخلاقی و اجتماعی؟ انبار باروتیه که با یک جرقه منفجر میشه #دربی</t>
  </si>
  <si>
    <t>سرگردان</t>
  </si>
  <si>
    <t>ولی به نظر من همینکه #استقلال حاضر شده بازی کنه و فرار نکرده ترکیه خودش پیشرفت بزرگیه #پرسپوليس #دربی88</t>
  </si>
  <si>
    <t>شلمان 🏆🚩⭐️</t>
  </si>
  <si>
    <t>من هیچی که نمیگم، دروغه!</t>
  </si>
  <si>
    <t>فکر نکنم سوئیس زندگی نکنیم</t>
  </si>
  <si>
    <t>چقدر حال میده #استقلال تو #دربی پیروز بشه منکه اصلا طرفدار #پرسپولیس نیستم #دیبی</t>
  </si>
  <si>
    <t>دیبی</t>
  </si>
  <si>
    <t>‏‏‏‏طنز بپرداز؟!</t>
  </si>
  <si>
    <t>جایی که مردمانش مهربان اند!</t>
  </si>
  <si>
    <t>لنگی جام ندیده همینه، همینه... #دربی #پرسپولیس #استقلال</t>
  </si>
  <si>
    <t>hovakhshataraa</t>
  </si>
  <si>
    <t>كار هر تيم نيست ٦تايي شدن كيسه كش ميخواهد و تاج كهن #پرسپوليس</t>
  </si>
  <si>
    <t>asgarOf</t>
  </si>
  <si>
    <t>‏‏‏‏‏‏‏‏‏هـرجا چراغی روشنه از ترس تنها بودنه ای ترس تنهایی من، اینجا چراغی روشنه💡 فالو🔄بک اگر بک ندادم اطلاع بدید▶️</t>
  </si>
  <si>
    <t>شرایط روحی مردم جوریه که امروز ترجیح میدم دربی مساوی بشه تا هیشکی ناراحت تر از اینی که هست نشه. از بر و بچه های پرسپولیس تقاضا میکنم امروز یه مقدار بازی رو شل بگیرید. #دربی #پرسپوليس #ريتوييت_لطفا</t>
  </si>
  <si>
    <t>arghavan◀️</t>
  </si>
  <si>
    <t>http://Instagram.com/senior_m0hammad</t>
  </si>
  <si>
    <t>الهي در شب فقرم بسوزان ، اما محتاج نامردان مگردان</t>
  </si>
  <si>
    <t>tehran , iran</t>
  </si>
  <si>
    <t>قطعا هركس تو اين دربي ببره بازنده اصلي مردم هستند #دربي</t>
  </si>
  <si>
    <t>senior mohammad</t>
  </si>
  <si>
    <t>جانم فدای حق ؛</t>
  </si>
  <si>
    <t>سرورتون امروز بازی رو میبره و از الان من به همه ی پرسپولیسی ها تبریک میگم . #دربی</t>
  </si>
  <si>
    <t>حاج چاوز</t>
  </si>
  <si>
    <t>توییت را بکنید ولو بالصین</t>
  </si>
  <si>
    <t>باز این متخصصین آسیا با ستاره‌های بی‌بخارشون اومدن 😂😂😂 #دربی #پرسپولیس_استقلال</t>
  </si>
  <si>
    <t>Hattori Hanzo</t>
  </si>
  <si>
    <t>Be Reds 💖 • Persepolis &amp; Liverpool • Anathema فالو:فالو</t>
  </si>
  <si>
    <t>ما که #قرمزیم #پرسپولیس #استقلال #پرسپولیس_استقلال #استقلال_پرسپولیس</t>
  </si>
  <si>
    <t>http://www.iranintl.com</t>
  </si>
  <si>
    <t>journalist @iranintl / فمینیست، روزنامه نگار و تهیه کننده تلویزیون ایران اینترنشنال - لندن</t>
  </si>
  <si>
    <t>چند زن که خبرگزاری فارس نوشته لباس‌های "مردنما" به تن داشتند جلوی #استادیوم_آزادی دستگیر شده اند. جرم؛ تماشای فوتبال!... #دربی #تهران #استقلال #پرسپولیس</t>
  </si>
  <si>
    <t>mohsen.farshidi</t>
  </si>
  <si>
    <t>‏‏‏‏‏‏‏تنها راه رهایی 👑 ایران پادشاهی👑</t>
  </si>
  <si>
    <t>500 دوربین مخفی بر سکوهای ورزشگاه آزادی نصب شده تا معترضان و حتی دخترانی که به هر شکل توانستند به ورزشگاه آزادی بیایند شناسایی شوند ، مامورین لباس شخصی در بین تماشاگران هستند تا افرادی که به دنبال برهم زدن جو ورزشگاه هستند، شناسایی شوند #دربی #ما_همه_با_هم_هستیم</t>
  </si>
  <si>
    <t>آدامس خسته</t>
  </si>
  <si>
    <t>‏‏فعال دانشجویی| ‏‏‏‏‏‏دانشجوی دانشگاه شهید چمران اهواز| مهندس متالورژی| دانشجو و #دانشگاه_انقلابی</t>
  </si>
  <si>
    <t>به نظرتون اگه وسط بازی #دربی مردم متوجه بشن که #دلار پنج تومان قرار قیمتش بره بالا ،دربی رو نگاه می کنن یا میرن تو صف که دلار بخرن؟؟؟!!! #دلار18000تومانی #دلار۱۹۰۰۰تومانی #دلار۲۰۰۰۰تومانی #تا۱۴۰۰باروحانی</t>
  </si>
  <si>
    <t>مهدی طرفی</t>
  </si>
  <si>
    <t>http://radiozamaneh.com</t>
  </si>
  <si>
    <t>عرضه‌ی اخبار، گزارش، گفت‌وگو و تحلیل درباره موضوع‌های سیاسی، اجتماعی و فرهنگ follow @ZamanehRadio For English language tweets</t>
  </si>
  <si>
    <t>Amsterdam</t>
  </si>
  <si>
    <t>https://pbs.twimg.com/media/DoGEpxWW0AA6mGh.jpg</t>
  </si>
  <si>
    <t>https://www.radiozamaneh.com/413694</t>
  </si>
  <si>
    <t>در آستانه #دربی، #نیروی_انتظامی جلوی ورود دخترانی را که گریم مردانه داشتند به ورزشگاه گرفت -</t>
  </si>
  <si>
    <t>Radio Zamaneh</t>
  </si>
  <si>
    <t>ورود ارزشی و استقلالی ممنوع</t>
  </si>
  <si>
    <t>سه راه آذری</t>
  </si>
  <si>
    <t>https://pbs.twimg.com/media/DoGEkljX0AALFVH.jpg</t>
  </si>
  <si>
    <t>یه نگاه به مملکت و مشکلات مردم بندازی و این شور شوق هوادارا رو ببینی میفهمی این بازی فراتر از زندگیه یکم بیشتر با هم مهربون باشیم #دربی</t>
  </si>
  <si>
    <t>joke ghermez</t>
  </si>
  <si>
    <t>قیمت #دلار چنده ؟؟ چندتا کانال زده ۱۷ و خورده ای اومده پایین ؟ #دربی #دربى٨٨</t>
  </si>
  <si>
    <t>Neda_h</t>
  </si>
  <si>
    <t>http://www.ghanoondaily.ir</t>
  </si>
  <si>
    <t>دبير ورزشي روزنامه قانون، عضو اتاق فكر برنامه فرمول يك، دبير تحريريه بانك ورزش و از همه مهم تر آماريست!</t>
  </si>
  <si>
    <t>https://pbs.twimg.com/media/DoGEqQoWkAI7K4P.jpg</t>
  </si>
  <si>
    <t>هوادارا زودتر اومدن که وارد ورزشگاه بشن و #دربی ببینن، براشون پلی استیشن گذاشتن که سرگرم بشن؛ در واقع میشه گفت الکلاسیکو قبل از دربی :)</t>
  </si>
  <si>
    <t>محمد آقايى فرد</t>
  </si>
  <si>
    <t>اونی که امنیتُ تو شهرا تامین می کنه، اگه گیرت بیاره، چوب توی آستین می کنه.</t>
  </si>
  <si>
    <t>خفنا به #دربی می گن داربی. خایلا آنا خافانن ها، خایلا</t>
  </si>
  <si>
    <t>شاه دولابی</t>
  </si>
  <si>
    <t>Amirkabir university of Technology (Tehran Polytechnic)</t>
  </si>
  <si>
    <t>#دربی امروز یک بازی پر هیجان پر گل و پر حاشیه خواهد بود ( یا حداقل بخشی از این ها رو داره)! چون فضای سیاسی، اقتصادی و اجتماعی کشور میطلبه که حواس مردم اندکی پرت بشه! #روحانی_مچکریم #دلار۲۰۰۰۰تومانی #علی_برکت_الله</t>
  </si>
  <si>
    <t>سید شهاب الدین</t>
  </si>
  <si>
    <t>امروز روح اين كاربر بر فراز آزادي در حال پروازه ^_^ #دربى٨٨ #استقلال</t>
  </si>
  <si>
    <t>مشروطه طلب ،مسئولیت در قبال پاسخگو بودن</t>
  </si>
  <si>
    <t>اهای دلالان وطنپرست امروز مسابقه #دربی است فرصت خوبی است تا قیمت دلار را بالاتر ببرید فرق نمی کند کدام تیم ببرد یا حتی اگر مسابقه مساوی شود</t>
  </si>
  <si>
    <t>🇮🇷shams</t>
  </si>
  <si>
    <t>http://13esilent13silence.blogfa.com</t>
  </si>
  <si>
    <t>میگه رفتین استادیوم شعار بدین! اینا اگه شعور داشتن که نمیرفتن بازی این تیمهای مفتخور داخلی رو ببینن با این بازیکنهای شل و شفته و بعضا بی ادب. این خانه ازپای بست ویران است. #دربی #پرسپولیس #استقلال</t>
  </si>
  <si>
    <t>لیزامونا</t>
  </si>
  <si>
    <t>https://telegram.me/harfbzanbot?start=BjXW1LP</t>
  </si>
  <si>
    <t>‏‏‏‏‏‏‏‏‏‏‏‏‏‏‏‏‏‏‏‏‏‏‏‏‏‏‏‏‏‏‏‏‏‏‏‏‏‏اگه با شعور باشی مهربون ترین دوستت میشم❤ عاشقِ 🌧بارون و گل🌸 و البته الویه😋 پرسپولیسی🚩</t>
  </si>
  <si>
    <t xml:space="preserve">شهر نفرین شده </t>
  </si>
  <si>
    <t>https://pbs.twimg.com/media/DoGE4pQXgAA6E_e.jpg</t>
  </si>
  <si>
    <t>من عاشقت شدم با تموم قلبم با تموم وجود ✺ᴗ✺ #پرسپولیس</t>
  </si>
  <si>
    <t>تـــــُـڪـتـــــَـم</t>
  </si>
  <si>
    <t>‏‏خداوند رحمت کند کسی را که بداند از کجا آمده ، در کجاست و به کجا میرود. ﴿پیامبر اکرم ص﴾</t>
  </si>
  <si>
    <t>زیباترین تصویری که خداوند خلق کرده ، چهره ی یک #لنگی بعد از باخت تو #دربی. #دربى٨٨</t>
  </si>
  <si>
    <t>AM!R</t>
  </si>
  <si>
    <t>http://telegram.me/hossein_2212</t>
  </si>
  <si>
    <t>‏‏‏‏‏‏‏‏‏‏‏‏‏‏‏‏‏‏‏‏فوتسالیست 💙💙💙💙 علاقه مند به فیلم و موسیقی💙💙💙💙 آبی استقلالی💙💙💙💙 http://telegram.me/harfbzanbot‎</t>
  </si>
  <si>
    <t>جمهوری اسلامی ایران/شیراز</t>
  </si>
  <si>
    <t>به امید برد #استقلال ریت کنید💙💙💙💙💙 #دربی</t>
  </si>
  <si>
    <t>فیلیپه مندوزا  E S 💙💙💙💙</t>
  </si>
  <si>
    <t>کرمانشاه</t>
  </si>
  <si>
    <t>شیش تایی هاش صلوات... #دربي</t>
  </si>
  <si>
    <t>حسین جلیلیان</t>
  </si>
  <si>
    <t>همه کاره و هیچ کاره !🙂 راویژ نامی کردی به معنای تدبیر #شعر می گوئیم گاهی ! ...</t>
  </si>
  <si>
    <t>آقا این پرسپولیسیایی که از دوره برانکو به بعد پرسپولیسی شدن از ما نیستن :| باید درخشان و ژوزه و ... رو تحمل کرده باشی و گرنه کیف کردن از بازیای الان حرامه حراااام :/ #پرسپوليس #دربی #استقلال #برانکو</t>
  </si>
  <si>
    <t>راویژ</t>
  </si>
  <si>
    <t>الان دیگه وقتشه تو آب لوله کشی شهری #فلوکستین حل کنن دم آخری سرخوش باشیم😁✋همه چی آرومه...ما داریم غرق میشیم✋😁😢 و هیچی بهتر از این نمیشد که #فوتبال از یادمون بره!!! امروز #دربی هست!</t>
  </si>
  <si>
    <t>taher agaei</t>
  </si>
  <si>
    <t>Strong is beautiful.</t>
  </si>
  <si>
    <t>روبرو کولر</t>
  </si>
  <si>
    <t>به امید ایجاد سوراخ‌های متعدد و فراخ در پرسپولیس #استقلال</t>
  </si>
  <si>
    <t>بارووون☔</t>
  </si>
  <si>
    <t>‏‏‏‏‏‏‏‏♥️پرسپولیسم♥️محبوب من ♥️</t>
  </si>
  <si>
    <t>خودم تهران قلبم بارسلون</t>
  </si>
  <si>
    <t>https://pbs.twimg.com/media/DoGFRokX0AA1lPR.jpg</t>
  </si>
  <si>
    <t>😂😂😂😂 #استقلال</t>
  </si>
  <si>
    <t>اطروش</t>
  </si>
  <si>
    <t>attorney ⚖️</t>
  </si>
  <si>
    <t>https://pbs.twimg.com/media/DoGFUinXsAA7a-u.jpg</t>
  </si>
  <si>
    <t>به مناسبت #دربی ؛رونمایی میکنم از دورانی که گلوم رو برای #پیروزی به فنا میدادم😂 يه جمله ی معروفی دارم اونم اینه که آخر و عاقبتِ هر پرسپولیسیِ با منطقی ، استقلالی شدنه. به امید برد⭐️⭐️</t>
  </si>
  <si>
    <t>http://eqbali.com/</t>
  </si>
  <si>
    <t>I never set out to become anything in particular, only to live creatively and push the scope of my experience through adventure and through passion.</t>
  </si>
  <si>
    <t>تو استادیوم آزادی برای #دربی اینقدر عکاس نیست که الان تو سالن همایش های رازی هست,مثل داورای کنار زمین میمونن دو طرف زمین هستن. #dmconf18</t>
  </si>
  <si>
    <t>Vorna Sunyeari</t>
  </si>
  <si>
    <t>Logo Designer | iPhoneographer | ENTJ | Esteghlali 💙💙💙💙</t>
  </si>
  <si>
    <t>https://pbs.twimg.com/media/DoGFbmaXcAEWC5X.jpg</t>
  </si>
  <si>
    <t>#پرسپوليس #استقلال</t>
  </si>
  <si>
    <t>بى سرزمين تر از باد</t>
  </si>
  <si>
    <t>شاید جرقه براندازی از دل یکی از همین بازیا بزنه بیرون. پس یاد بگیریم کنار هم باشیم #دربی #IraniansWantRegimeChange</t>
  </si>
  <si>
    <t>آسیا تخصص اوناست خنده‌ی حضار #دربی #پرسپولیس_استقلال</t>
  </si>
  <si>
    <t>‏‏‏‏‏‏‏‏‏‏‏‏‏‏‏‏‏‏‏یه حقوقدان عکاس فرهنگ زیست هنردوست پرسپولیسی . . . 1:11</t>
  </si>
  <si>
    <t>جمهوری اسلامی وطن</t>
  </si>
  <si>
    <t>استقلالی ها بعد از ۲قهرمانی در آسيا که مال زمان مادها بوده بزرگترین موفقیتشون اینکه ۴بار پشت سرهم پرسپولیس رو بردند البته اینقدری که با اون ۴بار ذوقیده میشن با قهرمانی هایی که خودشونم میدونن چجوری بوده نمیشن :)))) #پرسپوليس</t>
  </si>
  <si>
    <t>محمد آسمانی</t>
  </si>
  <si>
    <t>The only sensible way to live is without rules</t>
  </si>
  <si>
    <t>https://pbs.twimg.com/media/DoGFtiwXsAAl68L.jpg</t>
  </si>
  <si>
    <t>#فوتفان #پرسپولیس #دربی #نود بجنگ؛ برای بزرگی نام پرسپولیس بجنگ؛ تا آن‌هایی که رفتند ببینند، بدون استوک‌هایشان زندگی همچنان برای ما ادامه دارد بجنگ؛ که اگر تمام دنیا هم علیه تو باشند، هوادارانت همیشه در صف اول حمایت از نام مقدست ایستاده‌اند بجنگ برای هوادارانت به عشق هوادارانت</t>
  </si>
  <si>
    <t>Omi :D</t>
  </si>
  <si>
    <t>‏ضارب 💣 ‏واژن سرای(!) پستان طلب ( . )( . ) قلم لختی دارم و اندک آبرویی که آن هم از شما دارم :)</t>
  </si>
  <si>
    <t>کثیفستان</t>
  </si>
  <si>
    <t>https://pbs.twimg.com/media/DoGFvSxWsAEBjsm.jpg</t>
  </si>
  <si>
    <t>من طرفدار توام #دربی</t>
  </si>
  <si>
    <t>کاربر شهرستانی</t>
  </si>
  <si>
    <t>@Mhysa_sh #استقلال</t>
  </si>
  <si>
    <t>http://about.me/sinahal</t>
  </si>
  <si>
    <t>از معدود حلاجیان‌های مستقر در توییتر</t>
  </si>
  <si>
    <t>https://pbs.twimg.com/media/DoGFlGlXkAogQo0.jpg</t>
  </si>
  <si>
    <t>این چه نظرسنجی مسخره‌ایه که سایت «ورزش سه» برای #دربی گذاشته؟ #دربى٨٨ #دلار</t>
  </si>
  <si>
    <t>Sina Hallajian</t>
  </si>
  <si>
    <t>#دربی هم دیگه نمیتونه حواس ما رو از #دلار پرت کنه! #امید</t>
  </si>
  <si>
    <t>فرگی</t>
  </si>
  <si>
    <t>https://Instagram.com/milanak_blog</t>
  </si>
  <si>
    <t>يك مترجمِ تك فرزندِ متاهلِ متعهدِ تنبلِ آشپزِ مهربونِ عاشق پيشه كه همه رو خوب مى بينه اما نهايتا سورپرايز مى شه</t>
  </si>
  <si>
    <t>كاش تو اين اوضاعِ #مملكت_گل_و_بلبل به استاديوم نمى رفتيد و اونجا رو خالى ميذاشتيد ... ولى همچين انتظارى هم ازتون بعيده! #دربى</t>
  </si>
  <si>
    <t>فرانك شون</t>
  </si>
  <si>
    <t>http://www.nigc.ir/Portal/Home/</t>
  </si>
  <si>
    <t>گوشم با شماست</t>
  </si>
  <si>
    <t>تمام نگرانیم برای #دربی مصدوم نشدن بازیکناس مخصوص شجاع و سد جلال و ماهینی و احمد و بشار و منشا و امید و سیانک و علی پور.....</t>
  </si>
  <si>
    <t>گازى هستم</t>
  </si>
  <si>
    <t>من نميفهمم اين قدر كل كل براى #دربى چيه!نتيجه بازى مشخصه ديگه.. يا #استقلال ميبره يا #پرسپوليس ميبازه!</t>
  </si>
  <si>
    <t>sarsari</t>
  </si>
  <si>
    <t>https://telegram.me/HarfBeManBot?start=ODE4OTYzODA</t>
  </si>
  <si>
    <t>کصدست.روانی پرسپولیس.دوستدار بارسا.عاشق برانکو دلتنگ سر الکس.دارای سادیسم و آلزایمر.مریض به القوه و به الواقع.تو ناشناس بهم فوش بدید.سین دال خسته</t>
  </si>
  <si>
    <t>I am LOST!</t>
  </si>
  <si>
    <t>https://pbs.twimg.com/media/DoGKo5DV4AEkiXQ.jpg</t>
  </si>
  <si>
    <t>میراث برانکو در پرسپولیس چیست؟ میراث حقیقی برانکو فارغ از 4 جام و 4 برد دربی(تا این لحظه) و برد های رویایی چیست و فردای خروج برانکو از پرسپولیس برای پر افتخارترین تیم ایران چه میماند؟ در این #رشتو میراث ماندگار #برانکو را بررسی میکنیم</t>
  </si>
  <si>
    <t>DARAJE</t>
  </si>
  <si>
    <t>‏معندس مکانیکی که ‏‏‏‏‏‏‏‏دنبال ستارشه تو آسمونا</t>
  </si>
  <si>
    <t>#پرسپوليس 🔴 و دیگر هیچ</t>
  </si>
  <si>
    <t>Alireza Sadeghi🔭🔧♉</t>
  </si>
  <si>
    <t>قبل از شروع بازی های این فصل #لیگ گفتم از این به بعد تا زمانی که نتوانم همراه دخترم به استادیوم بروم‌، رفتن به استادیوم را تعطیل میکنم.‌ امروز #دربی، مهمترین بازی فصل انجام میشود و من #بدون_دخترم_هرگز به #استادیوم_باصطلاح_آزادی نمی روم. #پرسپولیس_ام #دربی</t>
  </si>
  <si>
    <t>United Arab Emirates</t>
  </si>
  <si>
    <t>https://pbs.twimg.com/media/DoGLSzZXsAAaqq_.jpg</t>
  </si>
  <si>
    <t>#پرسپوليس 👑</t>
  </si>
  <si>
    <t>من هیچکسی نیستم!</t>
  </si>
  <si>
    <t>@nafas_y_m #پرسپولیس</t>
  </si>
  <si>
    <t>‏دانشجوی خسته | فمینیست (تازیانه خورده ی خویش)</t>
  </si>
  <si>
    <t>هر چقد ساعت جلوتر میره استرسم بیشتر میشه لعنتییییییی #دربی</t>
  </si>
  <si>
    <t>Mohadese Aqabararian</t>
  </si>
  <si>
    <t>‏‏‏‏‏‏‏‏‏‏‏‏‏من همون قدر توی عشق موفق بودم ک ایران 7000ساله توی دموکراسی. ب امید اومدن فاتح طهران,عدالتخانه,مشروطه بی مشروعه😉 ‎‎‎‎#MIGA ‎‎‎‎#Iran</t>
  </si>
  <si>
    <t>خاورمیانه پر از درد و ویرانی</t>
  </si>
  <si>
    <t>https://twitter.com/talkhdash/status/1045269117022994432</t>
  </si>
  <si>
    <t>برای من که یکی از اولین خاطرات رنگی زندگیم رو عکس برادران بیانی با لباس آبی رقم زده. عشق معنیش آسمون آبی بود. چی شد اون همه عشق؟ همه اون شوق توی دهه هفتاد و هشتاد موند. چرا؟ دلتنگ اون شور و شوقم. #دربی RT @talkhdash: من هوادار،منی که در خانواده کاملا پرسپولیسی به دنیا آمدم،از دبیرستان برای تماشای دربی سال ۶۵ فرارکردم،بارها مسافت بیش از هزار کیلومتر رو برای دیدن بازی پرسپولیس طی کردم،تاریخ عقد و ازدواجم رو با بازیهای پرسپولیس هماهنگ کردم،منی که سر کل کل درب ورزشگاه کتک خوردم</t>
  </si>
  <si>
    <t>منتظرالجاج</t>
  </si>
  <si>
    <t>من کیستم از خویش به تنگ آمده‌ای// دیوانهٔ با خرد به جنگ آمده‌ای</t>
  </si>
  <si>
    <t>ولی #دربی اینجوری حال نمیده انقد فاصلمون با استقلال زیاده که هیچی استرس ندارم،</t>
  </si>
  <si>
    <t>بابا هادی</t>
  </si>
  <si>
    <t>https://telegram.me/HarfBeManBot?start=MjU0NzI1Nzc2</t>
  </si>
  <si>
    <t>‏‏‏‏‏‏‏‏‏‏‏‏‏‏‏‏‏‏‏اینجانب خود را مستوجب انواع و اقسام حملات جوانمردانه و ناجوانمردانه میداند</t>
  </si>
  <si>
    <t>یه جای ناجذاب</t>
  </si>
  <si>
    <t>نفرت‌انگیز ترین آدما اینایین که میگن کاش مساوی شه هیچکس ناراحت نشه #دربی</t>
  </si>
  <si>
    <t>ژیل به‌ـلاس</t>
  </si>
  <si>
    <t>۵۰۰ دوربین مخفی بر سکوهای #ورزشگاه_آزادی نصب شده تا افرادی که به دنبال آشوب هستند شناسایی شوند. مامورین نیروی انتظامی با لباس شخصی در بین تماشاگران هستند تا افرادی که به دنبال برهم زدن جو ورزشگاه هستند، شناسایی شوند. #دربی #استقلال #پرسپولیس</t>
  </si>
  <si>
    <t>بِسْمِ اللَّهِ مَجْراها وَ مُرْساها🇮🇷</t>
  </si>
  <si>
    <t>@Farri661 با اینکه از نظر سیاسی هم عقیده نیستیم ولی ظاهراً از نظر ورزشی طرفدار یک تیم هستیم ،#پرسپولیس</t>
  </si>
  <si>
    <t>ادیب فروتن🏴</t>
  </si>
  <si>
    <t>Attorny At Law ( دل را بسته طمع مدار تا از كُل آزاد شوى)</t>
  </si>
  <si>
    <t>حالا #پرسپولیس با #دلار18000تومانی ميبره يا #استقلال ؟؟؟ ما هم مثل هميشه فقط نظاره گريم. #بي_حس</t>
  </si>
  <si>
    <t>Nima</t>
  </si>
  <si>
    <t>@saiyron دلخوشی ج.ا اینه که لااقل 1000 بشکه در روز تولید بشه و به آمریکا بگن دیدی نتونستی صفر کنی تا این حد خر تا این حد لجن #IraniansWantRegimeChange #ما_همه_با_هم_هستیم #دربی و شعارهای ضد آخوندی</t>
  </si>
  <si>
    <t>‏من پرسپولیسی ام و ‏‏‏پرسپولیس شرف خاندان من است</t>
  </si>
  <si>
    <t>هرچقدر اوضاع #پرسپولیس خوبه و همه چی روبراهه اوضاع تیم #رقیب اینقدر افتضاحه که منو از بازی امروز می ترسونه. باخت سوپرجام، حذف از آسیا و شرایط نامساعد لیگ، حالا تصور کنید باخت دربی هم به این مجموعه اضافه بشه،فقط نگران اسپانسر مشترکم. تجربه ی دربی ۸۴ و ۸۶ منو نگران میکنه.</t>
  </si>
  <si>
    <t>آراز شمس</t>
  </si>
  <si>
    <t>@jalilian_ho ببین ... میخوام به فکر فرو ببرمت ... 4 بار ... 4 دربی ... پشت سر هم از ماشکست خوردین... بلند صلوات بفرست ... #استقلال</t>
  </si>
  <si>
    <t>-کاش مساوی شه هیچکس ناراحت نشه ☺ +مساوی بشه هممممه ناراحت میشن :| -همه؟ +همه. -حتی وزیر؟ +مخصوصا وزیر! =) #دربی</t>
  </si>
  <si>
    <t>دانشجوی ارشد ای تی شریف/ برنامه نویس/ امنیت کار/ فعال رسانه ای که علاقمند است به جریانات سیاسی به خصوص در حوزه فناوری اطلاعات و سایبری است</t>
  </si>
  <si>
    <t>https://pbs.twimg.com/media/DoGMYY5XgAAA8ff.jpg</t>
  </si>
  <si>
    <t>تصویری از #دربی امروز 😀</t>
  </si>
  <si>
    <t>الناز شاکری</t>
  </si>
  <si>
    <t>https://pbs.twimg.com/media/DoGMlSlXkAA1sMM.jpg</t>
  </si>
  <si>
    <t>باهم، آماده پیروزی در #دربی #استقلال</t>
  </si>
  <si>
    <t>خسته‌ام بس که دلم را به دری بسته زدم لعنتی! عشق تو دروازه‌ی عابدزاده است! #علی_صفری #دربي</t>
  </si>
  <si>
    <t>https://t.me/shawerane</t>
  </si>
  <si>
    <t>‏‏‏‏‏‏‏‏‏‏‏‏‏‏‏‏‏‏‏‏‏‏‏‏‏‏‏‏‏‏‏In Rell with #perspolis ❤</t>
  </si>
  <si>
    <t>ahvaz🌴</t>
  </si>
  <si>
    <t>امروز همه‌ی دل‌ها و قلب‌هایمان برای #پرسپولیس میتپد و کیرمونم که مث همیشه میره تو استقلال</t>
  </si>
  <si>
    <t>سَََجــولــی⁦⁦🔴</t>
  </si>
  <si>
    <t>https://telegram.me/harfbzanbot?start=X0gPJj5</t>
  </si>
  <si>
    <t>⛔️تجزيه‌طلب،عرزشي،استمرارطلب،مجاهد⛔️| اگر صرفاً به قصد افزايش فالور، فالو ميكني،منو فالو نكن دوست عزيزم🙏| #بـرانـدازم و حامي شاهزاده #رضا_پهلوي @pahlavireza||</t>
  </si>
  <si>
    <t>طهــران</t>
  </si>
  <si>
    <t>من و امثال من رو كه تو ورزشگاه راه نميدن، ولي آقا پسري كه امروز ميري! بجاي من نام شاهزاده #رضا_پهلوي رو فرياد بزن كه صدات تا مغز استخوان اون ديكتاتورِ حقير بره و سايه ي سقوط رو روي سرش ببينه #IraniansWantRegimechange #دربي</t>
  </si>
  <si>
    <t>بلوندِاتمی</t>
  </si>
  <si>
    <t>یه دهه شصتی-خردادی-پرسپولیسی،دندانپزشک لعنتی همه چی نویس، ایران پرستم👌 یکی اینجا❤️هست! مجهز به آنفالویاب،اینجا فعالیت کاری ندارم لطفا آدرس مطب نپرسین🌹</t>
  </si>
  <si>
    <t>طهرون</t>
  </si>
  <si>
    <t>https://pbs.twimg.com/media/DoGMzOWXUAANojB.jpg</t>
  </si>
  <si>
    <t>اینی که خار شده تو چشم خیلی ها تنها دلخوشی این روزای ما سرخ دلاست با آرزوی موفقیت برا تیم محبوبم #پرسپولیس</t>
  </si>
  <si>
    <t>دکی</t>
  </si>
  <si>
    <t>أنَاَ راْفِضْیْ وَاْفْتَخَرَ‌😍❤</t>
  </si>
  <si>
    <t>گور بابای تموم این دربی ها... شب جمعه فقط زل زدن به عکس حرمت رو عشقه..💓💓 #دربی #شب_جمعه_ست_هوایت_نکنم_میمیرم</t>
  </si>
  <si>
    <t>Marzieh Rostami</t>
  </si>
  <si>
    <t>بازار سیاه #دربی! بلیت ۳۵ هزار تومانی جایگاه تا ۱۰۰ هزار تومان هم در حال فروشه! . #پرسپولیس #استقلال</t>
  </si>
  <si>
    <t>‏‏‏‏‏‎‎‎‎‎#اللهم_صل_علی_محمد_و_ال_محمد ‎‎‎‎‎#اللهم_عجل_لولیک_فرج</t>
  </si>
  <si>
    <t xml:space="preserve">حوالی ایران </t>
  </si>
  <si>
    <t>@H_saye98 ذلشک شما همون سه تا تو ده دقیقه رو هضم کنید تا بعد #پرسپولیس</t>
  </si>
  <si>
    <t>کامبیز ( فدائی حسین)</t>
  </si>
  <si>
    <t>لطف کن لب‌های خود را بیش از این قرمز نکن رحم کن بر این دل ویران استقلالی‌ام … #کنعان_محمدی #دربي ❤️💙</t>
  </si>
  <si>
    <t>‏‏‏‏‏‏‏‏‏‏‏ناخورده شراب ... میخروشیم! بنگرچه کنیم اگر بنوشیم...</t>
  </si>
  <si>
    <t>https://pbs.twimg.com/media/DoGNY0zXUAI62T0.jpg</t>
  </si>
  <si>
    <t>فراخوان به جوانان ،شعارهای ضد حکومتی در دربی امروز توپ تانک فشفشه اخوند باید گم بشه وعده ما ورزشگاه آزادی✌️✌️ #دربی #پرسپوليس #استقلال #ما_همه_با_هم_هستیم</t>
  </si>
  <si>
    <t>💙Zoya_sh👑 ⁦</t>
  </si>
  <si>
    <t>https://telegram.me/HarfBeManBot?start=MjQ3Njc2ODIw</t>
  </si>
  <si>
    <t>‏‏‏‏‏‏‏‏به قول آذری ها سَنَ نوکرم حسین</t>
  </si>
  <si>
    <t>می گن کسی که دل شکسته صداش به خدا می رسه استقلالیا دعا کنن وضع مملکت خوب شه🙏 #پرسپوليس</t>
  </si>
  <si>
    <t>ابوزینب🍂</t>
  </si>
  <si>
    <t>@Sicario69215137 @Tufan12358883 امیدوارم تماشاگران دربی غیرت خود در وطن دوستی و نفرت از دیکتاتور را نشان دهند #دربی #دربى٨٨ #استقلال #پرسپوليس #براندازم #IraniansWantRegimeChange</t>
  </si>
  <si>
    <t>دلار ۲ تومن بود زیر ما بودید بیست تومن شده باز زیر مایید آخه واسه چی کُری میخونی دوست کیسه کش عزیز #دربی #پرسپوليس</t>
  </si>
  <si>
    <t>ali</t>
  </si>
  <si>
    <t>‏فوتبال بهترین درام رو زمین⚽ سیاست بدترین درام رو زمین</t>
  </si>
  <si>
    <t>https://pbs.twimg.com/media/DoGNoleW0AANfCi.jpg</t>
  </si>
  <si>
    <t>پرایدی که بنز رو بکنه لامبورگینیه به والله😹😹😹😹😹😹 #پرسپولیس #دربی</t>
  </si>
  <si>
    <t>#رضاکویچ</t>
  </si>
  <si>
    <t>@EsteghlalTehFC تا حالا از چی استفاده میکردید #پرسپولیس</t>
  </si>
  <si>
    <t>PhD Student in Marketing and Freelance Web Programmer</t>
  </si>
  <si>
    <t>#پرسپولیس تو این حال و اوضاع فعلی مون #دربی رو برنده شو. حوصله ضد حال بعدش رو ندارم</t>
  </si>
  <si>
    <t>‏‏‏‏‏‏‏‏‏‏‏‏‏‏‏‏بنام انسانیت که زیباترین رسمه....</t>
  </si>
  <si>
    <t>@merylee91 نترس قول دادیم یواش فرو کنیم😂😂😂😍😍😍😍😍 #پرسپولیس</t>
  </si>
  <si>
    <t>Hawar</t>
  </si>
  <si>
    <t>https://t.me/soheilar74</t>
  </si>
  <si>
    <t>‏‏‏‏‏‏‏‏‏‏‏ بزرگترین آرزو من استادیوم رفتن با مادرمه❤️❤️❤️❤️❤️❤️</t>
  </si>
  <si>
    <t>Tehran.Iran</t>
  </si>
  <si>
    <t>بدون استرس بازی کنین هر اتفاقی افتاد فدای سرتون این بازی برامون مهم نیست مهم بازی السد هستش که می بریم می ریم فینال آسیا @Shoja3Kh @HosseinMahini @AhmadNoorollahi @Alialipoor7O @PersepolisFC #دربی #پرسپولیس #پرسپولیس_سرور_استقلالِ</t>
  </si>
  <si>
    <t>Soheil Azimi</t>
  </si>
  <si>
    <t>امروز میرم استادیوم تا از #استقلال تیم محبوبم حمایت کنم. رویکرد وزارت ورزش در پنج سال گذشته در قبال استقلال ناجوانمردانه بوده و از آنجایی که داورِ امروز کارمند دانشگاهِ باشگاهِ پرسپولیس است و سابقه قضاوت بد را در دربی دارد، می روم تا از حضور در ورزشگاه لذت ببرم نه نتیجه بازی ..</t>
  </si>
  <si>
    <t>لبانت سرخِ سرخ است و دو چشمت آبیِ آبی سرت دعواست بین عقل و عشق، ای چهره‌ات دِربی! #احسان_پرسا #دربي ❤️💙</t>
  </si>
  <si>
    <t>‏‏‏‏‏عاشق موزیک🎼،سینما🎬،سفر🏖️،بارون🌧️ و پرسپولیس♥️</t>
  </si>
  <si>
    <t>جعبه های بنفشه🌸</t>
  </si>
  <si>
    <t>https://pbs.twimg.com/media/DoGOR0xXkAAJ24D.jpg</t>
  </si>
  <si>
    <t>میان عاشق و معشوق اگر باشد بیابانی درخت ارغوان روید به جای هر مغیلانی #استادیم_صد_هزار_پسری #پرسپولیس</t>
  </si>
  <si>
    <t>دزیره کلاری 🍃</t>
  </si>
  <si>
    <t>‏‏‏‏‏‏‏‏‏‏‏‏‏‏‏‏‏‏من هیچوقت سر دو راهیا تصمیم نگرفتم,من همیشه سر دوراهیا نصف شدم این هم که اینجا مینویسه یک هزاروبیست و چهارمه منه خیلی وقته از بقیه ام خبر ندار</t>
  </si>
  <si>
    <t>وسط این همه بدبختی حداقل #پرسپولیس ببره امروز روحمون تازه بشه :/ #دربی</t>
  </si>
  <si>
    <t>Lusine ☆</t>
  </si>
  <si>
    <t>تو مملکت زنده باد و مرده باد فقط میشه خشونت کاشت و تفرقه درو کرد...</t>
  </si>
  <si>
    <t>#دربی چیه؟؟ همون بازی تدارکاتی قبل از نیمه نهایی آسیا رو میگین؟؟ #پرسپولیس #استقلال</t>
  </si>
  <si>
    <t>جاسـت رِد</t>
  </si>
  <si>
    <t>‏‏ میگن عالم مستی همین عالم عشقه💕چه خوشبخت دل من که دردش غم عشقه😌✌️ هوادار مردترين مردها علي آقا كريمي❤️ #اتحاد_هواداران_علي_كريمي ❤️8❤ پرسپوليسي❤️منچستری</t>
  </si>
  <si>
    <t>جهان موازي</t>
  </si>
  <si>
    <t>احساس ميكنم اگه بچه ها دربي رو ببرن با خيال راحت ميرن آسيا رو ميرينن:| #دربى٨٨ #پرسپولیس</t>
  </si>
  <si>
    <t>🍁پاييزاطي🍁</t>
  </si>
  <si>
    <t>هیچکس حال و هوای #دربی رو نداره ولی مطمئنم هفته دیگه فردوسی‌پور تو نود یه گزارش تهیه میکنه که چقدر همه هیجان داشتن واسه دربی پیشاپیش گوه خوردی عادل جان</t>
  </si>
  <si>
    <t>Life is one time offer, Use it well. فرزند لرستان💪</t>
  </si>
  <si>
    <t>شمایی که امروز حواستون به دربی تهرانه، حواستون هست نسبت به دیروز فقیرتر شدید؟ #استقلال #پرسپوليس #دلار۲۰۰۰۰تومانی #دلار #دلار۱۹۰۰۰تومانی</t>
  </si>
  <si>
    <t>sina</t>
  </si>
  <si>
    <t>http://www.bbcpersian.com/sport</t>
  </si>
  <si>
    <t>https://pbs.twimg.com/media/DoGOwB3XgAYmJPo.jpg</t>
  </si>
  <si>
    <t>ایسنا: قیمت برخی از صندلی‌های ورزشگاه آزادی برای تماشای داربی ۸۸ پایتخت در بازار سیاه تا ۱۵۰ هزار تومان مشتری دارد. برخی #زنان هوادار قصد داشتند برای تماشای بازی #استقلال و #پرسپولیس وارد ورزشگاه آزادی شوند، که با ممانعت ماموران روبرو شدند🔵⚽️🔴</t>
  </si>
  <si>
    <t>BBC Persian Sport</t>
  </si>
  <si>
    <t>‏‏‏‏‏‏‏‏‏‏آرام از که بگریزی؟ از خود؟ ای محال!</t>
  </si>
  <si>
    <t>امیدوارم کیسه شیش تا بخوره ک ب ازای هر گلی ک میخوره یک دقیقه مشکلاتو گرفتاریای این خراب شده رو فراموش کنم :) #دربی</t>
  </si>
  <si>
    <t>آرامِ جان</t>
  </si>
  <si>
    <t>I want to feel nothing at all... Laboratory 👩🏻‍🔬</t>
  </si>
  <si>
    <t>#پرسپولیس زلزله محبوبه هر چی دله 🎈♥️🎈</t>
  </si>
  <si>
    <t>Yaacc</t>
  </si>
  <si>
    <t>سال 72 هیچ #داربی برگزار نشد چون کیسه یا همون #استقلال داشت لیگ 3 دست و پا میزد #پرسپولیس</t>
  </si>
  <si>
    <t>http://instagram.com/mehdiroozkhosh</t>
  </si>
  <si>
    <t>خبرنگار ورزشی ایسنا-#ISNA-اینجا نظرات شخصی خودم را می‌نویسم پس طبیعتا در فضای توییتر نماینده #ایسنا نیستم- #فوتبال و دیگر هیچ...</t>
  </si>
  <si>
    <t>https://pbs.twimg.com/media/DoGO_Z_W0AEoWNB.jpg</t>
  </si>
  <si>
    <t>شاید باورتون نشه، حدود ۳ساعت و ۳۰دقیقه تا آغاز #دربی۸۸ زمان باقی مونده اما کمتر از ۱۰هزار نفر به ورزشگاه اومدن! #داربی انقدر سوت‌کور تجربه نکرده بودم! #پرسپولیس #استقلال</t>
  </si>
  <si>
    <t>مهدی روزخوش</t>
  </si>
  <si>
    <t>لای کلمه ها وول میخورم مث ویرگولِ گیج</t>
  </si>
  <si>
    <t>مزدور به این فوتبالیستایی میگن که وانمیستن کنار. مردمشون مردم ساده هم کلی هزینه میکنن ازین لجن ها حمایت کنن بابا اینا الان باید به نشانه اعتراض کاری کنن #دربی_فقط_اونجاش_که #دربی</t>
  </si>
  <si>
    <t>اولاد ذکور</t>
  </si>
  <si>
    <t>https://pbs.twimg.com/media/DoGPE84XkAECZKO.jpg</t>
  </si>
  <si>
    <t>برانكو خطاب به بازيكنان: اگر كسی به چيزی غير از بردن دربی فكر می كند در هتل بماند. سارا خطاب به دوست پرسپولیسیا: اگر به چیزی غیر از بردن دربی فکر میکنید امشب نیاین توییتر. #پرسپولیس #پرسپولیس_سرور_استقلالِ</t>
  </si>
  <si>
    <t>بشین برات میگم</t>
  </si>
  <si>
    <t>اونجا که عرب نی انداخت</t>
  </si>
  <si>
    <t>بیچاره طرفدارهای #پرسپولیس که تو این اوضاع شیر تو شیر #دلار و #رب و کوفت و زهرمار تازه امروز باید غم باخت به #استقلال رو هم تحمل کنن</t>
  </si>
  <si>
    <t>کلید سل</t>
  </si>
  <si>
    <t>ز آستان رضایم خدا جدا نکند منو جدایی از این آستان خدا نکند تحصیلکرده حوزه در رشته فقه و اصول، کمی تا قسمتی بسیجی، مادر و همسری تمام وقت</t>
  </si>
  <si>
    <t>lran/mashhad</t>
  </si>
  <si>
    <t>https://pbs.twimg.com/media/DoGPMUqXoAIEyha.jpg</t>
  </si>
  <si>
    <t>اسکرین شات گرفتم دیگه این اومد، به من چه😆😂 #دربی</t>
  </si>
  <si>
    <t>M.Rastegar</t>
  </si>
  <si>
    <t>انقد روحیم خرابه ک فقط قیچی کردن #لنگ از وسط میتونه حالمو خوب کنه #دربی #استقلال</t>
  </si>
  <si>
    <t>‏‏یک استقلالی 💙 بارساییِ 💙❤ علاقه مند به سینما و تئاتر‌ 🎬 - کنکور ۹۸ -</t>
  </si>
  <si>
    <t>عشق یعنی استرس کشیدن ه عم زیبا باشه. #استقلال_تهران #دربی</t>
  </si>
  <si>
    <t>ســـــبا</t>
  </si>
  <si>
    <t>‏‏‏‏‏‏‏‏‏‏‏ مرگ من سفری نیست،هجرتی ست از سرزمینی که دوست نمیداشتم،به خاطر نامردمانش- متاهل</t>
  </si>
  <si>
    <t>به همه شمایی که نتیجه بازی #دربی امشب رو کیفیت زندگیتون تاثیر می‌ذاره یه عالمه حسودیم‌ میشه. #جدی</t>
  </si>
  <si>
    <t>نیک آرمان دائما فیو لیمیت</t>
  </si>
  <si>
    <t>5شنبه عصره همه دارن ميرن #دربي ببينن تو دانشگاه منم از اوج دلتنگي به تويتر پناه آوردم.</t>
  </si>
  <si>
    <t>tarannom</t>
  </si>
  <si>
    <t>‏‏‏‏‏تو ول کن!</t>
  </si>
  <si>
    <t>pic.twitter.com/FC9B0OSDG3</t>
  </si>
  <si>
    <t>ما شهدامون هم‌ پرسپولیسی‌اند. شهید سعید زارع در استادیوم آزادی #دربی #پرسپولیس</t>
  </si>
  <si>
    <t>AaTeeFe</t>
  </si>
  <si>
    <t>Tehran 🇮🇷</t>
  </si>
  <si>
    <t>@majazestan #پرسپوليس 🍎</t>
  </si>
  <si>
    <t>Alireza Dorri</t>
  </si>
  <si>
    <t>http://www.telegram.me/amir_texts</t>
  </si>
  <si>
    <t>‏‏‏‏‏‏‏‏آخرش که چی؟</t>
  </si>
  <si>
    <t>یــــزد – کـــرمون</t>
  </si>
  <si>
    <t>https://pbs.twimg.com/media/DoGPvHLW0AANNou.jpg</t>
  </si>
  <si>
    <t>یکی مرد کاری بِه از صد هزار... #پرسپولیس</t>
  </si>
  <si>
    <t>امیـــــرحسیــــن</t>
  </si>
  <si>
    <t>‏‏‏اهل تهرانم . گاهی هم کارشناس فروش ، بازاریابی و تبلیغات تجاری ام ...</t>
  </si>
  <si>
    <t>https://pbs.twimg.com/media/DoGPww4XsAEL5FO.jpg</t>
  </si>
  <si>
    <t>امروز رو فعلا بعشق این پرچم سر کنیم تا فردا ببینیم چه خاکی بسرمون کنیم . #پرسپولیس</t>
  </si>
  <si>
    <t>Loard Bealish</t>
  </si>
  <si>
    <t>‏‏‏‏دانشجوی 📖 دائمی روابط بین الملل🌍، طرفدار سرسخت پرسپولیس 🔴⚽🔴،علاقه مند به سینما 🎬🎬</t>
  </si>
  <si>
    <t>البته دوستان طرفدار #استقلال به باخت عادت دارن٫ امروز هم یه روز خوب برای یه باخت خوبه #پرسپولیس</t>
  </si>
  <si>
    <t>BHZ ☫</t>
  </si>
  <si>
    <t>#استقلالی و #پرسپوليسی های عزیز این دربی هم تموم میشه با احترام باهم صحبت کنید هر نتیجه ای ممکنه پیش بیاد شاید پرسپولیس ببره یا شاید استقلال ببازه مهم رفاقت هاست که ما هیچ رفاقتی با استقلالی ها نداریم 😆😆🚩 #دربی #پرسپوليس #قرمزته</t>
  </si>
  <si>
    <t>https://pbs.twimg.com/media/DoGP2GgXgAI5twW.jpg</t>
  </si>
  <si>
    <t>همين الان ميگم نه بعد از بازي با هر نتيجه اي عاشقشم ❤️❤️❤️❤️❤️❤️ #پرسپوليس</t>
  </si>
  <si>
    <t>‏‏‏‏‏‏یک هنرمند بی‌سواد🌱🐘 جایی که رنگی بودن جرم است🎨</t>
  </si>
  <si>
    <t>جبرجغرافیایی</t>
  </si>
  <si>
    <t>هنوز کسی نگفته بازی #دربی را راه انداختن که حواس ما را نسبت به قیمت دلار و براندازی پرت کنند!؟ #دربى٨٨</t>
  </si>
  <si>
    <t>دادا اصفهانی</t>
  </si>
  <si>
    <t>https://pbs.twimg.com/media/DoGP3WxXUAI49H5.jpg</t>
  </si>
  <si>
    <t>برای اولین بار در دربی، لوگو یک استارت اپ روی پیراهن بازیکنان نقش بست. #استارتاپ #دربی #اسنپ #ایرانسل</t>
  </si>
  <si>
    <t>Amir.Abarashi</t>
  </si>
  <si>
    <t>‏تا زنده ای شکوفه بزن گل کن! بهار شو!</t>
  </si>
  <si>
    <t>و امروز میخوام از شعار تیم شالکه برای حمایت از تیمم استفاده کنم 💙Wir leben dich ما تو را زندگی میکنیم #استقلال</t>
  </si>
  <si>
    <t>بوم</t>
  </si>
  <si>
    <t>پره حرفم ولي خب بزنم ك چي؟</t>
  </si>
  <si>
    <t>#دربی_فقط_اونجاش كه وريا تك به شيش بود:)))) #استقلال 💙</t>
  </si>
  <si>
    <t>🎭derakoola | دراكولا🎭</t>
  </si>
  <si>
    <t>‏‏‏‏خداحافظ ولی هرگز نخواهی رفت از یادم😔</t>
  </si>
  <si>
    <t>@m_Dusttt من جا‌موندم #پرسپولیس</t>
  </si>
  <si>
    <t>❤جودی ابوت❤</t>
  </si>
  <si>
    <t>http://chekhabar.net</t>
  </si>
  <si>
    <t>Developer, Founder of @chekhabar_app</t>
  </si>
  <si>
    <t>0x416876617a</t>
  </si>
  <si>
    <t>لوگوی روی لباس تیم دومیدانی #استقلال هم دو ستاره داره! ربطی داره؟!</t>
  </si>
  <si>
    <t>Ameer</t>
  </si>
  <si>
    <t>https://pbs.twimg.com/media/DoGQ0fwXsAAAkao.jpg</t>
  </si>
  <si>
    <t>واااااااي ازين واااابستگي.... ✌️️❤️😎😍💪🌻🌹 #پرسپوليس</t>
  </si>
  <si>
    <t>👼</t>
  </si>
  <si>
    <t>تو این وضعیت مزخرف دربی چی میگه اصلا هیچ هیجایی نداره با این اعصاب ضعیف ملت دعوا نشه خوبه #دربی #ایران #استقلال #پرسپولیس #منوتو</t>
  </si>
  <si>
    <t>Melika</t>
  </si>
  <si>
    <t>عرزشی،مجاهد⛔</t>
  </si>
  <si>
    <t>استرس عجیبی دارم امیدوارم همه سالم برگردن خونهاشون #دربی</t>
  </si>
  <si>
    <t>اقای اشمیت</t>
  </si>
  <si>
    <t>...بیار باده که بنیاد عمر بر بادست..</t>
  </si>
  <si>
    <t>چه دل خوشی دارن اینهایی که امروز میخوان برن استادیوم و بازی ببینند! خوش بحالشون ! #دربی</t>
  </si>
  <si>
    <t>اسدالله میرزا</t>
  </si>
  <si>
    <t>https://pbs.twimg.com/media/DoGRSNIXkAAPVN-.jpg</t>
  </si>
  <si>
    <t>اهل آبادانم🇧🇷عاااشق سرزمينم🇮🇷از احمقهاى مجازى فرار كردم و به توئيتر پناه آوردم⚠️ 💞✝️💞</t>
  </si>
  <si>
    <t>Sheffield, England🇬🇧</t>
  </si>
  <si>
    <t>@Fariba1997 يا بايد چيزى از فوتبال حاليت نباشه يا دختر باشى كه صلاحيت طرفدارى از #پرسپوليس رو داشته باشى وگرنه #استقلالى⭐️⭐️ ميشى🙂</t>
  </si>
  <si>
    <t>آسِدممد</t>
  </si>
  <si>
    <t>‏‏No more...</t>
  </si>
  <si>
    <t>لازمه یاداوری کنم از الان باید برد #پرسپولیس رو تبریک بگید. #دربی #استقلال #استادیوم_آزادی</t>
  </si>
  <si>
    <t>هشت پا</t>
  </si>
  <si>
    <t>author 📖📰</t>
  </si>
  <si>
    <t>kermanshah</t>
  </si>
  <si>
    <t>#پرسپولیس ❤❤❤❤❤❤</t>
  </si>
  <si>
    <t>امیر علی | amir ali</t>
  </si>
  <si>
    <t>http://instagram.com/rasoul_shahriari</t>
  </si>
  <si>
    <t>#publisher of knowledge about #Imam_mahdi and shia ways in religion #mechanical_engineer #translator #always_soldier #revolutionary</t>
  </si>
  <si>
    <t>@derakoola2 @Q1f7kK9BINUySRV اتفاقا فقط اونجاش که پاس میده یا هتریک میکنه 😂😂 #پرسپوليس</t>
  </si>
  <si>
    <t>Rasoul Shahriari</t>
  </si>
  <si>
    <t>#ایرانسل یه تبلیغ ساخته به مناسبت #دربی. توش همه خوشحالن تو خونه و هرکی طرفدار یه تیمه. یه سری استقلالین و یه سری پرسپولیسی. همه‌چی رنگارنگ و ترتمیزه. آخرش یهو همه مردها با ماشین می‌رن استادیوم و خانوم‌ها می‌شینن تو خونه جلو تلویزیون.. جدی حالتون از این همه تبعیض بهم نمی‌خوره؟؟؟</t>
  </si>
  <si>
    <t>صــابر</t>
  </si>
  <si>
    <t>‏‏‏‏‏‏‏‏‏‏‏‏بي خيال از ڴذشــتہ😑 بي تفاوت نسبت به حـاݪ😐 نا امید از آیـنــدھ😔 https://telegram.me/HarfBeManBot?start=</t>
  </si>
  <si>
    <t>یکم دور</t>
  </si>
  <si>
    <t>https://pbs.twimg.com/media/DoGR406XsAA8GWr.jpg</t>
  </si>
  <si>
    <t>این تیم عشق منه ❤ جون منه ❤ دربیم امروز مال ماست حرفی توش نباشه😒❤ #ریتوییت #پرسپولیس @PerspolisFCIran</t>
  </si>
  <si>
    <t>👹یـ ِ بنـدـه مہـ ـربونــ😇</t>
  </si>
  <si>
    <t>http://www.facebook.com/Siasat.Zadegan?ref=tn_tinyman</t>
  </si>
  <si>
    <t>Let's laugh to our problems a little bit more serious! Follow us at Facebook as well! http://www.facebook.com/Siasat.Zadegan?ref=tn_tinyman</t>
  </si>
  <si>
    <t>بازیه امروز D: #پرسپولیس #سرور #استفلاله</t>
  </si>
  <si>
    <t>سیاست زدگان</t>
  </si>
  <si>
    <t>‏یک محیط زیست خوانده,مترجم و علاقه مند به روزنامه نگاری</t>
  </si>
  <si>
    <t>Ghaemshahr</t>
  </si>
  <si>
    <t>ما نساجی چی ها به احترام رنگ قرمز لباس #نساجی به عدد مقدس #شش اقتدا میکنیم. خودتون میدونید #پرسپولیس سرور استقلاله,یا بازم بگم؟! 💪😎</t>
  </si>
  <si>
    <t>Mandi</t>
  </si>
  <si>
    <t>‏‏‏‏‏‏‏صبورترین عجول دنیا</t>
  </si>
  <si>
    <t>این که کل تایملاین من #استقلال ین، نشون می‌ده یه جای کارو اشتباه رفتم :)))))</t>
  </si>
  <si>
    <t>شاوِرما</t>
  </si>
  <si>
    <t>‏‏منم مثل تو بودم... #قافیه_باز</t>
  </si>
  <si>
    <t>500 تا دوربین تو آزادی نصب شده تا معترضین و دختران شناسایی بشن!(جدی) یاد یارویی افتادم که شلوار کُردی بدون کِش کمر پوشیده بود و شُرت نداشت و میخواست با دست و دهن و شکم و پا شلوار رو به هر طریق نگه داره! #دربی</t>
  </si>
  <si>
    <t>Micromaghz</t>
  </si>
  <si>
    <t>¯\_(ツ)_/¯</t>
  </si>
  <si>
    <t>ویران</t>
  </si>
  <si>
    <t>.... تو دربی جایه خالیو پر کنید😁 #دربی</t>
  </si>
  <si>
    <t>سیاویچی</t>
  </si>
  <si>
    <t>گورخرای آبی بالا برید، پایین بیاد، همیشه کیر مایید.... #ارتش_سرخ #پرسپوليس #پرسپولیس_سرور_استقلالِ #دربى٨٨</t>
  </si>
  <si>
    <t>من نوسفرم... فالو=فالوبک</t>
  </si>
  <si>
    <t>به نظر شما نتیجه بازی #دربی چی میشه!؟ #فوتبال #استقلال #پرسپولیس #لیگ_برتر</t>
  </si>
  <si>
    <t>مهران خسروزاده</t>
  </si>
  <si>
    <t>be the ocean</t>
  </si>
  <si>
    <t>داغوزآباد</t>
  </si>
  <si>
    <t>#دربی فقط همونجاش که دسته خره</t>
  </si>
  <si>
    <t>🐃</t>
  </si>
  <si>
    <t>حرفی نیست! دلسوزی باقیست</t>
  </si>
  <si>
    <t>✅ | طرفداران هر تیم در #دربی امروز با باخت تیمشان غم ها و مشکلاتشان بیشتر خواهد شد، #کاش امروز هر دو تیم برنده بودند و این دو خطی ها برای دربی #بعدی در کار #نباشد 🔴🔵</t>
  </si>
  <si>
    <t>Iran amendment</t>
  </si>
  <si>
    <t>https://hra-news.org</t>
  </si>
  <si>
    <t>خبرگزاری هرانا وابسته به مجموعه فعالان حقوق بشر در ایران نخستین خبرگزاری تخصصی حقوق بشر ایران است</t>
  </si>
  <si>
    <t>https://pbs.twimg.com/media/DoGTCZcXsAECRn4.jpg</t>
  </si>
  <si>
    <t>تعدادی از #دختران هوادار تیم‌های فوتبال #استقلال و #پرسپولیس که امروز با لباس پسرانه قصد تماشای بازی دربی در #ورزشگاه_آزادی را داشتند توسط نیروی انتظامی شناسایی و ازحضورشان در ورزشگاه جلوگیری شد. #زنان #زنان‌درآزادی #زنان_ورزشگاه</t>
  </si>
  <si>
    <t>خبرگزاری هرانا</t>
  </si>
  <si>
    <t>‏‏‏‏‏‏‏‏‏‏‏‏‏‏‏‏‏‏‏‏‏‏‏‏‏‏‏‏‏‏♥️پرسپولیس.♥️ i love fighting. 🥊box🥊 خاکیم. سربه‌زیر.</t>
  </si>
  <si>
    <t>امروو استقلال ۳ به ۱ میبازه ولی به خاطر یه گل زده به #پرسپولیس ستاره سومم میزنه رو پیرهنش.</t>
  </si>
  <si>
    <t>سدثعید فیو لیمیت 🥊</t>
  </si>
  <si>
    <t>روزنامه‌نويس</t>
  </si>
  <si>
    <t>خدا، خانواده، استقلال. #استقلال</t>
  </si>
  <si>
    <t>Reza Mansour Khanaki</t>
  </si>
  <si>
    <t>‏مرگ در قاموس ما از بی وفایی بهتر است ‏در قفس با دوست مردن از رهایی بهتر است صفحه من اخلاقیه سیاسی نیست</t>
  </si>
  <si>
    <t>پیش بینی #عصر_امروز : #برد #استقلال و #افزایش_قیمت_دلار #دلار۱۹۰۰۰تومانی</t>
  </si>
  <si>
    <t>علی مرادی</t>
  </si>
  <si>
    <t>#دربی_فقط_اونجاش_که طارمی پاس میده تا مسلمان استقلالو چارتایی کنه 😉 #پرسپولیس</t>
  </si>
  <si>
    <t>Mokhtar</t>
  </si>
  <si>
    <t>@Beeman93397010 عهههههه نداشتيما #ستاره_قلابى #پرسپوليس ❤️❤️❤️</t>
  </si>
  <si>
    <t>Mary Jane</t>
  </si>
  <si>
    <t>اَلنّاسُ بِاُمَرائِهِمْ اَشْبَهُ مِنْهُمْ بِآبائِهِمْ ؛ مردم، به دولت‌مردان خود شبيه‌ترند تا به پدران‌شان. امام على(ع) ⛔️ورود بهارى ممنوع⛔️</t>
  </si>
  <si>
    <t>❤️🇮🇷IRAN🇮🇷❤️</t>
  </si>
  <si>
    <t>اينهايى كه قلب آبى گذاشتيد كنار اسمتون ، بابا امروز عصر هم ميگذره... يه جمعه ايى هم مياد... چطور آب و صابون بياريم روتونو بشوريم... #دربی</t>
  </si>
  <si>
    <t>مجيد</t>
  </si>
  <si>
    <t>تو این وضع تخمی مملکت خدا ب داد هوادارای بازنده #دربی برسه</t>
  </si>
  <si>
    <t>‏‏واقعیت ها را هر روز صبح جا میگذارم پشت اتاق گریم، از بس آدمها واقعی بودنمان را دوست ندارند . . 🙄👌</t>
  </si>
  <si>
    <t>Tehran ,Iran</t>
  </si>
  <si>
    <t>https://pbs.twimg.com/media/DjGT3IrVAAEClxa.jpg</t>
  </si>
  <si>
    <t>https://twitter.com/Nona_esteghlali/status/1022761180912394241</t>
  </si>
  <si>
    <t>💙💙💙 #استقلال RT @Nona_esteghlali: بهت ایمان دارم مرد #استقلال</t>
  </si>
  <si>
    <t>ریحانه طاها💙⁦🇮🇷⁩💙</t>
  </si>
  <si>
    <t>https://www.filtershekanha.com</t>
  </si>
  <si>
    <t>Founder/CEO @Filtershekanha -Internet Freedom Activist PGP: 0xa53963936999cbb6 -ON #Signal #WA #Telegram +1 (628) 300-0015 Formerly @Small_media , @Manototv</t>
  </si>
  <si>
    <t>London</t>
  </si>
  <si>
    <t>امروز فوتبال #دربی رو همینجا پخش می‌کنم که دیگه توییتر رو هم ترک نکنید :))</t>
  </si>
  <si>
    <t>🤖Nariman نریمان</t>
  </si>
  <si>
    <t>http://flwback.co</t>
  </si>
  <si>
    <t>‏‏‏‏‏‏‏ ¦ آتئیست ¦ سیک مایند ¦ مدافع حقوق weed بازان ¦ فیلم بین تیر ¦ فیفا شرطی ‌¦ هیپ هاپی ‌¦ * فقط حرف نزن بیا یه کاری کنیم *</t>
  </si>
  <si>
    <t>لی لی پوت</t>
  </si>
  <si>
    <t>https://pbs.twimg.com/media/DoGa7uUWkAECNZ-.jpg</t>
  </si>
  <si>
    <t>قلب آبی 💙💙💙💙 #استقلال</t>
  </si>
  <si>
    <t>امیر_اتی</t>
  </si>
  <si>
    <t>‏‏‏‏معمار ،امیدوار به اصلاح</t>
  </si>
  <si>
    <t xml:space="preserve">Iran tehran </t>
  </si>
  <si>
    <t>یه دربی دیگه و ما هنوز اجازه حضور در ورزشگاه نداریم این ظلم نیست چیه ؟؟ #استقلال 💙💙💙💙</t>
  </si>
  <si>
    <t>niki.s🇮🇷</t>
  </si>
  <si>
    <t>https://www.instagram.com/mrlutherking</t>
  </si>
  <si>
    <t>مارتین لوترکینگ جونیور : من رویایی دارم</t>
  </si>
  <si>
    <t>تمام تایم لاین شده #استقلال - #پرسپوليس به قول رهبری اینهمه تعصبی که روی فوتبال داریم رو مملکت داشتیم وضعیتمون این نبود #دلار۲۰۰۰۰تومانی و انگار همرو مار نیش زده فلج عصبی شدیم</t>
  </si>
  <si>
    <t>🇮🇷مستر جونیور</t>
  </si>
  <si>
    <t>https://www.instagram.com/hadiyazdani61/</t>
  </si>
  <si>
    <t>‏‏‏▪پزشک ▪فعال سیاسی اصلاح‌طلب ▪عضو شورای منطقه‌ و دبیر تشکیلات حزب اتحاد ملت ایران اسلامی در استان اصفهان</t>
  </si>
  <si>
    <t>بابا صبح زنگ زده تا خواب نمانم. از صدایم لابد فهمید حس و حالم را که خواست با #کری_خواندن، جنگجوی درونم را بیدار کند. فکر کنم می‌داند که مدّتهاست سپر انداخته‌ام. رجزهایش برای بازی امروز #پرسپولیس_استقلال را خواند و من فقط خندیدم و گفتم: ساعت هشت و ربع تلفنت را پاسخ بده! #این_روزها</t>
  </si>
  <si>
    <t>هادی یزدانی</t>
  </si>
  <si>
    <t>‏ایران تو بمان که نهایت آرزوی من این است #‎حامی_شاهزاده_رضا_پهلوی_هستم</t>
  </si>
  <si>
    <t>https://pbs.twimg.com/media/DoGbD1-XoAEnccN.jpg</t>
  </si>
  <si>
    <t>فراخوان به جوانان ،شعارهای ضد حکومتی دردربی امروز توپ تانک فشفشه اخوندبایدگم بشه وعده ماورزشگاه آزادی جوانان ایران کابوس دیکتاتوری اسلامی ⁧ #دربی ⁩ ⁧ #تاج #پیروزی ⁩ ⁧ ⁧ #استقلال ⁩ ⁧ #تظاهرات_سراسری ⁩ ⁧ #اتحاد_براندازان ⁩ ⁧ #ما_همه_با_هم_هستيم ⁩</t>
  </si>
  <si>
    <t>💙majid👑</t>
  </si>
  <si>
    <t>داستان اكثرمون از ٩ماه قبل شروع ميشه يا از يه شب ، يا از يه بوس كوچولو، بگذريم... به هر حال مال من از ٣ سال قبل تولدم شروع شد..</t>
  </si>
  <si>
    <t>بيايد سر #دربي كل كل كنيد، واسه دوساعتم شده دلارو سكه و روحاني و ترامپو بشوره ببره.. هوووووي با شمام😠 اگه #استقلالي و #پرسپوليسي ريت كن بيا فحش بده كسكش، اگه خايه داري بيا، بيا لمپن باش..</t>
  </si>
  <si>
    <t>كَذّ💧اب</t>
  </si>
  <si>
    <t>کاش مسئولان کشورمون نحوه برخورد با تحریم و تنگنا بودن رو از برانکو یاد بگیرن #پرسپولیس</t>
  </si>
  <si>
    <t>Samirnaserey</t>
  </si>
  <si>
    <t>‏دختری از دیار سیروان</t>
  </si>
  <si>
    <t>#دربی_فقط_اونجاش_که کاپیتان فرهاد استارت زد. .... آی بدو آی بدو 💙💙 #دربی۸۸ #استقلال</t>
  </si>
  <si>
    <t>💙Elsaaad💙</t>
  </si>
  <si>
    <t>‏‏‏‏‏‏‏‏اگه از توییتام هیچی نمیفهمی یا فوتبالی نیستی یا فیلم و سریال نمیبینی یا کلا از ماجرا پرتی</t>
  </si>
  <si>
    <t>Sicily, Italy</t>
  </si>
  <si>
    <t>بابام اعتقاد داره هر موقع محسن خلیلی کارشناس بازی پرسپولیس بوده تیم باخته، از همین الان میگه کارشناس قبل از بازی خلیلی بود تلویزیونو خاموش میکنم. #دربی</t>
  </si>
  <si>
    <t>ویتو کورلئونه</t>
  </si>
  <si>
    <t>https://pbs.twimg.com/media/DoGbhLkUUAAHj2q.jpg</t>
  </si>
  <si>
    <t>برانكو خطاب به بازيكنان #پرسپولیس: اگر كسی به چيزی غير از بردن دربی فكر می‌كند در هتل بماند</t>
  </si>
  <si>
    <t>‏‏‏‏‏‏‏‏‏‏‏‏‏‏‏‏‏‏‏‏‏‏‏‏‏‏‏‏‏‏‏‏‏‏‏‏‏‏‏‏‏‏‏‏‏‏‏‏‏‏‏‏‏‏‏حسابدار بی حساب کتاب،ریت به معنای تایید محتوا میباشد. فالو کننده عزیز حتما بَک داده میشه</t>
  </si>
  <si>
    <t>الان کلاس تو توییت نزدن در مورد #دربی بیاید با کلاس باشیم :-)))) #استقلال سرور لنگی هاس 😁</t>
  </si>
  <si>
    <t>پسرِ ایرانی ⁦🇮🇷⁩</t>
  </si>
  <si>
    <t>https://telegram.me/harfbemanbot?start=MTQ4OTYxMTIy</t>
  </si>
  <si>
    <t>‏‏‏‏‏‏‏‏‏‏‏‏‏‏‏‏‏‏‏‏‏‏‏‏‏‏‏‏‏‏‏‏‏‏‏‏‏‏‏‏‏‏‏‏‏‏‏‏‏‏‏‏جمالِ مرد، زبان اوست... /تمام حرف یک ققنوس این است: بازگشت.../، ساکن وین، اطریش، ۳۳ ساله، Ph.D Candidate</t>
  </si>
  <si>
    <t>Vienna, Austria</t>
  </si>
  <si>
    <t>#پرسپولیس سرورِ استقلاله</t>
  </si>
  <si>
    <t>سینا💙</t>
  </si>
  <si>
    <t>https://pbs.twimg.com/media/DoGb2A2WkAAfiig.jpg</t>
  </si>
  <si>
    <t>#دربی_فقط_اونجاش_که ژنرال کلک سلطانو کند ! #دربی۸۸ #استقلال</t>
  </si>
  <si>
    <t>آقای نون میم</t>
  </si>
  <si>
    <t>Live long and prosper 🖖.</t>
  </si>
  <si>
    <t>Hollywood, FL</t>
  </si>
  <si>
    <t>https://pbs.twimg.com/media/DoGb5TzXkAA73AC.jpg</t>
  </si>
  <si>
    <t>God help us please! at least me;on my bets. #استقلال</t>
  </si>
  <si>
    <t>Marshall</t>
  </si>
  <si>
    <t>i love mount climbing and art ofthe</t>
  </si>
  <si>
    <t>https://pbs.twimg.com/media/DoGb-NNXcAAxMW_.jpg</t>
  </si>
  <si>
    <t>جهان سوم یعنی اون فاصله، تعصب بیجا و غلط #پرسپولیس_استقلال</t>
  </si>
  <si>
    <t>Fereydoonfar62</t>
  </si>
  <si>
    <t>https://pbs.twimg.com/media/DoGcAFAXgAI6Qmx.jpg</t>
  </si>
  <si>
    <t>تايملايني دارمممم سراسر #سرخ شما بودين عاشقشون نميشدين #پرسپوليس 👑</t>
  </si>
  <si>
    <t>به امید بد بودنِ حالِ هموطنانِ لنگی بعد از #دربی</t>
  </si>
  <si>
    <t>هستی ایران خوزستان زاگرس جنوبی مسجدسلیمان بختیاری اهواز بن کلن سان خوزه سوکلار لیبرال ملیگراه</t>
  </si>
  <si>
    <t>تا وقتیکه شمارگان یا تعداد هواداران #پرسپولیس بیشتر از #استقلال یا #تاج اینکشور درست بشو نیست #استقلال_تاج_ایران</t>
  </si>
  <si>
    <t>Mostafa</t>
  </si>
  <si>
    <t>اگه خوب بود ک ازش دوتا نبود!!! استقلال خوزستان ! استقلال تهران!!! هردوام عابی! فک کنم با خودشون میگن عیب نداره این نشد اون 🤣🤣🤣🤣🤣🤣🤣 #دربی #پرسپولیس #استقلال</t>
  </si>
  <si>
    <t>‏‏‏گر به همه عمر خویش با تو برآرم دمی/ حاصل عمر آن دمست باقی ایام رفت</t>
  </si>
  <si>
    <t>تهرون مون آمور</t>
  </si>
  <si>
    <t>https://pbs.twimg.com/media/DoGcVTvW0AEXS5h.jpg</t>
  </si>
  <si>
    <t>اما برای عشق ما اون لحظه #آبی کجاست؟ #تاج #استقلال #دربی</t>
  </si>
  <si>
    <t>بیشو آشنای بزرگ</t>
  </si>
  <si>
    <t>https://telegram.me/HarfBeManBot?start=OTg3ODkzMjg</t>
  </si>
  <si>
    <t>‏‏‏‏‏‏بفرما داخل، یه چایی لب دوز لب سوز قند پهلو در خدمت باشیم 👈پرسپولیس 👉</t>
  </si>
  <si>
    <t>بودجه برای نصب ۵۰۰ دوربین مخفی جهت کنترل تماشاگران در ورزشگاه آزادی وجود داره ولی برای بازسازی آبخوری و سرویسهای بهداشتی پول ندارند. #دربی #ورزشگاه_آزادی #امنیتی</t>
  </si>
  <si>
    <t>بزرگی اینچنین گفت:</t>
  </si>
  <si>
    <t>http://etemaadonline.ir</t>
  </si>
  <si>
    <t>به امید برد ❤️❤️❤️پرسپولیس❤️❤️❤️ #دربی</t>
  </si>
  <si>
    <t>mohamad hamidi</t>
  </si>
  <si>
    <t>‏‏‏‏‏‏‏‏‏‏‏‏‏‏پسر چهارم کِیْ‌قباد اول</t>
  </si>
  <si>
    <t>روزایی مث امروز که #دربی داره واسه کسایی که فوتبال داخلی رو دنبال نمیکنن عذابه هرجایی میری هرچی باز میکنی درباره بازی ایه که در حد بازی منچستر و دربی کانتی هم جذابیت نداره</t>
  </si>
  <si>
    <t>کِیْ‌آرمین</t>
  </si>
  <si>
    <t>‏‏‏‏‏‏‏‏‏‏‏‏‏‏‏‏‏‏‏وی از همان دوران کودکی عاشق استقلال💙،رنگ مشکی♥ و سیاوش قمیشی بود ‎‎‎‎‎‎‎‎‎‎‎#kurd_Kermanshah</t>
  </si>
  <si>
    <t>خودم کرمانشاهم ولی قلبم آزادی 💙 #دربی</t>
  </si>
  <si>
    <t>mosafa</t>
  </si>
  <si>
    <t>https://www.instagram.com/hamed_moftakhar_hoseini</t>
  </si>
  <si>
    <t>‏‏‏‏‏‏‏‏‏‏‏‏‏‏‏‏‏‏‏‏‏‏‏‏حاویِ نمکِ یُددار</t>
  </si>
  <si>
    <t>اصفان</t>
  </si>
  <si>
    <t>زمان اعلی‌حضرت هروقت پرسپولیس و تاج باری داشتن، برنده‌ی بازی نهایتا اعلی‌حضرت بود. اما الان چی؟ #دربی</t>
  </si>
  <si>
    <t>حامد مفتخرحسینی</t>
  </si>
  <si>
    <t>‏‏‏‏ورود عرزشی و سلطنت طلب و منافقین صد در صد ممنوع و بلاک مطمح نظر است. غلط تایپی لزوما به معنای بیسوادی بنده نیست شایدم باشه ؛)</t>
  </si>
  <si>
    <t>تنها امید موقت یک روزه من میتونه برنده شدن #پرسپولیس و سولاخ سولاخ شدن استقلاله</t>
  </si>
  <si>
    <t>پاییزان</t>
  </si>
  <si>
    <t>برانداز، متخصص در خوب بودن و بدون رودر وايسم⛔️ضد عرازش و مجاهدين⛔️</t>
  </si>
  <si>
    <t>@ninash_tala ❤️❤️❤️❤️❤️❤️❤️❤️❤️❤️❤️❤️❤️❤️❤️❤️❤️❤️❤️❤️❤️❤️❤️❤️❤️❤️❤️❤️❤️❤️❤️❤️❤️❤️❤️❤️#پرسپوليس</t>
  </si>
  <si>
    <t>Scofield</t>
  </si>
  <si>
    <t>‏‏✌‏‏‏پرسپولیسی_رئالی✌ اگه میخوای فالوئرات بره بالا فالو نکن</t>
  </si>
  <si>
    <t>lakestan</t>
  </si>
  <si>
    <t>استرس نمود ما را #دربی #پرسپولیس❤</t>
  </si>
  <si>
    <t>سیسیلی غمگین</t>
  </si>
  <si>
    <t>لعنت به این روزگار که تنها هیجان زندگیمون این شده که بی صبرانه منتظر تماشای دنبال توپ دویدن بیست و دوتا میلیاردر توی زمین فوتبال هستیم بیچاره اون کسایی که از صبح و شاید حتی از دیشب رفتن ورزشگاه امیدوارم که حداقل نتیجه مساوی نشه! #دربی #داربی #ایران #Iran</t>
  </si>
  <si>
    <t>زینال بندری</t>
  </si>
  <si>
    <t>حقيقتا فلك سقف ما رو شكافته، ولي بياين لااقل يكبار براي هميشه گل برافشانيم و مي در ساغر اندازيم و #دربي ببينيم!</t>
  </si>
  <si>
    <t>Ehsan E</t>
  </si>
  <si>
    <t>از روز اول بلیط فروشی #دربی تا الان انقدر اوضاع #دلار به گا رفت که بلیط دارم اما دل و دماغ #استادیوم ندارم. امیدوارم ملت برن پُر کنن جای ما. #استقلال و_زیر_پرسپولیسی #کیسه #پرسپولیس 👑❤❤❤❤❤❤👑</t>
  </si>
  <si>
    <t>استادیوم خالی تایم لاین توییتر خالی بازدید کانال های تلگرام پایین ترافیک اطراف ورزشگاه روون #دربی88 #پرسپولیس #استقلال</t>
  </si>
  <si>
    <t>حاشیه های پیش از دیدار امروز تیم های #استقلال و #پرسپولیس ۳۰۰ دوربین مخفی بر سکوهای ورزشگاه آزادی نصب شده است تا افرادی که به دنبال آشوب هستند شناسایی شوند.نزدیک به ۲۵۰ مامور با لباس شخصی برای ایجاد آرامش و امنیت به ورزشگاه آزادی آمده اند #دربی۸۸</t>
  </si>
  <si>
    <t>‏‏‏‏‏‏‏‏‏‏‏‏‏‏‏‏‏‏‏‏‏‏‏‏‏‏‏‏« آنچه در فهم تو آید آن بُوًد مفهموم تو »</t>
  </si>
  <si>
    <t>۵۰۰ دوربین و کلی مامور برای شناسایی زنان در استادیوم آزادی نصب کردن! این خبر نشون میده اولویت جمهوری اسلامی چیزی جز ازار و اذیت و ادامه تبعیض نیست. #شهرآورد #دربی</t>
  </si>
  <si>
    <t>‏امید بذر هویت ماست. چنین گفت پیر دُردی کِشِ ما</t>
  </si>
  <si>
    <t>خوب ، رفقای استقلالی ! خودتون فکر میکنید چندتا میخورید ؟ :-D #داربی #استقلال_پرسپولیس</t>
  </si>
  <si>
    <t>Saeed🇮🇷</t>
  </si>
  <si>
    <t>‏‏بعضی وقتا دستم میلرزه و توییت میزنم/ یک عدد جاجو</t>
  </si>
  <si>
    <t>اگه #استقلال برد استقلالیا نود بدن اگه #پرسپولیس برد پرسپولیسیا نود بدن ماهم این وسط یه فیضی میبریم :)</t>
  </si>
  <si>
    <t>منم همینطور</t>
  </si>
  <si>
    <t>فک کن روز #دربی اسیر این #دندانپزشک اون دندانپزشک شی! مملکته داریم :(</t>
  </si>
  <si>
    <t>Na Cm Na Mi</t>
  </si>
  <si>
    <t>حاشیه های پیش از دیدار امروز تیم های #استقلال و #پرسپولیس طبق اعلام مسئولان نیروی انتظامی تاکنون هیچ دستگیری مبنی بر ورود زنان به ورزشگاه آزادی صورت نگرفته و تنها برخی فروشندگان مواد مخدر دستگیر و به پاسگاه پلیس انتقال داده شده اند #دربی</t>
  </si>
  <si>
    <t>https://pbs.twimg.com/media/DoGdNLnXUAA78W5.jpg</t>
  </si>
  <si>
    <t>اسکرین شات من :/ خودم ۳ _۲ #پرسپولیس</t>
  </si>
  <si>
    <t>http://github.com/msudgh</t>
  </si>
  <si>
    <t>0x00 • Software Engineer • An Audiophile • Who knows where the time goes?</t>
  </si>
  <si>
    <t>پشمام ورزشگاه خلوت خلوته #دربی</t>
  </si>
  <si>
    <t>https://pbs.twimg.com/media/DoGdPZVW0AAomXN.jpg</t>
  </si>
  <si>
    <t>تسنیم: در حال حاضر نزدیک به ۲۰ هزار تماشاگر برای تماشای داربی ۸۸ در ورزشگاه آزادی حضور دارند. هواداران #استقلال به یاد داربی ۴۹ پرویز برومند را تشویق کردند و تماشاگران #پرسپولیس به تشویق ایمون زاید پرداختند🔵⚽️🔴</t>
  </si>
  <si>
    <t>دوستان من می‌خوابم اگر استقلال برد بیاین در و پنجره‌های اتاقم رو باز کنین، شیر گازو ببندین و سپس پارچه‌های خیس تو اتاق تکون بدین و منو بیدار کنین .... اگر هم باخت بیاین اینجا پیش من بخوابین فقط در رو درست ببندین هوا رد نشه :) #دربی</t>
  </si>
  <si>
    <t>امید بذر هویت ماست ✌ 💚 ✌</t>
  </si>
  <si>
    <t>https://pbs.twimg.com/media/DoGdoEYWkAAqDsW.jpg</t>
  </si>
  <si>
    <t>وقتی چاوشی میخونه هوای حبس نفس گیره یادت میوفتم امروز دربی جات خالیه حسابی تا کل کل کنیم مثل اون سال که سال بعدش دربی رو من اوین بودم سال بعدیش یغما اوین بود و امسال تو...دربی بعدی امیدوارم باز بیای پیش خودمون تا ادامه بدیم کل کل رو🙏 #دربی #مجید_آذرپی #اوین @majidazarpey</t>
  </si>
  <si>
    <t>Monamoafi</t>
  </si>
  <si>
    <t>💓persepolis💓Barcelona💓Arsenal💓</t>
  </si>
  <si>
    <t>بازی با #استقلال بیشتر دست گرمیه‌ برای بازی با السد وگرنه بازی با تیم یازدهم جدول انقدر هم مهم نیست. #پرسپولیس 💪 #دربی</t>
  </si>
  <si>
    <t>🇮🇷Seyed Mohammad.Tba🇮🇷</t>
  </si>
  <si>
    <t>#دربی_فقط_اونجاش كه سيد مجيد دروازه بان ما بود😂 #استقلال💙</t>
  </si>
  <si>
    <t>https://pbs.twimg.com/media/DoGdGmCXkAAte6c.jpg</t>
  </si>
  <si>
    <t>27 Sep 2018 🕡 6:30 pm Tehran | 5:00 pm CEST 🏟️ #Shahravard 🔵 #Esteghlal 🆚 #Persepolis 🔴 Mehdi Rahmati or Alireza Beiranvand: who will be the number 1? #ESTvPER #TehranDerby #پرسپولیس #استقلال #شهراورد #شهراورد88 #دربی88 #تهران #Iran #PersianGulf⚽ #لیگ_برتر #ایران 🇮🇷</t>
  </si>
  <si>
    <t>@Arazinho1 از همه عجیب تر اینه که ما هنوز واسه این بازی اشتیاق داریم و امید داریم بیرون از زمین نتیجه تعیین نشه، واقعا چیه این #فوتبال چیه این #پرسپولیس به امید اینکه بعد از بازی،. حالمون خوب باشه ♥️♥️♥️⚽⚽⚽</t>
  </si>
  <si>
    <t>‏‏‏‏‏‏‏‏ معلم و مدیر مدرسه... پرسپولیسی</t>
  </si>
  <si>
    <t>iran,mazandaran</t>
  </si>
  <si>
    <t>خدایا چنان کن سرانجام کار دوتا منشا بزنه و یکی بشّار #پرسپوليس #دربی</t>
  </si>
  <si>
    <t>Adel</t>
  </si>
  <si>
    <t>My first name is Ha , my last name is Py</t>
  </si>
  <si>
    <t>Urmia,West Azerbaijan,Iran</t>
  </si>
  <si>
    <t>او هنوز روسری آبی می پوشد و من سیگار وینستون قرمز چه شهرآورد بزرگیست ... #شهرآورد #دربی #آبی #قرمز</t>
  </si>
  <si>
    <t>Alireza Torabi</t>
  </si>
  <si>
    <t>https://pbs.twimg.com/media/DoGeCvpW0AIdgiI.jpg</t>
  </si>
  <si>
    <t>#پرسپولیس ی اسم نیست ی #تاریخه ی هویته ی نماد تمدنه ی سبک زندگیه پرسپولیسی باش.</t>
  </si>
  <si>
    <t>‏‏‏‏‏‏‏‏‏‏‏‏‏‏‏‏‏‏‏‏‏‏ و یک پرسپولیسی 6 اتیشه🏆🏆🏆🏆🏆🏆🏆🏆🏆🏆🏆🏆🏆🏆 مو کوتاه پرحرف زادان #پرسپولیس</t>
  </si>
  <si>
    <t>وینترفل</t>
  </si>
  <si>
    <t>استقلال قهرمان می شه خدا می دونه که حقشه اگر که جدول برعکس بشه استقلال قهرمان می شه استقلال قهرمان می شه! هار هور هیرررهار هور ایح ایح هارهورهیر😂😂😂😂😂😂😂😂😂😂😂 #پرسپولیس #شیشتقلال</t>
  </si>
  <si>
    <t>مهدیه🚩🏆</t>
  </si>
  <si>
    <t>دربی رو با یار طرفدار پرسپولیسم می بینم نه این که برم استادیومی که اون نمی تونه بیاد. البته اینم که شیراز هستم بی تاثیر نیست. #دربی #استقلال</t>
  </si>
  <si>
    <t>مملرضا</t>
  </si>
  <si>
    <t>یک لحظه آزاد زندگی کردن به از صد سال زندگی در قفس جمهوری اسلامی</t>
  </si>
  <si>
    <t>pic.twitter.com/LWohv05lWS</t>
  </si>
  <si>
    <t>گل #پرویز_مظلومی به تیم حکومتی #پرسپولیس و پیروزی #تاج_کبیر در سال ۶۲ و با حضور ۱۲۰ هزار تماشاگر دوستان پرسپولیسی قبل از کری خوندن و گفتن شش تاییا فراموش نکنند که خودشونم شش تایی هستند و در سال ۷۳ و در چارچوب جام حذفی شش بر صفر از تیم فتح تهران شکست خوردند</t>
  </si>
  <si>
    <t>سیامک</t>
  </si>
  <si>
    <t>‏‏‏‏‏‏‏‏‏‏‏‏‏‏‏مُحصِّلِ تاریخِ تَشَیُّع هستم ؛ جهان را از زاویه ی نگاه یک مسلمانِ زخم خورده اما امیدوار می بینم</t>
  </si>
  <si>
    <t xml:space="preserve">نقطه ی تسلیم </t>
  </si>
  <si>
    <t>حدیثی تقدیم کنم مناسب این ساعات حضرت دلبر کائنات علی ع میفرمایند : الرَّاضِي بِفِعل قَومٍ كَالدَّاخِل فِيه مَعَهُم آن كه به عمل گروهی خشنود باشد چنان است كه در آن کار شریک آن ها است ناظر بر ابراز تعلق به هر گروه و جماعتی اعم از ورزشی و سیاسی و ... #دربی #استقلال #پرسپوليس</t>
  </si>
  <si>
    <t>سجاد حاجی پروانه 🇮🇷</t>
  </si>
  <si>
    <t>M.D. &amp; Cartoonist, THE MERCIFUL SATAN ♋️🅱️🤘👨‍⚕️💀☠️</t>
  </si>
  <si>
    <t>🌌 🚻🚾🚱💩</t>
  </si>
  <si>
    <t>آقایانی که الان جوگیر دربی آبی و قرمز هستید اصول اولیه انسانی یادتان هست؟؟ خانم ها ودخترانمان پشت درهای بسته در صدای شادی شما خفقان مردسالاری را میشنوند... #IraniansWantRegimeChange #دربی</t>
  </si>
  <si>
    <t>😈شیطان رحیم👹</t>
  </si>
  <si>
    <t>لعنت به این روزگار که تنها هیجان زندگیمون این شده که بی صبرانه منتظر تماشای دنبال توپ دویدن بیست و دوتا میلیاردر توی زمین فوتبال هستیم بیچاره اون کسایی که از صبح و شاید حتی از دیشب رفتن ورزشگاه! امیدوارم که حداقل نتیجه مساوی نشه! #دربی #داربی #ایران #Iran</t>
  </si>
  <si>
    <t>https://twitter.com/Cnemalover/status/1045090194578440193</t>
  </si>
  <si>
    <t>واویلا واویلا بزن یکی دیگه... #دربی RT @Cnemalover: یکی دو نفرتون رو اینقدر خوب میفهمم اینقدر خوب میفهمم که وقتی توییت‌هاتونو میخونم دلم میخواد از تو ال‌سی‌دی گوشی بکشمتون بیرون و واویلا ...</t>
  </si>
  <si>
    <t>https://pbs.twimg.com/media/DoGeq1iXcAEtcJ8.jpg</t>
  </si>
  <si>
    <t>هم اكنون رختكن #استقلال</t>
  </si>
  <si>
    <t>https://t.me/joinchat/Fvy98RCuzFeRsEed6Ssf2g</t>
  </si>
  <si>
    <t>‏‏‏‏‏‏‏‏حامی شاهزاده رضا پهلوی هستم 💛💙💚✌✌ مارا در گروه ‎#اتحاد_براندازان دنبال کنید 👇👇👇</t>
  </si>
  <si>
    <t>https://pbs.twimg.com/media/DoGe3npXgAE-LFf.jpg</t>
  </si>
  <si>
    <t>فراخوان به جوانانشعارهای ضدحکومتی دردربی امروزتوپ تانک فشفشه اخوندبایدگم بشه وعده ماورزشگاه آزادی جوانان ایران کابوس دیکتاتوری اسلامی #دربی ⁩#تاج ⁩#پیروزی ⁩#فوتبال ⁩#استقلال #تظاهرات_سراسری ⁩ #اتحاد_براندازان ⁩ ⁧ #ما_همه_با_هم_هستيم ⁩</t>
  </si>
  <si>
    <t>سریرا👑💙✌</t>
  </si>
  <si>
    <t>دو ساعت بخوابیم تا #دربی</t>
  </si>
  <si>
    <t>ورزش،هنر،اندكي سياست،دانشجو و با افتخار استقلالي💙</t>
  </si>
  <si>
    <t>فارق از دلار و گراني و گوجه فرنگي و سكه و دولت بي تدبير و ... فعلا به دربي مي انديشم! به اميد برد امروز آبي ها💙✌️ #استقلال</t>
  </si>
  <si>
    <t>jalal</t>
  </si>
  <si>
    <t>تنها راه حلی که برای ما مانده است همین است، شاهد زمانه بودن...</t>
  </si>
  <si>
    <t>قطعا کم اهمیت ترین موضوع این روزها م دربی بوده و هست، بدونه شک #دربی #فوتبال #هواداری</t>
  </si>
  <si>
    <t>🇮🇷 Saeid</t>
  </si>
  <si>
    <t>United Kingdom</t>
  </si>
  <si>
    <t>کسی می‌دونه #بازی #دربی امروز #پرسپولیس و #استقلال رو از کجا میشه دید ؟ #فوتبال #دربى٨٨</t>
  </si>
  <si>
    <t>Don't Understand thong</t>
  </si>
  <si>
    <t>‏‏‏‏‏‏‏‏‏‏‏‏دانشجوی ‏‏‏‏‏‏‏‏‏‏‏‏‏عمران/دیوونه ی فوتبال/عاشق سینما/اهل سیاست</t>
  </si>
  <si>
    <t>آخه مگه بازی با تیم ۱۱ جدول هم مهمه ؟؟ خدایا چرا تو این ایران حداقل یه رقیب سنتی درست حسابی هم بهمون ندادی که برا #دربی استرس داشته باشیم :(((</t>
  </si>
  <si>
    <t>دارای مقدار زیادی #عشق و #تعصب روی #استقلال و #لیورپول</t>
  </si>
  <si>
    <t>حوالی آنفیلد</t>
  </si>
  <si>
    <t>#دربی فقط دعواهاش بقیش سوسول بازیه...</t>
  </si>
  <si>
    <t>Mr_Stvg8</t>
  </si>
  <si>
    <t>https://t.me/HarfBeManBot?start=OTEwMTExMzM</t>
  </si>
  <si>
    <t>ماییم که بی هیچ سرانجام خوشیم... پرسپولیس ❤ رئال مادرید😉</t>
  </si>
  <si>
    <t>من فقط روزایی که پرسپولیس بازی داره آرزو میکنم کاش پسر بودم به امید برد تیم محبوبم❤ #پرسپوليس</t>
  </si>
  <si>
    <t>Zahra</t>
  </si>
  <si>
    <t>http://t.me/BManBguBot?start=5b6b301f92019</t>
  </si>
  <si>
    <t>‏‏‏‏‏‏‏‏‏‏‏‏‏‏‏برسان سلام مارا بر لِمون هـِیز و بـُلو چیز و آکا ۴۷ ʘ‿ʘ</t>
  </si>
  <si>
    <t xml:space="preserve">یه روز می نویسم هلند </t>
  </si>
  <si>
    <t>https://pbs.twimg.com/media/DoGfMchW0AAUT--.jpg</t>
  </si>
  <si>
    <t>با قلبمان به میدان می رویم #پرسپولیس #شهراورد</t>
  </si>
  <si>
    <t>فـــِرانــکـْــ گــَـلــَـگــِر</t>
  </si>
  <si>
    <t>‏‏‏‏‏‏‏‏‏‏🔜اللَّهُمَّ أَرِنِي الطَّلْعَةَ الرَّشِيدَةَ ...🔜خدا کند که کسی تَحبِسُ الدّعا نشود...</t>
  </si>
  <si>
    <t>آیا می دانید چه سالی دربی برگزار نشد🤔؟ پاسخ: سالی که استقلال دسته سه بود‌:))) #اطلاعات_عمومی #دربی</t>
  </si>
  <si>
    <t>hosseinpmd97</t>
  </si>
  <si>
    <t>شرط این شد، هر تیم ببره، بازنده ها تمام توییت های برنده هارو ریتوییت میکنن! کامنت بذارید و شرط ببندید #ریتوییت فراموش نشه من رو #پرسپولیس میبندم. #دربی</t>
  </si>
  <si>
    <t>دوستان یه سوال هر کی جواب بده نشان نابغه اول توییتر رو میگیره #عروس_اسیا کیست ؟؟؟ هار هور هیر ایح ایح ایححححح #پرسپوليس #استقلال</t>
  </si>
  <si>
    <t>دانش آموخته فلسفه گرایش حقوق و سیاست/Graduated Philosophy of Law and Politics</t>
  </si>
  <si>
    <t>گوینده #زن ورزشگاه آزادی که بعضی اوقات در بازی‌های مختلف از جمله بازی‌های آسیایی به #ورزشگاه می‌آمد، با دستور یگان ویژه مجوز حضور در #استادیوم را پیدا نکرد! چه تلاش بیهوده میکنند این خانم ها! یادشان رفته در این کشور انسان و شهروند درجه دو هستند #پرسپولیس #استقلال</t>
  </si>
  <si>
    <t>ehsan aghajani97🇮🇷</t>
  </si>
  <si>
    <t>https://ir.linkedin.com/in/mojtaba-ebrahimi-94677480</t>
  </si>
  <si>
    <t>Husband, Dad, liar, Unfortunately Iranian</t>
  </si>
  <si>
    <t>The fifth dimension of space time</t>
  </si>
  <si>
    <t>#استقلال بلیت ترکیه گیرش نیومده٬ آخی من ناراحت شدم</t>
  </si>
  <si>
    <t>مجتبی ابراهیمی</t>
  </si>
  <si>
    <t>http://makhmalin.blogfa.com</t>
  </si>
  <si>
    <t>بيا بريم دشت اما به واقع كدوم دشت؟</t>
  </si>
  <si>
    <t xml:space="preserve">Tehran, iran
</t>
  </si>
  <si>
    <t>راستش دلم واسه #استقلال و طرفدارهاش مى سوزه. #پرسپوليس غرق در موفقيت، بعد از يك نايب قهرمانى و دو قهرمانى ليگ، دو سوپرجام و دو نيمه نهايى آسيا اگر دربى امروز هم ببره خيلى همه چيز يك طرفه ميشه. در اين شرايط مملكت، اميدوارم حداقل يه مساوى بگيرن. گناه دارن.</t>
  </si>
  <si>
    <t>سين.خ</t>
  </si>
  <si>
    <t>‏‏اگر در ارکان جامعه وکشور تفکراعتدالی حاکم شودکشور گام های اساسی به سمت توسعه برخواهد داشت</t>
  </si>
  <si>
    <t>Qazvin</t>
  </si>
  <si>
    <t>کسی نیومده بگه #دربی کارخودشون #استقلأل و #پرسپولیس دیگه تموم ماجرا؟</t>
  </si>
  <si>
    <t>سعیدکاکاوند🇮🇷‏</t>
  </si>
  <si>
    <t>‏‏‏[‏‏‏‏‏‏‏‏‏‏ومن‌عشقني‌عشقتهُ‌ومن‌عشقتـُهُ‌قتلتهُ‌فمن‌قتلتهُ‌فعلي‌دیة‌] ‌یک ‎‎‎‎‎‎‎‎‎‎‎‎‎‎‎‎‎‎‎‎‎‎‎‎‎‎‎‎‎‎‎‎‎‎‎‎‎‎‎#انقلابی مجاهد در همه عرصه‌ها</t>
  </si>
  <si>
    <t>آیا میدانید اغلب کسانی که فوتبال بلند نیستن طرفدار استقلال هستن؟! پرسپولیس قهرمان میشه خدا میدونه که حقشه❤ #دربی</t>
  </si>
  <si>
    <t>ابومحمود🏴</t>
  </si>
  <si>
    <t>http://www.facebook.com/ali.ghayed</t>
  </si>
  <si>
    <t>خاطره ات تا جاودان ِ جاویدان در گذرگاه ِ ادوار داوری خواهد شد. ------------------------------------- «#تاج» #استقلال #استقلالی‌ام 💙💙💙💙 ⭐️⭐️👑</t>
  </si>
  <si>
    <t>Dezfol</t>
  </si>
  <si>
    <t>@_Yaroo_ @rassool1359 دوستان ؛ پ رو بوجود آوردن فقط براى اينكه در برابر #تاج بزرگ يك تيمى باشه براى رقابت و جذابيت فوتبال! وتنها هدف موجوديت اين تيم از اول تا حتى اكنون برد تاج بوده. واسه اينه كه هنوزم افتخارات يك لنگى كامبك دربرابر #استقلال هست.من هيچوقت پ رو در حد تاج نميبينم.كاش همون شاهين بود بخدا</t>
  </si>
  <si>
    <t>علی قاید</t>
  </si>
  <si>
    <t>http://www.cgie.org.ir</t>
  </si>
  <si>
    <t>‏‏‏‏‏‏‏‏‏‏‏‏‏‏‏‏‏‏‏‏‏‏‏‏‏‏‏‏‏‏‏‏‏‏‏‏‏‏‏‏‏‏‏‏‏‏‏‏‏‏‏‏‏‏‏‏‏‏‏‏‏‏‏‏‏‏‏‏‏‏‏‏‏‏‏‏‏‏‏‏‏‏‏‏‏‏‏‏‏‏‏‏‏‏‏‏‏‏‏‏‏‏‏‏‏‏‏‏‏‏‏‏‏‏‏‏‏‏‏‏‏‏‏‏‏‏‏‏‏‏‏‏‏‏‏‏‏‏‏‏‏‏‏‏‏‏آخرین جِدای</t>
  </si>
  <si>
    <t>آنجاکه تیرعدو برتنش ناله میکند</t>
  </si>
  <si>
    <t>پیشاپیش اعلام کنم 🚫 اخطار اعصابمون بابت مملکت کیری هست هر شخصی هنگام #دربی جای کل کل #فحاشی کند #بلاک میشود بدون استثنا حتی شما دوست گرامی</t>
  </si>
  <si>
    <t>ســـــردار</t>
  </si>
  <si>
    <t>یکی از ویژگی ما #دهه_هفتادیا اینه که طرفدار #پرسپوليس هستیم ⁦😀</t>
  </si>
  <si>
    <t>#دربی_فقط_اونجاش_که هم از داخلی ۶تا میخوره هم از بیگانه😂✌ #پرسپوليس ❤</t>
  </si>
  <si>
    <t>majoomerd(yazd,iran) Arsenal</t>
  </si>
  <si>
    <t>majoomerd</t>
  </si>
  <si>
    <t>#دربی_فقط_اونجاش_که #دربی_فقط_اونجاش_که بیشترِ خودِ #دربی توییت داشته</t>
  </si>
  <si>
    <t>‏‏‏‏‏‏‏‏‏‏‏‏‏‏‏‏بيو چيه؟ به بیوه مذکر میگن بيو؟</t>
  </si>
  <si>
    <t>@Enrique_ubu #دربی فقط اونجاش که توپ در مجموع فقط 9 ثانیه پای ايمون زائد رو لمس کرد اما ...</t>
  </si>
  <si>
    <t>ژيژک</t>
  </si>
  <si>
    <t>pic.twitter.com/xASrxMxEb3</t>
  </si>
  <si>
    <t>زنان ساندویچ فروش در اطراف #ورزشگاه_آزادی! زنانی که نه تنها ورودشون به ورزشگاه ممنوعه بلکه حالا برای امرار معاش مجبورن الویه درست کنن و به تماشاگران فوتبال بفروشن! راستی #ریال کیلویی چند؟! #دربی #استقلال #پرسپولیس</t>
  </si>
  <si>
    <t>https://telegram.me/HarfBeManBot?start=MTMxNjgwNDY4</t>
  </si>
  <si>
    <t>Maybe we could be a symphony And maybe I could learn to play ...</t>
  </si>
  <si>
    <t>از اینکه عصر قراره ببازید چه حسی دارید عشقا !!!😋 #استقلال</t>
  </si>
  <si>
    <t>Sophi</t>
  </si>
  <si>
    <t>‏‏‏‏‏‏‏‏‏‏‏‏‏‏اَلسَّلامُ عَلَيْكِ يا رُقَیـّـِه بِنْتَ الْحُسَيْنِ الشَّهيدِ چیزی که به پیشرفت کشورکمک می کند،آزادی واقعیِ فکرهاست</t>
  </si>
  <si>
    <t>آرزو میکنم بزودی روزی را شاهد باشیم که دیدن #دربی در #آزادی ، باعث رونق کار #گریمورها نباشد.!</t>
  </si>
  <si>
    <t>علی دانشمند</t>
  </si>
  <si>
    <t>اقا میترسم نکنه فشار باخت باعث مرگ هوادار کیسه بشه #دربی</t>
  </si>
  <si>
    <t>شبكه خبرى ايران اينترنشنال</t>
  </si>
  <si>
    <t>نصب ۵۰۰ دوربین مخفی در #ورزشگاه_آزادی به گزارش خبرگزاری فارس، ۵۰۰ دوربین مخفی در ورزشگاه آزادی نصب شده «تا افرادی که به دنبال آشوب هستند و دخترانی که به هر شکل توانسته‌اند به ورزشگاه آزادی بیایند، شناسایی شوند». #دربی</t>
  </si>
  <si>
    <t>ايران اينترنشنال</t>
  </si>
  <si>
    <t>http://www.zananemrooz.com</t>
  </si>
  <si>
    <t>ماهنامه زنان امروز صاحب امتیاز، مدیر مسئول و سردبیر: شهلا شرکت کانال تلگرام: @zanan_emrooz</t>
  </si>
  <si>
    <t>دخترانى كه لباس مردانه پوشيده و تلاش میکردند براى ديدن #دربي وارد ورزشگاه شوند، توسط نیروی انتظامی شناسایی و از ورود آنها جلوگیری شده است. #زنان #ورزشگاه #دربي</t>
  </si>
  <si>
    <t>zananemrooz</t>
  </si>
  <si>
    <t>https://telegram.me/HarfBeManBot?start=NDQwMjI4MzQ1</t>
  </si>
  <si>
    <t>✌🏻کورد✌🏻 عاشق❤️حیوانات</t>
  </si>
  <si>
    <t>Kurdm kurdi kurdistan❤️</t>
  </si>
  <si>
    <t>دربی مال ماست در جریان که هستید...؟! #پرسپولیس ❤️</t>
  </si>
  <si>
    <t>🔴حضرت زلف :):</t>
  </si>
  <si>
    <t>citizen, Humanitarians maghfoori@hotmail.com</t>
  </si>
  <si>
    <t>kerman, iran</t>
  </si>
  <si>
    <t>- فوتبال میبینی؟ ۲۲ نفر دنبال توپ میدوئن، فوقش یه تیم میبره یه تیم میبازه، چی گیر تو میاد؟ + چی گیرم میاد؟ دوساعت فکر نکردن به مملکت. به بدبختی که مملکت توش گیر کرده @Rouhani_ir #دلار۲۰۰۰۰تومانی #دولت #دربی #تدبیر_و_امید</t>
  </si>
  <si>
    <t>مصطفی مغفوری</t>
  </si>
  <si>
    <t>مجاهد جان،عرزشی گلم،تجزیه طلب محترم ... بزنید به چاک لطفا حوصلتونو ندارم ... مودبانه تر از این نمی تونم بگم 🤬☠️ I do my best to be your mirror 🖐️🙂</t>
  </si>
  <si>
    <t>https://pbs.twimg.com/media/DoGgOqxU0AMJ-_Z.jpg</t>
  </si>
  <si>
    <t>پیش از #دربی از شادی گل های جدید رونمایی شد😁 #استقلال #پرسپولیس</t>
  </si>
  <si>
    <t>میرزا مومنت الدوله</t>
  </si>
  <si>
    <t>https://pbs.twimg.com/media/DoGg5yDW0AEh2pG.jpg</t>
  </si>
  <si>
    <t>مقایسه عملکرد زوج خط حمله #پرسپولیس و استقلال #دربی۸۹ 🔴 @Perspolis</t>
  </si>
  <si>
    <t>https://pbs.twimg.com/media/DoGhF1IXkAE1Rth.jpg</t>
  </si>
  <si>
    <t>تایم لاین قرمزش قشنگ تره 😍 #پرسپولیس</t>
  </si>
  <si>
    <t>ترکیب #استقلال : مهدی رحمتی، پژمان منتظری، آرمین سهرابیان، میلاد زکی پور، وریا غفوری، علی کریمی، روزبه چشمی، فرشید اسماعیلی، طارق همام، مرتضی تبریزی و روح الله باقری #دربی #داربی</t>
  </si>
  <si>
    <t>از کران تا به کران لشکر ظلم است ولی از ازل تا به ابد فرصت درویشان است.حافظ</t>
  </si>
  <si>
    <t>این اعلام جنگ آشکار است با زنان! خبرگزاری فارس :"۵۰۰ دوربین و مامور لباس شخصی قرار است افراد خاطی و زنانی را که به ورزشگاه رفته‌اند شناسایی کنند." این در حالیست که 5 نفر طی 12 دقیقه حداقل 12 خشاب روی رژه نظامی اهواز شان خالی کردند و امنیتی ها هیچ عکس العملی نشان ندادند. #دربی</t>
  </si>
  <si>
    <t>Ali Yosofi🚩</t>
  </si>
  <si>
    <t>For freedom should be fight</t>
  </si>
  <si>
    <t>Germany</t>
  </si>
  <si>
    <t>و باز هم استادیوم صدهزار پسری. زنان ایرانی حذف شدنی نیستند. #فوتبال_مذهبی_سیاسی #دربی</t>
  </si>
  <si>
    <t>Kayhan</t>
  </si>
  <si>
    <t>گوینده زن ورزشگاه آزادی که براى گزارش برخى بازی‌های آسیایی به ورزشگاه می‌آمد، با دستور یگان ویژه مجوز حضور در استادیوم را پیدا نکرد. #دربي</t>
  </si>
  <si>
    <t>‏‏|‏‏‏trying to be a freeminded human |مخزن السرار |💙تاجی |مشاور ارشد نوه ی کریم خان زند</t>
  </si>
  <si>
    <t>Blue Earth, MN</t>
  </si>
  <si>
    <t>#دربی_فقط_اونجاش_که از استرس نمیدونی چه کنی؟ #استقلال</t>
  </si>
  <si>
    <t>sipanam</t>
  </si>
  <si>
    <t>https://telegram.me/dar2delbot?start=send_gv31rYl</t>
  </si>
  <si>
    <t>‏‏‏‎‎‎#معلم🧕🏼اندکی #عکاس📷و ‎#دانشجو👩🏻‍🎓کارشناسی ارشد رشته تکنولوژی آموزشی دانشگاه علامه... ‏‏‏‏ناشناس👇</t>
  </si>
  <si>
    <t>https://twitter.com/Leila100ri/status/1045004902571880448</t>
  </si>
  <si>
    <t>پرسپولیسیا لطفا هشتگ قرمز بزنید... چی؟! نمیشه؟! نمیتونید؟! همیشه نمیتونستید😎 #دربی #استقلال RT @Leila100ri: استقلالیا لطفا فیو آبی بزنن... چی؟؟ نمیشه؟؟ نمیتونید؟؟ همیشه نمیتونستید!! #پرسپولیس</t>
  </si>
  <si>
    <t>زهره</t>
  </si>
  <si>
    <t>http://fcesteghlal.ir</t>
  </si>
  <si>
    <t>تنها حساب رسمی توئیتر باشگاه استقلال</t>
  </si>
  <si>
    <t>https://pbs.twimg.com/media/DoGhYqkWsAArCLo.jpg</t>
  </si>
  <si>
    <t>ترکیب یازده نفره #استقلال در مصاف با #پرسپولیس #دربى</t>
  </si>
  <si>
    <t>حساب رسمی باشگاه استقلال</t>
  </si>
  <si>
    <t>http://koronanews.ir</t>
  </si>
  <si>
    <t>کرونا نیوز / #فالوور</t>
  </si>
  <si>
    <t>https://twitter.com/kaidiamin</t>
  </si>
  <si>
    <t>https://pbs.twimg.com/media/DoGpZThVsAA5Mn4.jpg</t>
  </si>
  <si>
    <t>آنقدر به فکر قیمت دلار و سکه و بقیه مشکلات هستیم که یادمون رفته امروزبازی #پرسپولیس و #استقلال ه! اوج #وطن_فروشی ه که حواست به بالا رفتن ارز در کشورت نباشه اما به شوت زدن که یک بازی #شیطانی ه حواست باشه. #دلار_19_تومن_شد #مملکت_پاسدار_میخواهد #برخیزید #طلا_بالا_رفت #ما_توانستیم</t>
  </si>
  <si>
    <t>خبرگزاری کرونا</t>
  </si>
  <si>
    <t>http://venusmardasi.blogfa.com</t>
  </si>
  <si>
    <t>اینجا ایران است به وقت سکوت .</t>
  </si>
  <si>
    <t>نتیجه بازی #فوتبال امروز : ۱-۲ #استقلال #پیروزی</t>
  </si>
  <si>
    <t>ونوس مرداسی</t>
  </si>
  <si>
    <t>‏‏‏‏‏‏‏‏‏‏‏‏‏‏‏‏‏‏‏‏‏‏‏‏‏‏‏‏‏‏‏‏من اینجا هیچ توضیحی واسه هیچ کس ندارم ! ی شکموی همیشه گشنه ///‏‏‏تاجی🌟🌟</t>
  </si>
  <si>
    <t>توی برزخ بیست تا سی سال</t>
  </si>
  <si>
    <t>دربی فقط اونجاش که بیشترین بردش مال ماست #استقلال</t>
  </si>
  <si>
    <t>نونا لوپز💙</t>
  </si>
  <si>
    <t>دوستان #پرسپولیسی شما هم مثل من تیم #استقلال (🤢) رو ی تیم نجس و کثیف میپندارید..؟ یا من همچین حسی دارم.... #عشقپولیس ⁦❤️⁩⁦❤️⁩⁦❤️⁩⁦❤️⁩⁦❤️⁩⁦❤️⁩</t>
  </si>
  <si>
    <t>18-ir.tehran Music lover</t>
  </si>
  <si>
    <t>Ghermez ya abi esteghlal ya perspolis Yeki dige pulesho migire o eshgh o hal mikone oun vaght ma mirinim beham ke yekimun esteghlalie yekimun perspolisi (taasof💔) #Derbi #esteghlal #perspolis #دربی #پرسپوليس #استقلال</t>
  </si>
  <si>
    <t>Siaavashmoradi</t>
  </si>
  <si>
    <t>‏‏‏‏‏‏‏‏‏‏‏‏‏‏‏‏‏‏‏‏‏‏‏‏‏حضرت رسول سلام الله علیه وآله میفرماین:بدرستی ک خلیفه من ووصی من ووارث علم من دوزنده ی نعلین من است 💝شوهر💝معتقدب سیاست اخلاقی اهلبیت</t>
  </si>
  <si>
    <t>3jeld EsFaniAm ama Karbalaiam</t>
  </si>
  <si>
    <t>@shafaeieisa @khanoom_mahi #مردم_بدانید عشق است #پرسپولیس تا به خدا میبرد مرااا بنگرکه از کجا به کجا میبرد مرااا معراج همه سینه زنان جای دیگر است یک #یاحسین کرببلا میبرد مرا😂😂 #حب_الحسین_یجمعنا</t>
  </si>
  <si>
    <t>📎خاصف النَّعل..</t>
  </si>
  <si>
    <t>نه تو آني که همانی، نه من آنم که تو داني</t>
  </si>
  <si>
    <t>خود استقلالی ها هم یواشکی برد #پرسپولیس رو پیش بینی کردن</t>
  </si>
  <si>
    <t>pedram</t>
  </si>
  <si>
    <t>ده ساله اینجام.به کسی باج ندادم.پاچه خواری کسیو نکردم.در هیچ زنجیره جهالتی( همون باندهای توییتری) نیستم.معتقدم فالوعر بالا مثل پولدار بودن توی جی تی ای میمونه</t>
  </si>
  <si>
    <t>pic.twitter.com/HoF0ww8nvx</t>
  </si>
  <si>
    <t>گفتم یادآوری کنم که سلطان کیه. #دربی #پرسپوليس</t>
  </si>
  <si>
    <t>مسعودتون</t>
  </si>
  <si>
    <t>تيم #استقلال هتل را به مقصد ورزشگاه آزادى ترك كرد</t>
  </si>
  <si>
    <t>http://instagram.com/meghdad.ghavami</t>
  </si>
  <si>
    <t>‏‏‏‏‏‏‏‏‏‏‏‏‏‏‏‏‏‏‏‏‏‏‏‏‏‏‏‏‏‏‏‏‏‏‏‏‏‏‏‏‏‏‏‏‏‏‏‏‏﷽ ‏ معتدلِ بارانی</t>
  </si>
  <si>
    <t>احمدی از آزادی داره گزارش می‌کنه می‌گه #پرسپولیس اومده ولی اتوبوس استقلال هنوز وارد استادیوم نشده؛واقعا نگران کننده است. #ترکیه #دربی</t>
  </si>
  <si>
    <t>سیّد مقداد</t>
  </si>
  <si>
    <t>به نام نامی سر/بسمه تعالی سر ...</t>
  </si>
  <si>
    <t>میگن ترکیب امشب استقلال ٨-١-١ به همین تباهی #پرسپوليس</t>
  </si>
  <si>
    <t>🇮🇷abdizade_mehdi🇮🇷</t>
  </si>
  <si>
    <t>دست علی بر سر ما😁 ایوانکُویچ رهبر ما 😍 #دربى٨٨ #پرسپولیس</t>
  </si>
  <si>
    <t>‏خود مه تو گل می پلکونوم</t>
  </si>
  <si>
    <t>https://twitter.com/shakilamonfared/status/1045279594310504450</t>
  </si>
  <si>
    <t>تیمی به نام #پیروزی وجود نداره. این کثافت بازی جمهوری اسلامی بود برای فرار از عواقب مصادره ی اموال مردم. این تیم همیشه #پرسپولیس بوده، هست و خواهد بود. ⁦❤️⁩ RT @shakilamonfared: کدام تیم برنده دربی امروز است؟</t>
  </si>
  <si>
    <t>Sir Soroush</t>
  </si>
  <si>
    <t>https://pbs.twimg.com/media/DoGqH8lXgAI4hQ5.jpg</t>
  </si>
  <si>
    <t>آماده برا #دربى ❤️🔥</t>
  </si>
  <si>
    <t>@shakilamonfared تیمی به نام #پیروزی وجود نداره. این تیم همیشه #پرسپولیس بوده، هست و خواهد بود.</t>
  </si>
  <si>
    <t>‏‏‏‏‏‏بسم رب الشهداء «best moments:Ramos© time» استقلالی افراطی یه تُرک دَوازدَه سیلَندر که شیش تا شو قَرض گِرفته #یاأیها_العزیز...بیا که جهان را نیاز دادخواهیس</t>
  </si>
  <si>
    <t>100 متر جلوتر</t>
  </si>
  <si>
    <t>به نظرم استقلال تو این #دربی نتیجه خوبی نمیگیره مثلاً شاید دو هیچ ببره والله</t>
  </si>
  <si>
    <t>سرخیو_کاناوارو💙ss💙</t>
  </si>
  <si>
    <t>@Pruma6 نخیر به خاطر #زلزله_ی #پرسپولیس تو شهرمون هست...😎💪 #عشقپولیس ⁦❤️⁩⁦❤️⁩⁦❤️⁩⁦❤️⁩⁦❤️⁩⁦❤️⁩</t>
  </si>
  <si>
    <t>یعنی حال آدم رو بهم میزنن با آوردن یکی با لباس سپاهی قبل از بازی وسط استادیوم بیاد حرف بزنه، یعنی نمیدونن بیشتر ایجاد نفرت میکنن با اون لبخند مصنوعی و حرفایی که بیشتر جنبه منت و شو آف داره تا خدمت #دربى٨٨ #دربی #پرسپوليس #استقلال</t>
  </si>
  <si>
    <t>Mashtali</t>
  </si>
  <si>
    <t>@MohammadVahidii @MNaemeh #کیسه را برنده #دربی اعلام نمودیم. #شهراورد</t>
  </si>
  <si>
    <t>جوياي راه خويش باش از اين سان كه منم در تكاپوي انسان شدن</t>
  </si>
  <si>
    <t>تهران، ايران</t>
  </si>
  <si>
    <t>ميگه ورزشگاه نمي رم تا وقتي كه با هم بتونيم بريم شما بودين عاشقش نمي شدين😍 #دربی</t>
  </si>
  <si>
    <t>#physiotherapist #reasercher #sport #poem #photography</t>
  </si>
  <si>
    <t>@saramosavi8 @AlinejadMasih @PahlaviReza @Maryam_Rajavi #حب_الحسین_یجمعنا #دربی #دربى٨٨ #حرکت_جهانی_اربعین #گوشمالی_سخت #اللهم_عجل_لوليک_الفرج</t>
  </si>
  <si>
    <t>Fahime Khorasani</t>
  </si>
  <si>
    <t>https://telegram.me/HarfBeManBot?start=MjEzMjY2MzQz</t>
  </si>
  <si>
    <t>بنيانگذار مكتب #خودميسم ؛ حتى اينجا هم نميذارن خودت باشى ((هنوز همون خل و چل)) ........</t>
  </si>
  <si>
    <t>خونمون</t>
  </si>
  <si>
    <t>https://pbs.twimg.com/media/DoGqh7BWsAIdCle.jpg</t>
  </si>
  <si>
    <t>دخترا كسى #دربى اومده ؟</t>
  </si>
  <si>
    <t>خودم</t>
  </si>
  <si>
    <t>‏‏‏‏‏تحلیلگر فوق تخصصی در همه ی مسائل غیر تخصصی جهت استراحت تایم لاین</t>
  </si>
  <si>
    <t>با افتخار پایین شهر</t>
  </si>
  <si>
    <t>#دربی بیت المال است،برای هیچکدام از گروه ها نیست. عده ای میگویند #دربی_فقط_اونجاش_که یا خوراکمونه اینرا بدانید که اونجاش هم حرامه</t>
  </si>
  <si>
    <t>جناب خان خاکستری</t>
  </si>
  <si>
    <t>https://pbs.twimg.com/media/DoGq0g0WsAEO8tA.jpg</t>
  </si>
  <si>
    <t>ترکیب #پرسپوليس مقابل #استقلال: عليرضا بيرانوند، حسين ماهينی، جلال حسينی، شجاع خليل‌زاده، محمد انصاری، سيامك نعمتی، كمال كاميابی‌نيا، احمد نوراللهی، بشار رسن، علی عليپور و گادوين منشا🔵⚽️🔴</t>
  </si>
  <si>
    <t>She is predictable in her unpredictability</t>
  </si>
  <si>
    <t>فقط استقلال 💙💙💙💙#دربی</t>
  </si>
  <si>
    <t>Mojgan</t>
  </si>
  <si>
    <t>https://pbs.twimg.com/media/DoGq3oPXgAA6fLZ.jpg</t>
  </si>
  <si>
    <t>نه اهل فوتبالم نه کل کل ولی داخل #دربی امروز یا #استقلال میبره یا #پرسپولیس میبازه . والا</t>
  </si>
  <si>
    <t>ahmad</t>
  </si>
  <si>
    <t>We Die Hard...🤘</t>
  </si>
  <si>
    <t>0↔1</t>
  </si>
  <si>
    <t>عجب دربی بی بخاریه این دربی، انشا الله استقلال ببره بلکه شور و شعفی بگیریم 💙🔵 #استقلال #دربى٨٨</t>
  </si>
  <si>
    <t>اح‌مد_Baba Yaga_رض‌ا</t>
  </si>
  <si>
    <t>متاهل هستم و به شدت پرسپولیسی بارسایی ✨💍👰🏻</t>
  </si>
  <si>
    <t>https://pbs.twimg.com/media/DoGq7RoU0AIr1vx.jpg</t>
  </si>
  <si>
    <t>خدایا چنین کن سرانجام این #دربی که ما خوشنود باشیم و تاجیا گریان 😎</t>
  </si>
  <si>
    <t>فرناز</t>
  </si>
  <si>
    <t>‏‏‏‏‏‏‏‏‏‏‏‏‏‏‏دانشجوی روانشناسی / متولد آخرین ماهِ سال</t>
  </si>
  <si>
    <t>نتیجه دربی 88 ؟؟ #دربى٨٨ #دربی #نظرسنجي #استقلال #پرسپولیس</t>
  </si>
  <si>
    <t>فاط نِوشـتــ</t>
  </si>
  <si>
    <t>‏‏‏‏‏مــَن اَگــَر بِنشینــَم تــُو اَگــَر بِنشینے چه ڪـَسے بــَرخیزَد؟! ............. ‎‎‎#ولاییم❤</t>
  </si>
  <si>
    <t>Iran. Hamedan</t>
  </si>
  <si>
    <t>یک توصیه به پرسپولیسی های عزیز تایملاین: خواهشا بعد دربی امروز گریه نکنید آرامش خودتون رو حفظ کنید و چند ساعتی رو به استراحت بپردازید... #استقلال</t>
  </si>
  <si>
    <t>Zahra Zri</t>
  </si>
  <si>
    <t>https://www.facebook.com/milad.nasimsobhan.9</t>
  </si>
  <si>
    <t>•M.A graduate of Graphic design and Visual Arts from University of Art (Tehran – Iran). Filmmaker &amp; Graphic Designer</t>
  </si>
  <si>
    <t>من به بلیط فروشی دربی مشکوکم! بلیط فروش اینترنتی انجام میشه و در کمترین زمان ممکن تمام 80درصد فروش اینترنتی به پایان میرسه. اما کلا بیست درصد میان استادیوم! #دربی #استقلال #پرسپولیس</t>
  </si>
  <si>
    <t>میلاد نسیم سبحان</t>
  </si>
  <si>
    <t>بد شانسی که هم آغوش خطر، خفت در خوابگه پیغمبر</t>
  </si>
  <si>
    <t>برای دو هر دو طرف #دربی امروز آرزوی شکست میکنم😀 #استقلال #پرسپولیس #کیری‌</t>
  </si>
  <si>
    <t>عینی</t>
  </si>
  <si>
    <t>فوتبالی ای که خایه ی کری خوندن قبل دربی رو نداشته باشه و منتظر باشه بعد بازی اگ بردن تازه زبون باز کنه رو سگ گایید:)) #دربی #پرسپولیس</t>
  </si>
  <si>
    <t>بنظرتون بعد عدد 6️⃣و 4️⃣ پرسپوليس ميخواد امروزچ عددي و به ما هديه كنه؛) #دربي #پرسپولیس</t>
  </si>
  <si>
    <t>PhD in computer science / telecommunications رییس مرکز بررسیهای دکترینال روزمره نویسی بدون مرز. نه در مسجد گذارند ام که رند است/نه در میخانه کین خمار خام است</t>
  </si>
  <si>
    <t>Sydney, New South Wales</t>
  </si>
  <si>
    <t>https://twitter.com/meghdad_ghavami/status/1045303572051759104</t>
  </si>
  <si>
    <t>#دفاع_اتوبوسی #استقلال #دربی RT @meghdad_ghavami: احمدی از آزادی داره گزارش می‌کنه می‌گه #پرسپولیس اومده ولی اتوبوس استقلال هنوز وارد استادیوم نشده؛واقعا نگران کننده است. #ترکیه #دربی</t>
  </si>
  <si>
    <t>🇵🇸سین الف ح🇮🇷</t>
  </si>
  <si>
    <t>‏هوادارِ افراطیِ فوتبال چیه؟من همونَم:)</t>
  </si>
  <si>
    <t>وسطِ زمین</t>
  </si>
  <si>
    <t>https://pbs.twimg.com/media/DoGrmJuXgAAvwiB.jpg</t>
  </si>
  <si>
    <t>دربی فقط اینجا،این لحظه:))) #سال89 #دربی69 #دربی</t>
  </si>
  <si>
    <t>آسمانِ آبی💙</t>
  </si>
  <si>
    <t>شبه تاره// بی قراره// تیمی که چاره نداره// لنگیا باید بدونن// استقلال ....(بله بله) :))))) #استقلال #استقلال_پرسپولیس #دربی</t>
  </si>
  <si>
    <t>Shahram_Losche</t>
  </si>
  <si>
    <t>https://pbs.twimg.com/media/DoGrl-YXkAARj0a.jpg</t>
  </si>
  <si>
    <t>ورزشگاه صدهزار پسری آزادی ۹۰ دقیقه مانده به شروع #دربی</t>
  </si>
  <si>
    <t>با مانتو و رژ قرمز تو مطب دکتر در انتظار #دربی</t>
  </si>
  <si>
    <t>داشتم آخرین آمار و ارقام #دربی رو چک میکردم یه نکته ای توش خیلی جالب بود: هروقت #پرسپولیس توی نیمه اول از راست ب چپ زده، #استقلال توی همون نیمه از چپ ب راست زده...</t>
  </si>
  <si>
    <t>‏‏‏‏‏‏غرق نعمتیم ، الحمدللّٰه | حالیمون نیست ، استغفراللّٰه</t>
  </si>
  <si>
    <t>تهران پلاک ۱۰</t>
  </si>
  <si>
    <t>حالا ما که زیاد اهلش نیستیم ولی مثل اینکه یکی از این دو تا تیمی که امروز باهم بازی دارن ۲بار قهرمان و ۲بار نایب‌قهرمان آسیا و ۷ بار قهرمان جام حذفی و پر امتیازترین تیم تاریخ لیگ برتر هستش . درسته؟! [ از ویکی‌پدیا اطلاعات بدست می‌آورد ] 💙😎 #استقلال</t>
  </si>
  <si>
    <t>آمیرزا مُحَمَّد تهرانی</t>
  </si>
  <si>
    <t>https://pbs.twimg.com/media/DoGsA5UXoAApL4f.jpg</t>
  </si>
  <si>
    <t>در میان این همه غوغای سرخابیِ شهر من مهاجم بوده ام، هی بر لبت گل کاشتم ... #دربی</t>
  </si>
  <si>
    <t>مجری رادیو و تلویزیون</t>
  </si>
  <si>
    <t>عصر ۵ شنبه برای دربی همه با دلبر میشینن لذت میبرن ماهم وسط جلسه نشستیم داریم دعوا میکنیم بی خبر از همه چی... اسیر شدیم این وقت روز ... 😏 #دربی #جلسه #دلبر</t>
  </si>
  <si>
    <t>Mehrdad</t>
  </si>
  <si>
    <t>‏‏‏‏‏‏‏‏‏‏‏نه مهندسم، نه شاعر؛ که بسازم و بسوزم! ...</t>
  </si>
  <si>
    <t>بهار سبز باغ زرد با توست علاج سینه ی پر درد با توست و با این چیدمان چشم و ابرو همیشه برد #شهرآورد با توست #دربی</t>
  </si>
  <si>
    <t>آقای‌شین</t>
  </si>
  <si>
    <t>https://pbs.twimg.com/media/DoGsE8IWsAAMM6d.jpg</t>
  </si>
  <si>
    <t>@renehossein ما به خاطر اين چهار سال خود رو سرور و ارباب شما ميدونيم #پرسپوليس #استقلال #شما_بگو_کي_زيره؟؟!!!!🤔</t>
  </si>
  <si>
    <t>‏‏‏منم که شهره شهرم به عشق ورزیدن منم که دیده نیالوده‌ام به بد دیدن وفا کنیم و ملامت کشیم و خوش باشیم که در طریقت ما کافریست رنجیدن.</t>
  </si>
  <si>
    <t>https://pbs.twimg.com/media/DoGsCjSX0AA421x.jpg</t>
  </si>
  <si>
    <t>نتیجه #دربی مشخص شد #اسنپ یک #ایرانسل یک</t>
  </si>
  <si>
    <t>persian</t>
  </si>
  <si>
    <t>ما به هر کی گفتیم دوست دارم یادش اومد تو زندگی کارهای مهم تری هم داره</t>
  </si>
  <si>
    <t>#دربی_فقط_اونجاش_که ازت میپرسه #پرسپوليس کدوم بازیکنه!!!!</t>
  </si>
  <si>
    <t>مهاجر بی اعصاب</t>
  </si>
  <si>
    <t>‏‏‏رمان های کوچ و کوپه ‎‎#نویسنده من آدم خوبی نیستم ...به من نزدیک نشید 🌹 ‏‏‏</t>
  </si>
  <si>
    <t>فعلا ایران</t>
  </si>
  <si>
    <t>باور بفرمایید اگر خانوما برن استادیم .... میزان فحاشی ها هم به طرز چشم گیری کاهش پیدا میکنه 🌹🌹 #دربی</t>
  </si>
  <si>
    <t>امیدبیدل</t>
  </si>
  <si>
    <t>تاکید موکدی دارم رو تکرار مکررات</t>
  </si>
  <si>
    <t>https://pbs.twimg.com/media/DoGsOeTXcAExD5E.jpg</t>
  </si>
  <si>
    <t>سلطان گل زدن تو #دربی ها امید لایی شاه نیست #پرسپوليس</t>
  </si>
  <si>
    <t>تلرانس</t>
  </si>
  <si>
    <t>از منشا تا تونل رحمتی ۵۰۰۰تومان #دربی #اسنپ</t>
  </si>
  <si>
    <t>pic.twitter.com/FJJE1JigCv</t>
  </si>
  <si>
    <t>🎥 بازار سیاه بلیط فروشی در #دربی۸۸/ ١٣٠ تا ۱۵۰ هزار تومان برای هر بلیط! #پرسپولیس #استقلال</t>
  </si>
  <si>
    <t>https://www.linkedin.com/in/arastuq</t>
  </si>
  <si>
    <t>Web Geek, Doonpayeh Software Engineer, Senior Configuration File Editor, Cosmopolitan, Permanent Student, Reader And Learner, @farnoushshalile Is My Rock!</t>
  </si>
  <si>
    <t>touhid.arastu AT جیمیل</t>
  </si>
  <si>
    <t>https://pbs.twimg.com/media/DoGsSvkXcAAA2Oi.jpg</t>
  </si>
  <si>
    <t>برای #دربی پنجره خونه رو تزئین کردیم :) #استقلال</t>
  </si>
  <si>
    <t>Touhid Arastu</t>
  </si>
  <si>
    <t>‏‏‏‏‏‏‏‏***صداقت را پیشه کنیم، امید را زندگی*** ‏‏‏‏‏‏کارشناس ارشد عمران(ترافیک)- دانشجو دکتری جامعه شناسی- فعال سابق دانشجویی-کمی فعال سیاسی</t>
  </si>
  <si>
    <t>از بر و بچ #پرسپوليس استدعا دارم در این زمانه غم و اندوه مردم، مراعات کنند و بازی رو شل بگیرند. بالاخره #استقلال هم هوادار داره اون گوشه کنارا. ✌️😊 #دربی</t>
  </si>
  <si>
    <t>Ali vefghi</t>
  </si>
  <si>
    <t>لذت برد بازی #الدحیل، هیجان واسه بازی که با #السد داریم و همچنین وضع فلاکت بار و رتبه #استقلال اهمیت بازی امروز رو واسم در حد یه بازی لیگ با یه تیم پایین جدولی آورده پایین و متاسفانه همه این تیمای رده آخری میان واسه دفاع و یه امتیاز... #پرسپولیس #داربی #Foot_twitte</t>
  </si>
  <si>
    <t>‏‏‏‏‏‏‏‏‏‏‏‏‏‏معلم کلاس اول- به شدت فوتبالی و همزمان علاقه مند به پرسپولیس، لیورپول و بارسلونا</t>
  </si>
  <si>
    <t>Bam, Kerman</t>
  </si>
  <si>
    <t>چرا باید #دربی رو تنهایی ببینم؟</t>
  </si>
  <si>
    <t>Mahdi Johari</t>
  </si>
  <si>
    <t>Dax le destî em zemane gencim wa pîrim dekat...</t>
  </si>
  <si>
    <t xml:space="preserve">Silêmanî </t>
  </si>
  <si>
    <t>https://pbs.twimg.com/media/DoGpA3XXcAIyKNm.jpg</t>
  </si>
  <si>
    <t>https://twitter.com/dw_persian/status/1045302590915973120</t>
  </si>
  <si>
    <t>مثلاً میخوان وضعیت را فانتزی کنند. اگه امروز #تهران حرکتی نکنند گشنگی لیاقت است. #دربی #دربی۸۸ #دربی_فقط_اونجاش_که #دلار۲۰۰۰۰تومانی RT @dw_persian: #دربی هشتادوهشتم: حضور تعدادی از نیروهای یگان ویژه در محوطه ورزشگاه با اسب</t>
  </si>
  <si>
    <t>Gencî pîr..</t>
  </si>
  <si>
    <t>‏‏‏‏‏ ‏آلوده تر ز من نَبُوَد بر درت ولی آقاتری از اینکه برانی مرا، حُسِین ‎‎‎‎‎#صلی_الله_علیک_یا_اباعبدالله معلم قرآن🌺حافظ قرآن❤️</t>
  </si>
  <si>
    <t>شش گوشه</t>
  </si>
  <si>
    <t>لکن طوری نشود که در این کری خوانی بین استقلال و پرسپولیس دامن عفت و ادب بدریم... #دربی</t>
  </si>
  <si>
    <t>بی پلاک 313 ⛈</t>
  </si>
  <si>
    <t>هميشه لحظه شماري ميكردم براي #دربي ولي اين روزها اينقدر گرفتارم و فكرم مشغوله اصلا يادم نبود امروز دربيه ورزشگاه كه هيچ حتي نميرسم بازي ر از تلوزيون ببينم بهرحال به اميد برد #پرسپوليس و نابودي اين رژيم كه اينقدر گرفتار و بدبختمون كرده</t>
  </si>
  <si>
    <t>میریم که یه بررررد شیرین داشته باشیم #پرسپوليس</t>
  </si>
  <si>
    <t>‏‏‏‏‏‏‏گر با دگران به ز منی وای به من(!) ور با همه کس همچو منی وای همه ‎‎‎‎#ابوسعیدمون</t>
  </si>
  <si>
    <t>بین آدمایی که هیچکدوم تو نمیشن</t>
  </si>
  <si>
    <t>هنوز کسی عکس استادیومو نذاشته بگه جمعه هست و هل من ناصر ینصرنی و همین صوبتا؟ امتیاز این مرحله رو از دست دادید که تباها! #دربى٨٨ #استقلال #پرسپولیس</t>
  </si>
  <si>
    <t>آرومـــــا</t>
  </si>
  <si>
    <t>#MediaManagement Student at University of Tehran / Interested in #MediaEconomics #MediaPolicy #MarketResearches #MarketDevelopment #PR</t>
  </si>
  <si>
    <t>pic.twitter.com/g4crSC1AjU</t>
  </si>
  <si>
    <t>یادی هم بکنیم از اون "حرکت زشت" و غیراخلاقی و غیرورزشی #پرویز_برومند که در زمان خودش بدجوری دلمون رو خنک کرد 😄👊💪 #دربی #لنگ #پایان_رافت #رافت_اسلامی #شهرآورد #دربى٨٨</t>
  </si>
  <si>
    <t>Mostafa Qari</t>
  </si>
  <si>
    <t>‏‏‏نه از رومم، نه از زنگم، همان بیرنگ بیرنگم ‎‎#اخوان نئوتئاترولوژیستی كه نیست!</t>
  </si>
  <si>
    <t>میگن آدم‌ها کم‌کم علاقه‌شون رو به اموری که کمتر از بقیه می‌تونن توش مشارکت کنن از دست می‌دن. فلذا بنده احتیاج به حضور در استادیوم دارم. #دربی</t>
  </si>
  <si>
    <t>NOx 🇮🇷</t>
  </si>
  <si>
    <t>‏‏‏وکیل دادگستری. کارشناس ارشد حقوق تجارت الکترونیک</t>
  </si>
  <si>
    <t>الان به جای خونه باید #ورزشگاه آزادی بودم اونم با لباس #آبی 💙 #دربی #استقلال #پرسپولیس</t>
  </si>
  <si>
    <t>Bahar Tabibzadeh بهار طبیب زاده</t>
  </si>
  <si>
    <t>http://www.goftogoonews.com</t>
  </si>
  <si>
    <t>‏‏سردبیر سایت گفت وگو/کار آفرین و فعال اجتماعی</t>
  </si>
  <si>
    <t>کدوم تیم #دربی رو می بره؟</t>
  </si>
  <si>
    <t>ابراهیم گراوند</t>
  </si>
  <si>
    <t>‏‏‏‏‏‏‏‏‏‏‏*‏‏کشورم🇮🇷 ایرانو، باهمه خوب وبدش دوست دارم.</t>
  </si>
  <si>
    <t xml:space="preserve"> IRN 💙 💫</t>
  </si>
  <si>
    <t>#دربی_فقط_اونجاش_که با گل ۳۰ثانیه ای علی سامره، پرسپولیس رکورد دار سریعترین گل خورده دربی هاست:) #استقلال</t>
  </si>
  <si>
    <t>Mr.ARJ</t>
  </si>
  <si>
    <t>https://www.instagram.com/heidarabdh/</t>
  </si>
  <si>
    <t>‏‏محقق، روزنامه نگار، ادیب، سیاست مدار نیستم!</t>
  </si>
  <si>
    <t>باور کنین که امروز چه پرسپولیس ببره چه استقلال ببازه فرقی به حال ما نداره ! #پرسپولیس</t>
  </si>
  <si>
    <t>Heidar Abdh</t>
  </si>
  <si>
    <t>‏‏‏Certificate in Philophobia، علاقمند به گزوشعر ، دانش‌شناسی!</t>
  </si>
  <si>
    <t>Bottom of the pit</t>
  </si>
  <si>
    <t>https://twitter.com/baranesaeid/status/951812251966738433</t>
  </si>
  <si>
    <t>بگذار آبی ها به قهوه‌ای شدن بیاندیشند من هنوز تکلیفم را با سرخیِ گُلگون پرچمت روشن نکرده‌ام... #پرسپوليس RT @baranesaeid: بگذار آبی ها و قرمز ها به جنگشان برسند من هنوز تکلیفم را با قهوه ایِ سوخته ی ‌چشمانت روشن نکرده ام... #پرسپولیس #استقلال</t>
  </si>
  <si>
    <t>Ghezlaaj😕</t>
  </si>
  <si>
    <t>@AfsharMahnaz خب خاک تو سرشون ،حقارت تا به کجا #دربی</t>
  </si>
  <si>
    <t>‏‏‏‏‏‏‏‏‏‏‏‏‏‏‏‏‏‏‏‏‏‏‏‏‏‏‏‏‏‏‏‏‏‏‏‏ حق کدوم وَره؟ من همون وَرم✌️🇮🇷🇵🇸....................</t>
  </si>
  <si>
    <t>استخر فرح در انتظارم 🏊</t>
  </si>
  <si>
    <t>pic.twitter.com/O8cy5s6guT</t>
  </si>
  <si>
    <t>با دیدن این گل زیبای خانم نسترن مقیمی میریم به استقبال دربی آقای ایشی زاکی @ishizaki01 این و چی میگید؟🤔 #دربی #استقلال #پرسپولیس</t>
  </si>
  <si>
    <t>رئیس جمهوربـ👁️ـاخ🏴</t>
  </si>
  <si>
    <t>شمام حس میکنین امروز سکوهای #استقلال خالی میمونه؟ نود درصدیای تو خونه چطورن؟</t>
  </si>
  <si>
    <t>آخه لامصبا #سپاهان که سپید رود رو شیش تایی کرد باز سپید رود تونست یک گل بزنه...😁 #کیسه_کشا چطوری نتونستین حتی یک گل هم به #پرسپولیس بزنین تو اون فاجعه دردناک...😁😆😝😂🤣😜 #پرسپولیس_سرور_استقلالِ ⁦❤️⁩⁦❤️⁩⁦❤️⁩⁦❤️⁩⁦❤️⁩⁦❤️⁩</t>
  </si>
  <si>
    <t>خوبی گرونی #دلار این بود ک امسال هیشکی حس و حال #دربی نداره دیگه کمتر کتک کاری میشه بین رفقا 😂😂</t>
  </si>
  <si>
    <t>‏‏شاهزاده ایلیا هستم ‏پادشاه آینده ی ایران و منجی آزادیبخش مامِ میهن</t>
  </si>
  <si>
    <t>اه پس کی ساعت 6ونیم میشه در فردای براندازی دربی را زودتر برگذار خواهیم کرد #استقلال_پرسپولیس</t>
  </si>
  <si>
    <t>شاهزاده ایلیا</t>
  </si>
  <si>
    <t>ما دیگه حوصله ذوق کردن واسه #دربی رو نداریم، اونوقت کانال #نود از مردم خواسته بازی رو گزارش کنن بفرستن واسه شون! اینا کجا زندگی میکنن!؟ #استقلال #پرسپوليس</t>
  </si>
  <si>
    <t>طرفدارهای استقلال عین ارزشی‌ها برام عجیبن :| #دربی #پرسپولیس</t>
  </si>
  <si>
    <t>‏‏‏‏‏‏‏‏‏‏‏‏‏‏‏‏‏‏‏‏‏‏‏‏‏‏‏‏‏‏‏‏‏‏‏‏‏‏‏‏‏‏‏‏‏‏متولد ‎‎‎‎‎‎‎‎‎‎#بندرعباس ،همسر،پدرِ «روزبه»،/سایه نشین تنگ دست این عصرِ تنگ‌دل،دربدر خانه های اجاره ای...</t>
  </si>
  <si>
    <t>Yazd,Iran</t>
  </si>
  <si>
    <t>نصرالله عبداللهی بیشتر بهش میاد یه خالتور هیپ هاپ یا بک آپ سینگر اندی باشه تا مربی فوتبال 😂 #شیش‌تایی #دربی</t>
  </si>
  <si>
    <t>⁦🇵🇸⁩⁩⁩farhaddarush⁦🇮🇷⁩</t>
  </si>
  <si>
    <t>https://t.me/BiChatBot?start=sc-413655848</t>
  </si>
  <si>
    <t>دانشجوی برق💡٫ معتقد به آزادیِ انتخاب٫ دوستدار صلح و آرامش🕊٫ مخالفِ تحمیل،دخالت ومجاهدین🚫</t>
  </si>
  <si>
    <t>Esfahan</t>
  </si>
  <si>
    <t>اینکه رفیقت از استادیوم واست ویدئو بده بگه جات اینجا بین قرمزا خالیه و تو چون دختری حق استادیوم رفتن نداشته باشی🙃 #پرسپوليس #دربی #استقلال #آزادی #تبعیض_جنسیتی</t>
  </si>
  <si>
    <t>فاطمه ک‌🕊</t>
  </si>
  <si>
    <t>http://TheWorldofJudo.com</t>
  </si>
  <si>
    <t>founder TheWorldofJudo | Judo | IT | Music | Ps4 | Food | Football |</t>
  </si>
  <si>
    <t>هر چند که اینقدر سیاست زده شدیم و گفتیم که تا وقتی که استقلال و پرسپولیس دست دولت باشه شرایط مسخره است ولی نمیشه دربی رو ندید.در ضمن #استقلال سرور پرسپولیسه :))</t>
  </si>
  <si>
    <t>Meisam 🥋</t>
  </si>
  <si>
    <t>http://www.telewebion.com/episode/1897785</t>
  </si>
  <si>
    <t>نشست خبری مربیان #استقلال #پرسپولیس قبل از #دربی</t>
  </si>
  <si>
    <t>با استقلالیا ک حرف میزنم ی ناامیدی و شرم و ترس خاصی تو چشماشونه و همین بسه #پرسپولیس</t>
  </si>
  <si>
    <t>چطور میشه طرفدار استقلال شد. واقعا همیشه از باختشون تو همه جا خوشحال میشم. حالا بگو آسیا و نماینده کشورمون اینا همه ول‌معطله بابا #دربی #پرسپولیس</t>
  </si>
  <si>
    <t>‏من ندارم سر یآس با امیدی که مرا حوصله داد</t>
  </si>
  <si>
    <t>Istanbul, Turkey</t>
  </si>
  <si>
    <t>ميريم که ببریم ❤❤❤❤❤❤ #پرسپولیس #دربی</t>
  </si>
  <si>
    <t>Soli</t>
  </si>
  <si>
    <t>https://twitter.com/sarasansiro2001/status/1045272186859245575</t>
  </si>
  <si>
    <t>اسم #پرسپولیس میاد یاد یه چیز کلفت که همیشه تو حلقش بوده میفته حق بدین احساس خفگی کنه RT @sarasansiro2001: اسم پرسپولیس میاد احساس خفگی بهم دست میده،چجوری طرفدارشید؟ :))</t>
  </si>
  <si>
    <t>‏‏‏‏‏‏‏‏‏‏زنـدگی قـصـه تلـخـیست که از آغـازش بسکه آزرده شدم چشم به پایان دارم</t>
  </si>
  <si>
    <t>نصف‌جهان</t>
  </si>
  <si>
    <t>https://pbs.twimg.com/media/DoGubmyXoAAA6Q8.jpg</t>
  </si>
  <si>
    <t>#بدون_شرح #دربی</t>
  </si>
  <si>
    <t>سرزده</t>
  </si>
  <si>
    <t>https://t.me/amirhoseinmosalla</t>
  </si>
  <si>
    <t>‏‏‏‏‏‏‏‏‏‏‏‏روزنامه‌نگار، سردبیر دوهفته‌نامه آیت ماندگار/ امید بذر هویت ماست_میرحسین موسوی🌱</t>
  </si>
  <si>
    <t>کاش همونقدری که نیرو چیدن تا مبادا دختری با لباس مبدل وارد استادیوم آزادی بشه برای دیدن #دربی همان قدر هم نیرو میچیدند تا تروریست ها نتونن راحت به مراسم رژه در #اهواز حمله کنن! البته شاید برای مسئولان جلوگیری از تار موی زنان از خطر حمله داعشی ها ها مهم تره!</t>
  </si>
  <si>
    <t>امیرحسین مصلی🇮🇷</t>
  </si>
  <si>
    <t>عشق است #دربی امروز #استقلال #پرسپولیس ، که امیدوارم برنده میدون پرسپولیس باشه اما بازم میگم: #IraniansWantRegimeChange</t>
  </si>
  <si>
    <t>BiBiGol</t>
  </si>
  <si>
    <t>پلیس ورزشگاه در حرکتی انفجاری موفق به حل مشکل اختلاس و رانت و گرانی شد و دو هوادار زن را قبل از ورود به ورزشگاه دستگیر کرد #دربی</t>
  </si>
  <si>
    <t>‏این نیز بگذرد...</t>
  </si>
  <si>
    <t>[E 57]،[N 30]</t>
  </si>
  <si>
    <t>میترسم با این بلایی که مدیریت دولت و محتکرین سرمون اوردن از فردا موضوع انشاء بگن علم بهتر است یا گوجه فرنگی!!! 🤔 #پرسپوليس</t>
  </si>
  <si>
    <t>نیما</t>
  </si>
  <si>
    <t>‏love doesn't need to be perfect it just needs to be true..</t>
  </si>
  <si>
    <t>قلب های آبی رو نگاه نکنید ها من عاشق پرسپولیسم. ❤❤❤❤❤❤❤❤❤❤❤❤❤ #دربی</t>
  </si>
  <si>
    <t>💙Alex💙</t>
  </si>
  <si>
    <t>این لوس بازیا چیه برین بازی رو شروع کنین زودتر #دبی #پرسپولیس #استقلال</t>
  </si>
  <si>
    <t>https://pbs.twimg.com/media/DoGuqByXUAMJ6_l.jpg</t>
  </si>
  <si>
    <t>روی قلب من نوشته رنگ قرمز رنگ عشقه واسه اون جونمو میدم #پرسپولیس سلطانه عشقه #خدا‌رو‌شکر‌پرسپولیسی‌ام</t>
  </si>
  <si>
    <t>فالو بک ندی بعد از 24 ساعت انفالو میشی</t>
  </si>
  <si>
    <t>kimiya</t>
  </si>
  <si>
    <t>Giliad</t>
  </si>
  <si>
    <t>تلویزیون اول با استقلالیا صحبت میکنه اول رختکن اونا رو نشون میده و اول اومدن اونا رو.قشنگ معلومه داره ضعیف نوازی میکنه:)) #دربی #پرسپولیس ❤</t>
  </si>
  <si>
    <t>princa🦉</t>
  </si>
  <si>
    <t>https://www.instagram.com/alisharei97</t>
  </si>
  <si>
    <t>‏‏طلبه امروزی/متفکر به موضوعات مختلف/عقیده دارد مهم ترین بحث جامعه باید تربیت باشد عقیده دارد نیروی تربیت شده خوب برای انقلاب کم است/#یازهرا</t>
  </si>
  <si>
    <t>ی نقلی هست که میگه دیشب رئال باخت چوت #قرمز تنش بود😉 #کری #دربی_فقط_اونجاش_که #دربی #استقلال #فوتبال</t>
  </si>
  <si>
    <t>Ali_Sharei97</t>
  </si>
  <si>
    <t>‏‏‏‏‏‏‏‏تنها تو زخم نخورده ای از واعظان شهر/ ما نیز در ردیف شهیدان تهمتیم</t>
  </si>
  <si>
    <t>@AbdolrezaDavari همچون فرمانده دریا دل #دکتر_احمدی_نژاد فقط #استقلال</t>
  </si>
  <si>
    <t>farshad.zarghami</t>
  </si>
  <si>
    <t>‏‏دانشجوی ارشد شیمی فیزیک...بگذار این سالهای حرام بگذرد..</t>
  </si>
  <si>
    <t>دیگه بازی مقابل تیم یازدهم جدول کری نداره! طبق بقیه بازیای این فصل ، استقلال میبازه و به ته جدول نزدیکتر میشه 😁😁 #پرسپولیس💪</t>
  </si>
  <si>
    <t>حمیدرضا</t>
  </si>
  <si>
    <t>استرس بر ما مستولی گشت :| #پرسپولیس</t>
  </si>
  <si>
    <t>https://pbs.twimg.com/media/DoGvIYKWsAElG2X.jpg</t>
  </si>
  <si>
    <t>#اینفوگرافی #دربی۸۹ پیش بازی #استقلال - #پرسپولیس اطلاعات خوبی از کل دربی ها بهتون میده</t>
  </si>
  <si>
    <t>http://instagram.com/rahim_grkz</t>
  </si>
  <si>
    <t>‏‏‏‏دانشجوی فیزیک 📚 بازیکن بسکتبال 🏀 و یه بیکار 😕 بیشتر هم آخریشم 🙄</t>
  </si>
  <si>
    <t>#پرسپولیس</t>
  </si>
  <si>
    <t>دی مایندشونم 🎭</t>
  </si>
  <si>
    <t>Poet</t>
  </si>
  <si>
    <t>تماشای #دربی فقط برای مردها پذیرفته نیست. با وجود علاقه‌ی شدیدم به #پرسپولیس تا حالا به ورزشگاه نرفتم و نخواهم رفت. امیدوارم روزی این موضوع عمومیت پیدا کنه و درک کنید تبعات این تنهایی رفتن‌ها به تقویت شکاف و نابرابری‌ها کمک می‌کنه.</t>
  </si>
  <si>
    <t>Bardya</t>
  </si>
  <si>
    <t>‏‏مارلون کماندو سابق/ ‏‏شما مار خوردی افعی شدی، ما تیر خوردیم کماندو شدیم، نقابمون رو گرفتن حقیقی شدیم :))</t>
  </si>
  <si>
    <t>اینکه از شب قبل، خیابون های اطراف ورزشگاه پر جمعیت نمیشه یا اینکه از‌ صبح #دربی ورزشگاه پر نمیشه یا اینکه بعد بازی خبری از وحشی گری و آسیب به اموال عمومی نیست نشون میده جامعه داره به سمت عقلانیت میره؛ گرچه اصل طرفداری از باشگاه‌های فوتبال خیلی عقلانی نیست!</t>
  </si>
  <si>
    <t>مصطفی کُرفی</t>
  </si>
  <si>
    <t>https://pbs.twimg.com/media/DoG5WD9X0AEcArt.jpg</t>
  </si>
  <si>
    <t>#پرسپوليس</t>
  </si>
  <si>
    <t>Afra</t>
  </si>
  <si>
    <t>http://friendfeed.com/anarchist66</t>
  </si>
  <si>
    <t>‏‏‏‏‏تفکرات تنهایی یک لیبرالِ بای سکشوال ِ نارس ! ............................................................. - در گیر و دار سینما ، ادبیات و سیاست -</t>
  </si>
  <si>
    <t>- جهنم دره -</t>
  </si>
  <si>
    <t>امیر حسین صادقی (مدافع سابق استقلال) : شما #دربی رو ببر ، هر گناهی که کردی بخشوده میشه ! #علل_عقب_ماندگی_ما_ایرانیان</t>
  </si>
  <si>
    <t>† قدیس آنارشیست</t>
  </si>
  <si>
    <t>‏یا رب از ابر هدایت برسان بارانی</t>
  </si>
  <si>
    <t>Tehran,iran</t>
  </si>
  <si>
    <t>سلطان.. تاج... ایستاده در روزهای سختی.. نام نامی فوتبال؛ #استقلال</t>
  </si>
  <si>
    <t>سمیه عبداللهی</t>
  </si>
  <si>
    <t>‏‏‏‏‏‏‏‏‏‏اینجا صرفن حالِ دل و روزمرگی هامو مینویسم. یعنی یک عدد زهـرا، منهای دغدغه هاش.</t>
  </si>
  <si>
    <t>در این کـِ #پرسپوليس میبره مگه شک دارین انقدر نظرسنجی میذارین😊</t>
  </si>
  <si>
    <t>Zahra.z69</t>
  </si>
  <si>
    <t>https://pbs.twimg.com/media/DoG5cA8XUAEnGD7.jpg</t>
  </si>
  <si>
    <t>لیست اسامی مسئولین و نفرات اصلی و ذخیره #استقلال و #پرسپولیس برای #دربی۸۸ #لیگ_برتر #دربی</t>
  </si>
  <si>
    <t>http://instagram.com/kamranbaranji</t>
  </si>
  <si>
    <t>‏‏‏‏‏‏‏‏‏‏روزنامه نگار</t>
  </si>
  <si>
    <t>https://pbs.twimg.com/media/DoG5dAJXkAcs6M3.jpg</t>
  </si>
  <si>
    <t>آماده میشیم برای #دربی با پرسپولیسی ترین یار #پرسپولیس</t>
  </si>
  <si>
    <t>Kamranbaranji</t>
  </si>
  <si>
    <t>‏‏‏‏‏‏‏‏هست طومار دل من به درازی ابد، درخموشی مغز جان را صد نماست</t>
  </si>
  <si>
    <t>باقالیزار</t>
  </si>
  <si>
    <t>این تیم شیرانه #پرسپولیس</t>
  </si>
  <si>
    <t>خاک شیر 🐺</t>
  </si>
  <si>
    <t>Electrical engineer</t>
  </si>
  <si>
    <t>https://pbs.twimg.com/media/DoG5d98XkAgY0Mc.jpg</t>
  </si>
  <si>
    <t>فیلم دیده نشده از انتقام سخت #استقلال از ۶تای ۵۴ یکی از آن سه ستاره برای این انتقام به استقلال اعطا شد.</t>
  </si>
  <si>
    <t>mostafa siamak</t>
  </si>
  <si>
    <t>حسابداري رك و صريح كه پرسپوليسيه و رئالم دوس داره يكم عصبية. لطف كن فالو ميشي بك بده.</t>
  </si>
  <si>
    <t>@PerspolisFCIran فقط جر دادن كيسه ميتونه حال و هواي اين روزاي منو بشوره ببره. #پرسپولیس</t>
  </si>
  <si>
    <t>جوزف پوليتزر🇻🇪</t>
  </si>
  <si>
    <t>Software Developer...</t>
  </si>
  <si>
    <t>تماشای بازی در استادیوم! چه حق ساده ای که نداریم... بعد تو از برد #استقلال مینویسی بعد تو از برد #پرسپولیس مینویسی در حالیکه همه باخته ایم.... #دربی</t>
  </si>
  <si>
    <t>...نگین</t>
  </si>
  <si>
    <t>http://davoodamini.com</t>
  </si>
  <si>
    <t>Software Engineer and Software Consultant @AbfaCS. Software Developer, Data Engineer &amp; Data Analyst @NeshanMaps</t>
  </si>
  <si>
    <t>Iran; Mashhad</t>
  </si>
  <si>
    <t>https://pbs.twimg.com/media/DoG2HtsXkAAm5IR.jpg</t>
  </si>
  <si>
    <t>این از گزارش #ترافیک خیابون‌های تهران برای #دربی قبلی بریم با #نشان برای گزارش ترافیک #دربی۸۸ ... @behizz :)</t>
  </si>
  <si>
    <t>Davood Amini</t>
  </si>
  <si>
    <t>https://pbs.twimg.com/media/DoG5PJeXcAAPeyx.jpg</t>
  </si>
  <si>
    <t>پایه های صندلی مربیگری #شفر با باخت تو‌ #دربی مطمئنا متزلزل میشه پس ببر #عالیجناب که دوست داریم حالاحالاها بمونی برامون💙💙💙💙 #استقلال #دربی</t>
  </si>
  <si>
    <t>https://www.instagram.com/morteza_ghassemi/</t>
  </si>
  <si>
    <t>با توجه به تحرکات مشکوکِ قلبِ نازنینم در چند روز گذشته، تصمیم گرفته‌م که امروز شهرآورد رُ نگاه نکنم. طاقتِ این حجم از هیجان و استرس رُ ندارم. #شهرآورد #دربی #داربی #استقلال #استقلال_پرسپولیس #پرسپولیس_سوراخه #پرسپولیس_سولاخه</t>
  </si>
  <si>
    <t>مرتضی قاسمی</t>
  </si>
  <si>
    <t>یک بلندپرواز کون گشاد</t>
  </si>
  <si>
    <t>منطقه ژئوپولتیک</t>
  </si>
  <si>
    <t>اگه پرسپولیس ببره از مقعدم عکس میزارم توییتر #پرسپوليس #استقلال</t>
  </si>
  <si>
    <t>اشتباه استراتژیک</t>
  </si>
  <si>
    <t>‏.</t>
  </si>
  <si>
    <t>https://pbs.twimg.com/media/DoG5jzqXcAEsjXr.jpg</t>
  </si>
  <si>
    <t>ورزشگاه صدهزار بی غیرت آزادی 😏 #دربی #زنان‌در‌آزادی</t>
  </si>
  <si>
    <t>ela</t>
  </si>
  <si>
    <t>pic.twitter.com/K0vbHVUROH</t>
  </si>
  <si>
    <t>اینجا دیگر مربوط به #محرم نیست که شاهد فریاد واحسرتا از روشنفکران و نگرانی آن‌ها برای #رفتگران_زحمتکش باشیم بحث،بحثِ #فوتبال است و اگر اشتباه نکنم رفتگران از هواداران تیم مقابل هستند #رفتگران_هواداران_تیم_مقابلتان_نیستند #دربی</t>
  </si>
  <si>
    <t>🔱 E_O_C_A 🔱</t>
  </si>
  <si>
    <t>الان همه پرسپولیسی‌ها یه توییت آماده کردند که اگه پرسپولیس باخت بزنن «تیم‌های بزرگ با قهرمان خوشحال می‌شوند و تیم‌های کوچک با بردن تیم‌های بزرگ»😂 #استقلال #پرسپوليس #دربی</t>
  </si>
  <si>
    <t>متحجر ....</t>
  </si>
  <si>
    <t>تو جواب سوال که یه نفر رو اگه تو ترکیب میگذاشتید کی بود ؟ کاظمیان و حیدری گفتند ، آقا عابدزاده و آقا کریم باقری صادقی و قربانی گفتند ، فکری و مظلومی ... این نشون میده راه ما پرسپولیسیا درست بوده #دربی @TwittSportiran</t>
  </si>
  <si>
    <t>ALI Beyk</t>
  </si>
  <si>
    <t>Iranian, American, Republican, Capitalis, I ❤ Soccer, Big Coach Potato .</t>
  </si>
  <si>
    <t>احتمالا پیروز بازی امروز #پرسپولیس هست‌. با اینکه خودم #استقلالی هستم اینو دارم میگم.</t>
  </si>
  <si>
    <t>A Man</t>
  </si>
  <si>
    <t>BLUE💙</t>
  </si>
  <si>
    <t>مجری شبکه خبر داره میگه ‌پرسپولیسیا دوست دارن پرسپولیس ببره استقلالیا هم دوست دارن استقلال ببره! چقد خوب شد گفت من قبل این فکر میکردم منِ استقلالی دوست دارم پرسپولیس ببره 💙💙 #دربی</t>
  </si>
  <si>
    <t>Mohammad Javad</t>
  </si>
  <si>
    <t>‏‏‏‏‏‏عاشق غذا ؛‏‏‏‏‏‏‏‏‏‏‏‏‏ مُنجی عالم بشریت ؛ وی به فلسفه علاقه دارد‌. 🌈</t>
  </si>
  <si>
    <t>Jugoslawi</t>
  </si>
  <si>
    <t>روزبخیر ‌،میون این همه تمجیدی که از پرسپولیس میشه باید گفت #پرسپولیس تیم مربی به‌گاده‌ای است ، یعنی مربی تیمای حریف پرسپولیس اکثرن جلوی پرسپولیس تاریخ مصرفشون تموم میشه.</t>
  </si>
  <si>
    <t>🌍</t>
  </si>
  <si>
    <t>http://instagram.com/miladeyz</t>
  </si>
  <si>
    <t>https://pbs.twimg.com/media/DoG5-9rXgAExY3i.jpg</t>
  </si>
  <si>
    <t>ورزشگاه آزادی تکمیل شد!!! #استقلال #پرسپوليس #دربی</t>
  </si>
  <si>
    <t>اِزُون مِلودی</t>
  </si>
  <si>
    <t>خدایا امروز روز بیرو باشه🙏🙏🙏🙏🙏🙍 #دربی</t>
  </si>
  <si>
    <t>@ma_aminy البته جنگ جنگ تا پيروزي كار ساز بود #پرسپولیس</t>
  </si>
  <si>
    <t>http://Instagram.com/behnam_allami</t>
  </si>
  <si>
    <t>‏‏‏‏‏مولف کتابهای مترسک/ نشر بوتیمار - مجسمه/ نشر آرون ونوس خموش/ نشر آرنا - تکواره ای و آدم برفی و ...</t>
  </si>
  <si>
    <t>https://pbs.twimg.com/media/DoG6FHeXUAUFR-A.jpg</t>
  </si>
  <si>
    <t>روزی به استادیوم خواهم رفت که مادر و خواهرم را نیز راه بدهند روزی که حجاب هم اختیاری شده باشد ... با آرزوی برد تیم #تاج مقابل #پرسپولیس #استقلال #دربی</t>
  </si>
  <si>
    <t>بهنام علامی</t>
  </si>
  <si>
    <t>https://Instagram.com/ilarimaa/</t>
  </si>
  <si>
    <t>- [Architect] - [كتاب فروش] - [ معمار ] - [ BookMan ]</t>
  </si>
  <si>
    <t>TEHRAN</t>
  </si>
  <si>
    <t>#استقلال 💙</t>
  </si>
  <si>
    <t>AmirAli</t>
  </si>
  <si>
    <t>https://fa.wikipedia.org/wiki/%D8%B9%D9%84%DB%8C_%D8%B9%D8%A8%D8%AF%D9%87</t>
  </si>
  <si>
    <t>@renehossein بخاطر اينکه علي عبده بنيانگذار #پرسپوليس بوده ميگي که پرسپوليس عزت نداره!!!!!!!!!!!!!! بازم ربطي نداشت چون👇</t>
  </si>
  <si>
    <t>https://pbs.twimg.com/media/DoG6O9UXoAIIi3C.jpg</t>
  </si>
  <si>
    <t>سلام.. #پرسپوليس❤️💪🏼🚩👑👊🏼</t>
  </si>
  <si>
    <t>خواستم #دربی با تنقلات ببینم یه حساب کتاب کردم دیدم به صرف هست همینجوری خشک ببینم با یه لیوان آب.</t>
  </si>
  <si>
    <t>یعنی باید ساده‌ترین نیاز و علاقه‌ی ما دخترا سرکوب بشه!حسرت دیدن بازی و تو استادیوم با خودمون به گور ببریم!؟ هرموقع اینجور بازی ها پیش میاد عصبی میشم سر اینکه نمیتونم اررررر بزنم منم تو استادیوم صدا بگیره...☹️ #دربی #استقلال💎💙</t>
  </si>
  <si>
    <t>https://pbs.twimg.com/media/DoG4VF-XgAA-p__.jpg</t>
  </si>
  <si>
    <t>https://twitter.com/abdolrezadavari/status/1045319276545085441</t>
  </si>
  <si>
    <t>همین ننگ استقلالیها را بس 😂😂😂 #پرسپوليس_استقلال RT @AbdolrezaDavari: روز رقابت #دربي پایتخت، تنها روزي است كه اصلا نميتوانم با دكتر#احمدي_نژاد احساس همدلي كنم. 🚩🚩پرچم سرخ #پرسپوليس بالاست</t>
  </si>
  <si>
    <t>‏‏‏‏‏‏‏‏‏‏محقق، نخبه، مهندس، استاد سابق، مدیر کلان دانشجویی،به همه کار دست زده و به حقش نرسیده، همیشه مقصر! همیشه منتقد! بدون باند!</t>
  </si>
  <si>
    <t>kharej</t>
  </si>
  <si>
    <t>قولنج چی بود ای خدااااا حالا جااین ک برم خونه رفیقا. باس بشینم خونه #دربی ببینم</t>
  </si>
  <si>
    <t>معصوم پانزدهم</t>
  </si>
  <si>
    <t>‏‏‏‏‏‏‏‏‏‏‏مترجم. انسان شناسی و مردم نگاری. اخلاقی زیستن. به حداقل رساندن درد و رنج انسان ها Translator. Interested in anthropology and ethnography in ME</t>
  </si>
  <si>
    <t>طوری رفتید #دربی ببینید که انگار خاک مرگ پاشیدن توی تایم لاین!</t>
  </si>
  <si>
    <t>FSK🇮🇷</t>
  </si>
  <si>
    <t>پیروزی ما در انقلاب مرهون تکیه به اهداف استقلال طلبی بود #دربی</t>
  </si>
  <si>
    <t>http://tlgrm.me/harfbzanbot?start=ow2wAwr</t>
  </si>
  <si>
    <t>‏‏‏‏‏گه تو ایمام</t>
  </si>
  <si>
    <t>بابا شما 50 درصدتون پر کنید 90 درصد پیشکش #دربی</t>
  </si>
  <si>
    <t>خابریل گسوس</t>
  </si>
  <si>
    <t>این توییت از نظر تعداد دفعات استفاده از کلمه #پرسپولیس توی تاریخ ثبت میشه.</t>
  </si>
  <si>
    <t>یه پسره استقلالیه همی الان به دوسدخترش گفت اگه دربی رو ببریم باهم ازدواج می کنیم. دختره هم زد تو گوشش وگفت: از اولشم معلوم بود منو برای هوس میخواستی کثافتِ هرزه... گذاشت رفت... کلید اسرار این قسمت:دوس پسر کیسه کش #دربی</t>
  </si>
  <si>
    <t>http://www.translateworld.ir</t>
  </si>
  <si>
    <t>‏‏‏علاقه مند به اقتصاد هستم</t>
  </si>
  <si>
    <t>امروز تو مسابقه دربی اومدن 500 تا دوربین نصب کردند تا دخترایی که گریم مردانه می کنند را بگیرند این همه نفرت از آزادی تو این حجم بی سابقه است #دربی</t>
  </si>
  <si>
    <t>zoljenan 👉✌👈</t>
  </si>
  <si>
    <t>https://telegram.me/harfbemanbot?start=OTQxODUzMzM</t>
  </si>
  <si>
    <t>تو این اوضاع مملکت که انگیزه و شوری برای آدم نمی مونه، از دربی گفتن و کری خوندن خیلی به دل آدم نمیچسبه. اونم وقتی که موقعیت و اوضاع استقلال رو میبینی، یهو با خودت میگی دیگه من لااقل ضعیف کشی نکنم و همون فقط آرزوی موفقیت برای #پرسپولیس داشته باشم...</t>
  </si>
  <si>
    <t>Amir Reza</t>
  </si>
  <si>
    <t>https://twitter.com/ma_aminy/status/1045316547424718849</t>
  </si>
  <si>
    <t>اون اول انقلاب بود. بعد گفتیم جنگ جنگ تا پیروزی و دیگه بعد جنگ همش شد پیروزی(پرسپولیس) #دربی RT @ma_aminy: یکی از شعارها و آرمانهای اصلی انقلاب ما استقلال بوده و می باشد. استقلال آزادی جمهوری اسلامی #دربی</t>
  </si>
  <si>
    <t>https://telegram.me/fakhaar</t>
  </si>
  <si>
    <t>journalist at hamshahri newspaper in iran</t>
  </si>
  <si>
    <t>شرایط عجیبی است. #استقلال ببازد می خندیم #دلار می رود بالا می گرییم. #پرسپولیس ببرد شادیم #سکه گران می شود نالانیم. #روحانی می گوید مذاکره از نو امیدوار می شویم. #ترامپ می گوید زرشک بحران بر می گردد. کشوری دائم ال #دربی هستیم!!!</t>
  </si>
  <si>
    <t>س.م.فخار</t>
  </si>
  <si>
    <t>Allah is always with us ♥️</t>
  </si>
  <si>
    <t>من بچه ی مؤدبیم بوخدا ولی یکی از آرزوهام اینه یه روز تو ورزشگاه آزادی از ته دل داد بزنم: حمله حمله حمله حمله حمله حمله حمله حمله حمله حمله حمله حمله حمله حمله حمله . . . خـــار استـقلال تهرااااااان #پرسپوليس</t>
  </si>
  <si>
    <t>azarehsani 👷🏻‍♀️</t>
  </si>
  <si>
    <t>ای کاش الان من تو ازادی بودم ارزویی که برای کل دنیا خیلی مسخرس و یه خواسته معمولیه اما تو ایران یه ارزووو #ورزشگاه_صد_هزار_پسری #دختران_در_ازادی #دربی #شهراورد</t>
  </si>
  <si>
    <t>pic.twitter.com/67AE1RjUMt</t>
  </si>
  <si>
    <t>#دربی_فقط_اونجاش_که مشت پرويزمون اشتباهى خوابيد زيرچشم رأفت شون😂👊🏻 تموم شد و رفت😂💪🏻 #دربى #تاج #استقلال #لنگ #پرسپوليس</t>
  </si>
  <si>
    <t>http://t.me/darkpath1</t>
  </si>
  <si>
    <t>Taj💜,Liverpool🔴,RealMadrid⚪ بازنده در روابط اجتماعی... ؛ رکیک،کمی نوازنده،دوستدار فیلم،راک ومتال ،کتاب و ارادتمند به کمِل بِلو BI</t>
  </si>
  <si>
    <t>دِ هات</t>
  </si>
  <si>
    <t>حالا اگه دی ماه بر می انداختینشون ، زن و مرد با هم میرفتن دربی ببینن #استقلال_پرسپولیس</t>
  </si>
  <si>
    <t>شتر آبی</t>
  </si>
  <si>
    <t>http://www.irancell.ir</t>
  </si>
  <si>
    <t>حساب رسمی شرکت ایرانسل، بزرگترین اپراتور دیتای ایران و پیشرو در کسب رضایت مشتری. حساب‌های رسمی ما در اینستاگرام و آپارات: @irancell و در لینکدین: MTN Irancell</t>
  </si>
  <si>
    <t>https://pbs.twimg.com/media/DoG60_iXkAAUbXo.jpg</t>
  </si>
  <si>
    <t>آخر هفته پرهیجانی در انتظارتونه. #شهرآورد #پرسپولیس و #استقلال، حال و هوای فوتبالی رو به هر خونه‌ای میاره. تماشای این مسابقه رو از دست ندین. شما این بازی رو در کجا تماشا می‌کنین؟ #فوتبال #دربی</t>
  </si>
  <si>
    <t>MTN Irancell-ایرانسل</t>
  </si>
  <si>
    <t>https://pbs.twimg.com/media/DoG62PPXsAAMa0u.jpg</t>
  </si>
  <si>
    <t>#پرسپولیس_سرور_استقلالِ #پرسپولیس_جانم #پرسپولیسی‌ام #پرسپوليس #دربی۸۸</t>
  </si>
  <si>
    <t>Environmental researcher. Freedom fighter.</t>
  </si>
  <si>
    <t>ورزشگاه صدهزار نره خری آزادی را پر کردید بدون اعتراض به نبود #زنان‌در‌آزادی ؟ هر بلایی جاعش سرتان بیاورد گوارای وجودتان! #دربی</t>
  </si>
  <si>
    <t>Bahman🏳</t>
  </si>
  <si>
    <t>همسر بهترين رفيق دنيا 💙💙💙💙</t>
  </si>
  <si>
    <t>Kashan</t>
  </si>
  <si>
    <t>مراقب روابط زناشوییتون باشید #دربی @Simoulo</t>
  </si>
  <si>
    <t>مصببا</t>
  </si>
  <si>
    <t>بلاك شده توسط اكثر افراد</t>
  </si>
  <si>
    <t>سر مریضم</t>
  </si>
  <si>
    <t>هفته بعد با السد بازي داريم، بازي مهمتريه، بنظرم فقط نيمكت رو بفرسته دربي كافيه، ١١ تا نشدن هم اشكال نداره از توش مساوي در مياد #دربی</t>
  </si>
  <si>
    <t>داروغه</t>
  </si>
  <si>
    <t>به نظر شما رابطه دربی استقلال و پرسپولیس و قیمت دلار کدام گزینه است؟ #دلار #دربی #پرسپولیس</t>
  </si>
  <si>
    <t>Stay crazy😎😎</t>
  </si>
  <si>
    <t>https://pbs.twimg.com/media/DoG6jAtUwAARSuq.jpg</t>
  </si>
  <si>
    <t>این 90 دقیقه کون لق همه چی فقط به احترام تو که شایسته‌ی احترامی #دربى٨٨ #پرسپولیس #دربی</t>
  </si>
  <si>
    <t>Erfan Hosseini</t>
  </si>
  <si>
    <t>http://linkedin.com/in/seyed-ali-bathaei-b861a4166</t>
  </si>
  <si>
    <t>معلم و مترجم</t>
  </si>
  <si>
    <t>طِهرون</t>
  </si>
  <si>
    <t>ولی خوب زنونهٔ مسجد شلوغه چون خانم ها حال #دربی رو ندارن ...</t>
  </si>
  <si>
    <t>Seyed_ali🏴</t>
  </si>
  <si>
    <t>تا قبل از سوت داور فرصت دارین از ضلالت و گمراهی نجات پیدا کنین و #استقلالی بشین. #دربی</t>
  </si>
  <si>
    <t>به يك عدد تريلى جهت رد شدن از روى امير حسين صادقى نيازمندم #پرسپولیس</t>
  </si>
  <si>
    <t>https://pbs.twimg.com/media/DoG7KqPXsAAZtwi.jpg</t>
  </si>
  <si>
    <t>لوگوی باشگاه پرسپولیس پیش از شورش ۵۷ اون موقع ها که تیم فوتبال بانوان هم داشت اون وقتا که بانوان ایرانی با هر پوششی می تونستن در ورزشگاه کنار مردان بنشینن و فوتبال تماشاکنن اون زمانی که زن ، زن بود !!! #زن #زنان #پرسپوليس #عشقپولیس</t>
  </si>
  <si>
    <t>@dokhtare_baharr #پرسپولیس</t>
  </si>
  <si>
    <t>‏‏‏‏‏‏‏‏‏‏‏‏‏‏‏‏‏‏‏‏‏‏‏‏‏❤just PERSPOLIS❤ 💫متعهد به تاهل💫 💥اعتقادی به فالوبک ندارم مگراینکه ازمطالب پیج خوشم بیاد💥</t>
  </si>
  <si>
    <t>Shiraz,Iran</t>
  </si>
  <si>
    <t>من هنوزم استرس ندارم خودمم دارم به خودم شک میکنم دیگه ❤❤ #پرسپولیس</t>
  </si>
  <si>
    <t>شیما 🌟🏆🏳</t>
  </si>
  <si>
    <t>الان حرف زدن درباره حضور خانوم ها تو ورزشگاه ها شاید برای بعضیا ها تو این وضع ایران یه چیز بی ارزش باشع ولی چرا همیشه صحبت درباره #حقوق_زنان یه چیز بی ارزشه #دربی #چهارشنبه_های_سفید</t>
  </si>
  <si>
    <t>MBA Graduate. Game Designer</t>
  </si>
  <si>
    <t>تباه‌ترین آدم اونه که طرفدار پرسپولیس یا استقلاله و میگه طرفدارای اینی که من طرفدارشم دکتر و مهندس و باشخصیت و آدم‌حسابی‌ترن #استقلال_پرسپولیس #استقلال #پرسپولیس #دربی</t>
  </si>
  <si>
    <t>آقارِض</t>
  </si>
  <si>
    <t>الان طرفدارای #استقلال دچار یه بی‌حسی خاصی شدن و باختو قبول کردن، اصن کل‌کل باهاشون حال نشنیده #پرسپولیس</t>
  </si>
  <si>
    <t>‏‏‏‏‏‏‏‏‏‏‏‏‏‏به اندازه تمام آسمان آبی عاشق استقلالم/ همونقدر هم بارسلونا رو دوس دارم :) ‎‎‎‎‎‎‎‎‎‎‎‎‎‎#محبوبم هیث لجر مرحوم بود :( ‎‎</t>
  </si>
  <si>
    <t>با یه برد طرفدارت نشدم که با یه باخت ولت کنم. تا ابد قرمز. خسته نباشید جنگده بازی کردین. کس ننه فلانی. تایملاین #پرسپولیس ها بعد از دربی</t>
  </si>
  <si>
    <t>ماکسیمیلیانوسیانوس</t>
  </si>
  <si>
    <t>https://telegram.me/harfbzanbot?start=zE8y87y</t>
  </si>
  <si>
    <t>دانشجوی پرستاری و یک بدنساز و فیتنس کار آماتور</t>
  </si>
  <si>
    <t>Gym</t>
  </si>
  <si>
    <t>@rahim_grkz #استقلال</t>
  </si>
  <si>
    <t>‏﮼حاج‌رسول📿♠️</t>
  </si>
  <si>
    <t>trust nobody</t>
  </si>
  <si>
    <t>هرچی آدم باحال و فرهیخته ست، پرسپولیسیه :) چه لذتی داره #پرسپولیس</t>
  </si>
  <si>
    <t>کامی کلودل</t>
  </si>
  <si>
    <t>https://pbs.twimg.com/media/DoG7jxMWsAI2Enb.jpg</t>
  </si>
  <si>
    <t>4مهر 73سال پیش باشگاه دوچرخه‌سواران که بعدها تاج و بعد استقلال نام گرفت توسط 5نفر تاسیس شد. یک افسر، یک دوچرخه‌ساز، یک نجار، یک نگهبان بانک و یک کارمند تربیت‌بدنی که همگی عشق دوچرخه داشتند! #دربی #استقلال</t>
  </si>
  <si>
    <t>تقویم من پر از زمستان است</t>
  </si>
  <si>
    <t>#دربی فقط اونجاش که قبلش استقلالیا بلبل زبونی میکنن ولی بعدش زبونشون میرع تو کونشون :))))) تا همیشه زیرمونید ؛)</t>
  </si>
  <si>
    <t>Reza Abdolmaleki</t>
  </si>
  <si>
    <t>wild eyed, soft heart, free soul. 🌟just dancing in a castle, playin violin, drawing a barbie girl who lives with her dreams🌟</t>
  </si>
  <si>
    <t>ولی حالا هی ما میگیم پرسپولیس سرور اس تق لاله و‌اینا ولی خداییش سوالم اینه پرسپولیسیای عزیز شما قهرمانی لیگ دسته سه تو کارنامتون هست؟ نیست دیگه!! البته اینکه اصن سقوط نکردید دسته سه هم خودش دلیل قانع کننده ایه:)))))) #پرسپوليس #استقلال #دربی۸۸</t>
  </si>
  <si>
    <t>Lady in Red</t>
  </si>
  <si>
    <t>https://www.sazinco.ir</t>
  </si>
  <si>
    <t>‏‏‏‏‏‏‏‏کارشناس IT / مشاور تولیدمحتوا تازه در فضای مجازی/ مشاور چندین پایگاه خبری معتبر 🔶 ‎‎@sazin24 🔶 ‏‏‏اینستگرام: http://instagram.com/ardavan_sijani‎‎‎‎‎‎‎‎‎‎‎</t>
  </si>
  <si>
    <t>جای خوب‌شم</t>
  </si>
  <si>
    <t>https://pbs.twimg.com/media/DoG7r1xW0AAYuDQ.jpg</t>
  </si>
  <si>
    <t>اینترنت 4G برای تماشاگران آزادی همزمان با بازی #پرسپولیس و #استقلال وعده #آذری_جهرمی محقق شد، و امکان استفاده از اینترنت پرسرعت نسل چهارم در استادیوم آزادی برای تمام تماشاگران فراهم شد #دربی</t>
  </si>
  <si>
    <t>اردوان سیجانی</t>
  </si>
  <si>
    <t>https://t.me/ITSecurityWorld</t>
  </si>
  <si>
    <t>‏‏‏چه اسفندها...آه! چه اسفندها دود کردیم! برای تو ای روز اردیبهشتی...که گفتند این روزها می رسی... از همین راه!</t>
  </si>
  <si>
    <t>Tehran but from MahMitra</t>
  </si>
  <si>
    <t>واقعا ملت سرخوشی داریم که با این اوضاع مملکت برای دربی و یه مشت بازیکن بی کیفیت دارم باهم کری میخونن و بهم فحش میدن 😏🙄😐 خدا شفاتون بده. #دربی دیدن دل خوش میخواد و فکر بی مشغله، شاید خیلی ها دارن.</t>
  </si>
  <si>
    <t>Milad Freeman</t>
  </si>
  <si>
    <t>‏‏when you're a good guy you can hurt, but do not go من با تموم کسایی که باهاشون هم عقیده نیستم حاضرم متحد بشم برای تموم کردن این وضع اسف بار ایران</t>
  </si>
  <si>
    <t>بازنده #دربی ماییم ما مردم ایران که خفه خون گرفتیم</t>
  </si>
  <si>
    <t>مدادسیاه✏️0+</t>
  </si>
  <si>
    <t>‏‏‏کارآفرین، تولید کننده بخش خصوصی، فعال در صنعت مواد غذایی، مدیر بازرگانی و فروش. امیدوار به آینده ی کشورم ایران🇮🇷</t>
  </si>
  <si>
    <t>👑💙💙💙💙👑 این بحران ارزی رو فقط برد #استقلال میتونه بشوره ببره. . #دربی #تاج</t>
  </si>
  <si>
    <t>Kasra 🇮🇷</t>
  </si>
  <si>
    <t>دوبلور🎙،صداگذار🎙،بسکتبالیست🏀⛹🏻‍♂️،شاعر🖋 و نوازنده🎼</t>
  </si>
  <si>
    <t>https://pbs.twimg.com/media/DoG7ylCW0AAghgw.jpg</t>
  </si>
  <si>
    <t>اینجوری ام قشنگه ها🤔😍 #استقلال #پرسپولیس #دربی</t>
  </si>
  <si>
    <t>حضرت محمد(صاد)</t>
  </si>
  <si>
    <t>طرفداران #استقلال حتی با شرایط ۵۰ ۵۰ هم نمیتونن ورزشگاه رو پر کنند. اگه ۹۰ ۱۰ اجرا میشد که قشنگ نصف ورزشگاه خالی می موند #دربی</t>
  </si>
  <si>
    <t>http://mathisnotusefulforidiots.com</t>
  </si>
  <si>
    <t>mr too much @NASA 👨‍🚀🔭 #Engineer_and_Designer #Ansys_Career @ansys #VR_Developer #unity @unity3d</t>
  </si>
  <si>
    <t>✨</t>
  </si>
  <si>
    <t>فتحی مدیر استقلال گفته مسئولیت باختتون با من اگه باختید من مصاحبه میکنم گردن میگیرم، ولی برید واسه بازی هجومی یدفه ۴ ۵ تا نزنیم 💙💙💙💙😃 #استقلال</t>
  </si>
  <si>
    <t>Nio</t>
  </si>
  <si>
    <t>شورشي ام -براندازم .براي سرنگوني اين رژيم با تمام باندهايش هميشه در صحنه حاضرم @jalalhaghighati (https://t.me/jalalhaghighati)</t>
  </si>
  <si>
    <t>https://pbs.twimg.com/media/DoG7_l5X0AE13Bo.jpg</t>
  </si>
  <si>
    <t>شعار امروز استاديوم مرگ بر گراني مرگ بر خامنه ايي- روحاني #دربي #براندازم</t>
  </si>
  <si>
    <t>jalalhaghighat</t>
  </si>
  <si>
    <t>با اشاره ی من مکزیکی تشویق میکنیم و بد دهنی میکنیم به هم آماده اید؟ #دربی</t>
  </si>
  <si>
    <t>ميخام #دربي و تو توييتر ببينم اينقد خبرنگار ورزشي زياده :))</t>
  </si>
  <si>
    <t>miss mah</t>
  </si>
  <si>
    <t>‏‏‏‏‏مستندساز بحران | ‏‏‏‏‏‏‏‏‏‏شبیه شاعرها، شعر می‌گویم...|</t>
  </si>
  <si>
    <t>Iran - Tehran</t>
  </si>
  <si>
    <t>از شرق که بخوای بری چهارراه استقلال حتما باید از پیروزی رد بشی! #استقلال #دربی</t>
  </si>
  <si>
    <t>سهیل آقارُخی</t>
  </si>
  <si>
    <t>سفیر مهربانی، ‏دوستدار‏‏‏‏‏‏‏‏‏‏‏‏‏‏‏‏‏‏‏‏‏‏‏‏‏ آرامش ،کتاب ،ادبیات ،شعر ... ‎#دنیا ‎#دنیا ‎#آرامش</t>
  </si>
  <si>
    <t>#پرسپولیس فقط عشق منه دوستش دارم یه عالمه... شعر گفتم😜😁</t>
  </si>
  <si>
    <t>کاریزماک</t>
  </si>
  <si>
    <t>خيلي استرس دارم نه بازي امروز واسه بازي با السد....😂😂😂😂 #پرسپوليس</t>
  </si>
  <si>
    <t>ب لحظات روحانی و ملکوتی استرس سگی رسیدیم... #دربی</t>
  </si>
  <si>
    <t>http://tender.com</t>
  </si>
  <si>
    <t>‏‏‏‏‏‏‏‏‏‏‏‏ رفیقم با رفقا</t>
  </si>
  <si>
    <t xml:space="preserve">تهران </t>
  </si>
  <si>
    <t>خدایی دیگه #دربی و فوتبال این چیزا به تخممم نیست، وضعیت فاجعه بار مملکت و گرونی و #دلار دیگه حال و حوصله نذاشته برامون. فقط به عشق رفقا می خوام یخورده کل کل کنیم بخندیم</t>
  </si>
  <si>
    <t>tender  🏳🇮🇷🇺🇸</t>
  </si>
  <si>
    <t>این دخترایی که میرن با گریم به ورزشگاه همونایی هستن که بچگی نوجوونیش عاشق فیلم افساید بودن #دربی</t>
  </si>
  <si>
    <t>I R A N</t>
  </si>
  <si>
    <t>اشتباه پرسپولیسیا میتونه دقیقا از جایی شروع بشه که به اشتباه روزبه امیدوار باشن،روزبه امروز هافبک دفاعیه و قطعا نوع بازیش با وقتی مدافعه زمین تا آسمون فرق میکنه #دربی</t>
  </si>
  <si>
    <t>Alireza ZS</t>
  </si>
  <si>
    <t>https://telegram.me/HarfBeManBot?start=MjkyMjcxNDM4</t>
  </si>
  <si>
    <t>‏‏‏‏خَستَم، خِیلی</t>
  </si>
  <si>
    <t>الان ی عده استرس بازی #دربی رو دارن ولی من نمیتونم ب چیزی جز این ک #دلار شده بیست تومن فک کنم چ خاکی قراره بریزم تو سرم 😐</t>
  </si>
  <si>
    <t>ariiii</t>
  </si>
  <si>
    <t>‏‏‏Journalist ‏‏‏(یغما فشخامی) گیلانی ام</t>
  </si>
  <si>
    <t>https://pbs.twimg.com/media/DaL7iQpVwAIFtu_.jpg</t>
  </si>
  <si>
    <t>https://twitter.com/majidazarpey/status/982624460074246144?s=19</t>
  </si>
  <si>
    <t>بدون تو #دربی دیدن حوصله میخواد @majidazarpey #مجید_آذرپی RT @majidazarpey: ماااااا قهرمانی تو خونمونه... #پرسپولیس</t>
  </si>
  <si>
    <t>yaghmafashkhami II</t>
  </si>
  <si>
    <t>‏‏‏‏‏‏‏‏‏‏‏‏‏اللهم عجل لولیک الفرج</t>
  </si>
  <si>
    <t>Islamic Republic of iran</t>
  </si>
  <si>
    <t>نماز جماعت تو مسجد مساوی با از دست دادن نیمه اول #دربی با تشکر از کمیته برنامه ریزی مسابقات</t>
  </si>
  <si>
    <t>محسن شعبانی🇮🇷</t>
  </si>
  <si>
    <t>‏‏وی در خانواده ای مذهبی چشم به جهان گشود و فیلم باز و کتابخوانی عجیب بود😎 وی روزمره نویس،دکتری بدون مدرک،ثروتمندی در آینده و شاهزاده ای خاموش هست فالو=فالو</t>
  </si>
  <si>
    <t>سیاره زمین</t>
  </si>
  <si>
    <t>به نظرتون کم کم بنویسیم《چشمانت پرسپولیس حمله ور و دل من استقلال بی دفاع》یا زوده؟ ･ᴗ･ #پرسپوليس #پرسپولیس_قهرمان</t>
  </si>
  <si>
    <t>♤T♡A◇H♧A</t>
  </si>
  <si>
    <t>https://telegram.me/harfbzanbot?start=RbzW5p</t>
  </si>
  <si>
    <t>‏‏‏سکوتم از سنگینی افکارم است؛ فریاد تو از پوچی افکارت</t>
  </si>
  <si>
    <t>#دربی براتون مهمه من خیلی وقته با فوتبال ایران قطع رابطه کردم!</t>
  </si>
  <si>
    <t>مستر دل</t>
  </si>
  <si>
    <t>انقلابیها رو دوست دارم.از دینداری که آزاده نباشه متنفرم و برعکس .اسیرم.</t>
  </si>
  <si>
    <t>جنوبغرب آسیا،مهد دلیران</t>
  </si>
  <si>
    <t>@ma_aminy پیروزی حقیقی در #استقلال طلبی از شرق و غربه #</t>
  </si>
  <si>
    <t>کریم ‏</t>
  </si>
  <si>
    <t>طرفدار کدومی؟ #نظج #دربی</t>
  </si>
  <si>
    <t>ویژه برنامه #دربی فقط اونجاش که مهران غفوریان گفت اقا من هر پفکی میخوردم استقلال یه گل میخورد :) #پرسپولیس</t>
  </si>
  <si>
    <t>‏‏‏‏‏‏‏‏‏‏‏‏‏‏‏‏‏‏‏‏‏‏‏‏‏‏‏‏‏تولید و فروش ‏‏‏‏‏‏‏صنایع دستی، فیلمنامه و داستان</t>
  </si>
  <si>
    <t xml:space="preserve">فعلا روی خاک </t>
  </si>
  <si>
    <t>https://pbs.twimg.com/media/DoG8wQDXgAIxwZF.jpg</t>
  </si>
  <si>
    <t>#استقلال #استقلال_پرسپولیس #شفر استقلالی های کهکشانی و آسمانی چگونه اند؟!!</t>
  </si>
  <si>
    <t>Amirhossein ✒🎗M 🎬</t>
  </si>
  <si>
    <t>خواستار آزادی اندیشه در سرزمین مادری . لا ادری هستم به تفسیر راسل, طرفدار مصدق و خدماتشم ، معاشرت میکنم و دنبال رابطه نیستم همجنسگرا نیستم عضو جنبش عدم تعهد</t>
  </si>
  <si>
    <t xml:space="preserve">Karaj </t>
  </si>
  <si>
    <t>چطور میتونید #گُل بخورید وقتی میشه گل کشید #دربی</t>
  </si>
  <si>
    <t>داماسک</t>
  </si>
  <si>
    <t>‏‏زندگی به طرز بیشرمانه ای کوتاهه پس شاید باورت نشه ولی من همونطوری که دوست داشته باشم می نویسم و زندگی میکنم</t>
  </si>
  <si>
    <t>https://pbs.twimg.com/media/DoG8xHmXcAEZeIY.jpg</t>
  </si>
  <si>
    <t>تنها جایی که 500 دوربین نصب نمیشه تا دستگیرت کنن اینجاست ! اونم هر چهار سال یکبار جهت تبلیغات انتخاباتی ! #دربی #زنان‌در‌آزادی #زنان</t>
  </si>
  <si>
    <t>اریک</t>
  </si>
  <si>
    <t>عذاب جهنم فقط استرس قبل بازی‌های پرسپولیس. چه وعضشه آخه آقای قاضی مُردیم از استرس به امید برد پرسپولیس. #پرسپوليس</t>
  </si>
  <si>
    <t>‏‏‏‏هم رُشد کنیم، هم رشد دهیم... / فقه و حقوق / ‎‎‎#رسانه</t>
  </si>
  <si>
    <t>میریم که داشته باشیم #دربی رو استقلال💙💙💙</t>
  </si>
  <si>
    <t>Amir  Hasanshahi</t>
  </si>
  <si>
    <t>https://pbs.twimg.com/media/DoG84w8XUAA_Wsa.jpg</t>
  </si>
  <si>
    <t>وضعیت #دربی ما #اثاث_کشی، #ناهار و #دربی وسط کارتن و...</t>
  </si>
  <si>
    <t>ساکن جزیره کوچولویی در غرب آفریقا / درس عبرت در صفحه‌ی Azajoon</t>
  </si>
  <si>
    <t>هدفون نیاوردم, دربی ر باید بی صدا ببینم : ( کارمند بدبخت #دربي</t>
  </si>
  <si>
    <t>متحیر السلطنه</t>
  </si>
  <si>
    <t>سعید محمدی</t>
  </si>
  <si>
    <t>rasht</t>
  </si>
  <si>
    <t>این #شفر کنار زمین مدام فریاد میزنه. مربی اینها رو قبلا توجیه نکردی؟ دقیقه نود تازه داری بهشون تقلب میرسونی؟ قبل بازی آموزش بده دیگه، حجره ات گناه نکرده که! درست مثل حسی که بزرگترت کنار بشینه و موقع رانندگی بهت بگه گاز بده، گاز نده، بپیچ، یواش! خودش بلده #پرسپوليس #استقلال #داربی</t>
  </si>
  <si>
    <t>Saeed Mohammadi</t>
  </si>
  <si>
    <t>هر چیز که در جُستن آنی ، آنی</t>
  </si>
  <si>
    <t>مصلح خوابش رو هم نمی‌دیددقیقه ۴۰ بیاد تو بازی. #پرسپولیس_استقلال</t>
  </si>
  <si>
    <t>آراز</t>
  </si>
  <si>
    <t>#شعرگونه/// الهی مرا هزار امید است و هر هزار تویی...🌻 مراقب مهربان ها باشیم اگر بروند دنیا تاریک میشود.</t>
  </si>
  <si>
    <t>آسمان</t>
  </si>
  <si>
    <t>فارغیم از دیدن #دربی وچنین زخارف پوچ دنیوی 😁 واز کرده خود دلشادیم ...</t>
  </si>
  <si>
    <t>dr_Yas🇮🇷</t>
  </si>
  <si>
    <t>#ESTvPER 0:0 38' Sostituzione nel #Persepolis 🔚 Hossein #Mahini 🆕 Shayan #Mosleh #Shahravard #Shahravard88 #Tehran #TehranDerby #پرسپولیس #استقلال #شهراورد #شهراورد88 #دربی88 #تهران #Iran #PersianGulf⚽ #لیگ_برتر #ایران 🇮🇷</t>
  </si>
  <si>
    <t>آرام آرام #پرسپولیس #استقلال</t>
  </si>
  <si>
    <t>https://favstar.fm/users/bohluol</t>
  </si>
  <si>
    <t>‏‏آراسته به آرایه‌های بی ادبی</t>
  </si>
  <si>
    <t>حسین ماهینی هم زود مصدوم شد کهذبیاد توییت کنه اینقدر که اینجا جذاب تره #دربی @HosseinMahini</t>
  </si>
  <si>
    <t>بهلول</t>
  </si>
  <si>
    <t>‏بسی رنج بردیم در این سال سی ،که رنج برده باشیم فقط</t>
  </si>
  <si>
    <t>قشم</t>
  </si>
  <si>
    <t>شایان مصلح دیگه از اون پدر سوخته هاس،بزن دهن این صاف کنن #استقلال</t>
  </si>
  <si>
    <t>2000عنابی</t>
  </si>
  <si>
    <t>http://T.me/the_divane</t>
  </si>
  <si>
    <t>‏‏‏‏‏‏‏‏‏‏یک دیوانهٔ از قفس پریده..!</t>
  </si>
  <si>
    <t>Tabriz, EastAzarbaijan, Iran</t>
  </si>
  <si>
    <t>چهار ردیف تابلو اطراف زمین، کنار دروازه‌ها، گوشه و زیرنویس تصویر، لباس‌های بازیکن‌ها و داورا، آگهی بین دو نیمه و هزار تا کوفت و زهرمار دیگه. بیشتر داریم تبلیغات میبینیم تا بازی. #دربى</t>
  </si>
  <si>
    <t>زندگیم تو مایه های زندگی یه خرسه با این تفاوت که من لاغرم</t>
  </si>
  <si>
    <t>کس ننت فغانی #پرسپولیس</t>
  </si>
  <si>
    <t>لویجی گارنا</t>
  </si>
  <si>
    <t>ماهینی رباط پاره کرد فکر کنم خیلی بازیکن داشتیم اینم به چخ رفت! #پرسپولیس</t>
  </si>
  <si>
    <t>يه قوطي آبجو پيدا كردم،منتظرم #استقلال گل بزنه،بازش كنم.</t>
  </si>
  <si>
    <t>‏خوش نامی قدم اول است؛ از خوش نامی به بدنامی رسیدن قدم بعدی بود؛ قدم آخر،گم نامی است...</t>
  </si>
  <si>
    <t>...؟!</t>
  </si>
  <si>
    <t>دربی جنجالی فقط دربی سال ۷۹^_^ #دربی</t>
  </si>
  <si>
    <t>Mohammadiiii</t>
  </si>
  <si>
    <t>📺IRAN TV Writer ✒️Journalist 📍Varzesh TV / Sazandegi Newspaper @sazandegii http://isport.ir</t>
  </si>
  <si>
    <t>Islamic Republic of Iran, Teh</t>
  </si>
  <si>
    <t>ا#ستقلال برای #قهرمانی مسیر خیلی درستی رو انتخاب کرده: مصدوم کردن بازیکن‌های #پرسپولیس!</t>
  </si>
  <si>
    <t>Naweed</t>
  </si>
  <si>
    <t>journalist, sociology student, M.A social development studies at university of tehran</t>
  </si>
  <si>
    <t>اینایی که وسط استیصال این روزای مردم امشب فاز کول بودن و کل کل #دربی برداشتن مصداق همون سیاست بی بی سی هستن که بعد خبر قحطی و جنگ و غارت و بدبختی مردم یادی می کنه از بچه پاندای تازه متولد شده باغ وحش تایلند</t>
  </si>
  <si>
    <t>parishad ahmadi</t>
  </si>
  <si>
    <t>ریدم به قلم و‌شعر شایان مصلح #استقلال</t>
  </si>
  <si>
    <t>همچنان امید بذر هویت ماست 🌱 با افتخار میرحسینی‌ام</t>
  </si>
  <si>
    <t>آقای شفر! کاش به‌جای یاد دادن مصدکم کردن زدن بازیکنایی که سه‌شنبه بازی آسیاییه سختی دارند، یکمی به بچه‌هات بازی جوانمردانه یاد می‌دادی! #پرسپولیس</t>
  </si>
  <si>
    <t>🕊️ماهی🇮🇷</t>
  </si>
  <si>
    <t>#دربی منو یاد #جام_جهانی انداخت که چقدر کیف کردیم تو سه تا بازی ایران. هیجان در اوج بود. حال اینروزهای ما فقط دوباره هیجان اون سه بازی رو کم داره تا بی خیال غمهای عالم بشیم</t>
  </si>
  <si>
    <t>moh3n</t>
  </si>
  <si>
    <t>کیا مثل من فوتبال نمی بینند؟ #دربی</t>
  </si>
  <si>
    <t>Dariush Haghjoo</t>
  </si>
  <si>
    <t>آسمان گفت از قرمز خالی ام عشق می وَرزم که استقلالی ام #دربی #استقلال</t>
  </si>
  <si>
    <t>‏‏‏‏‏‏دانشجوی حقوق// در جستجوی ‎‎#حق و ‎‎#حقیقت// کار هم نشد نداره// یا علی یا هیچ کس</t>
  </si>
  <si>
    <t>انقدر که میگن هم #دربی بی خاصیت نیست مثلا همین که یک سری خانواده ها دور هم جمع میشن و یک بازی رو دور هم نگاه می کنند جنبه مثبت آن است فقط فحش ندید اینجا خانواده نشسته</t>
  </si>
  <si>
    <t>پاتیسپا</t>
  </si>
  <si>
    <t>http://t.me/iNashenas_Bot?start=363141814</t>
  </si>
  <si>
    <t>‏‏‏‏‏‏‏نظرات،پیشناهادات و انتقاداتتون در مورد اینجانبbk پشتیبان ولایت وقیح</t>
  </si>
  <si>
    <t>اقایون متعصب شایان مصلح قبل اومدنش به پرسپولیس از استقلال هم دعوت داشت و اومده بود نظر میپرسید😂 فقط خواستم بگم قضیه پوله! #دربی</t>
  </si>
  <si>
    <t>آلِکوپُن</t>
  </si>
  <si>
    <t>سامتایمز میبی گوود، سامتایمز میبی شت! (موستلی شت آف کورس)</t>
  </si>
  <si>
    <t>این گزارشگر بازی چه ضایع اسقلالیه. به رحمتی که توپ میگیره میگه: باریکلا! آفرین! #استقلال #پرسپولیس</t>
  </si>
  <si>
    <t>Miad 🏳</t>
  </si>
  <si>
    <t>‏‏علی اکبر در هنگام عزیمت به میدان فریاد میزد: جنگ است که گوهر مردان را آشکار کند</t>
  </si>
  <si>
    <t>پشت کامیون عام اسمال</t>
  </si>
  <si>
    <t>واقعا #دربی تون اندازه آب بینی بز برام اهمیتی نداره اشکالی که نداره؟</t>
  </si>
  <si>
    <t>دکتر مش کَرَم 🇮🇷🇵🇸</t>
  </si>
  <si>
    <t>وجود و جهان تنها به عنوان پدیده ای زیباشناسانه قابل توجیه است</t>
  </si>
  <si>
    <t>شباهت پیراهن دو تیم رو ببینید تمام مشکلات اقتصاد ایران تو این شباهت خلاصه میشه... #دربی</t>
  </si>
  <si>
    <t>پوتزو</t>
  </si>
  <si>
    <t>#شفر فعلا برنامه اش دفاع کردن و استفاده از ضدحمله هاست. شفر میخواد اول برنامه ی کیروش و پرسپولیس رو خوب بفهمه تا در نیمه دوم تاکتیک مدنظرش رو پیاده کنه‌. اگر کیروش تاکتیک ش رو در نیمه دوم عوض نکنه.که خیلی بعید بنظر می رسه.</t>
  </si>
  <si>
    <t>بازی خیلی تخمی و نچسبه انصافا #دربی</t>
  </si>
  <si>
    <t>Im just trying to do my best, if the universe let me do my job!</t>
  </si>
  <si>
    <t>صد میلیارد بازیکن تو زمین راه میره دریغ از چهارتا پاس #دربی #استقلال_پرسپولیس #استقلال #پرسپولیس</t>
  </si>
  <si>
    <t>زوربای ایرانی</t>
  </si>
  <si>
    <t>https://t.me/golshany</t>
  </si>
  <si>
    <t>تو رشته کام‍یوتر تخصص دارم ولی بیشتر دوست دارم از حق و حقوق زندانیان و بخصوص زندانی سیاسی دفاع کنم. همین و بس</t>
  </si>
  <si>
    <t>قم</t>
  </si>
  <si>
    <t>pic.twitter.com/tHMXeegtmO</t>
  </si>
  <si>
    <t>نیایش هوادار #پرسپولیس</t>
  </si>
  <si>
    <t>آ.گلشني</t>
  </si>
  <si>
    <t>تماشاگر‌های پرسپولیس تو ورزشگاه دست‌های دعا رو بردن بالا، بابا نترسید #دربی</t>
  </si>
  <si>
    <t>http://ameer.ir</t>
  </si>
  <si>
    <t>#PHP &amp; #JavaScript Newbie web developer and photographer #juventus fan</t>
  </si>
  <si>
    <t>حاجی چقدر خطا میکنن😑😑😑 #دربی</t>
  </si>
  <si>
    <t>Ameer Mousavi</t>
  </si>
  <si>
    <t>چطور طرفدار تیمی میشید که حتی یه توپ گیری ساده رو‌ هم بلد نیست #استقلال #پرسپولیس #دربی</t>
  </si>
  <si>
    <t>فاناشرلی</t>
  </si>
  <si>
    <t>من دارم به عشق #فغانی فوتبال میبینم #دربی</t>
  </si>
  <si>
    <t>http://freemind.ir</t>
  </si>
  <si>
    <t>یه دواپس گنو/لینوکسی، فرگشت‌یافته از یه سیس‌ادمین ۴۵ کروموزومی، با اسم سرخ‌پوستی «ایستاده با سرور» / مدیر پروژه و اسکرام مستر / @iiriix :En</t>
  </si>
  <si>
    <t>Stockholm, Sweden</t>
  </si>
  <si>
    <t>استقلالی‌ها چرا اینقدر خطا می‌کنن؟ بابا بازی کنید، نترسید! #دربی #پوسپولیس</t>
  </si>
  <si>
    <t>ایریکس</t>
  </si>
  <si>
    <t>http://hamed.es/</t>
  </si>
  <si>
    <t>just another developer and amateur badminton player</t>
  </si>
  <si>
    <t>/earth/iran/shahrood</t>
  </si>
  <si>
    <t>#دربی بی مزه ای رو شاهد هستیم</t>
  </si>
  <si>
    <t>Hamed</t>
  </si>
  <si>
    <t>‏‏‏بلند آسمان جایگاه من است ‏‏‏‏‏‏‏طراح گرافیک و تبلیغات http://instagram.com/mim.allameh‎‎‎</t>
  </si>
  <si>
    <t>این کمال کامیابی نیا که تکل بد میخواد بچه پرو #پرسپولیس</t>
  </si>
  <si>
    <t>میم.علامه</t>
  </si>
  <si>
    <t>مهندس برقي كه شعر ميگه و به آشپزي علاقه داره</t>
  </si>
  <si>
    <t>mashhad</t>
  </si>
  <si>
    <t>حقيقتا از ديدن #دربي حوصلم سررفت</t>
  </si>
  <si>
    <t>يك پسر خوب🏳️</t>
  </si>
  <si>
    <t>Student of culture and ancient Iranian languages. عاشق اعداد فرد دو رقمی زیر ۲۰ بویژه ۱۳😍</t>
  </si>
  <si>
    <t>لای برگای تاریخ !</t>
  </si>
  <si>
    <t>با اینکه فوتبالی ام، اما با این وضعیت و بحران که ج.ا ساخته حوصله دیدن بازی رو ندارم #پرسپولیس #شهر_پارس</t>
  </si>
  <si>
    <t>vehân</t>
  </si>
  <si>
    <t>دم دربازه میدن عدس پلوو رحمتی تمیمتو بردارو برو #دربی</t>
  </si>
  <si>
    <t>#ESTvPER 0:0 42' Rouhollah #Bagheri on the pitch after a contrast with Kamal #Kamyabinia #Shahravard #Shahravard88 #Tehran #TehranDerby #پرسپولیس #استقلال #شهراورد #شهراورد88 #دربی88 #تهران #Iran #PersianGulf⚽ #لیگ_برتر #ایران 🇮🇷</t>
  </si>
  <si>
    <t>https://telegram.me/harfbzanbot?start=rWpK6Bl</t>
  </si>
  <si>
    <t>‏در همین حد بدونید که سوییفتی ام و دیوونه تیلور:) بقیش اضافیه دیگه #Swiftie @taylorswift13</t>
  </si>
  <si>
    <t>Esfahan, Iran</t>
  </si>
  <si>
    <t>بزن بزنه یا فوتبال؟:\ #دربی</t>
  </si>
  <si>
    <t>🦄❣شادی/SHADI❣🦄</t>
  </si>
  <si>
    <t>تا الان که کیفیت #دربی مون به همه چی مون میاد</t>
  </si>
  <si>
    <t>http://Instagram.com/sadegh_thr122</t>
  </si>
  <si>
    <t>‏‏‏‏‏‏‏‏‏‏‏‏بالقوه غالب بالفعل مغلوب/ ‏‏‏‏‎چریک ، از هسته جنگل تا عملیات های پارتیزانی/ خاکم خاک پسر ابوتراب . . . ‎#پنکه #معلم_فیزیک</t>
  </si>
  <si>
    <t>طِیْرون , دولاب</t>
  </si>
  <si>
    <t>درسته ما قرمز پوشیدیم ولی دلیل نمیشه آبیا انقد وحشی بازی کنن #پرسپولیس</t>
  </si>
  <si>
    <t>هیپربور</t>
  </si>
  <si>
    <t>مست توئم که قنوتم ترانه شد/چون مومن تو شدم لاابالی‌ام</t>
  </si>
  <si>
    <t>بدترین نیمه اول تاریخ دربی بازیکنای استقلال چتونه ؟؟؟؟!!!! #پرسپولیس_استقلال</t>
  </si>
  <si>
    <t>$@31D£h</t>
  </si>
  <si>
    <t>https://makanmehrpouya.com</t>
  </si>
  <si>
    <t>A mad adman | تبلیغاتچی</t>
  </si>
  <si>
    <t>چقدر بازی چرتیه. همه رو زمین پهنن. #پرسپولیس_استقلال</t>
  </si>
  <si>
    <t>Makan Mehrpouya</t>
  </si>
  <si>
    <t>وقتي هييت علمي دانشگاه درپيت لنگ ميشه داور #دربي نتيجه ميشه اين!</t>
  </si>
  <si>
    <t>من از برای مصلحت در حبس دنیا مانده‌ام...</t>
  </si>
  <si>
    <t>امید عالیشاه دو دقیقه رفت رختکن یه دستشویی بره، گزارشگر بازی لحظه‌ی ورود و خروج‌اش رو به میلیون‌ها نفر اعلام کرد! #دربی</t>
  </si>
  <si>
    <t>نابخشودنى</t>
  </si>
  <si>
    <t>‏چی بگم؟</t>
  </si>
  <si>
    <t>بازیکنها بیشتر به فکر دلار و پولدار شدن بیشترند تا گل زدن به تیم حریف #دربی</t>
  </si>
  <si>
    <t>52Hz Whale🇩🇪</t>
  </si>
  <si>
    <t>#ESTvPER 0:0 42' Rouhollah #Bagheri rimane a terra dopo uno scontro con Kamal #Kamyabinia #Shahravard #Shahravard88 #Tehran #TehranDerby #پرسپولیس #استقلال #شهراورد #شهراورد88 #دربی88 #تهران #Iran #PersianGulf⚽ #لیگ_برتر #ایران 🇮🇷</t>
  </si>
  <si>
    <t>‏فقط یه ایرانیِ دلسوز ایرانِ اسلامی هستم،یه فیلم بین حرفه ای</t>
  </si>
  <si>
    <t>بچه شهر</t>
  </si>
  <si>
    <t>سال ۸۶ رفتم ورزشگاه آزادی تا دربی رو ببینم، بازی مساوی شد و کسل کننده ولی چندتا فحش جدید یاد گرفتم. #دربی</t>
  </si>
  <si>
    <t>کاکوی ولدمورت</t>
  </si>
  <si>
    <t>‏‏‏‏‏‏‏‏‏‏‏How you doin // عاشق ‎‎‎‎‎‎‎#فیلم‌بازی با ‎‎‎‎‎‎‎#شخص_مورد_نظر http://telegram.me/dar2delbot?sta‎‎‎‎‎‎‎…</t>
  </si>
  <si>
    <t>اون بغل</t>
  </si>
  <si>
    <t>پس این بازی سپاهان کی شروع میشه؟؟ حوصلمون از #دربی سر رفت</t>
  </si>
  <si>
    <t>جویی تریبیانی</t>
  </si>
  <si>
    <t>اهل سياست نيستم.</t>
  </si>
  <si>
    <t>چرا برانکو سیاه پوشیده؟ بخاطر محرمه؟ #پرسپولیس #استقلال #دربی</t>
  </si>
  <si>
    <t>ايماگو</t>
  </si>
  <si>
    <t>‏‏حالتی از تیمارستان را در زندگی خودم احساس می‌کنم. بی‌گناه و در عین حال خطاکار، نه در یک سلول، بلکه در این شهر زندانی ‌ام...</t>
  </si>
  <si>
    <t>صدا نفس نمیاد تو تایم‌لاین 😊 #پرسپوليس</t>
  </si>
  <si>
    <t>دختر ِ کرمانج</t>
  </si>
  <si>
    <t>دائم الخمر، عشق فيلم، متال باز، دلال، تا حدودى منطقى، منشن باز...براى اطلاعات بيشتر وارد شويد:</t>
  </si>
  <si>
    <t>Living in a world without you</t>
  </si>
  <si>
    <t>اگه ورزشگاه براى بانوان آزاد بشه، ورزشگاه رفتنم ميتونه يكى از تفريحات سالم به حساب بياد حتى براى منى كه فوتبالى نيستم... #دربى #زنان‌در‌آزادی</t>
  </si>
  <si>
    <t>فريش 🏳️</t>
  </si>
  <si>
    <t>بازی از آنچه که می‌بینید کسشعرتر است. #دربی</t>
  </si>
  <si>
    <t>‏‏‏شهادت دُرّ گرانیست که به هرکس ندهند... اما اگر حسین تو را بخرد کلاغ سیاه هم که باشی بهت میده!</t>
  </si>
  <si>
    <t>همین دور و بر</t>
  </si>
  <si>
    <t>آخرین باری که استقلال قهرمان لیگ شده، #دلار ۳۲۰۰ تومن بوده! #پرسپولیس</t>
  </si>
  <si>
    <t>مالکوم ایگرگ 🚩</t>
  </si>
  <si>
    <t>https://t.me/xHarfBot?start=92262311</t>
  </si>
  <si>
    <t>‏‏‏‏‏‏‏‏‏‏‏‏‏‏‏‏یک مهندسی نفت خوان مایل به تغییر رشته که تدوینگر فیلم نیز هست! آره آره بشین بشین...! :|</t>
  </si>
  <si>
    <t>کارتن خواب آینده</t>
  </si>
  <si>
    <t>استق لال اگه با این همه خطا نتونه کاری کنه، نیمه دوم شوفر اسلحه میده دست بازیکناش...! :| #دربی</t>
  </si>
  <si>
    <t>آره همون...</t>
  </si>
  <si>
    <t>@AfsharMahnaz دلار 19000 تومان شد ولی خانم افشار دغدغه‌اش اشتیاق چنتا دختر برای حضور در ورزشگاهه! راستی از پرونده شوهرتون چه خبر؟ شیرخشک رو میگم! #دربی #زنان‌درآزادی</t>
  </si>
  <si>
    <t>🇮🇷 PARSA IRANI 🇮🇷</t>
  </si>
  <si>
    <t>توپ رو بندازن بیرون بپرن رو هم، لگد کاری کنن.. چه کاریه.. #پرسپولیس_استقلال #دربی</t>
  </si>
  <si>
    <t>یک عدد سردرگم در این دنیای بی افسار</t>
  </si>
  <si>
    <t>نظرسنجی دربی غیر از گزینه برد و باخت و مساوی گزینه به چپم نداره؟ #دربی</t>
  </si>
  <si>
    <t>(بَ ه مَ ن)</t>
  </si>
  <si>
    <t>‏‏‏خیلی خاصّم ‏‏؛)</t>
  </si>
  <si>
    <t>بعد از چند سال فوتبال لیگ دارم میبینم خوردبین هست هنوز که :/ #دربی #خوردبین</t>
  </si>
  <si>
    <t>خانوم خاصّ</t>
  </si>
  <si>
    <t>‏‏‏کرگدن‌ها در خیابان رژه می‌روند اما من هنوز گاوم.</t>
  </si>
  <si>
    <t>تا این لحظه تنها برنامه #استقلال مصدوم کردن بازیکنای #پرسپولیس برای بازی با السد بوده. فعلاً هم با مصدوم کردن @HosseinMahini قدم اول رو خوب برداشتن. #دربی88</t>
  </si>
  <si>
    <t>Pooyan</t>
  </si>
  <si>
    <t>اگه به بازيكناي #استقلال دسترسي داريد بهشون بگيد بازيتون فيزيكي و درگيرانه نيست. به اين ميگن خشن و وحشيانه!:| #استقلال_پرسپوليس</t>
  </si>
  <si>
    <t>http://github.com/MahanFathi</t>
  </si>
  <si>
    <t>Seyyed, aka Sed. rt ≠ rectal tumor. [v] is my verified sign. + you can blow your dad if you don’t like my stuff.</t>
  </si>
  <si>
    <t>عنم گرفت ازین فوتبال. #دربی</t>
  </si>
  <si>
    <t>سید [v]</t>
  </si>
  <si>
    <t>آیا ایمان نمی آورید؟💙 #استقلال #دربی RT @ma_aminy: یکی از شعارها و آرمانهای اصلی انقلاب ما استقلال بوده و می باشد. استقلال آزادی جمهوری اسلامی #دربی</t>
  </si>
  <si>
    <t>‏‏اون‌جوریاس</t>
  </si>
  <si>
    <t>بُعد یازدهم</t>
  </si>
  <si>
    <t>محمدرضا احمدی هم حوصله ش سررفته #دربی</t>
  </si>
  <si>
    <t>مُفرد</t>
  </si>
  <si>
    <t>دختر سخت جونِ قبیله سرخپوستها/فرزند ناخلف خانواده تياتر/شجاعِ ترسو/پر روی خجالتی/يكى يه دونه ای که زندگی اجازه نداد لوس بشه</t>
  </si>
  <si>
    <t>یا یه دو ساعت کلن توییت سیاسی نزنین بازی رو ببینیم یا توییتای به درد بخور نزنین که مجبور بشیم ریت کنیم #دربی</t>
  </si>
  <si>
    <t>صدف منتصری</t>
  </si>
  <si>
    <t>‏فعال رسانه | کارشناس ارشد علوم قرآنی و حدیث</t>
  </si>
  <si>
    <t>میخواستم بازی ببینم غصه دلار بشوره بره، غصه این بازی کسل کننده هم به دردامون اضافه شد #دربی</t>
  </si>
  <si>
    <t>یا زهرا سلام الله علیها</t>
  </si>
  <si>
    <t>بوی مساوی میاد #دربی</t>
  </si>
  <si>
    <t>https://www.instagram.com/mohammadnosoohi_esf/</t>
  </si>
  <si>
    <t>آری «معلمی» دو نيمه دارد، نيمی از آن «عشقی» است که دل تو را بی قرار کرده است، و نيمی ديگر آن «محبتی» است که در دل من می تپد. "معلّم توئیتر، بیشتر مدیر مدرسه"</t>
  </si>
  <si>
    <t>نصف جهان یا همون اصفهان</t>
  </si>
  <si>
    <t>پرسپولیس ببازه کار خود رژیمه. فردا همه میریزیم بیرون! (اشکهایش را پاک کرده و زیر پتو می رود) #دربی #پرسپوليس</t>
  </si>
  <si>
    <t>محمّد نصوحی 🇮🇷</t>
  </si>
  <si>
    <t>#ESTvPER 0:0 45' 2 mins added time #Shahravard #Shahravard88 #Tehran #TehranDerby #پرسپولیس #استقلال #شهراورد #شهراورد88 #دربی88 #تهران #Iran #PersianGulf⚽ #لیگ_برتر #ایران 🇮🇷</t>
  </si>
  <si>
    <t>‏‏‏همچون بنفشه ها... مفتخر به ذهن و زبانی لهجه دار.</t>
  </si>
  <si>
    <t>roadbed</t>
  </si>
  <si>
    <t>کیفیت دربی اول مملکت رو ببین. اینه اوضاع مملکتمون. #استقلال_پرسپولیس #estp</t>
  </si>
  <si>
    <t>کِلمــَــــخْ 🚸</t>
  </si>
  <si>
    <t>http://1pezeshk.com</t>
  </si>
  <si>
    <t>I was born On 18 July, like my superhero, Nelson Mandela. Trying to find &amp; describe myself in my writings.So, I became a blogger since 2008. It's me, Faranak!</t>
  </si>
  <si>
    <t>والله بعید نیست دستور از بالا اومده باشه #دربی صفر صفر بشه که مثلاً در این اوضاع فاجعه بار اقتصادی، فولان... نمودی از مدیریت همیشگی کشور و پاک کردن صورت مسائل!</t>
  </si>
  <si>
    <t>Faranak Majidi</t>
  </si>
  <si>
    <t>#ESTvPER 0:0 45' 2 minuti di recupero #Shahravard #Shahravard88 #Tehran #TehranDerby #پرسپولیس #استقلال #شهراورد #شهراورد88 #دربی88 #تهران #Iran #PersianGulf⚽ #لیگ_برتر #ایران 🇮🇷</t>
  </si>
  <si>
    <t>http://ponisha.ir</t>
  </si>
  <si>
    <t>ما یک بازار کار آنلاین نیستیم. ما یک کارخانه آنلاین هستیم که با فراهم کردن ابزار مناسب برای انسانهای باانگیزه کمک میکنم جهان را به مکان بهتری تبدیل کنند.</t>
  </si>
  <si>
    <t>لطفا بعد از اینکه بازی تموم شد برگردید سر کار #دربی</t>
  </si>
  <si>
    <t>ponisha</t>
  </si>
  <si>
    <t>‏‏‏‏‏‏‏‏‏‏‏‏‏‏‏‏‏‏‏‏ آن‌چه دلم گفت بگو، گفته‌ام</t>
  </si>
  <si>
    <t>تاکتیک: تمام کوشش‌ات باید این باشه که بازی حریف رو خراب کنی. #دربی</t>
  </si>
  <si>
    <t>دوگان</t>
  </si>
  <si>
    <t>‏‏‏‏‏‏‏‏‏‏‏‏متاسفانه از دوبار چپ شدن ماشین جون سالم به در برده .. ‎‎‎‎‎‎‎‎#خسه ..</t>
  </si>
  <si>
    <t>اینجو</t>
  </si>
  <si>
    <t>یا میکشن زیر توپ؛ یا میکشن زیر همدیگه .. #دربی</t>
  </si>
  <si>
    <t>the DaووD</t>
  </si>
  <si>
    <t>https://twitter.com/AfsharMahnaz/status/1045310485657251840</t>
  </si>
  <si>
    <t>تا مردان این سرزمین یکبار بازی مثل #دربی رو تحریم نکنند هیچ وقت نظام اجازه ورود برای بانوان صادر نمیکنه RT @AfsharMahnaz: درک اشتیاق زنان برای ورود به ورزشگاه نه سخته نه غیر قابل فهم! #دربی #زنان‌درآزادی</t>
  </si>
  <si>
    <t>تنها راه نجات سوسيال دموكراسي است و بس</t>
  </si>
  <si>
    <t>Bandar abbas,hormozgan,iran</t>
  </si>
  <si>
    <t>چقدر خطا ميكنند #پرسپوليس #استقلال ##استقلال_پرسپوليس #دربي #شهرآورد</t>
  </si>
  <si>
    <t>reza khalighi</t>
  </si>
  <si>
    <t>بزنین شبکه سه داره 'لیگ محلات' رو با حضور ۸۰هزار تماشاگر زنده نشون می‌ده. #دربی #استقلال_پرسپولیس</t>
  </si>
  <si>
    <t>Shobeir</t>
  </si>
  <si>
    <t>#یک_عدد_اسیر</t>
  </si>
  <si>
    <t>متاسفانه ایران:/</t>
  </si>
  <si>
    <t>تو اين #دربي بين خطاهاشون چهارتا پاس هم ميدن=|</t>
  </si>
  <si>
    <t>سحر بانو^_____^</t>
  </si>
  <si>
    <t>دانشجو، روانی گربه‌ها، مهاجر، یه وقت‌هایی معمار، سبزی‌کار نه‌چندان حرفه‌ای</t>
  </si>
  <si>
    <t>مامانم مونده چه دعایی کنه، یه دامادش پرسپولیسیه یکیش استقلالی، هر دوشونم عزیز دل‌! با این اوصاف احتمال تساوی بالاست😐. #دربی</t>
  </si>
  <si>
    <t>بیل مکانیکی</t>
  </si>
  <si>
    <t>https://t.me/BiChatBot?start=sc-109504147</t>
  </si>
  <si>
    <t>‏‏‏‏‏‏‏‏‏‏‏‏‏‏‏‏‏‏‏‏‏‏‏‏‏‎‎‎‎‎‎‎‎‎‎‎‎‎‎‎‎‎‎‎‎‎‎‎‎‎‎‎‎‎‎‎#گیلکم👧 محتوای این پیج به هیچ کس مربوط نمیباشد:) ‎‎#پرسپولیس❤</t>
  </si>
  <si>
    <t>رشت</t>
  </si>
  <si>
    <t>ولی هرجور حساب میکنم تیم حکومتی باید این بازیو ببره:) #دربی #پرسپولیس #استقلال</t>
  </si>
  <si>
    <t>لی لی لجباز(لاک شدم)</t>
  </si>
  <si>
    <t>این که 500 دوربین نصب کردن ینی حالا حالاها قرار نیست خانوما بیان ورزشگاه! #دربی #ورزشگاه_آزادی</t>
  </si>
  <si>
    <t>Mohammad Hedayati</t>
  </si>
  <si>
    <t>‏‏«‏‏‏‏نقّاشِ ازل بهرِ چه آراست مرا؟»(خیام)</t>
  </si>
  <si>
    <t>انصاری و کمال که محروم بودن ماهینی هم مصدوم شد دیگه کم کم ۱۱ تا بازیکنم نداره واسه بازی با السد :((( تو روووووحت طارمی #پرسپوليس</t>
  </si>
  <si>
    <t>Behnaz</t>
  </si>
  <si>
    <t>نیمه اول دیدار #استقلال مقابل #پرسپولیس با نتیجه 0 - 0 به پایان رسید</t>
  </si>
  <si>
    <t>Used to be Journalist | Digital Marketing Expert</t>
  </si>
  <si>
    <t>عاشق خودمم، وسط #دربی اومدم توییتر هم واسه استقلالیا لایک می‌زنم هم پرسپولیسی‌ها اینطور فراتیمی فوتبال رو حمایت می‌کنم. :))))</t>
  </si>
  <si>
    <t>kimiya shalbaf</t>
  </si>
  <si>
    <t>Social Psychology Problems, Cognitive Psychology.Psychologist! Interest: Stocks, Online Trading, Mt4&amp;5,Technical Analysis, Trade! بازار سرمایه، بورس، اقتصاد</t>
  </si>
  <si>
    <t>اونایی که نیمه اول #دربی رو ندیدن چیزی از دست ندادن اینقدر بازی چرت بود.</t>
  </si>
  <si>
    <t>Amoo-Akbar</t>
  </si>
  <si>
    <t>There is a key to every door,and a dawn to every dark night</t>
  </si>
  <si>
    <t>Hungary</t>
  </si>
  <si>
    <t>چاي شهرزاد چاي نادري و همراه اول و اخر و كوفت و زهرمار!تبليغات دربي سه رديف همراه با انيميشن! #دربي #دربي٨٩ #دربي٨٨</t>
  </si>
  <si>
    <t>Ali Ganji</t>
  </si>
  <si>
    <t>فک کنم خیلی ها الان پا #دربی خوابشون برده بیدارشون کنید بگید یه ربع استراحت بین دو نیمه س یه چیزی بخور دوباره بخواب #پرسپوليس #استقلال</t>
  </si>
  <si>
    <t>مورچه سیا</t>
  </si>
  <si>
    <t>http://pahlevanihamed.tumblr.com/</t>
  </si>
  <si>
    <t>مهندسى برق مخابرات /دانشجوى كارشناسى ارشد مديريت رسانه/ طراح طلا و جواهر</t>
  </si>
  <si>
    <t>https://pbs.twimg.com/media/DoHKmaWXsAAWEDD.jpg</t>
  </si>
  <si>
    <t>از حضور همزمان #وزيرارتباطات تو جايگاه ويژه #دربى و سفير برزيل و سفير سوئيس ( حافظ منافع آمريكا در ايران ) در ورزشگاه تحليل نميبينم؟! گفتم بگم شايد خبر نداريد</t>
  </si>
  <si>
    <t>🏴حامد پهلوانى🇮🇷🏴</t>
  </si>
  <si>
    <t>نیمه اول #دربی هیچی نداشت جز استرس</t>
  </si>
  <si>
    <t>Hosseindeilam</t>
  </si>
  <si>
    <t>ماهینی رو دراز به دراز انداختن جلو نیمکت! فک کنم میخوان تشریحش کنن. #دربی</t>
  </si>
  <si>
    <t>سوم شخص</t>
  </si>
  <si>
    <t>#ESTvPER 0:0 45+2' Corner kick for #Esteghlal #Shahravard #Shahravard88 #Tehran #TehranDerby #پرسپولیس #استقلال #شهراورد #شهراورد88 #دربی88 #تهران #Iran #PersianGulf⚽ #لیگ_برتر #ایران 🇮🇷</t>
  </si>
  <si>
    <t>عذر میخوام‌از جمع ولی... عنم گرفت از این فوتبالی که دارن بازی میکنن این دوتا تیم 💩 خجالت بکشید واقعا... #دربی</t>
  </si>
  <si>
    <t>سپاه گفته دو تا تيم مساوى كنند انقلاب نشه. #دربى</t>
  </si>
  <si>
    <t>کاری با کیفیت بازی #دربی ندارم من صحبتم با اون شیرین مغزی هستش که تابلوهای تبلیغاتی کنار #استادیوم_آزادی رو دو طبقه کرد و تمرکز را از نگاه کردن به بازی گرفت</t>
  </si>
  <si>
    <t>هیچکس به اندازه دولت از این بازی خوشحال نیست. مردم یه ساعتی گرفتاریاشونو فراموش میکنن #دربی</t>
  </si>
  <si>
    <t>همین دو سه ساعتی که دارین راجب افت جهش اب منی بازیکنان صحبت میکنین عرازشه درحال ترند کردن حرومزادگیشونن #دربی</t>
  </si>
  <si>
    <t>انسان ام ....! خوب حداقل سعی که میکنم 😊 سیاست خوانده ی بی سیاست !</t>
  </si>
  <si>
    <t>اونقدر که بازیکن های پرسپولیس و استقلال خوردن زمین و آی آی آی کردن ، فکر میکنم پخش مستقیم بخش اورژانس رو دارم میبینم ! #دربی</t>
  </si>
  <si>
    <t>Nesar Banoo</t>
  </si>
  <si>
    <t>.‏‏‏تولید کننده مبلمان</t>
  </si>
  <si>
    <t>بیشتر مسخره بازی بود تا بازی فوتبال #دربی</t>
  </si>
  <si>
    <t>rahim</t>
  </si>
  <si>
    <t>#پرسپولیس|یا هم یاد گرفتن. ماجرای زدی ضربتی ضربتی نوش کن شده</t>
  </si>
  <si>
    <t>https://telegram.me/harfbzanbot?start=G6zLGvn</t>
  </si>
  <si>
    <t>‏‏ورود کشتی به پارکینگ ممنون</t>
  </si>
  <si>
    <t>اندر خم یک کوچه</t>
  </si>
  <si>
    <t>بزنید شبکه یک، برنامه «درجه یک» خیلی جذابه خداوکیلی #دربی</t>
  </si>
  <si>
    <t>علیسماخ⁦🍎🍉🍒🍓⁦🌶️⁩🍅</t>
  </si>
  <si>
    <t>‏‏‏‏‏‏چسناله نویس در رابطه با شلیل</t>
  </si>
  <si>
    <t>اس‌تق‌لال بازی با #پرسپولیس رو ببازه میره لیگ یک؟ 🤔 #پرسپولیس_سرور_استقلالِ</t>
  </si>
  <si>
    <t>دلبر 🍁🍃🍂🌬⛈☔</t>
  </si>
  <si>
    <t>#ESTvPER 0:0 76' Sostituzione nel #Persepolis 🔚 Ahmad #Nourollahi 🆕 Adam #Hemmati #Shahravard #Shahravard88 #Tehran #TehranDerby #پرسپولیس #استقلال #شهراورد #شهراورد88 #دربی88 #تهران #Iran #PersianGulf⚽ #لیگ_برتر #ایران 🇮🇷</t>
  </si>
  <si>
    <t>http://www.madmetalmusic.com</t>
  </si>
  <si>
    <t>Independent artist Since 2004</t>
  </si>
  <si>
    <t>Sweden</t>
  </si>
  <si>
    <t>#هیچ به هیچ خواهد شد #استقلال #پرسپوليس #سیرک</t>
  </si>
  <si>
    <t>Madmetal</t>
  </si>
  <si>
    <t>معلمی که باید امید و آرزو رو به بقیه آموزش بده اما خودش هر شب باید بشینه سر قبر آرزو هاش</t>
  </si>
  <si>
    <t>مدرسه</t>
  </si>
  <si>
    <t>از موقعی که #دلار گرون شده دیگه خوب بازی نمی کنن. فک کنم اعتقاد دارن این دستمزد حقشون نیست‌ و کم کاری می کنن. #دربی #استقلال #پرسپوليس</t>
  </si>
  <si>
    <t>4li</t>
  </si>
  <si>
    <t>http://instagram.com/nimaashoori</t>
  </si>
  <si>
    <t>The Designer</t>
  </si>
  <si>
    <t>بازیکنا حرص دلار رو سر هم خالی میکنن... #دربی</t>
  </si>
  <si>
    <t>nima ashoori</t>
  </si>
  <si>
    <t>https://pbs.twimg.com/media/DoHWtxUWsAAaFR3.jpg</t>
  </si>
  <si>
    <t>سال ۱۳۴۱شمسی وقتی که حکومت پهلوی دوم خواستار حقوق برابر بین زنان و مردان شده بود سال ۱۳۹۷ زنان هنوز اندر خم یک حقوق ساده هستند و هنوز هم با گذشت سالها و وعده های انتخاباتی که فقط بار #نمایشی داشتند باز پشت #ورزشگاه_آزادی جا مانده اند #دربی #ورود_زنان_به_ورزشگاه_ممنوع</t>
  </si>
  <si>
    <t>Armaghan</t>
  </si>
  <si>
    <t>Thoughts of a girl developer ❤️👩‍💻💻 Life is Code Based💻🎮👽 Behind this mask is more than flesh and blood. Behind this mask is an idea and ideas are bullet proof</t>
  </si>
  <si>
    <t>کل بازی یکی داشت از یکی واسه یک خطایی عذر خواهی می‌کرد، یکی یک خطایی می‌کرد بابا بازیتونو بکنید دیگه چتونه :))) #دربی</t>
  </si>
  <si>
    <t>دختر یخی</t>
  </si>
  <si>
    <t>شاهد بازی کشتی کج هستیم #دربی</t>
  </si>
  <si>
    <t>ایران پس میگیرم</t>
  </si>
  <si>
    <t>#دربی هم بوی سیاست میده #پرسپولیس_استقلال تبانی +تبانی +تبانی 0.0 دقیقه 80 #IraniansWantRegimeChange</t>
  </si>
  <si>
    <t>Azadi</t>
  </si>
  <si>
    <t>دقیقه 80 #استقلال 0 #پرسپولیس 0 #دربی</t>
  </si>
  <si>
    <t>‏‏‏‏‏‏‏‏‏‏‏‏دکی تون پرستاره عامو؟! من هنو تو ۱۷سالگیم موندم ...</t>
  </si>
  <si>
    <t>شاهد یه دربی مسخره ایم که تا دقیقه 80 نه گل داشتیم نه یه دعوا درست و حسابی #پرسپولیس_استقلال</t>
  </si>
  <si>
    <t>دِکی دُکی؟</t>
  </si>
  <si>
    <t>❤️💛💚💙💜</t>
  </si>
  <si>
    <t>من كه باور نميكنم اينا واسه دربي تمرين كرده باشن🙄 #دربى٨٨ #دربي #استقلال #پرسپوليس #پرسپوليس_استقلال</t>
  </si>
  <si>
    <t>رامبد جوان از عالیشاه بهتر بازی می‌کنه. #دربی</t>
  </si>
  <si>
    <t>mohsen noorbahr</t>
  </si>
  <si>
    <t>‏‏‏‏‏‏‏‏‏‏‏انقلاب اسلامی، رستاخیز تاریخی انسان است بعد از قرن ها هبوط... سیدمرتضی آوینی</t>
  </si>
  <si>
    <t>https://pbs.twimg.com/media/DoHW5XUWkAAy1qy.jpg</t>
  </si>
  <si>
    <t>آذری جهرمی: به ریاست جمهوری فکر نکرده‌ام؛ من فنی هستم #دربی</t>
  </si>
  <si>
    <t>حسین چیت‌گری</t>
  </si>
  <si>
    <t>https://pbs.twimg.com/media/DoHW9thU0AIGLSz.jpg</t>
  </si>
  <si>
    <t>حسی دارم شبیه حس #امام_خمینی. هیچ حسی به هیچ کدوم ندارم؛ فقط #لیورپول 😊 #شهرآورد #دربی #پرسپولیس #استقلال #کافه_ارک @cafeark1 #کافه_فوتبال</t>
  </si>
  <si>
    <t>‏‏‏‏‏‏‏اینجا تمام حنجره ها لاف می زنند/ هرگز کسی هر آنچه که می گفت آن نبود … s‏؛</t>
  </si>
  <si>
    <t>تبریزی یجوری زده خودشم دردش گرفته! #استقلال با اینا به کجا میخواد برسه!</t>
  </si>
  <si>
    <t>siyasepid</t>
  </si>
  <si>
    <t>http://telegram.me/HarfBeManBot?start=NDgzMTY1NjE2</t>
  </si>
  <si>
    <t>‏‏همون اندازه که ازت دورم بهت نزدیکم ... درست مثل یک سایه . یک عدد بیزار از سیاست . یک عدد این :) و یک عدد دختر همیشه در سایه !</t>
  </si>
  <si>
    <t>🇮🇷زیر گنبد کبود 🇮🇷</t>
  </si>
  <si>
    <t>+ نگاه کن .. همش خطا میکنن - همون بهتر .. یکی از اینا برنده بشه شهرآشوب میشه . :)) #دربی</t>
  </si>
  <si>
    <t>سایه</t>
  </si>
  <si>
    <t>حسین وی، گاهی که می‌توییتد! | همسر نیستم اما پدرم | بدتر از آنم که شما فکر می‌کنید، بهتر از چیزی‌ام که خودم فکر می‌کنم | پیش و بیش از هر چیز سعی می‌کنم آدم باشم</t>
  </si>
  <si>
    <t>کاش یه قانونی بود که وقتی بازی این‌قدر گهه داور سوت پایان رو دقیقه ۸۰ می‌زد. #دربی</t>
  </si>
  <si>
    <t>Hosein Vi</t>
  </si>
  <si>
    <t>به ‏‏راه بادیه رفتن به از نشستن باطل که گر مراد نیابم به قدر وسع بکوشم</t>
  </si>
  <si>
    <t>تبانی های قبل شما سو تفاهم بود #دربی</t>
  </si>
  <si>
    <t>نوید مستفیضی</t>
  </si>
  <si>
    <t>‏‏‏‏‏‏‏‏‏‏‏‏‏‏‏‏‏‏‏‏‏‏‏‏‏‏‏‏‏‏دلآبی، جاجگردان، حرفه ایِ حساب و کتاب ورزنده قدیمی و پایبند ب قانون چندم نیوتون ک میگه هر فالویی را بکی است مساوی و در جهت مخالف</t>
  </si>
  <si>
    <t>Hoffen, France 💙 ⭐ 👑 ⭐💙</t>
  </si>
  <si>
    <t>ولی خداییش تبریزی جاش رو نیمکته! #استقلال</t>
  </si>
  <si>
    <t>دارکوتِن (Limited edition)</t>
  </si>
  <si>
    <t>‏اخبار فوری و موثق به من الهام می‌شود:)) عضو هیچ گروه و دسته ای نیستم ، ایرانی ام و عاشق تمام ایرانیان</t>
  </si>
  <si>
    <t>https://pbs.twimg.com/media/DoHW_HLW0AAPsH8.jpg</t>
  </si>
  <si>
    <t>ای #وزیر_جوان !! #دربی کوفتم شد! شخصی که درجایگاه ویژه #ورزشگاه_آزادی کنار #وزیر_ارتباطات نشسته، #بیژن_قاسم‌زاده ،بازپرس شعبه دوم دادسرای فرهنگ و رسانه است. اوهمان بازپرسی است که دستور قضایی برای #فیلتر_تلگرام را صادر کرده است. @azarijahromi #پرسپولیس_استقلال #استقلال فیلترینگ</t>
  </si>
  <si>
    <t>فوری و موثق</t>
  </si>
  <si>
    <t>i see my mind as a weapon...trying my best to keep it loaded</t>
  </si>
  <si>
    <t>برنده اين #بازى اونايى ان كه اون صندلى ها رو توى ورزشگاه خالى گذاشتن #استقلال #پرسپوليس</t>
  </si>
  <si>
    <t>Parniyan</t>
  </si>
  <si>
    <t>من #پرسپولیسی هستم اما زیاد فوتبالی نیستم. یعنی در حد همین دیدن بازی دربی و طرفداری از #پرسپوليس و باز شدن نیشم موقع قهرمانیش :) و تا همین چند دقیقه پیش فکر میکردم گزارشگر میگه بشار اسد :/ با کمک دکتر گوگل فهمیدم بشار رسن درسته عراقیه و ۶ سال از من کوچیکتره :)))</t>
  </si>
  <si>
    <t>‏یاسخن یاآمدن یارفتنت.‏چون نگه در دیده یا چون روح در اعضا بیا. باد سردی می‌دمم در آهنت.</t>
  </si>
  <si>
    <t>کاشون</t>
  </si>
  <si>
    <t>ما تا دقیقه #نود الرحمن استقلال رو می‌خونیم #دربی</t>
  </si>
  <si>
    <t>انگشتْ گزیده</t>
  </si>
  <si>
    <t>‏‏‏‏‏‏‏‏‏‏‏‏‏هَشَـل‌هَـف نویس</t>
  </si>
  <si>
    <t>سمت‌علامت</t>
  </si>
  <si>
    <t>این همه دادار دودور کردن از هفته‌ی پیش تا امروز که بکش زیرش و چهار تا خطا ببینیم!! #دربی</t>
  </si>
  <si>
    <t>آدم‌حرفی</t>
  </si>
  <si>
    <t>دانش آموخته ارشد علوم سیاسی و یک اصلاح طلب سابق</t>
  </si>
  <si>
    <t>خب قشنگ معلومه گفتن برین تو زمین گرم کنین تموم شه #دربی</t>
  </si>
  <si>
    <t>حسن خزاعی</t>
  </si>
  <si>
    <t>http://instagram.com/hvafa1983</t>
  </si>
  <si>
    <t>‏‏‏‏ما زنده به آنیم که آرام نگیریم ‎موجیم ‌که ‌آسودگی ‌ما ‌عدم ‌ماست</t>
  </si>
  <si>
    <t>خسته ام مثل عزیزی که بیش از ۱۰۰۰ کیلومترو یه کله کوبیده اومده یه قل دو قل تماشا کنه. #دربی</t>
  </si>
  <si>
    <t>اصلاح‌طلبکاران‌‌🇮🇷</t>
  </si>
  <si>
    <t>‏یه بخت برگشته که امور زندگی بهش تحمیل شده</t>
  </si>
  <si>
    <t>موندم روز قیامت چجوری میخوام جواب این دقایقی رو که نشستم پای #دربی بدم:/</t>
  </si>
  <si>
    <t>مم‌مد خالی</t>
  </si>
  <si>
    <t>#ESTvPER 0:0 79' Morteza #Tabrizi fouled by Kamal #Kamyabinia. Free kick for #Esteghlal #Shahravard #Shahravard88 #Tehran #TehranDerby #پرسپولیس #استقلال #شهراورد #شهراورد88 #دربی88 #تهران #Iran #PersianGulf⚽ #لیگ_برتر #ایران 🇮🇷</t>
  </si>
  <si>
    <t>‏همسر، پدر، طراح تجربه کاربری، ‏راوی رادیو نسکافه سابق و یه پاکست جدید که هنوز نه اسم داره نه شروع شده http://t.me/radionescafe‎‎</t>
  </si>
  <si>
    <t>#دربی فقط اونجاش که دلارام نشسته داره خودش دنت می‌خوره</t>
  </si>
  <si>
    <t>بابا میثم</t>
  </si>
  <si>
    <t>‏‏‏‏‏‏‏فامیل دورم،ولی نسبت به خیلیا بهش نزدیکترم 🖤 امیری حسین و نعم الامیر🖤</t>
  </si>
  <si>
    <t>دوره، یه جایی نزدیک اصفهان</t>
  </si>
  <si>
    <t>نه به دلار که اگه یه دقه بری دستشویی و برگردی چند صد تومن رفته روش نه به #دربی که اگه کلش رو خوابیده بودیم سودی بیشتری توش بود</t>
  </si>
  <si>
    <t>فامیل دور 🏴</t>
  </si>
  <si>
    <t>‏‏‏‏‏‏‏‏‏‏‏‏‏‏‏‏‏‏‏یه روز خوب میاد✌ . https://telegram.me/harfbzanbot?start=g5MJgWp ❌ورود عرزشی ممنوع❌ . ⭐زنده باد رضا پهلوی⭐ بک ندادم یادآوری کنید</t>
  </si>
  <si>
    <t>iran.🌲🌳🌈☁☔🌊</t>
  </si>
  <si>
    <t>دربیی که وسطش خوابت بگیره رو باید با مستند حیات وحش عوضش کنی🤦‍♀️🤦‍♀️😑 #دربی</t>
  </si>
  <si>
    <t>نیناش ناش</t>
  </si>
  <si>
    <t>آنارشیست‌ها واقعی‌ترند</t>
  </si>
  <si>
    <t>بازی که نگا میکنیم ۲۲ بازیکن چند میلیاردی دارن بازی میکنن که حتی یه استپ کردن توپ بلد نیستن. #دربی</t>
  </si>
  <si>
    <t>پیش درآمد 🇩🇪</t>
  </si>
  <si>
    <t>من اگه بفهمم #قائدی چه گلی به سر #استقلال زده که تشویق میشه!! #دربی</t>
  </si>
  <si>
    <t>‏‏‏‏‏‏شاهرودی هستم تو شهر خودم منو به عنوانِ آخوند درجه دوم نپذیرفتند به ناچار کمی آن طرف تر مشغول کار روحانیت شدم!</t>
  </si>
  <si>
    <t>سیدجلال حسینی از گوشهٔ راستِ خطِ وسطِ زمین چنان ژست میگیره انگار قراره مستقیم تو چهارچوب بزنه و گلللللللل! 😂 #پرسپولیس_استقلال</t>
  </si>
  <si>
    <t>علی خدابخشی</t>
  </si>
  <si>
    <t>#ESTvPER 0:0 79' Morteza #Tabrizi atterrato da Kamal #Kamyabinia. Punizione per l'#Esteghlal #Shahravard #Shahravard88 #Tehran #TehranDerby #پرسپولیس #استقلال #شهراورد #شهراورد88 #دربی88 #تهران #Iran #PersianGulf⚽ #لیگ_برتر #ایران 🇮🇷</t>
  </si>
  <si>
    <t>زندگی هر کسی یه فیلم نامه با پایانه بسته داره ، ولی مال من پایانش بازه مثل توئیت هام</t>
  </si>
  <si>
    <t>مشهد ، پایتخت جهان</t>
  </si>
  <si>
    <t>چند چند شدن ؟ نتیجه رو به منم بگین #دربی</t>
  </si>
  <si>
    <t>سیّد فیلد</t>
  </si>
  <si>
    <t>شفر با خطا کارش راه نیفتاد..حالا قاتل حرفه ای رو فرستاد تو زمین #پرسپولیس #دربی</t>
  </si>
  <si>
    <t>Structural Engineer</t>
  </si>
  <si>
    <t>سفیر سوئیس و برزیل اومدن دربی رو ببینن فک کنم بعد بازی ویزای سوئیس و برزیل کلهم واسه ایرانیا کنسل شه #پرسپولیس_استقلال</t>
  </si>
  <si>
    <t>پرینس آف پرشیا</t>
  </si>
  <si>
    <t>دیگه وقتِ #برانکو تایمه! #پرسپولیس #دربی</t>
  </si>
  <si>
    <t>Ali Izadi</t>
  </si>
  <si>
    <t>خب بازی رفت تو گروه سنی زیر ۱۵ سال #قائدی #دربی</t>
  </si>
  <si>
    <t>‏‏‏🇦🇫</t>
  </si>
  <si>
    <t>تنها نقطه مشترک تیام و الحاجی گرو رنگ پوستشون هست #استقلال #دربی</t>
  </si>
  <si>
    <t>تعویض سوم برای #استقلال تبریزی در دقیقه 83 جایش را به مهدی قائدی داد</t>
  </si>
  <si>
    <t>http://www.newhomegroup.ir</t>
  </si>
  <si>
    <t>shiraz,bushehr💙💙💙💙</t>
  </si>
  <si>
    <t>#مهدی_قائدی اومد تو... #دربی #استقلال</t>
  </si>
  <si>
    <t>Maysam</t>
  </si>
  <si>
    <t>Hey;))</t>
  </si>
  <si>
    <t>هرجا ازادي هست</t>
  </si>
  <si>
    <t>اين همه منتظر بازي بوديم 😐 زرت #دربي</t>
  </si>
  <si>
    <t>ثمين</t>
  </si>
  <si>
    <t>نودپنج هزار هوادار و میلیون ها هوادار در سرتاسر ایران رو مچل کردن بوی تبانی صفر صفر میاد #پرسپولیس_استقلال #دربی #IraniansWantRegimeChange</t>
  </si>
  <si>
    <t>https://www.instagram.com/mamehrara/</t>
  </si>
  <si>
    <t>Somebody From IR 🇮🇷</t>
  </si>
  <si>
    <t>فوتبال نبود کشتی کج معلولین بود...😤 #دربی</t>
  </si>
  <si>
    <t>Mohammad Ali Mehrara</t>
  </si>
  <si>
    <t>‏‏‏‏‏/زخمی۸۸/عاشق وطن/دنبال حقیقت و بحث منطقی/ ‏‏دنیای سیاست و اقتصاد ثابت نیست حرکت نکردن و یاد نگرفتن یعنی حذف شدن/ دکمه فالو گازت نمی گیره رفیق</t>
  </si>
  <si>
    <t>کوچه اختر</t>
  </si>
  <si>
    <t>مسافرکشمون اومد #دربی</t>
  </si>
  <si>
    <t>🇮🇷 تحلیل گربانک گرینگاتز(شعبه سیار وایزنگاموت) ☯</t>
  </si>
  <si>
    <t>آخ آخ مهدی قائدی کوچولووو #دربی</t>
  </si>
  <si>
    <t>طی إن طی</t>
  </si>
  <si>
    <t>Ghale Hasan khan</t>
  </si>
  <si>
    <t>بوي گل مياد #پرسپوليس</t>
  </si>
  <si>
    <t>Mehran</t>
  </si>
  <si>
    <t>@paykaniii مساوی بدون‌گل یکی از مضخفرترین #دربی که تا حالا دیدم</t>
  </si>
  <si>
    <t>‏‏‏‏‏‏‏‏‏‏‏‏‏یه روز خوب میاد...</t>
  </si>
  <si>
    <t>غمخانه</t>
  </si>
  <si>
    <t>با این #دربی که من دیدم فقط طناز طباطبایی میتونه حالمو خوب کنه.</t>
  </si>
  <si>
    <t>جارموش</t>
  </si>
  <si>
    <t>خوابمون برد.. #دربی</t>
  </si>
  <si>
    <t>https://www.facebook.com/farzane.ebrahimzade</t>
  </si>
  <si>
    <t>Freelancer پژوهشگر</t>
  </si>
  <si>
    <t>سالهاست #پرسپولیسی دو آتیشه هستم اما این دربی را هم نمی‌بینم چون آزادی سهم من نیست #دربی۸۸ #ورزشگاه_آزادی #پرسپولیس_استقلال</t>
  </si>
  <si>
    <t>Farzane Ebrahimzade</t>
  </si>
  <si>
    <t>زياد منشن ميدم،توييت ها و كامنت هاي منو ميخوني،نگي طرف از همه چي سردرمياره و نظر ميده، ن بابا اينا همش حرف دلم هست، يكدومش اگر تو زندگيم ب دردم ميخورد خوب بود</t>
  </si>
  <si>
    <t>بازي خيلي هيجان داره و پر تحركه، فغاني هم دم ب دقيقه سر هر چي سوت ميزنه جريان بازي رو كند ميكنه #دربي #پرسپولیس_استقلال</t>
  </si>
  <si>
    <t>آستيگماتيسم</t>
  </si>
  <si>
    <t>بهار خواهد آمد و سبزی همه جا را فرا خواهد گرفت... (سبز می‌مانیم...)</t>
  </si>
  <si>
    <t>من دیگه از ادامه دیدن این #دربی انصراف دادم اگه #استقلال هم گل بزنه سر ذوق نمیام خیلی سرد شروع شد :/</t>
  </si>
  <si>
    <t>🇮🇷شیما گلمرادیان</t>
  </si>
  <si>
    <t>به ساق های استقلالی ها که نگاه میکنم فقط ترس میبینم #دربی</t>
  </si>
  <si>
    <t>Kiumars shojaei</t>
  </si>
  <si>
    <t>تخمه ای ترین بازی فصل دنیا😑😑😑 #دربی #پرسپولیس#استقلال</t>
  </si>
  <si>
    <t>J.Alchemist</t>
  </si>
  <si>
    <t>حیف یه کیلو تخمه اییی که واسه خاطر #دربی خوردمممم 🤦‍♀️😂😂😂</t>
  </si>
  <si>
    <t>‏‏‏‏‏‏‏‏‏خرد و‌خمولیده؛ بی‌که امیدی به بهبود؛ بی‌که حوصله‌ای برای توجیه آدم‌ها؛ طرفه آنکه در هر حال حق با شماست</t>
  </si>
  <si>
    <t>داور داره خطی عمل می‌کنه:) #دربی</t>
  </si>
  <si>
    <t>جمع کن این بساطو میرزا</t>
  </si>
  <si>
    <t>بازی خستگان.... بی انگیزه ها بی دردها یاد احمد عابدزاده،فرشاد پیوس ،کریم باقری،علی منصوریان و همه غیوران فوتبال بخیر #دربی</t>
  </si>
  <si>
    <t>ك— تو. اين دربى (جاى خالى را پر كنيد) #دربى</t>
  </si>
  <si>
    <t>iran man</t>
  </si>
  <si>
    <t>‏‏‏🌂 ‏‏‏‏لا ادری...</t>
  </si>
  <si>
    <t>persia</t>
  </si>
  <si>
    <t>از #دربی های نادر محمدخانی و پایان رافت رسیدیم به قائدی و صیادمنش و آدام تفو بر تو ای چرخ گردون، تفو</t>
  </si>
  <si>
    <t>هوبَره</t>
  </si>
  <si>
    <t>قَــــــدم هاي اِجـــبــــاريـ...!</t>
  </si>
  <si>
    <t>اتاق خانه ي پـــــدري</t>
  </si>
  <si>
    <t>كرنر و گل ...... ميشه ؟! #دربي</t>
  </si>
  <si>
    <t>zAnA</t>
  </si>
  <si>
    <t>برا مایی که این چند وقته هیجانات و ترس بالارفتن قیمت دلار و اجناس رو تجربه کردیم، این #دربی مثل فیلما ایرج ملکی میمونه</t>
  </si>
  <si>
    <t>‏‏‏‏خداوندا مرا آن ده که آن به All our times will come</t>
  </si>
  <si>
    <t>زیر سقف خدا</t>
  </si>
  <si>
    <t>چرااااا این گل نشد #پرسپولیس</t>
  </si>
  <si>
    <t>کاسپاروف🏆</t>
  </si>
  <si>
    <t>‏‏‏‏‏‏‏‏‏‏‏‏‏‏‏‏‏‏الان بیوم نمی یاد (:</t>
  </si>
  <si>
    <t>امسال دیگه پاک دربی به فاااک بود #دربی</t>
  </si>
  <si>
    <t>اَلافِ مَجازی</t>
  </si>
  <si>
    <t>پسر همسر پدر پرسپوليسي بارسايي سياست زده اصلاح طلب سابق</t>
  </si>
  <si>
    <t>حيف از ٩٠ دقيقه از عمرم كه به پاي اين #دربي حروم شد. اگه توي اين زمان ميتشستم پاي كس شعراي #احمد_خاتمي احساس بهتري داشتم</t>
  </si>
  <si>
    <t>حسين نفهميده</t>
  </si>
  <si>
    <t>https://twitter.com/may3am89/status/1045353460718276609</t>
  </si>
  <si>
    <t>تعویض خیلی خوبی بود که #شفر انجام داد... خدا کنه به گل برسیم... #مهدی_قائدی #مرتضی_تبریزی #استقلال #دربی RT @may3am89: #مهدی_قائدی اومد تو... #دربی #استقلال</t>
  </si>
  <si>
    <t>پول میگیرین که بازی نکنین ؟ #پرسپولیس #استقلال #داربی_فرمایشی</t>
  </si>
  <si>
    <t>Danesh</t>
  </si>
  <si>
    <t>#ESTvPER 0:0 83' Another foul by Alhaji #Gero. Head coach Winfried #Schäfer shouts to his player #Shahravard #Shahravard88 #Tehran #TehranDerby #پرسپولیس #استقلال #شهراورد #شهراورد88 #دربی88 #تهران #Iran #PersianGulf⚽ #لیگ_برتر #ایران 🇮🇷</t>
  </si>
  <si>
    <t>http://www.gheybi.net</t>
  </si>
  <si>
    <t>‏‏مدیرعامل شرکت پردازش های هوشمند ناوش/ ‏روزنامه نگارIT</t>
  </si>
  <si>
    <t>حداقل بیست بار گفتم خاک بر سرتون چقدر بد بازی می کنن #دربی</t>
  </si>
  <si>
    <t>mehdi gheybi</t>
  </si>
  <si>
    <t>‏‏‏‏‏‏‏‏من خودمم، چیزی که باید باشم.. پس توی من دنبال اون چیزی که خودت میخوای نباش! فالو=فالو</t>
  </si>
  <si>
    <t>یه جایی که دشمن نباشه جای دوست</t>
  </si>
  <si>
    <t>جدی راس میگن ژاپنیام از این بازی نمیتونن برق تولید کنن چه وضشه :/ #دربی</t>
  </si>
  <si>
    <t>کاناپه سه نفره</t>
  </si>
  <si>
    <t>‏العزه لله+ قرار در کف شاه زمانه فتحعلی،،، گرفت خاتم شاهی زقدرت ازلی</t>
  </si>
  <si>
    <t xml:space="preserve">  در دارالخلافه،کاخ صاحبقرانیه</t>
  </si>
  <si>
    <t>https://pbs.twimg.com/media/DoHX7ibXkAAuCyC.jpg</t>
  </si>
  <si>
    <t>این یارو هم تخمی تخمی شد وزیر ها. حالا ما هم هی بگیم بد. #جهرمی #بیژن_قاسم_زاده #جایگاه_ویژه #دربی</t>
  </si>
  <si>
    <t>خاقان مغفور</t>
  </si>
  <si>
    <t>تف به شرف تک تکتون با این بازی کثیف و حساب شدتون #دربی</t>
  </si>
  <si>
    <t>سید بی خدا</t>
  </si>
  <si>
    <t>ارسال یک توپ برای کامیابی نیا در دقیقه 85 با ضربه سر او همراه شد ولی این توپ با اختلاف راهی اوت شد #استقلال</t>
  </si>
  <si>
    <t>‏‏‏‏‏چو ایران نباشد تن من مباد /فوق لیسانس جامعه شناسی /نه اصلاح طلب باش نه اصولگرا نه برانداز نه ارزشی فقط انسان باوجدان باش</t>
  </si>
  <si>
    <t>https://pbs.twimg.com/media/DoHX_PAUwAA07fN.jpg</t>
  </si>
  <si>
    <t>آقای #بیژن_قاسم‌زاده بازپرس شعبه دوم دادسرای فرهنگ و رسانه در کنار#جهرمی همون که دستورقضایی برای فیلتر تلگرام را صادرکرده😎 #دربی #فوتبال</t>
  </si>
  <si>
    <t>maryam71156</t>
  </si>
  <si>
    <t>‏انشاله یک جوان انقلابی! عاشق مبارزه با صهیونیست! جوجه فیلسوف!</t>
  </si>
  <si>
    <t>نمی خوام فوتبالی های انقلابی یا انقلابی های فوتبالی رو اذیت کنم! جهت یادآوری همین الان که گرم #دربی هستید مردم یمن در شعب ابیطالب برگ درخت می خورند برای حیات اسلام و شیعه! شاید بگید -کاری از ما بر نمیاد -نمی تونیم زندگی رو تعطیل کنیم و یا هر پاسخ دیگه! #یمن_سرزمین_فراموش_شده</t>
  </si>
  <si>
    <t>میثم. کریمیان</t>
  </si>
  <si>
    <t>با اینکه عاشق فوتبالم اما هیچ وقت نتونستم استقلال یا پرسپولیس رو دوست داشته باشم #دربی</t>
  </si>
  <si>
    <t>reyhanejat</t>
  </si>
  <si>
    <t>یعنی الان انگشتای #شفر چه بویی میده؟ #دربی</t>
  </si>
  <si>
    <t>‏🔫 ‏‏‏بازیگر 🎥</t>
  </si>
  <si>
    <t>بِکِش زیرش #داستان_ترسناک_دو_کلمه_ای #دربی 😒</t>
  </si>
  <si>
    <t>قیمت #دلار روی بازیکن ها هم تاثیر گذاشته و حال بازی کردن ندارن گویا قراره #دربی صفر صفر تموم شه</t>
  </si>
  <si>
    <t>رحمتی فک کنم هر موقعیتی که سمت دروازشه حمله می‌کنه مدافع هارو فحش میده :))) راست میگه دیگه چرا چرتش رو بهم می‌زنین؟؟ 😆 #دربی</t>
  </si>
  <si>
    <t>سلطان دقایق پایانی...یه کاری بکن... #پرسپولیس</t>
  </si>
  <si>
    <t>Meysamhb</t>
  </si>
  <si>
    <t>#ESTvPER 0:0 83' Un altro fallo di Alhaji #Gero. L'allenatore Winfried #Schäfer richiama a gran voce il suo giocatore #Shahravard #Shahravard88 #Tehran #TehranDerby #پرسپولیس #استقلال #شهراورد #شهراورد88 #دربی88 #تهران #Iran #PersianGulf⚽ #لیگ_برتر #ایران 🇮🇷</t>
  </si>
  <si>
    <t>ABADAN</t>
  </si>
  <si>
    <t>@HannahJfr @nafisemousavii ﺷﺒﯿﻪ ﻋﻘﺐﻣﻮﻧﺪﻩﻫﺎﯼﺗﺎﺝ ﮐﺒﯿﺮ ﺁﺳﯿﺎ ریت ﻣﯽﮐﻨﯿﺪ :))))))))) #دربی #استقلال_سوراخه</t>
  </si>
  <si>
    <t>مودی</t>
  </si>
  <si>
    <t>‏‏‏‏‏‏‏‏‏‏‏‏‏‏‏‏‏‏‏‏‏‏‏‏‏پیل اندر خانه‌ی تاریک بود...</t>
  </si>
  <si>
    <t xml:space="preserve">جزایر «هوایی» </t>
  </si>
  <si>
    <t>مگه نباید توپو بزنن داخل اون میله سفید مستطیل شکله؟ #دربی</t>
  </si>
  <si>
    <t>مجیدپاشا</t>
  </si>
  <si>
    <t>#الحاجی_گرو بی استعداد ترین فوتبالیستی هست که تا الان تو این سطح فوتبال ایران بازی کرده #استقلال</t>
  </si>
  <si>
    <t>Hooman Shini</t>
  </si>
  <si>
    <t>فیلمهای دری وری ایرج ملکی ازین #دربی هیجانی تره بخدا!!</t>
  </si>
  <si>
    <t>به دلم افتاده یک گل میزنیم... خدایا خودت کمک کن... #استقلال #دربی #تاج</t>
  </si>
  <si>
    <t>خود چس پندار نباشين ! نظر شما هم محترمه!</t>
  </si>
  <si>
    <t>وقتشه آقا كريم بره تو زمين يه گل از وسط زمين بزنه بياد بيرون مام جمع كنيم بريم پي زندگيمون #كريم_باقري #پرسپوليس</t>
  </si>
  <si>
    <t>خودَم</t>
  </si>
  <si>
    <t>‏‏‏‏‏‏‏‏فعال امور جنسی</t>
  </si>
  <si>
    <t>هر نتیجه ای در #دربی تهران رقم بخوره قشر زرنگ تحلیل گر یه استدلال میارن که این بهترین نتیجه برای #دلار بود و کار خودشونه</t>
  </si>
  <si>
    <t>لافکادیو</t>
  </si>
  <si>
    <t>#ESTvPER 0:0 84' Opportunity for #Persepolis! 🔥 Kamal #Kamyabinia heads out after a corner kick! #Shahravard #Shahravard88 #Tehran #TehranDerby #پرسپولیس #استقلال #شهراورد #شهراورد88 #دربی88 #تهران #Iran #PersianGulf⚽ #لیگ_برتر #ایران 🇮🇷</t>
  </si>
  <si>
    <t>‏من آن عاشق سینه چاک لیورپول، یه مصدقی نسل جدید، ادامه دهنده راه بازرگان، یه لیبرال و یه فوتونیکی جوینده آینده.</t>
  </si>
  <si>
    <t>با اینکه به شدت فوتبالیم و فوتبال جز جدایی ناپذیر زندگیمه و تعصب شدیدی رو تیم مورد علاقم دارم ولی #کل_کل رو نمیفهمم. واقعا چیز مزخرفیه. میشه به راحتی طرفدار یه تیم بود، از چندین تیم متنفر باشی، ولی کل کل نکرد. #دربی #دربی_فقط_اونجاش_که</t>
  </si>
  <si>
    <t>Ehsan</t>
  </si>
  <si>
    <t>نرفتم سفر فقط به خاطر #دربی</t>
  </si>
  <si>
    <t>🇮🇷saghar ghaderi</t>
  </si>
  <si>
    <t>اگر برای خداست، بگذارید گمنام بمانم</t>
  </si>
  <si>
    <t>https://pbs.twimg.com/media/DoHYa4KWkAUeC51.jpg</t>
  </si>
  <si>
    <t>این که اومدم خودی نشون بدم برا انتخابات ۱۴۰۰ مشخصه یا نه؟ #دربی #دربى٨٨</t>
  </si>
  <si>
    <t>دکتر ببعی 💻</t>
  </si>
  <si>
    <t>حقا که غمت از تو وفادارتر است...</t>
  </si>
  <si>
    <t>فقد بخاطر سارا دوز دارم #پرسپولیس ببره #دوست_دارم_سارا</t>
  </si>
  <si>
    <t>نازے</t>
  </si>
  <si>
    <t>Proudly From IRAN 🇮🇷, living in the USA 🇺🇸 #LoveBeyondFlags ✌🏻❤️ 🌏</t>
  </si>
  <si>
    <t>Florida, USA</t>
  </si>
  <si>
    <t>کیر تو #استقلال حرومزاده ی وحشی، حقتون غربت کردن تو کونتون جر خوردین، انقدر وحشی شدین...</t>
  </si>
  <si>
    <t>آرمین آقا اینا</t>
  </si>
  <si>
    <t>‏🔴🔴ورود بی تربیت_بیشعور _منافق_آتئیست مطلقا ممنوع پرسپولیسی❤❤❤</t>
  </si>
  <si>
    <t xml:space="preserve">قم عاشق شیراز </t>
  </si>
  <si>
    <t>یعنی اگه به جای بازیکنا دو تا پنگوئن کور و کچل هم گذاشته بودن الان دوتا گل زده بودن با این دربی هاتون :)) #دربی</t>
  </si>
  <si>
    <t>گل آقا</t>
  </si>
  <si>
    <t>‏‏📚💊💉‎‎‎‎‎@iqbalian20 ✊رهبرفقط سیدعلی😍 ‏🇵🇰🇮🇷🇱🇧🇮🇶🇾🇪🇧🇭🇳🇬🇦🇫 🇸🇾‏‏ نحن ابناءالحسین.</t>
  </si>
  <si>
    <t>بعد خوندن‌ تویت ها مطمئن شدم کار خوبی کردم‌ #دربی رو‌ ندیدم‌.</t>
  </si>
  <si>
    <t>شهید گمنام</t>
  </si>
  <si>
    <t>https://pbs.twimg.com/media/DoHiBw-XoAAvcbN.jpg</t>
  </si>
  <si>
    <t>هرکی این عکس و گرفته خیلی کارش درسته ی عکس فوق حرفه ای 💙👌 #استقلال #عکاسی</t>
  </si>
  <si>
    <t>http://www.sobhemahallat.ir</t>
  </si>
  <si>
    <t>عکاس، خبرنگار و سردبیر</t>
  </si>
  <si>
    <t>محلات</t>
  </si>
  <si>
    <t>اهل #فوتبال نیستم ولی دیدن #دربی دوست دارم به نظرم بخیر گذشت، یک ربع آخر بازی نزدیک بود یکی دوتا کشته هم بده</t>
  </si>
  <si>
    <t>علی یارمحمدی</t>
  </si>
  <si>
    <t>بخند عزیزم دنیا خنده داره، غصه به جز خنده دوا نداره، بخند خدا دیدن لبخندشو، روی لبای بنده هاش دوست داره...😄</t>
  </si>
  <si>
    <t>https://pbs.twimg.com/media/DoHiGtJUcAYbNd8.jpg</t>
  </si>
  <si>
    <t>به نظرم استقلالی‌ها با عباس خواجه اورسجی، رئیس فدراسیون کبدی رایزنی کنن و #الحاجی_گرو رو بفرستن تیم ملی #کبدی قطعاً اینکار به نفع همه است! #دربی @FCEsteghlalTeh @FcEsteghlal @FcEsteghlalIran</t>
  </si>
  <si>
    <t>Mojinjo</t>
  </si>
  <si>
    <t>https://pbs.twimg.com/media/DoHiIF2U0AEMVtL.jpg</t>
  </si>
  <si>
    <t>مرسی که سالم و زنده از این بازی بیرون اومدین #پرسپولیس #دربی</t>
  </si>
  <si>
    <t>medical student</t>
  </si>
  <si>
    <t>https://pbs.twimg.com/media/DoHiLmoU0AAj3vI.jpg</t>
  </si>
  <si>
    <t>خب بچه ها ... این ایران ماست :))) #دربی</t>
  </si>
  <si>
    <t>mahdi_moghbeli</t>
  </si>
  <si>
    <t>pic.twitter.com/snJrjDbQeK</t>
  </si>
  <si>
    <t>حرف‌های پزشک پرسپولیس نگران کننده‌است. اگر ماهینی رباط صلیبی پاره کرده باشد فصل را از دست می دهد. اشک‌های #ماهینی و پیش‌بینی پزشک احتمال پارگی رباط را زیاد می‌کند. #حسین‌_ماهینی #دربی</t>
  </si>
  <si>
    <t>برانکو : ماهینی به دلیل آسیب دیدگی رباط صلیبی کل فصل رو از دست داد بازیکن زیاد داشتیم که ماهینی هم مصدوم شد 😟😟😟 #پرسپوليس @HosseinMahini</t>
  </si>
  <si>
    <t>Mehdi Alishir</t>
  </si>
  <si>
    <t>👉🏻🍁azar.chapdast✋🏻ma of meteorology🌤married💑</t>
  </si>
  <si>
    <t>والا اينام فك كردن اگه گل بزن باز دلار ميكشه بالا ،بيخيال شدن اوني برنده #دربي شد كه وقتشو نزاشت بازي ببينه</t>
  </si>
  <si>
    <t>نون سين ي</t>
  </si>
  <si>
    <t>https://pbs.twimg.com/media/DoHiQaJU0AI5mw-.jpg</t>
  </si>
  <si>
    <t>زود برگرد #کاپیتان منتظرتیم یادمون نرفته و نمیره که سفید امضا کردی وهمیشه تمام وجودتو گذاشتی تو زمین با وجود مصدومیت‌ها و نامهربونی‌ها ❤️❤️❤️❤️❤️❤️ #پرسپولیس #لیگ_برتر #دربی‌۸۸</t>
  </si>
  <si>
    <t>آخرین #دربی مزخرف و کسل کننده ج.ا هم تموم شد. بریم سر بد بختیامون.</t>
  </si>
  <si>
    <t>آقا پدرو</t>
  </si>
  <si>
    <t>بازی تدارکاتی خوبی بود قبل از نیمه نهایی آسیا #دربی #پرسپولیس_استقلال #پرسپولیس</t>
  </si>
  <si>
    <t>‏‏‏‏‏‏‏‏‏‏‏‏‏‏‏‏‏‏‏‏‏‏‏‏‏‏‏‏‏کُس گوي و گزيده گوي چون دٌرر*** كز کُسشر تو توييترت پٌر اسم سرخپوستی:نترسنده از جاج/ آخرین گربه که محض رضای خدا موش میگیر</t>
  </si>
  <si>
    <t>مكان: گای سگ</t>
  </si>
  <si>
    <t>شنیدم تو #دربی براتون ریده بودن</t>
  </si>
  <si>
    <t>♆رورشاک🇮🇷</t>
  </si>
  <si>
    <t>فَسَتَذْكُرُونَ مَا أَقُولُ لَكُمْ ۚ وَأُفَوِّضُ أَمْرِي إِلَى اللَّهِ ۚ إِنَّ اللَّهَ بَصِيرٌ بِالْعِبَادِ #عابس</t>
  </si>
  <si>
    <t>يك تحليل ما فوق كارشناسي جديد در مورد زلزله امروز ساري:"اين زلزله برگشتِ زلزله هفته پيش بود،زلزله ها رفت و برگشتي ميباشند "...😐 نامبرده در جو #دربي امروز بود يحتمل 😁</t>
  </si>
  <si>
    <t>علي.ص</t>
  </si>
  <si>
    <t>‏‏‏‏‏‏‏‏‏‏‏‏‏‏‏‏‏‏‏‏‏‏‏‏‏‏‏‏‏‏‏‏‏‏‏‏‏‏بَچهِ مَحلِ شاهچراغ (‎‎‎‎‎‎‎‎‎‎‎‎‎‎‎‎‎‎‎‎‎‎‎#شیراز) دانشجوی حسابداری</t>
  </si>
  <si>
    <t>آخه شما چجوری عشق فوتبال دارید و موقع بازی هی توییت می زنید؟ یا بازی رو نگاه کنید یا توییتتون رو بزنید،والا! #دربی</t>
  </si>
  <si>
    <t>ریحانة الحُسِین</t>
  </si>
  <si>
    <t>ورود زیر 20سال ممنوع لطفا #اتحاد رمز پیروزیست #برانداز #تاجی #رئالی #نساجی #شاهی(قائمشهر)</t>
  </si>
  <si>
    <t>آرژانتین.دوزخ</t>
  </si>
  <si>
    <t>پرویز سوبله چوبله #دربی</t>
  </si>
  <si>
    <t>★badboy.عصبی★دوزخی</t>
  </si>
  <si>
    <t>https://pbs.twimg.com/media/DoHifvjUUAACqRP.jpg</t>
  </si>
  <si>
    <t>حسین ماهینی ادامه فصل رو از دست داد حرومزاده که شاخ و دم نداره حرومزاده میاد تو زمین واسه مصدوم کردن بازیکن رقیب حرومزاده کیسه کشِ #پرسپولیس #دربی</t>
  </si>
  <si>
    <t>‏‏‏‏‏‏با افتخار ‏‏‏‏خبرنگار و قدیما روابط عمومی سینما و تلویزیون و الان دبیر جشنواره ببن المللی فیلم وحدت و دبیر جشنواره عکس تقریب</t>
  </si>
  <si>
    <t>اینکه اول بازی رو دیدم ولی وسطش خوابم برد و آخر بازی بیدار شدم دیدم بازی مساوی شده خدایی خیلی تکراری ، لطفن درباره ندیدن بازی یه چیز دیگه مثل قرص خواب و یا قطعی برق توییت کنید #دربی</t>
  </si>
  <si>
    <t>سلمان امیری</t>
  </si>
  <si>
    <t>استقلالی، بی خیال سیاست، دنبال یک لقمه نون واسه زن و بچه</t>
  </si>
  <si>
    <t>این حاجی گورو شاید افتضاح ترین بازیکنی که #استقلال تا حالا خریده!!</t>
  </si>
  <si>
    <t>استاد اسدی</t>
  </si>
  <si>
    <t>تنها جذابیت این #دربی کسشرایی بود ک توییت کردم هر چی دقت کردم جذابیت دیگه ای نداشت 😂</t>
  </si>
  <si>
    <t>Faith، No More به ضرس قاطع براندازم.</t>
  </si>
  <si>
    <t>مسخره و ترسو #دربی</t>
  </si>
  <si>
    <t>بابک خُرم دین</t>
  </si>
  <si>
    <t>All alone</t>
  </si>
  <si>
    <t>تیمی که از 340 تا پاس فقط 115 تاش رو صحیح پاس داده هدفش از این مسابقه چی بوده؟یعنی حدود 38 درصد پاس صحیح، بنظر من هدفشون فقط خراب کردن بازی #پرسپولیس بود، بعد ادعاشون هم نیشه، خجالت بکشین.</t>
  </si>
  <si>
    <t>امین</t>
  </si>
  <si>
    <t>تبانی و ترس حکومت #دربی</t>
  </si>
  <si>
    <t>North Rhine-Westphalia, Germany</t>
  </si>
  <si>
    <t>حیف نونا #دربی</t>
  </si>
  <si>
    <t>Koosha</t>
  </si>
  <si>
    <t>با این قضاوت معلوم شد که چرا بعد از در آغوش گرفتن اون خانم کاری باهاش نداشتن #دربی</t>
  </si>
  <si>
    <t>#استقلال همین‌که از #پرسپولیس خسته‌ی محروم از نقل و انتقالات تونسته تساوی بگیره یعنی تو اوجه، به‌نظرم همین الان خداحافظی کنه خیلی بهتره. بالاخره باید تو اوج خداحافظی کرد :))</t>
  </si>
  <si>
    <t>http://bornanews.ir</t>
  </si>
  <si>
    <t>‏فعال رسانه‌ای/ journalist/ سردبیر خبرگزاری برنا</t>
  </si>
  <si>
    <t>می‌گن شفر به بازیکناشون گفته تو کل بازی دو تا موقعیت داشتید چرا گل نزدید گفتن این دروازبان توپ رونالدو گرفته از ما چه انتظاری داری؟ #دربی</t>
  </si>
  <si>
    <t>yaser sadeghi</t>
  </si>
  <si>
    <t>#فوتفان #نود #پرسپولیس #استقلال #دربی اخرین باری که استقلال گل زد تک بردشون بوده جلو فروزان.۴ بازیه تو لیگ گل نزدن😂یه تیم تو زمین یه تیم رو نیمکت یه تیم‌ رو سکو حداقل ۳۶۰ دقیقه بدون گل زده!نکشیمون غول آسیا</t>
  </si>
  <si>
    <t>http://www.fourmind.co</t>
  </si>
  <si>
    <t>“The only way to deal with an #unfree world is to become so absolutely #free that your very #existence is act of #rebellion.” - #AlbertCamus</t>
  </si>
  <si>
    <t>١٠ دقیقه آخر #دربی_تهران رو دیدم... یادم اومد چرا ١۶ سال پیش تصمیم گرفتم دیگه بازی‌های #لیگ ایران رو تماشا نکنم... جدی‌جدی خیلی وضع‌شون خرابه... #استقلال #پرسپوليس #استقلال_پرسپولیس</t>
  </si>
  <si>
    <t>Farid Shokrieh</t>
  </si>
  <si>
    <t>‏راسکولِ بی تبر</t>
  </si>
  <si>
    <t>تقریبا مطمئن شدم خود خدا اومد واسه #پرسپولیس ۳تا زد به الدحیل و واسه #استقلال دو تا زد به السد کار این جماعت شل و ول نبود. #دربی</t>
  </si>
  <si>
    <t>راسکول نیکوف</t>
  </si>
  <si>
    <t>https://t.me/saeidnajafiasli</t>
  </si>
  <si>
    <t>دانشجوی کارشناسی ارشد اقتصاد دانشگاه زنجان</t>
  </si>
  <si>
    <t>خوی</t>
  </si>
  <si>
    <t>https://twitter.com/AbdolrezaDavari/status/1045319276545085441</t>
  </si>
  <si>
    <t>من هم مثل آقای #احمدی‌نژاد استقلالی هستم. #احمدی_نژاد #استقلال RT @AbdolrezaDavari: روز رقابت #دربي پایتخت، تنها روزي است كه اصلا نميتوانم با دكتر#احمدي_نژاد احساس همدلي كنم. 🚩🚩پرچم سرخ #پرسپوليس بالاست</t>
  </si>
  <si>
    <t>سعید نجفی اصلی</t>
  </si>
  <si>
    <t>السلام ای روح قالوا بلی سلطان کربلا</t>
  </si>
  <si>
    <t>همون‌بهتر که #دربی مساوی شد وگرنه ی حمله #تروریستی دیگه رخ میداد</t>
  </si>
  <si>
    <t>SHINA</t>
  </si>
  <si>
    <t>درباره #دربی هیچ صحبتی نکنیم بهتره.............................................................</t>
  </si>
  <si>
    <t>‏‏برانداز. مبارز . خواهان دموکراسی سکولار.</t>
  </si>
  <si>
    <t>@Pensylvani دو دقیقه اومدیم فوتبال ببینیم همش رو هم بودن :| #دربی</t>
  </si>
  <si>
    <t>مارکی (marquis)</t>
  </si>
  <si>
    <t>همه چيز آرام است دل من استثناست... پرسپوليسي بدنيا اومدم ،رئاليم</t>
  </si>
  <si>
    <t>اين همه منتظر #دربي بوديم يه بازي سرد و خشن فقط ديديم تاكتيك شفر و استقلال فقط خطا و بكش زيرش بود، ماهيني رو زدن مصدوم كردن داور حتي كارت هم نداد حالا ما مونديم و #پرسپوليس دوتا محروم و مصدوم و بازي السد</t>
  </si>
  <si>
    <t>Davood</t>
  </si>
  <si>
    <t>https://pbs.twimg.com/media/DoHjP5WUYAAk24V.jpg</t>
  </si>
  <si>
    <t>شبکه دو برنامه جذاب‌تری نسبت به #دربی داشت.</t>
  </si>
  <si>
    <t>Muslim Iranian woman. Translator,Researcher. PhD Candidate in North American Studies; University of Tehran. RT not endorsement.</t>
  </si>
  <si>
    <t>نه از #پوسپوليس تون خوشم مياد نه از #استقلال تون، نه از #اصلاحطلب بازي تون و نه از #اصولگرا بازي تون. 😒 فقط @GBatistutaOK 😍</t>
  </si>
  <si>
    <t>Setareh Sadeqi  🇮🇷</t>
  </si>
  <si>
    <t>‏‏‏‏‏‏‏‏‏‏صریح و جسور- حقوق خوان و وکیل- فعال دانشجویی #انقلابی_ام</t>
  </si>
  <si>
    <t>https://twitter.com/avenger_75/status/1045319584197357568</t>
  </si>
  <si>
    <t>ولی به جاش استقلال به خاطر برد دو تیم، #محمدان بنگلادش و #پلیتاجای اندوزی ،که هزار سال پیش کسب کرده، با دو تا ستاره ،وارد زمین شد😂😂😂 #پرسپولیس #دربی۸۸ RT @avenger_75: ولی من منتظر بودم پرسپولیس با دوتا ستاره روی پیراهن بازیکناش بیاد تو زمین، درستش این بود که بخاطر برد الدحیل هم ستاره دوم رو حک کنن :)))) #دربی #استقلال #پرسپولیس #دربی۸۸</t>
  </si>
  <si>
    <t>Vahid.I.R</t>
  </si>
  <si>
    <t>اصلا #فغاني بهترين داور دنيا! ما نمي خوايم برامون سوت بزنه #پرسپوليس</t>
  </si>
  <si>
    <t>#استقلال = #حرومزادگی</t>
  </si>
  <si>
    <t>عاشق منچستر❤️ دوستدار رئال🖤 #پرسپوليس 💔اون كه تنها پشتوانش يه 'ياعلي' بود دانشجو دانشكده فني دانشگاه تهران :) توییت هاتون رو میخونم خوشم نیاد بک نمیدم "شيعه"</t>
  </si>
  <si>
    <t>مهم نیست به جاش امنیت داریم</t>
  </si>
  <si>
    <t>بازي با السد با از دست دادن ماهيني و نبود انصاري به احتمال زياد شاهين عباسيان اولين بازيش براي پرسپوليس رو تو نيمه نهايي آسيا انجام ميده ارتش #پرسپوليس جدي كم كم تبديل ميشه به ارتش تك نفره ❤️❤️❤️❤️❤️❤️</t>
  </si>
  <si>
    <t>آنتاركتيكا بينگ</t>
  </si>
  <si>
    <t>‏‏چون وا نمیکنی گرهی خود گره مباش، ابرو گشاده باش چو دستت گشاده نیست</t>
  </si>
  <si>
    <t>دارالمومنین کاشان</t>
  </si>
  <si>
    <t>https://pbs.twimg.com/media/DoHjjnBXsAYWz8b.jpg</t>
  </si>
  <si>
    <t>به قول خودش کریستف کلمب این تصویر بوده😊😊 @mehdiarshi #دربی</t>
  </si>
  <si>
    <t>هادی نجف زاده</t>
  </si>
  <si>
    <t>‏‏‏‏‏قصه مرا، بشنوی تو هم بشنوند اگر، سنگ خاره‌ها Software Engineer 💻⚽</t>
  </si>
  <si>
    <t>میلان ببره امروز لااقل بشوره ببره #دربی رو</t>
  </si>
  <si>
    <t>Saji</t>
  </si>
  <si>
    <t>عمه ی همه محمدها💙💙💙</t>
  </si>
  <si>
    <t>الان شایان مصلح میره شعرشو تغییر میده میگه: پرسپولیسی ام از هرچی استقلالی بیزارم.... #دربی</t>
  </si>
  <si>
    <t>Atekebanoo</t>
  </si>
  <si>
    <t>یعنی کثیف تر از #استقلال وجود نداره... نشون دادن چقدر حقیرا بدبخت برین حالا پرچم عرب ها رو بکنین تو کونتون تشویقشون کنین...</t>
  </si>
  <si>
    <t>اهل زاهدان ‏‏[ دهه هشتادی گرافیست،خبرنگار،عکاس ]</t>
  </si>
  <si>
    <t>زاهدان</t>
  </si>
  <si>
    <t>از وقتی فهمیدم پول تیم های #استقلال و #پرسپولیس رو #دولت میده، اونوقت #مناطق_محروم غرق در شرایط داغونه دیگه بازی هاشونو نگاه نمیکنم!!!</t>
  </si>
  <si>
    <t>دهه هشتادیِ توییتر</t>
  </si>
  <si>
    <t>pic.twitter.com/MbuyhdL7vT</t>
  </si>
  <si>
    <t>#حسین‌_ماهینی با کمک احمد نورالهی ورزشگاه آزادی را ترک کرد. او حتی قادر نبود پله‌های راهروی خبرنگاران را بالا برود. پارگی رباط صلیبی او، همه پرسپولیسی‌ها را در آستانه بازی با السد نگران کرده. #حسین_ماهینی #دربی</t>
  </si>
  <si>
    <t>http://mohammad-karimi.ir</t>
  </si>
  <si>
    <t>‏‏‏پژوهشگر، معلم، مهندس برق، مولف، ژورنالیست و مدیرمسئول پایگاه مهندسین نیوز (مرجع اخبار #نظام_مهندسی) ‎‎‎@mohandesinNEWS</t>
  </si>
  <si>
    <t>زمان #دربی خیلی بد بود، چون در حمایت هواداران داخلی از #السد وقفه انداخت، دربی تموم شد، با تمام قوت ادامه بدین! #دشمنان_مشغول_کارند</t>
  </si>
  <si>
    <t>Mohammad Karimi</t>
  </si>
  <si>
    <t>http://90tv.ir</t>
  </si>
  <si>
    <t>http://www.90tv.ir/news/485389/</t>
  </si>
  <si>
    <t>آمار باورنکردنی جانشین تیام؛ بدون شوت در چارچوب در استقلال! آمار-باورنکردنی-جانشین-تیام؛-بدون-شوت-در-چارچوب-در-استقلال #navad #90tv #نود</t>
  </si>
  <si>
    <t>tvnavad</t>
  </si>
  <si>
    <t>http://www.90tv.ir/news/485392/</t>
  </si>
  <si>
    <t>استقلال ناکام‌تر از فصل قبل؛ سندروم سال دوم استقلال-ناکامتر-از-فصل-قبل؛-سندروم-سال-دوم #navad #90tv #نود</t>
  </si>
  <si>
    <t>https://pbs.twimg.com/media/DoHkCNuX0AAAhFh.jpg</t>
  </si>
  <si>
    <t>#شفر: هر‌۲تیم جنگیدند وکارهای تاکتیکی برای هیچ تیمی نتیجه نداد ازبازی راضی هستم اما ازنتیجه نه چون برای برد به زمین رفتیم متاسفم بازیکن جوان(ماهینی)! #پرسپولیس مصدوم شد اعتراضی نبود!باداور خوب حرف زدم واز تصمیمات فغانی که داور جهانی است تعریف کردم پرسپولیس ازپارسال قوی تر شده است</t>
  </si>
  <si>
    <t>همونم</t>
  </si>
  <si>
    <t>چه قدر برای #ماهینی ناراحت شدم. مصدومیت شدید و احتمال از دست دادن کل فصل! امیدوارم خوب بشه هرچه زودتر آقای با اخلاق #پرسپولیس</t>
  </si>
  <si>
    <t>معاص</t>
  </si>
  <si>
    <t>‏‏‏ایرانم را دوباره میسازم...</t>
  </si>
  <si>
    <t>قلب عمام از این #دربی بی کیفیت به درد آمد ! یعنی چَه که یک توپ به 22 نفر بدهند تا آنها بزنند زیرَش؟ #IraniansWantRegimChange</t>
  </si>
  <si>
    <t>مِستِر مُهَندِس</t>
  </si>
  <si>
    <t>باز خوبه با حقارت از لیگی ک تخصصشون بود حذف شدن وگرنه الان میگفتن واسه بازی نیمه نهایی شل کرده بودیم! #دربی</t>
  </si>
  <si>
    <t>مظفری‌زاده، کارشناس داوری: فغانی در دقیقه ۶۲ باید آرمین سهرابیان را به دلیل خطا روی نعمتی با کارت زرد دوم جریمه و از زمین اخراج می‌کرد... #فغانی #دربی</t>
  </si>
  <si>
    <t>http://varzesh3.com</t>
  </si>
  <si>
    <t>journalist دبیر حوزه پرسپوليس ورزش سه</t>
  </si>
  <si>
    <t>راحت شدید بی‌وجدان‌ها؟ با درد و‌ تورم پایی که هر کدوم‌تون اگه داشتید از خونه در نمی‌اومدید، درخواست بازی تو #دربی رو میکنه تا تیمش رو تنها نزاره... لعنت بهتون که اینقدر بی‌انصاف بودید @HosseinMahini ❤️13❤️</t>
  </si>
  <si>
    <t>hamid ebrahimi</t>
  </si>
  <si>
    <t>‏‏‎‎#YNWA Msc stu Mech Eng @ UT</t>
  </si>
  <si>
    <t>بازی، بازی خوبی بود خطا زیاد داشت مربیا خوب کنار زمین اعتراض میکردن بازیکن ها خوب میزدن زیرش در کل شوی خوبی بود... #دربی</t>
  </si>
  <si>
    <t>یاغی بِیْگ</t>
  </si>
  <si>
    <t>‏‏‏‏‎‎‎#سروش کاملا بی ربط به ‎‎‎‎#پیامرسان</t>
  </si>
  <si>
    <t>میگن وقتایی که بهت خوش میگذره جزو عمرت حساب نمیشه ... با دیدن این #استقلال_پرسپولیس یه #نود دقیقه دیگه به ۲۵ سال و خورده ای عمر هدر رفته مون تو #ایران اضافه شد فقط. #داربی #استقلال #پرسپولیس</t>
  </si>
  <si>
    <t>Soroush</t>
  </si>
  <si>
    <t>Journalist</t>
  </si>
  <si>
    <t>مساوي شود! #داستان_ترسناك_دو_كلمه_اى #دربي</t>
  </si>
  <si>
    <t>yeganeh assari</t>
  </si>
  <si>
    <t>https://pbs.twimg.com/media/DoHkcm9XkAEn4mv.jpg</t>
  </si>
  <si>
    <t>سلام. #دربی</t>
  </si>
  <si>
    <t>سودابه رادفرد</t>
  </si>
  <si>
    <t>https://pbs.twimg.com/media/DoHklxgUcAAWT2i.jpg</t>
  </si>
  <si>
    <t>اگر #وزیر_ارتباطات #بازپرس_صادر_کننده_حکم_فیلتر_تلگرام رو می‌شناخت یا اونجوری که بعضیا میگید کاسه ای زیر نیم کاسه بود، انقدر دقت نداشت که وسط #استادیوم تو بازی #دربی جلوی صدها هزار چشم کنارش ننشینه؟! این تحلیل خیلی سخت نیست ها!</t>
  </si>
  <si>
    <t>Soodabeh Radfard</t>
  </si>
  <si>
    <t>https://t.me/joinchat/BpSlMT5R7F71d3BeP13Ekg</t>
  </si>
  <si>
    <t>‏‏‏‏‏‏‏منتقدِ سیاسی و روایتگرِ تاریخ، ‎‎‎‎‎‎‎#مستقل __‌ نه اصولگرا، نه اصلاح‌طلب، نه بهاری، #انقلابی_ام</t>
  </si>
  <si>
    <t>@m_talebi_d چه به میلِ ما باشد و چه نباشد این دو تیم در ایران و حتی در آسیا طرفدارانِ زیادی داره، و اینکه جوانان بتونن هیجاناتِ خودشونو‌ بصورت مثبت تخلیه کنند، خیلی هم خوبه، _حکایت این دو تیم هم ادامه همون دعواهای حیدری_نعمت‌اللهی های قدیمِ ایرانه که به روز رسانی شده #استقلال #پرسپولیس</t>
  </si>
  <si>
    <t>﷽مسعود فدک 🏴🏴🏴یا لثاراتِ الحسین‌ع</t>
  </si>
  <si>
    <t>_برانکو واسه چی مشکی پوشیه،مگ مسلمونه؟ +نه،خایه ماله =))) #دربی #لنگ #دربی۸۸</t>
  </si>
  <si>
    <t>‏‏ دختران آزادی‌خواه ایران هستیم،از نژاد فارس،ترک،کرد،لر،بلوچ،عرب زبان،دینمان زرتشت،اسلام،مسیحی،یهودی وآنچه تو می پرستی،طرفدار آزادی عقاید،اسم من سارا</t>
  </si>
  <si>
    <t>هموطنم نیل به آزادی نیاز به اتحادی ملی دارد #فرشگرد دریچه ای به سوی آزادی،به جنبش آزادی خواه #فرشگرد بپیوندید. #دربی #زنان در آزادی #زنان_استادیوم #نه_به_تبعیض_جنسیتی #پرسپولیس #استقلال #پیشنهاد_فالو #تهران #حلقه_اعتماد #آخوند #شیراز #اصفهان #مشهد #تبادل_رتویت #امام_زمان_تسلیت</t>
  </si>
  <si>
    <t>Sara Ashegh Iran</t>
  </si>
  <si>
    <t>زمان آدم‌ها را دگرگون می‌کند اما تصویری را که از ایشان داریم ثابت نگاه می‌دارد. هیچ چیز دردناک‌تر از تضاد میان دگرگونی آدم‌ها و ثبات خاطره ها نیست...</t>
  </si>
  <si>
    <t>neverland</t>
  </si>
  <si>
    <t>دربی امروز گویای وضعیت کنونی ما بود. همونقدر سردرگم ،گیج ،مضطرب، نگران از باختن و بی انگیزه... #دربی</t>
  </si>
  <si>
    <t>شاملوندرا</t>
  </si>
  <si>
    <t>مادر &amp; همسر&amp; معلم دانشگاه خانه نشين&amp; دكترا بيكار &amp;عاشق فيلم و كناب</t>
  </si>
  <si>
    <t>Islamic Republic of Iran،karaj</t>
  </si>
  <si>
    <t>@yaghma_fashkham #پرسپوليس 😊</t>
  </si>
  <si>
    <t>Ay🇮🇷</t>
  </si>
  <si>
    <t>#استقلال از سقوط به رده چهاردهم فرار کرد #موقتا</t>
  </si>
  <si>
    <t>https://pbs.twimg.com/media/DoHk4JuVsAA_sCa.jpg</t>
  </si>
  <si>
    <t>ما قدر تو را می دانیم پسر قرمز. تو متعصب ترین و جنگنده ترین پرسپولیسی روی زمینی. کاپیتان! شما تا آخر فصل روی سکو هم که باشی باز انرژی و حمایتت را داریم. از تو ممنونیم @HosseinMahini #پرسپولیس</t>
  </si>
  <si>
    <t>you'll never walk alone</t>
  </si>
  <si>
    <t>دو ساعت وقت گذاشتم یه سری خطا و اوت دستی دیدیم #دربی</t>
  </si>
  <si>
    <t>اهل سیاست(فحش کاری مسئولین)///اهل ورزش(دیدن)///اهل شعر(خوندن)///اهل دل(خوردن)</t>
  </si>
  <si>
    <t>همین که هنوز به فکر مدیران سیما نرسیده که میتونن از طریق گزارشگر وسط بازی هم تبلیفات کنن، خودش کلی جای شکر داره #تبلیغات_اعصاب_خردکن #دربی۸۹ #استقلال_پرسپولیس</t>
  </si>
  <si>
    <t>بامادور</t>
  </si>
  <si>
    <t>ما میتونستیم بازی رو ببریما ولی از بالا گفتن که مساوی شه تا وضع مردم متشنج نشه وگرنه تو همون نیمه اول 4 تاتون میزدیم (از هم اکنون مکالمه استقلایا و پرسپولیسی ها تو همه گروه های تلگرام توییتر و اینستا) #استقلال #دربی #پرسپولیس_استقلال #پرسپوليس #استقلال_پرسپولیس #شهرآورد</t>
  </si>
  <si>
    <t>‏‏‏پایگاه اطلاع رسانی خداوندگار نور به پارسی.خدای عرزشی و مجاهدین خلق نیستم</t>
  </si>
  <si>
    <t>On Fire</t>
  </si>
  <si>
    <t>فکر کنم برنده بازی #دربی خودم بودم که اصلا نگاه نکردم و برام هم مهم نبود.</t>
  </si>
  <si>
    <t>⁦R'hllor ⁦پروردگار نور</t>
  </si>
  <si>
    <t>ولی تو این #دربی استقلال به هدفش که مساوی بود رسید این پرسپولیسیا بودن که دست از پا دراز تر برگشتن خونشون//:</t>
  </si>
  <si>
    <t>پطروس خطاکار سابق، کاذب المکذبین، باادب بی نزاکت، تحصیل کرده بیسواد، بی ثبات ثابت قدم، مرده متحرک لکن نظر بنده به نظر براندازان نزدیکتر است (امام بلایند ررره)</t>
  </si>
  <si>
    <t>باک بنزین ایران (خوزستان)</t>
  </si>
  <si>
    <t>هرچی توییت آماده کرده بودم، گذاشتم تو فریزر که خراب نشه تا دربی بعد #پرسپولیس_استقلال</t>
  </si>
  <si>
    <t>⁦ ⁩BL!ND ⁦🏳️⁩</t>
  </si>
  <si>
    <t>Ex-Journalist | Public Relations Officer | Marketing Communications Consultant | Interested in Cinema, Traveling and Social Activities</t>
  </si>
  <si>
    <t>ما جمعه‌ها با بچه‌های دوره دانشگاه هر کدوم با نیم من خیک میریم #فوتبال کیفیت بازی‌مون از اینا بهتره. شما واسه این لیگ سرودست میشکنید؟ حیف وقت #استقلال #پرسپولیس #دربی</t>
  </si>
  <si>
    <t>AhmadReza Ghani</t>
  </si>
  <si>
    <t>فغانی یه بار تونی کروس رو هل داده فکر کرده خبریه،همرو داشت میزد امروز #دربی</t>
  </si>
  <si>
    <t>S!NA</t>
  </si>
  <si>
    <t>Wanna Fly ...</t>
  </si>
  <si>
    <t>خیابان انقلاب</t>
  </si>
  <si>
    <t>طبق نظر آقا #ورزش باعث رشد جامعه میشه. امر به ورزش ،امر به معروفه یعنی ما اگه #فوتبال یا هر ورزش سازنده ی دیگه ای رو تبلیغ کنیم ، امر به معروف کردیم! میدونستید دیگه؟ حالا ؛ میدونستین پرداختن به ورزش،میتونه‌در راستای‌ظهور امام زمان باشه؟ #اللهم_عجل_لوليك_الفرج #دربی‌ #پرسپوليس</t>
  </si>
  <si>
    <t>🇮🇷 سروش</t>
  </si>
  <si>
    <t>فالو=بک، روابط با احترام متقابل follw = back</t>
  </si>
  <si>
    <t>TEH</t>
  </si>
  <si>
    <t>بدشانسي در روزهاي حساس #پرسپوليس حسين ماهيني رباط صليبي پاره كرده و كل فصل مصدوم خواهد بود</t>
  </si>
  <si>
    <t>فربد اينترناسيوناله</t>
  </si>
  <si>
    <t>https://twitter.com/Ghahhar/status/1045367338126790657</t>
  </si>
  <si>
    <t>یکی نیست بگه شما همین که حسین ماهینی رو مصدوم کردی برا خودت دستاورد می‌دونی پفیوز #پرسپولیس RT @Ghahhar: #شفر: هر‌۲تیم جنگیدند وکارهای تاکتیکی برای هیچ تیمی نتیجه نداد ازبازی راضی هستم اما ازنتیجه نه چون برای برد به زمین رفتیم متاسفم بازیکن جوان(ماهینی)! #پرسپولیس مصدوم شد اعتراضی نبود!باداور خوب حرف زدم واز تصمیمات فغانی که داور جهانی است تعریف کردم پرسپولیس ازپارسال قوی تر شده است</t>
  </si>
  <si>
    <t>‏‏‏یه روزی منم اینجا یه چیزی مینویسم</t>
  </si>
  <si>
    <t>https://pbs.twimg.com/media/DoHlZN1XcAA3nX3.jpg</t>
  </si>
  <si>
    <t>حیف شد بازی مساوی شد نظرسنجی ورزش 3 واسه #دربی 😐</t>
  </si>
  <si>
    <t>میخائیــــل</t>
  </si>
  <si>
    <t>•Researcher in politics - IT Engineer - Media literacy• (here: my political opinion,) (in instagram: geek and IT ...)</t>
  </si>
  <si>
    <t>#دربی قبلی #دلار چهار تومن بود این دربی ۱۸ تومن #علی_برکت_الله</t>
  </si>
  <si>
    <t>soheil.fa</t>
  </si>
  <si>
    <t>تعمیر می ‌رمد، ز بنای خرابِ ما!!!</t>
  </si>
  <si>
    <t>خوب حالا وقتشه دو تيم به بازىِ بعديش فكر كنن. استقلال به سايپا، پرسپوليس به نيمه نهايىِ آسيا... ♥️♥️♥️♥️♥️♥️ #پرسپوليس #perspolis</t>
  </si>
  <si>
    <t>MEHRNOOSH.T.CH👩🏻‍✈️✈️</t>
  </si>
  <si>
    <t>زمان کوتاه برای استراحت و رفع خستگی/همان زمان تنفس است/از آنتراکت برای ایجاد نیروی تازه در مخاطب برای ادامه دیدن اثری طولانی استفاده می شود</t>
  </si>
  <si>
    <t xml:space="preserve">Your Heart </t>
  </si>
  <si>
    <t>مساوی شدن #دربی امروز #سیاسی بود!!!</t>
  </si>
  <si>
    <t>آنتراکت</t>
  </si>
  <si>
    <t>iranian cartoonist and animatore 2d</t>
  </si>
  <si>
    <t>https://pbs.twimg.com/media/DoHleBCU4AAa6Gg.jpg</t>
  </si>
  <si>
    <t>#استقلال_پرسپولیس #استقلال #پرسپولیس #کاریکاتور</t>
  </si>
  <si>
    <t>hossein kazem</t>
  </si>
  <si>
    <t>http://t.me/hashiyenegar</t>
  </si>
  <si>
    <t>‏‏‏‏‏‏‏‏‏‏‏‏‏‏‏‏دانشجو مهندسی ماشین های ریلی علم و صنعت، طنزپرداز‎‎‎‎‎، خبرنگار، اگر شهید نشود می میرد، در جستجوی همسر آینده</t>
  </si>
  <si>
    <t>قضاوت فغانی مثل بازی های اول دبستان می موند که هر کس می افتاد زمین خطا می گرفتیم! #دربی</t>
  </si>
  <si>
    <t>محمدرسول</t>
  </si>
  <si>
    <t>https://www.instagram.com/bijan_salehi</t>
  </si>
  <si>
    <t>عضو كوچكى از جامعه #يارسان بزرگترين اقليت مذهبى در #ايران</t>
  </si>
  <si>
    <t>هنگام پخش بازى كسل كننده ى فوتبال عيسى اميدوار جهانگرد شناخته شده ى ايرانى در شبكه ٤ در مورد سفر و تجربه هاش صحبت ميكرد. فوتبال آبكى خوب بود يا حرف يك استاد در كلاس جهانى؟ #دربى</t>
  </si>
  <si>
    <t>ßîjàń✌🏽</t>
  </si>
  <si>
    <t>https://instagram.com/_u/muhammad.bagher.fa/</t>
  </si>
  <si>
    <t>‏‏‏دبیر کل جبهه حق علیه باطل...</t>
  </si>
  <si>
    <t>همیشه تکراری‌ها زندگی آدم را به عقب میکشانند دربی تکراری نتیجه تکراری و یک مصدوم برای پرسپولیس که بازی نیمه‌نهایی آسیا را در پیش دارد #دربی‌ #پرسپوليس</t>
  </si>
  <si>
    <t>محمدباقر ❤️</t>
  </si>
  <si>
    <t>Narmak.Tehran</t>
  </si>
  <si>
    <t>ماموریت انجام شد: مصدوم کردن کاپیتان #پرسپولیس در استانه نیمه نهایی اسیا نگرفتن خطاها و عدم اعلام پنالتی پرسپولیس درنتیجه:نتیجه ایدال برای کیسه در شرایط بحرانی این باشگاه #تیم_حکومتی #دربی #ارتش_سرخ_اسیا❤️</t>
  </si>
  <si>
    <t>علی بیغم نارمک</t>
  </si>
  <si>
    <t>به علیل زاده باید آمپول هاری بزنن قبل و بعد از هر بازی همچنین بین دو نیمه #دربی</t>
  </si>
  <si>
    <t>آرمان</t>
  </si>
  <si>
    <t>فقط #پرسپولیس بری, بیای, ببینی, نبینی, بخوای,نخوای,آخرش میرسی به پرسپولیس اونکه توی رگهات جاریه!!! ❤❤❤❤❤❤</t>
  </si>
  <si>
    <t>‏‏‏‏‏پسر ،برادر ،دانشجوی پزشکی</t>
  </si>
  <si>
    <t>بعد همینا میان میگن چرا تیم ملی جلو اسپانیا و پرتغال دفاع میکرد #دربی</t>
  </si>
  <si>
    <t>برونو کورتز</t>
  </si>
  <si>
    <t>آنارشیست‌</t>
  </si>
  <si>
    <t>از #مکتب کثیف و #وحشی #استقلال همین بس که از مصدومیت #ماهینی شاد میشن و آرزو مصدومیت #سیدجلال داشتن</t>
  </si>
  <si>
    <t>sami</t>
  </si>
  <si>
    <t>http://defarnarm.blog.ir</t>
  </si>
  <si>
    <t>‏مقیم کره زمین؛ ساکن یزد|کمی اهل نوشتن|علاقه‌مند به خدا و پیغمبر و کتاب و سینما و خانواده و چیزهای دیگر</t>
  </si>
  <si>
    <t>مگه امروز #دربی بوده؟!</t>
  </si>
  <si>
    <t>احسان عابدی</t>
  </si>
  <si>
    <t>همون كه يه روز يكى بهش گفت: " خانم معلمِ من "</t>
  </si>
  <si>
    <t>Urmia</t>
  </si>
  <si>
    <t>سوالى كه پيش مياد اينه كه: كل باشگاهت يه تار موى حسين مى ارزه كه زدى سقطش كردى؟! . #دربى</t>
  </si>
  <si>
    <t>يه خانم معلم</t>
  </si>
  <si>
    <t>یعنی الان حال خراب تر و خسته تر از هواداران سرخابی که میخوان برگردن خونه نداریم!!!! 🙏😭🙏 #پرسپوليس ❤❤❤❤❤❤</t>
  </si>
  <si>
    <t>‏سرباز صفر رهبرم. کمی نویسنده هم. منتقد هم. معلم سواد رسانه نیز😊.</t>
  </si>
  <si>
    <t>هیچجا</t>
  </si>
  <si>
    <t>این بچه ها هرچی کتک بخورن پوستشون کلفت تر میشه.قوی‌تر میشن.باانگیزه ترمیشن... بازیکنی که قبل بازی توسل به اربابش #امام_حسین میکنه رو نمیشه با این لگدا زمین زد... پرسپولیسو میگم😊 #پرسپولیس:صفر #استقلال:صفرتر</t>
  </si>
  <si>
    <t>menhaj</t>
  </si>
  <si>
    <t>عجیبه که ژنرال تا الان هیچ واکنشی به #دربی نداشته, نگرانتیم @jeneral83</t>
  </si>
  <si>
    <t>#حسین_ماهینی عزیزم هنوز یادم نرفته تو برنامه زنده گفتی معلومه که میمونم #پرسپولیس و فدای سر تیممو هواداراش که دیگه دعوت نمیشم تیم ملی و نمیرم جام جهانی. درسته خیلی وقتا قدرتو ندونستیم ولی همیشه غیرت و معرفتتو مثال زدیم، زود برگرد کاپیتان، منتظرتیم ♥ @HosseinMahini</t>
  </si>
  <si>
    <t>ببخشید من خیلی توی تایملاین آدم بی‌ادبی نیستم جز در مواقعی. اجازه بدین بگم کیر تو دهن اون بیناموسی که نقشه کشید تا #جایگاه_هشت رو نرده بکشن و جزو جایگاه وی‌آی‌پی قرارش بدن بعضیا شعارا خوب دهنتونو گاییده بود که با این کار عقده‌گشایی کردین #استقلال</t>
  </si>
  <si>
    <t>یک مادر</t>
  </si>
  <si>
    <t>ویژگی #دربی این بود که با خیال راحت یه شام خوشمزه پختم... بدون استرس گل زدن یا گل خوردن...</t>
  </si>
  <si>
    <t>m.hqorbani</t>
  </si>
  <si>
    <t>http://instagram.com/hamed_sh80</t>
  </si>
  <si>
    <t>‏‏‏‏‏‏‏‏‏‏‏‏‏‏پرسپولیس 👑❤ منچستریونایتد🔱❤ گوینده🎙 پرسپولیسی بودن عشقُ تعصب میخواد اگرهرکدومش رو نداری تیمت رو عوض کن</t>
  </si>
  <si>
    <t>https://pbs.twimg.com/media/DoHp2_XU0AAdQnq.jpg</t>
  </si>
  <si>
    <t>جانُ دلی ای دلُ جانم همه تو #پرسپولیس</t>
  </si>
  <si>
    <t>کینگ کانتونا</t>
  </si>
  <si>
    <t>‏‏‏‏‏‏‏‏‏‏‏‏‏‏‏‏‏‏نگاه ما چه ظالمانه جای کلمات را گرفته اند .. 🏳یوونتوسی بختیاری🏴 ♥فالو=بک♥</t>
  </si>
  <si>
    <t>این همه گفتن دربی خودشون کشتن کسل کننده تر از این بازیم داشتیم بازیای لیگ دسته دو هم از این قشنگ تر بود #دربی</t>
  </si>
  <si>
    <t>Saeed.21🇮🇹</t>
  </si>
  <si>
    <t>ضدعرزشیها،فدایی امریکای خونخوار،عشقم اورشلیم</t>
  </si>
  <si>
    <t>فرق من با دوستم که از عصر خوابش برده اینه که من خسته شدم اون سرحال.اگر اونی که دیدیم فوتبال بود من از دنیای فوتبال خداحافظی می کنم.😀 #دربی #پرسپولیس</t>
  </si>
  <si>
    <t>هاله</t>
  </si>
  <si>
    <t>6،6،6،6،6،6،...... فقط شیش همین کلی مفهوم داره!!! #پرسپولیس</t>
  </si>
  <si>
    <t>‏‏در دنیای بی رحم سلاح دست بگیر و ظالم را بُکُش ارزشی نیستم درپی ارزشم</t>
  </si>
  <si>
    <t>به نظرمن با #دربی افتضاح امروز بهتره از آقایون بخوایم جاشون و به خانمهایی که دلشون میخواد برم استادیوم بدن تا این حجم از درماندگی حس کنند.</t>
  </si>
  <si>
    <t>سپیده زاغیان 🏴</t>
  </si>
  <si>
    <t>http://Instagram.com/babifrown</t>
  </si>
  <si>
    <t>Ardabil, Iran</t>
  </si>
  <si>
    <t>برنده واقعی #دربی رحمتی بود که موفق شد یه بار کامل ختم قرآن کنه زیر لب در طول بازی و کیفیت نمازشو ببره بالا.</t>
  </si>
  <si>
    <t>بابی</t>
  </si>
  <si>
    <t>من؟یه ادمه خسته ی غمگین که فک میکنه دنیا باهاش لجه اما ارزوهای بزرگی داره</t>
  </si>
  <si>
    <t>واسم جالبه بدونم این کلمه ی لنگی و کیسه کش رو کی گفته :/ینی داستانی پشتش بوده؟یه همینجوری واسه سرگرمی:| #استقلال #پرسپولیس #دربی</t>
  </si>
  <si>
    <t>تافته ی جدا بافته</t>
  </si>
  <si>
    <t>https://pbs.twimg.com/media/DoHqWBtU0AAwOTa.jpg</t>
  </si>
  <si>
    <t>ازته قلبم واست ناراحتم کاپیتان😔❤13❤ منتظربرگشتتیم مَرد❤ @HosseinMahini #حسین_ماهینی #پرسپولیس #کوچه_مردا</t>
  </si>
  <si>
    <t>pic.twitter.com/ZEgStA5beK</t>
  </si>
  <si>
    <t>http://goo.gl/m2bf9G</t>
  </si>
  <si>
    <t>🔵🔴 دربی ۸۸ 🔻دیدار تیم‌های فوتبال #استقلال و #پرسپولیس با تساوی بدون گل به پایان رسید. 📸عکاس: سجاد ایمانیان مشاهده تصاوير 👈  #دربى٨٨ #استقلال_پرسپوليس</t>
  </si>
  <si>
    <t>https://pbs.twimg.com/media/DoHqgPoXUAEy78o.jpg</t>
  </si>
  <si>
    <t>"در پی جانفشانی و عملکرد مثبت #فغانی در #دربی، مرتبه ایشان از استادیار به دانشیار تغییر پیدا کرد" دانشگاه لنگ- شعبه تدبیر و امید</t>
  </si>
  <si>
    <t>‏‏‏‏‏‏‏‏‏‏‏‏کم سواد وعلاف،جهانمیهن و نیهیلیست دوستدار اسلام مکتوب؛متنفر از تحریف و بی ادبی و نادانی؛طرفدار پدیده :/ مخالف دوقطبی فوتبال ایران و لیورپولی :)</t>
  </si>
  <si>
    <t>نزدیک مرز افغانستان</t>
  </si>
  <si>
    <t>حالا این داستان مخالفتم با دوقطبی فوتبال خیلی پشتش عقیده و ایناست..لیکن یه رشتو میخواد که در اصلا حسش نیست.. خلاصه کنم برات منفعت کشورتو میخوای اگه شهرستانی هستی بیخیال ابی و قرمز شو #دربی</t>
  </si>
  <si>
    <t>علی اَلف (مدام لاک شونده)</t>
  </si>
  <si>
    <t xml:space="preserve">lidoma </t>
  </si>
  <si>
    <t>پشت این پنجره جزهیچ بزرگ هیچی نیست #دربی</t>
  </si>
  <si>
    <t>بوژیدار</t>
  </si>
  <si>
    <t>ارض اقدس مشهد مقدس</t>
  </si>
  <si>
    <t>هر چقدر سال ۸۸ هیجان داشت #دربی ۸۸ کسل کننده بود</t>
  </si>
  <si>
    <t>مهدی محمدی</t>
  </si>
  <si>
    <t>https://t.me/Nashenastel_bot?start=u43958207</t>
  </si>
  <si>
    <t>Madao (MAssugu ikite mo DAinashi na jinsei na Ojiisan: Old man who lives the way he wants but accomplishes nothing) با @feminismeverydy هم سَر و سِرّی دارم</t>
  </si>
  <si>
    <t>خب ظاهراً نشست و سخنرانیهای #شورای_امنیت سازمان ملل به مراتب از این #دربی مهیج تر بودن.</t>
  </si>
  <si>
    <t>پسر عموی تناردیه 🏳</t>
  </si>
  <si>
    <t>https://pbs.twimg.com/media/DoHqok6UYAAojpF.jpg</t>
  </si>
  <si>
    <t>سروری به روایت تصویر!!! ☺😊😊😊 #پرسپولیس</t>
  </si>
  <si>
    <t>https://www.instagram.com/rezzanaderi</t>
  </si>
  <si>
    <t>گفته میشود سرمای بازی #استقلال و #پرسپولیس به قدری بوده است که باعث #یخ‌زدگی جاده ها و خیابان ها شده است. 📌پ. ن: خواهشمندیم هنگام رانندگی از زنجیر چرخ استفاده کنید. #بی_غیرت</t>
  </si>
  <si>
    <t>RezaNaderi</t>
  </si>
  <si>
    <t>https://t.me/neveshtehayemahnaz</t>
  </si>
  <si>
    <t>https://www.instagram.com/mahnaz.pakdel/</t>
  </si>
  <si>
    <t>انقدر تابلو مساوی نکنید دربی رو. به قول بعضی‌ها به شعور مخاطبانتون توهین نکنید. #دربی88 #پرسپولیس_استقلال</t>
  </si>
  <si>
    <t>mahnaz.pakdel</t>
  </si>
  <si>
    <t>از دربي رفت با خطا و فوتبال كثيف مساوي گرفتين با دربي برگشت و پنجره ي باز #پرسپوليس چكار مي كنيد؟!</t>
  </si>
  <si>
    <t>ماهینی ادامه ی فصلو از دست داد خسته نباشن واقعا👌 البته که هدفشون سید جلال بود|: ناکام‌ موندن ولی متاسفانه #پرسپولیس</t>
  </si>
  <si>
    <t>اینجا نظرات شخصی ام را می نگارم.</t>
  </si>
  <si>
    <t>#دربی بود یا #آنتی_دربی؟ حیف از وقت مردم</t>
  </si>
  <si>
    <t>آرش عبدی</t>
  </si>
  <si>
    <t>‏‏‏‏آزادی نیازی غریزی و برخاسته از فطرت است و آزادیخواهی نیاز اولیه انسان بودن</t>
  </si>
  <si>
    <t>نصف غیرتی که #ماهینی برای پرسپولیس خرج کرد رو مسولین مملکت برای کشور خرج میکردند اوضاع مون این نبود. دمت گرم حسین آقا @HosseinMahini #پرسپولیس_استقلال #پرسپولیس #حسین_ماهینی</t>
  </si>
  <si>
    <t>سید</t>
  </si>
  <si>
    <t>‏‏‏/‏‏همشهری حافظ/تریدر(بورس)/پرسپولیس/دهه 50/متاهل/</t>
  </si>
  <si>
    <t xml:space="preserve"> Iran</t>
  </si>
  <si>
    <t>#حسین_ماهینی متاسفانه #رباط_صلیبی زد و تا آخر فصل خانه نشین شد . حیف از این بازیکن واقعا مثل آچار فرانسه بود برای #پرسپولیس</t>
  </si>
  <si>
    <t>حمیدشون 🏆</t>
  </si>
  <si>
    <t>مستاصل مستغرق مستثنی</t>
  </si>
  <si>
    <t>با احترام به تمام عزیزان #استقلالی؛ ولی مکتب #تاج یعنی وحشی‌گری! #حسین_ماهینی رباط صلیبی پاره کرد :) #دربی</t>
  </si>
  <si>
    <t>میرایِ ناگیرا</t>
  </si>
  <si>
    <t>هيچ!... 👑💙</t>
  </si>
  <si>
    <t>https://pbs.twimg.com/media/DoHroJwU8AAk_Ds.jpg</t>
  </si>
  <si>
    <t>جذابترين حركت دربي💙 #استقلال</t>
  </si>
  <si>
    <t>رِيي_حان💙</t>
  </si>
  <si>
    <t>https://www.instagram.com/sajadsafari60/</t>
  </si>
  <si>
    <t>یه عکاس خبری</t>
  </si>
  <si>
    <t>Iran-Tehran</t>
  </si>
  <si>
    <t>https://pbs.twimg.com/media/DoHrvG1U4AAnmNT.jpg</t>
  </si>
  <si>
    <t>http://www.iipa.ir/News/71346.html</t>
  </si>
  <si>
    <t>کل داستان #دربی #استقلال_پرسپولیس در این عکس نعیم احمدی خلاصه شده #استقلال #پرسپولیس ادامه عکس ها در</t>
  </si>
  <si>
    <t>sajadsafari</t>
  </si>
  <si>
    <t>http://soalcity.ir</t>
  </si>
  <si>
    <t>کارشناس مرکز ملی پاسخگویی به سوالات دینی بر خود لازم میدانم سلایق سیاسی ام را بروز ندهم و در سیاست به خطوط قرمز بسنده کنم و اولویتم فرهنگ باشد،البته معصوم نیستم</t>
  </si>
  <si>
    <t>ایران، قم</t>
  </si>
  <si>
    <t>نوشته های سیاسی هم مثل کل کل #دربی شده آقاجون یک مقام رسمی کشور به زبان انگلیسی سخن بگه، افتخار نیست. حتی درباره وزیر خارجه هم فیه نظر می دونید سازمان جهانی چقدر بابت ترجمه به زبان های متعدد هزینه می دهند و دنیا زیر بار یک زبان بین المللی نمی رود؟ پ.ن دنیا سیاه و سفید نیست.</t>
  </si>
  <si>
    <t>وحید نجفی</t>
  </si>
  <si>
    <t>‏</t>
  </si>
  <si>
    <t>انقدر بازی بیخود بود همون بهتر هیچی نگم #دربی</t>
  </si>
  <si>
    <t>دختر ایرانی🇮🇷</t>
  </si>
  <si>
    <t>بی طرف اما حق طلب.....</t>
  </si>
  <si>
    <t>#دربی بیشتر رو هوا بود تا رو زمین..</t>
  </si>
  <si>
    <t>https://pbs.twimg.com/media/DoHsSKDXsAEbgeC.jpg</t>
  </si>
  <si>
    <t>طارق چجوری اینجوری شده؟؟😂😂 #دربی</t>
  </si>
  <si>
    <t>تازه واردم، اصلاح طلب</t>
  </si>
  <si>
    <t>خوبه حالا هیچ پخی هم تو زمین نزدن! دیگه هیچی گیر نمیاد گیر دادین به بازی خشن؟ نیست که لنگیا با دامن کوتاه و خرس کیتی اونده بودن تو زمین! میزدن و میخوردن تو یه بازی مزخرف. #استقلال #دربی #پرسپولیس</t>
  </si>
  <si>
    <t>Hamzeh Daneshgar</t>
  </si>
  <si>
    <t>پس از پایان دربی ۸۹ در ورزشگاه آزادی، در اقدامی جالب هواداران #پرسپولیس زباله‌های ریخته شده روی سکوها را جمع‌آوری کردند #دربی۸۹</t>
  </si>
  <si>
    <t>فکر کنم اگه #پرسپولیس با وایکینگ ها بازی میکرد کمتر مصدوم میداد. بابا فوتباله ها جنگ گلادیاتورها که نیست #پرسپولیس_استقلال #حسین_ماهینی</t>
  </si>
  <si>
    <t>‏‏‏‏با شروع هر صبح فکر کن تازه بدنیا آمدی،مهربان باش و دوست بدار و عاشق باش.شاید فردایی نباشد،شاید فردایی باشد! اما عزیزی نباشد.</t>
  </si>
  <si>
    <t>https://twitter.com/PerspolisFCIran/status/1045364008381898753</t>
  </si>
  <si>
    <t>لعنت به #طارق_حمام #ماهيني #پرسپولیس RT @PerspolisFCIran: خبرى بد براى پرسپوليس؛ ماهینی از ناحیه رباط صلیبی دچار مصدومیت شدیدی شده و بعد از ام آر ای میزان پارگی آن مشخص خواهد شد.</t>
  </si>
  <si>
    <t>Farhad</t>
  </si>
  <si>
    <t>http://phhtc.ir</t>
  </si>
  <si>
    <t>کلینیک پوست و پیوند موی طبیعی بیمارستان گاندی آماده انجام کاشت مو طبیعی، کاشت ابرو، تزریق بوستاکس، فیلر، لیزر موهای زائد</t>
  </si>
  <si>
    <t>https://pbs.twimg.com/media/DoHs4grXkAMU4aT.jpg</t>
  </si>
  <si>
    <t>نمونه كاشت مو در كلينيك كاشت مو بيمارستان گاندي . . . #كاشت_مو #كاشت_ريش #كلينيك_زيبايى #پوست_مو #پي_آر_پي #مو_کوتاه #مدل_مو #موي_بلند #موخوره #رنگ_مو #شستشوي_مو #شامپو #دربی #طاسي_مردان #آلوپسي_آندروژنتيك #طاسي_سكه_اي #طاسي #كاشت_مو_تهران #كاشت_موي_طبيعي #استقلال #درمان_مو #پرسپ</t>
  </si>
  <si>
    <t>phhtc.ir</t>
  </si>
  <si>
    <t>‏استقلالی نیستی بزن به چاک... در تلاش برای پر کردن خلا رسانه ای استقلال در توئیتر.. توهین به لنگ در این صفحه آزاد است..</t>
  </si>
  <si>
    <t>خب دربی هم مساوی شد. حالا یه سری از استقلالی‌نماها میرن به پرسپولیس تبریک میگن بابت این بازیشون :) #استقلال #پرسپولیس #خایمال</t>
  </si>
  <si>
    <t>Mehrdad Taj</t>
  </si>
  <si>
    <t>‏‏‏‏من سفر کردم از ترانه شدن،کوچ کردم به سرزمین سکوت باگذرنامه ای که رو جلدش جای ایران نوشته بود لی لی پوت</t>
  </si>
  <si>
    <t>Barcelona, Spain</t>
  </si>
  <si>
    <t>چنتا ایرانسل با اسنپ داشتن تو زمین میدوییدن چنتام سالاد الویه داوریشونو میکردن! #دربی</t>
  </si>
  <si>
    <t>آلدرویرلد</t>
  </si>
  <si>
    <t xml:space="preserve">iran .Mashhad </t>
  </si>
  <si>
    <t>اگر #متخصصان_آسیا یه ذره تخصص هم برای لیگ برتر داشتند الان با #شیش گل یا کمتر برده بودیمشون . #پایتخت عراق بهانه اس #استقلال #پرسپولیس #دربی۸۹</t>
  </si>
  <si>
    <t>مصطفی🇮🇷</t>
  </si>
  <si>
    <t>https://pbs.twimg.com/media/DoHtFHGXkAAZ9J-.jpg</t>
  </si>
  <si>
    <t>محمد رضا احمدی گزارشگر استقلالی #دربی وقتی صحنه خطای گرفتن دست مدافع آبی روی #پرسپولیس چند بار از تلویزیون پخش شد،فقط سکوت کرد.</t>
  </si>
  <si>
    <t>bahman</t>
  </si>
  <si>
    <t>Gotham city</t>
  </si>
  <si>
    <t>ورزشگاه صدهزار پسری #دربی</t>
  </si>
  <si>
    <t>sogand</t>
  </si>
  <si>
    <t>http://hashtagban.com</t>
  </si>
  <si>
    <t>#هشتگبان دیده بان تویتر فارسی است. هشتگ‌ها و ریتوییت‌های روز را از استریم توییتر می گیرد و پردازش می کند. برای حفظ بیطرفی استریم نمیتوانم فالوبک کنم.</t>
  </si>
  <si>
    <t>https://pbs.twimg.com/media/DoHtkStXgAYrOLf.jpg</t>
  </si>
  <si>
    <t>https://hashtagban.com</t>
  </si>
  <si>
    <t>هشتگ های پرکاربرد 5 مهر 1397 #حب_الحسین_یجمعنا 3739 #IraniansWantRegimeChange 2191 #دلار 2040 #ایران 1287 #روحانی 1023 #اعتصاب_کامیونداران 942 #اعتصاب_سراسری_کامیونداران 895 #شاه 859 #دربی 765 #ترامپ 723  #hashtagban</t>
  </si>
  <si>
    <t>هشتگبان</t>
  </si>
  <si>
    <t>فارغ التحصیل مهندسی مکانیک - نوشیروانی بابل</t>
  </si>
  <si>
    <t>بازی به حدی مزخرف بود که نا ندارم از پنالتی پژمان منتظری روی علیپور بگم چون بنظرم اختلاف دوتا تیم اندازه یه گل نبود #دربی</t>
  </si>
  <si>
    <t>Shahin Shakeri</t>
  </si>
  <si>
    <t>بگذار مردم شهر هر چه میخواهند بگویند ، من توام</t>
  </si>
  <si>
    <t>https://pbs.twimg.com/media/DoHuDp8X0AAJKkO.jpg</t>
  </si>
  <si>
    <t>ما این فصل سیزده بازیکن داشتیم برابر السد دو محروم داریم حالا هم یک مصدوم اضافه شد ما جمعا ده بازیکن داریم وضعیت بدتر ازین نمیشد #پرسپولیس</t>
  </si>
  <si>
    <t>Yavar</t>
  </si>
  <si>
    <t>‏‏‏‏‏شاد زیستن تنها انتقامیست که می توان از زندگی گرفت / کارشناسی ارشد مهندسی زلزله دانشگاه نوشیروانی</t>
  </si>
  <si>
    <t>فکر کنم #فردای_براندازی دیگه هیچ #دربی ای صفر صفر نشه #جدی</t>
  </si>
  <si>
    <t>Milad Shomali</t>
  </si>
  <si>
    <t>سایت‌ ورزش‌سه و نود یک هفته تمام برای لنگ ناله و مظلوم‌نمایی کردن که #دربی باید لغو بشه چون فدراسبون قطر هم بازی‌ السد تو لیگ ستارگان رو لغو کرده. در حالی‌که السد چهار روز پیش الریان رو 5 هیچ شکست داده و همین الانم داره با القطر بازی میکنه!! #رسانه_دروغ</t>
  </si>
  <si>
    <t>journalist شاعر ،نویسنده و روزنامه نگار</t>
  </si>
  <si>
    <t>Kerman</t>
  </si>
  <si>
    <t>https://pbs.twimg.com/media/DoHuS_SV4AA1NqP.jpg</t>
  </si>
  <si>
    <t>این هم یک کار قدیمی به مناسبت #دربی #قرمز و #آبی</t>
  </si>
  <si>
    <t>Abdy abdolkarimy</t>
  </si>
  <si>
    <t>https://twitter.com/shabgarddd/status/1045369237286473728</t>
  </si>
  <si>
    <t>برنده حقیقی #دربی RT @shabgarddd: بازی چی شد دوستان من ندیدم :/</t>
  </si>
  <si>
    <t>حالا که حال و هوای #دربی تموم شد باید خدمتتان عرض کنم که: #دلاری که ۱۸۰۰۰ تومن باشه دیگه #ارز نیست، طول ه.</t>
  </si>
  <si>
    <t>#IraniansWantRegimeChange توپ تانك فشفشه، رژيم بايد چنج بشه</t>
  </si>
  <si>
    <t>از اينكه صد هزار نفر در ورزشگاه نتونستند يه بازي جذاب ببينن، ناراحت نيستم. يه جورايي حقشون بود. چهل ساله به ورزشگاه ميرن و هنوز نتونستند از حق خواهر يا همسر خود دفاع كنن. دريغ از يه شعار اعتراضي، مگه اونا به دلار حقوق ميگيرن؟ #دربي #زنان‌درآزادی #زنان_در_آزادی</t>
  </si>
  <si>
    <t>freeland</t>
  </si>
  <si>
    <t>KURD Football Comentator, Persepolis &amp; Real Madrid instagram:http://football.memories.ir</t>
  </si>
  <si>
    <t>https://pbs.twimg.com/media/DoHuoDRXgAEVx46.jpg</t>
  </si>
  <si>
    <t>بیشرفترین قشر اونایی هستن که از مصدومیت ماهینی خوشحال شدند پ.ن: ماهینی تا آخر فصل نمی تونه بازی کنه #پرسپولیس #حسین_ماهینی</t>
  </si>
  <si>
    <t>انریکو سانچز</t>
  </si>
  <si>
    <t>جزای حمـاقتمان، احمق‌هایی هستند که بر مـا حکومت میکنند !!!</t>
  </si>
  <si>
    <t>The Earth</t>
  </si>
  <si>
    <t>توی این بازی فقط مصدومیت و خطا و تُـف دیدیم و به وجود رحمتی و بیرانوند هم نیازی نبود؛ عجب #دربی توپی بود!</t>
  </si>
  <si>
    <t>saramad679</t>
  </si>
  <si>
    <t>شهرِ من رقص كوچه هايش را باز مي يابد هيچ كجا هيچ زمان فرياد زندگي بي جواب نمانده است.</t>
  </si>
  <si>
    <t>پيشِ خودم</t>
  </si>
  <si>
    <t>https://pbs.twimg.com/media/DoHuroOV4AEY9U6.jpg</t>
  </si>
  <si>
    <t>مصدومیت تلخترین خبر برای هر بازیکن و هواداری هست و هیچکس از مصدومیت بازیکنی خوشحال نمیشه خودمون این خبر مصدومیت رباط صلیبی لعنتی رو چند بار شنیدیم و زجر کشیدیم . . ایشالا زودتر برگردی @hossein_mahini_13 . . #استقلال #esteghlal #پرسپولیس</t>
  </si>
  <si>
    <t>javadkhaleghverdi</t>
  </si>
  <si>
    <t>Screenwriter, Director, novelist</t>
  </si>
  <si>
    <t>بی همه چیز که باشی، سعی می کنی دست بقیه رو از دارایی هاشون کوتاه کنی... #دربی #ماهینی</t>
  </si>
  <si>
    <t>Sara Mokhavat</t>
  </si>
  <si>
    <t>https://pbs.twimg.com/media/DoHuzoMVsAAFHox.jpg</t>
  </si>
  <si>
    <t>@HosseinMahini پشتمون لرزید کاپیتان.. زود خوب شو #پرسپولیس</t>
  </si>
  <si>
    <t>🙃🙃</t>
  </si>
  <si>
    <t>از کشفیات امروزم این بود که معنی #گادوین همون فتح الله میشه :)) #پرسپولیس</t>
  </si>
  <si>
    <t>مسیح</t>
  </si>
  <si>
    <t>بهشون گفته بودن مساوی کنن به زودی در آمدنیوز #دربی</t>
  </si>
  <si>
    <t>Fingilche</t>
  </si>
  <si>
    <t>‏‏دوستدار انقلاب... زاده خونه خشتی... تولد دوباره اش در مکتب امام و شهدا...چشم انتظار و تِیَّه بِه رَه</t>
  </si>
  <si>
    <t>آواره ی کوی لیلی در بیابان...</t>
  </si>
  <si>
    <t>@S_agharokhi @Abraham_khasteh گونه ها از ضرب سیلی چشمها از درد آبی آزادی کیلویی چنده کشته ی امروزِ #دربی</t>
  </si>
  <si>
    <t>مالکوم ایکس</t>
  </si>
  <si>
    <t>#دربی هم تموم شد و خوشحالم که ندیدمش.</t>
  </si>
  <si>
    <t>‏‏Come back ‏‏غم ‌های کوچک پُرحرف‌اند؛ غم ‌های بزرگ، لال. ‌‌</t>
  </si>
  <si>
    <t>دربی خیلی قشنگ تر میشه اگه تو کری خوندناتون از فحش و توهین استفاده نکنید، و به جاش از اسلحه استفاده کنید. #دربی</t>
  </si>
  <si>
    <t>غم‌ فروش دوره گرد</t>
  </si>
  <si>
    <t>‏‏‏‏‏‏‏قـال الامـام علـی (علیه‌السلام):فَـانَّ فـی الـعَدْلِ سَـعَةً. روزگاریسـت که سـودای تـو در ســ👤ـر دارم //مـگـرم ســر بـرود تـا بـرود سـودایت👌</t>
  </si>
  <si>
    <t>شلمچه</t>
  </si>
  <si>
    <t>pic.twitter.com/IEchejfJzZ</t>
  </si>
  <si>
    <t>عراقی ها برای کاهش هزینه زوار ایرانی در حال جمع آوری پول برای اجاره اتوبوس های رایگان هستند. 🔹آنها می‌گویند همانگونه که ایران در جنگ با داعش در کنار ما بودند ما هم کنار آنهاییم. #عراق #اربعین #مردم_بدانید #دربی</t>
  </si>
  <si>
    <t>mirza</t>
  </si>
  <si>
    <t>http://instagram.com/roohollah.zam</t>
  </si>
  <si>
    <t>journalist, The Islamic Republic's opposition دموکراسی خواه</t>
  </si>
  <si>
    <t>France</t>
  </si>
  <si>
    <t>همین جمعیتی که برای #دربی اومده بود، اگر میخواست میتونست رژیم چنج کند</t>
  </si>
  <si>
    <t>Roohollah Zam</t>
  </si>
  <si>
    <t>IRAN,Rasht</t>
  </si>
  <si>
    <t>ولی خوبی این دربی این بود که استقلالیا فهمیدن بازی با #پرسپولیس هیچ ترسی نداره. دیگه لازم نبود اون همه خرج کنند تا ترکیه برن.</t>
  </si>
  <si>
    <t>الف.ر</t>
  </si>
  <si>
    <t>‏‏نمینویسم تا تو را به خود بخوانم.. میان ما، عروس حادثه ها،نوزاد فاصله میزاید</t>
  </si>
  <si>
    <t>خیلی #دربی قشنگی داشتیم،این آهنگ تبلیغ گه چیتوز هم از سر شب افتاد تو دهن من.. پاپ کرن چیتوز،دلیل لحظه هامی پاپ کرن چیتوز،مارو به وجد میاری و آلت اسب،خدایا بسه خستم کردی</t>
  </si>
  <si>
    <t>حاشاک</t>
  </si>
  <si>
    <t>می بینید اونا چقدر تشنه ی اینن که از همین جا جلوی شما رو تو آسیا بگیرن؟ آرزو به دل بذارینشون، خون به جیگرشون کنین پرسپولیسیا♥️@PerspolisFCIran @HosseinMahini @siamaknemati88 #دربی</t>
  </si>
  <si>
    <t>‏‏‏‏‏بیو یا بایو، مسئله این است!</t>
  </si>
  <si>
    <t>@alimoosavi786 😤😤😤 برید خدا رو شکر کنید تیم حکومتی یعنی همون لنگ رو نبردیم #استقلال 💙💙💙</t>
  </si>
  <si>
    <t>http://www.google.com</t>
  </si>
  <si>
    <t>تردیدها به ماخیانت می کنند تا به آنچه لیاقتش را داریم نرسیم . . .</t>
  </si>
  <si>
    <t>Netherplace, Scotland</t>
  </si>
  <si>
    <t>اخبار رسيده حاكي از نصب دستگاه #ديكوسكوپ و شناسايي بانواني بوده كه قصد ورود داشتن #دربي</t>
  </si>
  <si>
    <t>سكوداراپ 🗣</t>
  </si>
  <si>
    <t>@Cristiano #دربي رو ديدي کريس جون ؟ #پرسپوليس</t>
  </si>
  <si>
    <t>باید به سوی "او"حرکت کرد ...</t>
  </si>
  <si>
    <t>@hananeh9697 #استقلال سرور پرسپولیسه</t>
  </si>
  <si>
    <t>Rahabanoo</t>
  </si>
  <si>
    <t>‏‏بزار عشق تو هرکاری که میکنی جریان داشته باشه❤</t>
  </si>
  <si>
    <t>https://pbs.twimg.com/media/DoHwsCmW0AIIvrJ.jpg</t>
  </si>
  <si>
    <t>برنده این بازی نه پرسپلیس نه استقلال برنده این بازی'' اخلاق '' #اخلاق #بچه_ها_مچکریم #پرسپلیس #استقلال</t>
  </si>
  <si>
    <t>shiva Amiri</t>
  </si>
  <si>
    <t>کاش #دربی رو ببریم کانادا شاید کیفیتش خوب شد #کیفیت_نماز #اشراقی</t>
  </si>
  <si>
    <t>‏‏‏‏‏‏‏‏‏‏‏‏‏‏خبرنگار اقتصادی روزنامه سازندگی/مازنی 😍</t>
  </si>
  <si>
    <t>https://pbs.twimg.com/media/DoHw1IpWkAEZSLo.jpg</t>
  </si>
  <si>
    <t>برای تیم‌مون جنگیدی؛ زود خوب شو شماره ۱۳ 💖💪🏆💖 @HosseinMahini #حسین_ماهینی #پرسپولیس</t>
  </si>
  <si>
    <t>yazdanmoradi</t>
  </si>
  <si>
    <t>pic.twitter.com/9FyTHEEKvt</t>
  </si>
  <si>
    <t>https://twitter.com/nona_esteghlali/status/1045375320768106497</t>
  </si>
  <si>
    <t>تنها دادم برای بازی همین صحنه بود حالم از شجاع بهم میخوره، باید اخراج میشد #دربی RT @Nona_esteghlali: داوری از جنس پرسپولیس:))</t>
  </si>
  <si>
    <t>#دربی اینقدر کسل‌کننده بود که هنوز‌ خوابم میاد.</t>
  </si>
  <si>
    <t>‏‏‏‏الهی هب لی کمال الانقطاع الیک. اگه تو از تبار مرحبی ما از تبار حیدریم</t>
  </si>
  <si>
    <t>برام سوال شده این طرفداران #پرسپوليس یا #استقلال رو چه حسابی طرفدار یکی از تیم ها شدن؟! که انقدر هم از باخت تیمشون ناراحت میشن! #دربی</t>
  </si>
  <si>
    <t>راه عمار</t>
  </si>
  <si>
    <t>http://www.trtpersian.com</t>
  </si>
  <si>
    <t>وبسایت رادیو تلویزیون دولتی ترکیه، چهره جدید تی آر تی در دنیای اینترنت. آخرین اخبار صوتی، تصویری و نوشتاری منطقه و جهان در زمینه های فرهنگی، هنری، علمی و ورزشی</t>
  </si>
  <si>
    <t>Ankara</t>
  </si>
  <si>
    <t>http://www.trt.net.tr/persian/wrzsh/2018/09/27/bzy-prspwlys-w-stqll-bdwn-gl-pyn-yft-1058139</t>
  </si>
  <si>
    <t>بازی #پرسپولیس و #استقلال #بدون_گل پایان یافت</t>
  </si>
  <si>
    <t>TRTPERSIAN.COM</t>
  </si>
  <si>
    <t>400 دقیقس استقلال گل نزده اونوقت هواداراش میگن پرسپولیس از ما مساوی گرفت..خدایا شکرت ولی این رسمش نیست.🙏🙏🙏❤❤❤❤❤❤ #هواداران_ارتش_سرخ #پرسپوليس</t>
  </si>
  <si>
    <t>پژوهشگر حوزه آسیای عربی، کارشناس ارشد سیستم‌های اقتصادی اجتماعی</t>
  </si>
  <si>
    <t>https://pbs.twimg.com/media/DoHxR0GXkAAU7UE.jpg</t>
  </si>
  <si>
    <t>چه‌قدر امروز جای خالی فرهاد حس می‌شد... #دربی #استقلال</t>
  </si>
  <si>
    <t>علیرضا مجیدی🎗️</t>
  </si>
  <si>
    <t>با تقسیم امتیازات #پرسپولیس رفت صدر جدول و #استقلال اومد نیمه دوم جدول؟ از این زاویه بهش نگاه نکرده بودم :)) #دربی۸۹ #دربی88 #دربی_تهران #دربی</t>
  </si>
  <si>
    <t>دنی بوی</t>
  </si>
  <si>
    <t>Loading...</t>
  </si>
  <si>
    <t>مظلوم آزربایجان</t>
  </si>
  <si>
    <t>https://pbs.twimg.com/media/DoHxuRqUcAAsdVt.jpg</t>
  </si>
  <si>
    <t>#دربی بیزیم گوزومیزده</t>
  </si>
  <si>
    <t>SiRous JR</t>
  </si>
  <si>
    <t>Dritti Umani/Human Rights</t>
  </si>
  <si>
    <t>https://pbs.twimg.com/media/DoHx9iTWkAMvOEx.jpg</t>
  </si>
  <si>
    <t>نصب دوربین برای شناسایی زنانی که میرن استادیوم برای تماشای #دربی #تهران،دریغ از یک دوربین توی جیب #آقازاده ها #گشتاپو که شاخ و دم نداشت #ایران #مردم #مردم_کنار_مردم #استادیوم #فوتبال</t>
  </si>
  <si>
    <t>Mehdi Mir Sepassi</t>
  </si>
  <si>
    <t>من مه گرفتن جاده رو دوست دارم... این دلخوشی های ساده رو دوست دارم</t>
  </si>
  <si>
    <t>اگه بچه های کوچه ما و کوچه بالایی تیم میدادن باهم بازی میکردن ازین بازی جذابتر میشد! #دربی</t>
  </si>
  <si>
    <t>Mohi</t>
  </si>
  <si>
    <t>خیلی خستم.....................</t>
  </si>
  <si>
    <t>کاش دربی بعدی تهران رو تو کانادا برگزار کنن یکم باکیفیت‌تر از آب در بیاد #دربی</t>
  </si>
  <si>
    <t>بی کار کمر به پایین شل</t>
  </si>
  <si>
    <t>journalist at Mizan news agency خبرنگار ورزشی خبرگزاری میزان</t>
  </si>
  <si>
    <t>دربی سرد #پرسپولیس #استقلال #دربی #فوتبال #perspolis</t>
  </si>
  <si>
    <t>Navid Asghari</t>
  </si>
  <si>
    <t>https://t.me/be_haminsadegi</t>
  </si>
  <si>
    <t>روز مره نويسي هاي يك ذهن مشوش دانشجوي روزنامه نگاري :))</t>
  </si>
  <si>
    <t>واقن #دربي نگاه مي كنين؟! تازه طرفداري ام مي كنين چقد عجبين شما 😕</t>
  </si>
  <si>
    <t>Mahya :))</t>
  </si>
  <si>
    <t>اوقات خوش آن بود كه با دوست به سر شد/ باقى همه بى حاصلى و بى خبرى بود (حافظ)</t>
  </si>
  <si>
    <t xml:space="preserve">نشانم بي نشان، مكانم لامكان </t>
  </si>
  <si>
    <t>امروز از ظهر تا ساعت ٢٠:٠٠ رفتم دانشگاه سر كلاس، دم غروب يكي از دانشجوها وسط درس خطاب به من: دانشجو: استاد ريموت كنترل "ال سي دى" رو دارين؟ من: نه چطور مگه ؟ دانشجو: خواستم تو بريك بزنيم بيست دقيقه فوتبال #پرسپوليس رو ببينيم ! من: 😊 بچه ها: 🤣 دانشجو: خخخخخخخ #كلاس #پرسپوليس</t>
  </si>
  <si>
    <t>AmirShervan</t>
  </si>
  <si>
    <t>ميخوام يه درسي كه از اين دربي گرفتمو بهتون بگم؛ هيچوقت تخمه آفتاب‌گردون فلفلی نخورید، اگه خوردید دستاتونو بشورید بعد برید دستشویی #دربی</t>
  </si>
  <si>
    <t>http://lahijweb.com</t>
  </si>
  <si>
    <t>Web Developer</t>
  </si>
  <si>
    <t>Lahijan</t>
  </si>
  <si>
    <t>از #دربی که چیزی به ما نرسید، فقط یه لایو خوب از تیم سون لرن دیدم و دیگه باید برگردم سر پروژه هام</t>
  </si>
  <si>
    <t>Ali Fallah</t>
  </si>
  <si>
    <t>YOU CAN ... ONLY IMAGINE ... THE TRUTH.</t>
  </si>
  <si>
    <t>میگن ورزشگاه آزادی 500 تا دوربین نصب شده، دربی 88 و با فتنه 88 اشتباه گرفتن اینا #فوتبال #دربی #پرسپولیس #استقلال</t>
  </si>
  <si>
    <t>HaTa</t>
  </si>
  <si>
    <t>I It's about time..</t>
  </si>
  <si>
    <t>من حدود ۲۵ سال طرفدار یکی از دو تیم پایتخت بودم. الانم نمی‌گم هر دو را به یه اندازه دوست دارم (یا ندارم)؛ ولی باور کنید که این فوتبال مسخره (دو قطبی بی‌معنی دو تیمی که هر دو یک صاحب و یک اسپانسر دارن) فقط برای ایجاد شکاف بین ما و گرم کردن سرمونه. #دربی #دربی_۸۸ #شهراورد #شهرآورد</t>
  </si>
  <si>
    <t>متحد و مهربان باشیم...تا آخر. تا رسیدن به آرمانشهر</t>
  </si>
  <si>
    <t>مدير مدرسه هاناگوارتز /اهل بك دادن نيستم</t>
  </si>
  <si>
    <t>اگه #دربى مساوى شده #بريزيد_تو_خيابونا</t>
  </si>
  <si>
    <t>دامبل نزديك</t>
  </si>
  <si>
    <t>@seidrazi این حرفای شما چیزی از ارزشهای تیم #استقلال کم نمیکنه</t>
  </si>
  <si>
    <t>‏آموزگار:چه کسی به باد شو خواهد کرد؟ دانش آموز:دختر همه ی هوس ها.</t>
  </si>
  <si>
    <t>اسپانسر این #دربی میبایست «تفلون کویر» باشه ولاغیر</t>
  </si>
  <si>
    <t>🍁خورشید خانوم💐</t>
  </si>
  <si>
    <t>https://pbs.twimg.com/media/DoHzIbYX0AAYpFF.jpg</t>
  </si>
  <si>
    <t>#استقلال</t>
  </si>
  <si>
    <t>‏‏‏روزنامه‌نگار، مجری، گزارشگر تهیه کننده تلویزیونی مشاوره رسانه‌ای Journalist Multi Media producer (TV, Internet,...) Pro-football media advisor</t>
  </si>
  <si>
    <t>قضیه خفت‌گیری هواداران #استقلال و #پرسپولیس بعد از #دربی با چاقو و ربوده شدن موبایل‌هاشون هشدار بدی از سوراخ امنیتی شهر می‌ده</t>
  </si>
  <si>
    <t>mhnike</t>
  </si>
  <si>
    <t>با اعلام گرشاسبی، پنج ماه است برانکو از باشگاه پرسپولیس پولی دریافت نکرده است... دلال موزامبیکی دو روز پولش دیر میشه زمین و زمان رو به هم میبافه. تنها آدمی که دلار 18000 تومنی حلالش هست #برانکو هست. #پرسپولیس</t>
  </si>
  <si>
    <t>https://telegram.me/HarfBeManBot?start=MjU2MDcxMzIz</t>
  </si>
  <si>
    <t>علاقمند به پستانداران وحشی، اهلی و خانگی.</t>
  </si>
  <si>
    <t>پایتخت</t>
  </si>
  <si>
    <t>دوستان استقلالی ممنونیم که نرفتین ترکیه پناهنده بشین و اومدین بازی کردین. میدونم مساوی با این وضعیتی که شما دارین خیلی براتون ارزشمنده ولی با این وجود دور علی گلابی ورندارین. #پرسپولیس #کس_خار_استقلال_تهران</t>
  </si>
  <si>
    <t>کاوه</t>
  </si>
  <si>
    <t>‏‏‏‏‏‏‏‏‏‏‏روزنامه‌نگار - Journalist - صحفي</t>
  </si>
  <si>
    <t>خاورمیانه - الشرق الأوسط</t>
  </si>
  <si>
    <t>حمله ۸ مهاجم مسلح به سلاح سرد به هواداران سرخابی در درب شرقی ورزشگاه آزادی - فوتبالی #دربی #دربی۸۸</t>
  </si>
  <si>
    <t>آرمین سلیمانی/</t>
  </si>
  <si>
    <t>https://www.instagram.com/fateme.zivari/</t>
  </si>
  <si>
    <t>‏‏‏‏‎‎‎#گرافیست ❇️ ‎‎‎‎‎#عکاس ⁦❇️⁩ ‎‎‎‎‎#انقلابی ❇️ ‎‎‎‎‎#آتش_به_اختیار⁦</t>
  </si>
  <si>
    <t>Islamic Republic of Iran جمهور</t>
  </si>
  <si>
    <t>دیدن #دربی نتیجه نداد گفتن این #تورقوزآباد رو بندازیم تو مردم تا دوباره برنگردن به قیمت #طلا و #دلار و #رب_گوجه و ....</t>
  </si>
  <si>
    <t>🇮🇷 فاطمه زیوری ⁦🏴</t>
  </si>
  <si>
    <t>تیم بچه محل های #تورقوزآباد قطعا شرف داره به #استقلال تهران</t>
  </si>
  <si>
    <t>نصبرزاده؛ کارشناس داوری پنالتی و اخراج سهرابیان گرفته نشد تف به شرف استقلال فدراسیون فوتبال و شوفر #کیسه #استقلال #دربی</t>
  </si>
  <si>
    <t>http://isport.ir</t>
  </si>
  <si>
    <t>روزنامه‌نگار؛ سردبیر سایت #آی‌اسپورت /برنامه #نود/ دبیر ورزشی روزنامه #سازندگی</t>
  </si>
  <si>
    <t>سرقت گوشی تماشاگران #دربی با سلاح سرد؛ پس از دربی خمیازه‌آور تهران، تماشاگران #استقلال و #پرسپولیس که از در شرقی ورزشگاه آزادی خارج شده بودند و پیاده به سوی ایستگاه مترو می‌رفتند، از سوی سارقان مسلح تهدید شده‌اند و گوشی‌شان را تحویل داده‌اند. خبری تلخ و ترسناک و تاسف‌ناک!</t>
  </si>
  <si>
    <t>مهدی امیرپور</t>
  </si>
  <si>
    <t>هوادارای #استقلال و #پرسپولیس رو بیرون از ورزشگاه خفت کردن و گوشیاشونو دزدین! بعد اینا رفته بودن داخل استادیوم ۵۰۰ تا دوربین نصب کردن. حماقتشون پایانی نداره!</t>
  </si>
  <si>
    <t>دانش جو،طرفدار اصلاحات،استقلالی🌟🌟</t>
  </si>
  <si>
    <t>حوالی میدان دوست</t>
  </si>
  <si>
    <t>#صدا‌و‌سیما یه درصد کوچیک از پول تبلیغاتی که پخش میکنی و بذار برای یه سیستم قرعه کشی درست و حسابی. #شب‌های_فوتبالی #شب_های_فوتبالی #فوتبال #دربی</t>
  </si>
  <si>
    <t>Sepideh</t>
  </si>
  <si>
    <t>https://pbs.twimg.com/media/DoH0t8uXUAAE7D5.jpg</t>
  </si>
  <si>
    <t>همه ما تاجيا واسه #ماهینی ناراحتيم😔 رباط صليبى ...اصلا لامصب اين دوتا كلمه كنارهم تو خبرا تن هوادار رو ميلرزونه! اميدوارم خودشو نبازه و بعدِ جراحى بجنگه واسه خوب شدن و برگشتن و فصل بعد دوباره تو اوج ببينيمش...🙏🏻 سلامتيت رقيب❤️🤝💙باقدرت برگرد💪🏻 #دربى</t>
  </si>
  <si>
    <t>حالا ما چارتا شوت زدیم سمت دروازه شما چیکار کردین؟ #استقلال #دربی</t>
  </si>
  <si>
    <t>سعي دارم همسر و پدري باشم شايسته براي خانواده كوچك خود. تخصص م اما مديريت استراتژيك برند، طراحي و اجراي كمپين هاي برندينگ و تبليغات و روابط عمومي ه</t>
  </si>
  <si>
    <t>حالا نتيجه #دربي هر چي باشه. ولي من نگران خانواده پاسبون هام</t>
  </si>
  <si>
    <t>RezaaMohajer</t>
  </si>
  <si>
    <t>instagram : hossein_rj</t>
  </si>
  <si>
    <t>یک سال پیش عربستان به زنان اجازه حضور در استادیوم را داد و کسی هم منقلب نشد. در ایران اما هنوز مسئولان معتقدند حضور زنان در #ورزشگاه اولویت جامعه نیست. @WomenDemands #حق_ورود_زنان_به_ورزشگاه #دربی #حقوق_زنان</t>
  </si>
  <si>
    <t>hossein RJ</t>
  </si>
  <si>
    <t>‏‏‏دانشجوی ابدی / مثلاً مهندس / پرسپولیسی و آث میلانی / وطن دوست و عاشق وطن/ همچنان به اصلاحات امید دارم</t>
  </si>
  <si>
    <t>متاسفانه باید به هردو تیم بگم ریدید با این فوتبال بازی کردنتون! 😒 حیف وقتی که برای دیدن این بازی هدر شد! 😏 #پرسپولیس_استقلال</t>
  </si>
  <si>
    <t>امیییر  :)</t>
  </si>
  <si>
    <t>زندگی یعنی فوتبال و موزیک ، فوتبال یعنی استقلال و آرسنال موزیک هم یعنی زیرزمین 💪 💙تاج👑 رو سرمه و دوتا ستاره🌟🌟 رو قلبم💙</t>
  </si>
  <si>
    <t>حیف اون همه استرس ،این فوتبالِ لامصب داره عمرمونو بگا میده. #دربی</t>
  </si>
  <si>
    <t>30avash</t>
  </si>
  <si>
    <t>حالا ک #دربی ب کسشر ترین حالت ممکن تموم شد و رفت پی کارش ب چی فرو کنیم مشغول بشیم و بخندیم ؟</t>
  </si>
  <si>
    <t>دانشجوی پزشکی</t>
  </si>
  <si>
    <t>#صفر_صفر هم یک نتیجه طبیعی برای #فوتبال هست چرا همیشه میخوایم دید منفی داشته باشیم نکوبیم اینقدر همدیگر رو #دربی</t>
  </si>
  <si>
    <t>Ayda Sadeghi</t>
  </si>
  <si>
    <t>‏‏‏مشاور خانواده/فعال فرهنگی/دغدغه مند تربیت توحیدی/معتقد و مطالبه گر عبودیت فردی و اجتماعی،عدالت و اقامه قسط و مبارزه با طواغیت/خاک پای منتظران منجی/عبد عاصی</t>
  </si>
  <si>
    <t>امروز آقای #احمد_توکلی حرف بسیار درستی زده است: افزایش بی رویه قیمت #دلار ، به #اخلاق و #دین مردم آسیب میزند. #اهواز #ایران #دربی #خودت_بمال #گوشمالی_سخت #جنگ_نمیشود_مذاکره_نمیکنیم #طاها_اقدامی</t>
  </si>
  <si>
    <t>پاسگاه مرزی</t>
  </si>
  <si>
    <t>دايركت جواب نميدم مرسي🐋</t>
  </si>
  <si>
    <t>مرداي ايراني اينقدر غيرت ندارن كه يك بار هم شده ورزشگاه نرن و به عدم حضور خانوما اعتراض كنم! همينقدر پوچ همينقدر خالي #دربي</t>
  </si>
  <si>
    <t>laila</t>
  </si>
  <si>
    <t>شد یبار فغانی واسه پرسپولیس سوت بزنه و شرافت داشته باشه؟؟؟؟ #کیسه</t>
  </si>
  <si>
    <t>https://pbs.twimg.com/media/DoH2U0FXsAAknYE.jpg</t>
  </si>
  <si>
    <t>پرسپولیس با #تساوی در دربی در صدر لیگ قرار گرفت . #پرسپولیس #دربی</t>
  </si>
  <si>
    <t>‏‏آنچه جان کَند تنم، عُمر حسابش کردند...</t>
  </si>
  <si>
    <t>هر چند خیلی سخته واسم به این فکر کنم که به استقلال امتیاز دادیم. ولی خب با این اوضاع تیم و پنجره بسته و عداوت های فدراسیون و مجری و گزارشگر و... به #پرسپولیس عزیزم افتخار میکنم که یه تیم متمول با خرید اون همه بازیکن و... 90 دقیقه واساد جلوش دفاع کرد تا یه امتیاز بگیره.</t>
  </si>
  <si>
    <t>Ahm3d Bertrand Aaqoo</t>
  </si>
  <si>
    <t>ما جسم پژو ،با مغز پيكان ... #دربي</t>
  </si>
  <si>
    <t>https://t.me/joinchat/Iy8a8FJD3LVYg1mNPzlnyA</t>
  </si>
  <si>
    <t>‏‏‏‏‏‏‏‏‏‏‏‏‏‏‏‏‏‏‏‏❌خبر مهم!دعوت فرستاده امام مهدی ع سید ‎‎‎‎‎‎‎‎‎‎‎‎‎‎‎#احمد_الحسن یمانی موعود در عراق شروع شده! برای آشنایی با دعوت این فرستاده 👇👇👇</t>
  </si>
  <si>
    <t>@ManotoNews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</si>
  <si>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محمّد</t>
  </si>
  <si>
    <t>@blue1995sky @sadeghZibakalam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</si>
  <si>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مهندس مکانیک (سیالات)</t>
  </si>
  <si>
    <t xml:space="preserve"> ⭕شُمالی وَچَه</t>
  </si>
  <si>
    <t>#پرسپولیس #استقلال #دربی88 تو این #شرایط_حساس_کنونی کی جرأت داره دروازه طرف مقابل شو باز کنه!!؟</t>
  </si>
  <si>
    <t>پاتریک</t>
  </si>
  <si>
    <t>@ageedoctor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</si>
  <si>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گونه ها از ضربِ سیلی چشمها از درد، آبی آزادی کیلویی چنده کشته ی روزای #دربی #صداقت_خرسندیان</t>
  </si>
  <si>
    <t>میزان پارگی! 😲😢 تو اینجور مواقع چی برای دلگرمی به بازیکن میگن، ایشالا کم پاره شده باشی یا چی!!😂😂😂 #پرسپولیس RT @PerspolisFCIran: خبرى بد براى پرسپوليس؛ ماهینی از ناحیه رباط صلیبی دچار مصدومیت شدیدی شده و بعد از ام آر ای میزان پارگی آن مشخص خواهد شد.</t>
  </si>
  <si>
    <t>بی خبر و در عین حال با خبر:(</t>
  </si>
  <si>
    <t>یکی از بدترین دربی های تاریخ برای هر یک از تماشاگران پرسپولیس و استقلال بود،زیرتوپ زدن های حساب شده از قبل کاملا در این بازی به چشم میخورد! دلمان به حال هواداری بسوزد که از شب قبل بازی مقابل ورزشگاه چادر زد! #پرسپوليس #استقلال #دربی #لیگ_برتر</t>
  </si>
  <si>
    <t>بی خبر</t>
  </si>
  <si>
    <t>http://www.hosseinzafari.ir</t>
  </si>
  <si>
    <t>‏‏‏‏‏‏آینده از آن حزب الله است. قرآن کریم. /‏دکتری ‎#آینده‌پژوهی</t>
  </si>
  <si>
    <t>قدیما کل بازی رو می‌دیدم و دیدن فرآیند بازی برام مهمتر از نتیجه بود؛ برعکس الان که بازی رو نمی‌بینم و فقط نتیجه رو می‌پرسم. عجیب نتیجه‌گرا شدم! #دربى٨٨ #استقلال #پرسپوليس</t>
  </si>
  <si>
    <t>حسین ظفری</t>
  </si>
  <si>
    <t>Journalist at Parsineh Website✏ Donyaye Football Magazine✏ Master of Civil Engineering</t>
  </si>
  <si>
    <t>pic.twitter.com/X9mHnGif2j</t>
  </si>
  <si>
    <t>خلع سلاح پرسپولیس توسط خودی‌ها! ویدیو کوتاه که نوراللهی و شجاع، ماهینی رو به سمت اتوبوس می‌برن! متاسفانه سازمان لیگ بدون درنظر گرفتن چمپیونزلیگ آسیا، برنامه مسابقات رو اعلام کرد و حاضر نشد تاریخ رو اصلاح کنه تا #پرسپولیس اینگونه خلع سلاح شه...</t>
  </si>
  <si>
    <t>سپهر خرمی</t>
  </si>
  <si>
    <t>خدا نبود شد پَ میشه اگه تو هم نباشی</t>
  </si>
  <si>
    <t>بعد این #دربی وقتی با مردم حرف میزنی میفهمی که دیگه هیچی به هیچ جاشون نیست #فقر #دلار</t>
  </si>
  <si>
    <t>mohammad reza</t>
  </si>
  <si>
    <t>دربی خیلی قشنگ تر میشه اگه تو کری خوندناتون از فحش و توهین استفاده نکنید، و به جاش از اسلحه استفاده کنید #دربی</t>
  </si>
  <si>
    <t>https://pbs.twimg.com/media/DoHdfvnW0AAAdX-.jpg</t>
  </si>
  <si>
    <t>https://twitter.com/azarijahromi/status/1045360375917674498</t>
  </si>
  <si>
    <t>😂 ما هم گاگول 😂 #جهرمی #تلگرام #دربی RT @azarijahromi: يكی از ويژگی‌های تماشای فوتبال در ورزشگاه، كنار هم قرار گرفتن افراد با ایده‌ها و دیدگاههای متفاوت در كنار يكديگر است. پس از ترک ورزشگاه متوجه شدم فردی كه كنارم نشسته بود، بازپرس صادركننده دستور فيلتر تلگرام بود.</t>
  </si>
  <si>
    <t>🇮🇷Majid suzuki🇵🇸</t>
  </si>
  <si>
    <t>A boy that's about to share his ideas in public. Love Barça!Love all the people around the world!❤</t>
  </si>
  <si>
    <t>کسل کننده ترین #دربی ای که تا حالا دیدم! 🙄</t>
  </si>
  <si>
    <t>Sina Jahanmiri</t>
  </si>
  <si>
    <t>http://Instagram.com/archiggram</t>
  </si>
  <si>
    <t>Civil-Architec</t>
  </si>
  <si>
    <t>Tabriz</t>
  </si>
  <si>
    <t>#فغانی از بازی‌های #جام‌جهانی اومده #دربی رو قضاوت می‌کنه... مث اینه که بعد #شیشلیک، آب کرفس بخوری.</t>
  </si>
  <si>
    <t>Alireza Ghahramani</t>
  </si>
  <si>
    <t>همینجوری ۲ تا محروم داشتیم ماهینی هم رفت؛ قلبم درد میکنه آقای #پرسپولیس! ناموسن بازی با السد چیکار کنیم بدون برانکو و ماهینی و کمال و حاجی انصاری!؟</t>
  </si>
  <si>
    <t>http://Instagram.com/mahtab.kardouni74</t>
  </si>
  <si>
    <t>‏‏‏‏‏‏‏‏‏‏‏‏‏‏‏‏‏‏‏‏‏‏ دانشجو روانشناسی |اهل مطالعه | دین، سیاست، فرهنگ، رسانه| گاه دستی بر قلم : ‎‎‎#ماه_نوشت خسته ام، خسته تر از آنکه بگویم چه شده...</t>
  </si>
  <si>
    <t>اینهمه برا هم کُری خوندین میبینم که هیچ کدوم از تیم هاتونم آش دهن سوزی نبود تباها آخه اینم شد بازی 😐 #دربی</t>
  </si>
  <si>
    <t>mahtab</t>
  </si>
  <si>
    <t>‏‏‏‏فارغ التحصیل هنر... .</t>
  </si>
  <si>
    <t>حتی #دربی هم گند زد تو حالمون،دلمون به چی خوش باشه خوبه؟به یک عدد جهانبخش هنوز میتوان امید داشت. _تازه دیوید بکهام هم هنوز با کلاه لبو فروش‌ها بازم خوشتیپ و جذابه. @Alirezajb7</t>
  </si>
  <si>
    <t>Fati</t>
  </si>
  <si>
    <t>https://pbs.twimg.com/media/DoH5ME-U8AIurMl.jpg</t>
  </si>
  <si>
    <t>بمیرم من برای اینهمه تنهایی و مظلومیتت💔 پرسپولیس با یازده بازیکن بزرگسال مقابل السد!!! #پرسپولیس</t>
  </si>
  <si>
    <t>MSc liverpoolical eng. https://telegram.me/harfbzanbot?start=2gBjR1</t>
  </si>
  <si>
    <t>Tehran-Shahsavar</t>
  </si>
  <si>
    <t>به عنوان یه فوتبالی سفت؛ به نظرم بیهوده ترین کار دنیا پیگیریه فوتبال ایرانه! #دربی #استقلال #پرسپولیس</t>
  </si>
  <si>
    <t>مهدارک</t>
  </si>
  <si>
    <t>‏با فوتبال زندگی میکنم از سیاست بیزارم (یه استقلالی سفت 💙💙💙💙و یه بارسایی سخت)</t>
  </si>
  <si>
    <t>https://pbs.twimg.com/media/DoH5wDTU0AUPXT1.jpg</t>
  </si>
  <si>
    <t>درست میشه/: #استقلال</t>
  </si>
  <si>
    <t>لوفجستیک</t>
  </si>
  <si>
    <t>https://t.me/Ehsangmz</t>
  </si>
  <si>
    <t>احسان گل‌محمدی هستم روزنامه‌‌نویس و خبرنگار Dad, husband, President, citizen.</t>
  </si>
  <si>
    <t>وزیری که با کت‌و‌شلوار به استادیوم می‌رود و با آستین کوتاه و شلوار جین به وزارت‌خانه| آقای #جهرمی نسل بعد با خواندن تاریخ به ما نمی‌خندد؟ #تلگرام #دربی RT @azarijahromi: يكی از ويژگی‌های تماشای فوتبال در ورزشگاه، كنار هم قرار گرفتن افراد با ایده‌ها و دیدگاههای متفاوت در كنار يكديگر است. پس از ترک ورزشگاه متوجه شدم فردی كه كنارم نشسته بود، بازپرس صادركننده دستور فيلتر تلگرام بود.</t>
  </si>
  <si>
    <t>Ehsan Golmohammadi</t>
  </si>
  <si>
    <t>https://www.varzesh3.com/news/1557010/%DA%AF%D8%B2%D8%A7%D8%B1%D8%B4-%D8%A8%D8%A7%D8%B2%DB%8C-%D8%A7%D8%B3%D8%AA%D9%82%D9%84%D8%A7%D9%84-%D9%88-%D9%BE%D8%B1%D8%B3%D9%BE%D9%88%D9%84%DB%8C%D8%B3-%D8%AA%D8%A7%D8%B1%DB%8C%D8%AE-1397-7-5</t>
  </si>
  <si>
    <t>#استقلال 0 - #پرسپولیس 0؛ کلاهبرداری بزرگ! #ESTvPER #TehranDerby #Shahravard #شهراورد #شهراورد88 #دربی88 #تهران #Iran #PersianGulf⚽ #لیگ_برتر #ایران 🇮🇷</t>
  </si>
  <si>
    <t>mariwan</t>
  </si>
  <si>
    <t>این بازی در حد لیگ کشوری که دلارش ۱۸۰۰۰تومنه نبود. #دربی</t>
  </si>
  <si>
    <t>heman shahabi</t>
  </si>
  <si>
    <t>یک #دربی کسل کننده، غیر جذاب و ضد فوتبال! دو تیم فقط خطا می کردند و روی زمین می افتادند و زیر توب می زدند! انگار با وقت کشی فقط سعی در تموم شدن زودتر بازی داشتند!</t>
  </si>
  <si>
    <t>Mojtaba Najafi</t>
  </si>
  <si>
    <t>‏‏‏‎‎‎#براندازم 👈تا رفراندوم با 👑شاهزاده رضا پهلوی👑👉</t>
  </si>
  <si>
    <t>حتی #دربی هم دیگه مثل مسکن عمل نمیکنه😏</t>
  </si>
  <si>
    <t>hiva</t>
  </si>
  <si>
    <t>باختر امروزبا جسارت و بی‌پروایی از مصالح علف‌خورها، پابرهنه‌ها، گرسنه‌ها و بی‌کفن‌ها دفاع خواهد کرد.شعار ما این است: یا مرگ یا آزادی http://bakhtare-emruz.com</t>
  </si>
  <si>
    <t>https://pbs.twimg.com/media/DoH6eJ6UcAArCOi.jpg</t>
  </si>
  <si>
    <t>http://bakhtare-emruz.com/2734/</t>
  </si>
  <si>
    <t>حال به همزن، تمثل دربی سرخابی! #استقلال #ایران #برانکو #پرسپولیس #حمیدجباری #شفر #شهرآورد #فوتبال #ورزش</t>
  </si>
  <si>
    <t>باختر امروز</t>
  </si>
  <si>
    <t>‏‏‏‏از چه میترسی دگر بعد سیاهی رنگ نیست</t>
  </si>
  <si>
    <t>https://pbs.twimg.com/media/DoH6lt9X0AEADfi.jpg</t>
  </si>
  <si>
    <t>چرا رفتی چرا من بی قرارم❤😔 #ماهینی #پرسپولیس</t>
  </si>
  <si>
    <t>🇮🇹ایتالیاایتالیا🇮🇹</t>
  </si>
  <si>
    <t>امیدوارم با باز شدن پنجره نقل و انتقالات #پرسپولیس، شجاع خلیل زاده و کمال کامیابی نیا هر چه سریع تر به خارج از باشگاه هدایت شوند! این ها با وحشی بازی های بی موردشان، شان #پرسپولیس را پایین آورده اند.</t>
  </si>
  <si>
    <t>حالا که ماهینی مصدوم شده جا داره بگم کس ننه طارمی_وحید امیری_محرمی_احمد زاده اللخصوص طارمی #پرسپولیس</t>
  </si>
  <si>
    <t>باش تا صبر فرزندان فقر به سر رسد / ‏‏‏‏‏‏آخرین شخصیت از کمپانی MARVEL / #براندازم</t>
  </si>
  <si>
    <t>ایران ویران</t>
  </si>
  <si>
    <t>اگه به جای #دربی #استقلال_پرسپولیس 90 دقیقه توو ورزشگاه #عموپورنگ برنامه اجرا میکرد حال همه بهتر بود</t>
  </si>
  <si>
    <t>Avenger</t>
  </si>
  <si>
    <t>https://pbs.twimg.com/media/DoH7uGgXcAAHY5R.jpg</t>
  </si>
  <si>
    <t>خب همین سوت زدن و تاکتیک بکش زیرشو علیمنصور هم داشت،تنها دلیل انتخاب شفر فک کنم اینه که موهاش بلوند استخوانیه همین #دربی @TwittSportiran</t>
  </si>
  <si>
    <t>Meysam</t>
  </si>
  <si>
    <t>ميگن امشب دولت نفرى ٥٠ ميليون ميزنه به كارت اين بازيكنا كه با اين بازى باعث جلوگيرى از به خطر افتادن امنيت كشور و دزدى اختلاس و ورشكست شدن اقتصاد كشور شدن. #دربی</t>
  </si>
  <si>
    <t>‏‏‏‏‏Journalist At Isna News Agency دبیرِ سرویسِ ورزشی ایسنا در خراسان</t>
  </si>
  <si>
    <t>جدا از سطح فوق پایین #دربی ، نیمه خالی لیوان اینکه چند تا زورگیر مسلح گوشیای هوادارای #استقلال و #پرسپولیس رو زدن اما نیمه پر لیوان اینکه نیروهای پلیس تونستن از ورود چند زن خطرناکی که می‌خواستن با گریم مردونه وارد ورزشگاه بشن جلوگیری کردن دمتون گرم بابا دمتون گرم</t>
  </si>
  <si>
    <t>Shervin Ramezani 🇮🇷</t>
  </si>
  <si>
    <t>اگه با #هرچی_برانکو_بگه مخالفی لطف کنید آنفالو یا بلاک کنید،ممنون... #پرسپولیس</t>
  </si>
  <si>
    <t>https://twitter.com/ehsan_rastgar/status/1045352952398057472</t>
  </si>
  <si>
    <t>#شهرآورد امروز در #کافه_ارک #استقلال #پرسپولیس #دربی RT @ehsan_rastgar: حسی دارم شبیه حس #امام_خمینی. هیچ حسی به هیچ کدوم ندارم؛ فقط #لیورپول 😊 #شهرآورد #دربی #پرسپولیس #استقلال #کافه_ارک @cafeark1 #کافه_فوتبال</t>
  </si>
  <si>
    <t>‏آنفیلدی ام!!</t>
  </si>
  <si>
    <t>۹۰ دقیقه ایرج ملکی جلوم مینشِست، جک میگفت، جذابیتش ازین دربی بیشتر بود. #چطو_بتو_گیر_ندادن #دربی</t>
  </si>
  <si>
    <t>ژان والژان</t>
  </si>
  <si>
    <t>يه سري از هوادراي #پرسپوليس اينقدر به اين ربيع خواه و ماهيني بدبخت گير دادن اينقدر نفرينشون كردن تا جفتشون مصدوم شدن حالا #حسين_ماهيني تا آخر فصل نيست خيالتون راحت شد؟ #دربي</t>
  </si>
  <si>
    <t>https://pbs.twimg.com/media/DoHeg9TV4AEsPf5.jpg</t>
  </si>
  <si>
    <t>https://twitter.com/ehsan_rastgar/status/1045361266301325314</t>
  </si>
  <si>
    <t>#شهرآورد امروز در #کافه_ارک #استقلال #پرسپولیس #دربی RT @ehsan_rastgar: از لذیذترین لحظات اینه که هیچ حسی به #استقلال و #پرسپولیس نداشته باشی و بشینی بین ۲۰ تا استقلالی و پرسپولیسی، حرص خوردنشونو تماشا کنی، #کری خوندنشونو ببینی و به هر دو طرف بخندی و کوچک‌ترین اضطرابی هم متوجهت نباشه. . #شهرآورد #دربی #دربی_فقط #کافه_ارک @cafeark1</t>
  </si>
  <si>
    <t>فلجتم رفيق، مَرد تنهاي شب الشيخ جابي @jurdinoo</t>
  </si>
  <si>
    <t>limbo</t>
  </si>
  <si>
    <t>از بازي #دربي فقط قرمزي #چشم سر #درد تموم شدن #شام و گرسنگي نصيبم شد 😒</t>
  </si>
  <si>
    <t>سامي لِگْ</t>
  </si>
  <si>
    <t>‏‏‏‏‏‎‎‎‎‎#رستاخیز_فیروزه_ای 💙 تلاش برای ایرانی آزاد و آباد برای همه ایرانیان</t>
  </si>
  <si>
    <t>یه موضوعی رو بگم پشماتون بریزه بعد از پایان #دربی ، زورگیرا رفتن خروجی شرقی ملت و خفت کردن هرچی موبایل بوده دزدیدن!! کسی که تو این اوضاع مملکت پاشده رفته دربی هر چی بلا سرش بیاد حقشه، آخه بی ناموسا داریم به فنا میریم پاشدی رفتی #فوتبال ؟ بیا اعتراض کن بابا</t>
  </si>
  <si>
    <t>Mr. Darcy</t>
  </si>
  <si>
    <t>https://t.me/trenditter</t>
  </si>
  <si>
    <t>ربات در دست ساخت! از هیچ جریانی حمایت نمیکنیم و جایی هم امضا ندادیم که مطابق خواست گروهی و بر خلاف واقع توییت کنیم! بات به تشخیص خودش از وضعیت، ریتوییت میکنه.</t>
  </si>
  <si>
    <t>ترمینال سرور</t>
  </si>
  <si>
    <t>هشتگ داغ 6 ساعت گذشته: #حب_الحسین_یجمعنا: 16810 توییت #IraniansWantRegimeChange: 10270 توییت #بندرانزلی: 5381 توییت #دربی: 2819 توییت #IranRegimeChange: 2057 توییت #اعتصاب_کامیونداران: 1760 توییت #ایران: 1722 توییت #براندازم: 1588 توییت</t>
  </si>
  <si>
    <t>ترندیتر</t>
  </si>
  <si>
    <t>حمله ۸ مهاجم مسلح به سلاح سرد به هواداران سرخابی در درب شرقی #ورزشگاه_آزادی ده ها موبایل به سرقت رفت! سارقان در جاده کناری، کنار درب برای هوادارانی که به سمت ایستگاه مترو می‌رفتند، کمین کرده بودند./قانون #دربی</t>
  </si>
  <si>
    <t>توپ تانک فشفشه، اقای #روحانی درست مملکت داری کن #IraniansWantRegimeChange #دربی</t>
  </si>
  <si>
    <t>دانشجو^ سربه زیر سر ^به دار ^ دوستدار دانشجوی انقلابی^ مشهدی^اسلام گرا^ دوستدار مکتب عالیه تشیع</t>
  </si>
  <si>
    <t>حتی آیتم گزارش پیوند انار با لیمو ترش توسط کشاورز خوش ذوق کرمانی توی اخبار شبانگاهی از #دربی امشب جذاب تره</t>
  </si>
  <si>
    <t>محمدباقرصالحی(si_civil)</t>
  </si>
  <si>
    <t>تو این روزای مزخرف دلمون به این #دربی خوش بود که متاسفانه اونم سرابی بیش نبود. شما که می‌خواستین مساوی کنید حداقل یک - یک مساوی می‌کردین #پرسپولیس_استقلال</t>
  </si>
  <si>
    <t>🔍Media Researcher 🎓Media Studies, Tehran University | اینجا هم هستم👉🏻 https://t.me/khiyabaan</t>
  </si>
  <si>
    <t>آذری جهرمی امروز رفته بود استادیوم #دربی‌ رو ببینه، چرا نمیاین قربون صدقه‌ش برین که انقد کول و اهل حال و‌ جیگره این وزیر جوان؟! آ قربونش!</t>
  </si>
  <si>
    <t>Haniye</t>
  </si>
  <si>
    <t>توعيت مي كنم پس هستم! #فوتبال #سياست #روزمره</t>
  </si>
  <si>
    <t>https://pbs.twimg.com/media/DoH9Z0yUYAA8rkr.jpg</t>
  </si>
  <si>
    <t>وقتی نیروی انتظامی، دوربین‌ها و لباس شخصی‌ها جای برقراری امنیت دنبال سرکوب اعتراضات احتمالی و دستگیری هواداران دختر بودند «هشت مهاجم مسلح به سلاح سرد در ورودی شرقی ورزشگاه، موبایل هواداران را دزدیدند»! #استادیوم_آزادی #دربی</t>
  </si>
  <si>
    <t>لاكپشت 🌟🌟</t>
  </si>
  <si>
    <t>https://about.me/aghdassi</t>
  </si>
  <si>
    <t>Business Developer | Software Solution Consultant | Former member of @taskulu_ir team</t>
  </si>
  <si>
    <t>https://pbs.twimg.com/media/DoH9bXmXkAAYybx.jpg</t>
  </si>
  <si>
    <t>بعد از این #دربی بی‌مزه، #ساپی‌ینس رو شروع کردم و از کرده‌‌ی خود دل‌شادم 👌</t>
  </si>
  <si>
    <t>AmirHossein Aghdassi</t>
  </si>
  <si>
    <t>🍁AutumnGirl🍁 From The Caspian Sea Until The Persian Gulf , Iran</t>
  </si>
  <si>
    <t>بازي چطور بود؟ يكي بيطرفانه بگه لطفا 😑 #دربي #استقلال_پرسپولیس</t>
  </si>
  <si>
    <t>Jonquil138</t>
  </si>
  <si>
    <t>خبرنگار حوزه ورزش و فوتبال</t>
  </si>
  <si>
    <t>https://pbs.twimg.com/media/DoH9cewXgAEO00N.jpg</t>
  </si>
  <si>
    <t>بعد از ۶ فصل دوباره تاریخ تکرار شد. #استقلال در شمال مقابل نساجی صفر صفر کرد و #پرسپولیس در تهران تیم گیلانی سپیدرود را با یک گل شکست داد و حالا #دربی دوباره با نتیجه ۰-۰ به اتمام رسید.</t>
  </si>
  <si>
    <t>M.Mehrdana</t>
  </si>
  <si>
    <t>‏عشق یک 1سینه و هفتاد و دو 72سر میخواهد . . . . . .</t>
  </si>
  <si>
    <t>همونجا</t>
  </si>
  <si>
    <t>محو در تماشای #دربی اینقدرام که میگن انگار جذاب نبوده!بوده؟! RT @azarijahromi: يكی از ويژگی‌های تماشای فوتبال در ورزشگاه، كنار هم قرار گرفتن افراد با ایده‌ها و دیدگاههای متفاوت در كنار يكديگر است. پس از ترک ورزشگاه متوجه شدم فردی كه كنارم نشسته بود، بازپرس صادركننده دستور فيلتر تلگرام بود.</t>
  </si>
  <si>
    <t>شهید نشی میمیری</t>
  </si>
  <si>
    <t>https://t.me/sinadotnet</t>
  </si>
  <si>
    <t>‏همیشه ‏خوب عالی معرکه و خوشبخت باشیم.</t>
  </si>
  <si>
    <t>یه چند سالی ه دلم به دیدن #دربی نمیره، بس کی بی مزه ست.</t>
  </si>
  <si>
    <t>Sinadotnet</t>
  </si>
  <si>
    <t>هعیییییی روزگارررررر😔😔</t>
  </si>
  <si>
    <t>قزوین</t>
  </si>
  <si>
    <t>نکته جالب #دربی اینکه نه قبلش کسی حال کل کل داشت نه خود بازیکنان حال بازی داشتن! از عوارض فشار اقتصادی بی حالیه</t>
  </si>
  <si>
    <t>امین قزوینی</t>
  </si>
  <si>
    <t>‏دانش جوووو</t>
  </si>
  <si>
    <t>مثل #دربی امروز نه رمقی برای گل زدن دارم، نه حالی برای دویدن، بدون جذابیت درحال تمام شدنیم...</t>
  </si>
  <si>
    <t>Ali Bameri</t>
  </si>
  <si>
    <t>‏‏‏‏‏‏‏‏به امید ایرانی آزاد، آباد و شاد 🔄</t>
  </si>
  <si>
    <t>دلار 18000 تومانی داره جونمون را میگیره، دوجا کار می‌کنم باز نمیرسونم، آن وقت تو بی غم جان خودت را برای #استقلال یا #پرسپولیس جر میدی! از آنطرف زنها هم چشمشان به یه همچین موجوداتیه تا از حقشان در خصوص حضور در استادیوم آزادی حمایت کنن! کلا دور هم ملت شادی هستیم #دربی</t>
  </si>
  <si>
    <t>Karikatorrr</t>
  </si>
  <si>
    <t>http://www.instagram.com/aramehetemadi</t>
  </si>
  <si>
    <t>پاره شدن رباط صلیبی #ماهینی توی چنین #دربی کسل‌کننده و بدون دستاوردی و جا موندنش از بازی‌ها تا پایان فصل، همون‌قدر دردناک و ناباورانه‌س، که من رو یاد مرگ عجیب بدلکار حرفه‌ای سینما، پیمان ابدی، در فیلم رده چندم و ضعیفی مثل چشم‌های نامحسوس می‌اندازه! هیاهو و تاوان برای هیچ!</t>
  </si>
  <si>
    <t>آرامه اعتمادی</t>
  </si>
  <si>
    <t>پرسپولیس در بازی مقابل #السد #برانکو و #کامیابی_نیا و #انصاری رو بدلیل محرومیت نداره و #ماهینی هم که مصدوم شد. فقط دو جمله میتوان گفت: ۱. لعنت به #طارمی ۲. لعنت به #طارق_همام ❤❤❤❤❤❤❤❤❤❤❤❤❤</t>
  </si>
  <si>
    <t>https://pbs.twimg.com/media/DoH_A0dU8AAHImp.jpg</t>
  </si>
  <si>
    <t>اینقدر میگفتین سوپرجام سوپرجام واسه همین؟ #استقلال #پرسپولیس #دربی</t>
  </si>
  <si>
    <t>TajSeries</t>
  </si>
  <si>
    <t>http://facebook.com/farazan</t>
  </si>
  <si>
    <t>‏Playwright, Scriptwriter &amp; Film critic عضو انجمن منتقدان و نویسندگان سینمایی ایران</t>
  </si>
  <si>
    <t>در ظل ۵۰۰ دوربین مخفی برای کشف بی‌ناموسی صورت گرفت: ➖زورگیری هشت مهاجم مسلح به سلاح سرد از هواداران پس از #دربی هشت مهاجم مسلح به سلاح سرد در ورودی شرقی ورزشگاه آزادی، موبایل هواداران را دزدیدند. براساس شنیده ها ده ها موبایل به سرقت رفته است./قانون @saazandegi</t>
  </si>
  <si>
    <t>وحید فرازان</t>
  </si>
  <si>
    <t>💯#Zquad</t>
  </si>
  <si>
    <t>world</t>
  </si>
  <si>
    <t>من نمیدونم چجور استقلالی هستم نه بازیاشو نگا میکنم نه بازیکناشو میشناسم 😕😕کلا تباهم. #استقلال #استقلالی</t>
  </si>
  <si>
    <t>Mah</t>
  </si>
  <si>
    <t>فارغ از هر زنده باد و مرده باد/سر به اصلاح وطن باید نهاد</t>
  </si>
  <si>
    <t>Astara</t>
  </si>
  <si>
    <t>کیفیت و کمیت اقدامات تهوع آورِ تفکیک جنسیتی در دولت اعتدالی #روحانی که مورد تایید قریب به اتفاق #اصلاح_طلبان ( از جمله خاتمی) بود به مراتب بیش از دولت احمدی نژاد است. #ورزشگاه_آزادی #دربی</t>
  </si>
  <si>
    <t>AmirMarkabi</t>
  </si>
  <si>
    <t>منم که گوشه میخانه خانقاه من است</t>
  </si>
  <si>
    <t>#دربی خفه شد</t>
  </si>
  <si>
    <t>احسان زارع</t>
  </si>
  <si>
    <t>https://pbs.twimg.com/media/DoH_-EiUcAAu4Za.jpg</t>
  </si>
  <si>
    <t>یادی از گذشته نه چندان دور #دربی #استقلال #لنگ</t>
  </si>
  <si>
    <t>https://twitter.com/AlsaddSC/status/1045394935074164737</t>
  </si>
  <si>
    <t>سرمربی #السد گفته الهیدوس و سعد الدوساری تا این لحظه به #پرسپولیس نمیرسن. ماجد، مدافع وسط اصلیشونم قطعا نمیرسه؛ بازیکن کره‌ایه هم معلوم نیس رسیدنش... تیم خودمون ک کم و کسر خیلی داره ولی تو #السد هم وضعیت زیاد جالب نیس خدا رو شکر #پرسپولیس #دربی RT @AlsaddSC: فيريرا : الهيدوس والحارس الدوسري غير جاهزان حتى هذة اللحظة للمباراة المقبلة في دوري الابطال، وانا مرتاح لمواصلة الانتصارات محلياً واسيوياً وعدم فقد نقاط ونحن في #السد لدينا تشكيلة قوية وانا مطمئن على الفريق وما يقدمه حتى الان #السد #قطر</t>
  </si>
  <si>
    <t>sahab</t>
  </si>
  <si>
    <t>همونی که زیاد راه میره / ما پیراهن سرخ پرسپولیس را به ارث برده ایم / با افتخار براندازم چون معتقدم اساس ظلم و جنایت را باید برانداخت</t>
  </si>
  <si>
    <t>کیر تو مهدی طارمی و سازمان لیگ و کیروش و هرکی که تو این موقعیت به پرسپولیس خیانت میکنه #پرسپولیس #ماهینی</t>
  </si>
  <si>
    <t>عابر پیــــــــــــــاده (زین الدین)</t>
  </si>
  <si>
    <t>Shiraz.</t>
  </si>
  <si>
    <t>#دربی 🔹هشت مهاجم مسلح به سلاح سرد در ورودی شرقی ورزشگاه، موبایل هواداران را دزدیدند. 🔹ده ها موبایل به سرقت رفته است. 🙄بعد ۵۰۰ تا دوربین بزارید داخل ورزشگاه 😶😶😶کصخلید بخدا</t>
  </si>
  <si>
    <t>Miladtex1</t>
  </si>
  <si>
    <t>@YeganehKhodami با #دربی به درد نخور</t>
  </si>
  <si>
    <t>با این شرایط جلوی ما هم برشام و خوخی فیکسن و با نرسیدن هیدوس و محرومیت ابوبکر احتمالا علی اسد الله فیکس بازی کنه تو تیم خودمونم با نبودن #ماهینی احتمالا آدام دفاع راست بازی میکنه، مصلح چپ و احمد بعنوان تک هافبک دفاعی رفت یه مساوی بگیریم، فینالیستیم ایشالا #پرسپولیس #السد</t>
  </si>
  <si>
    <t>http://www.ArdavanArt.com</t>
  </si>
  <si>
    <t>Journalist - Photographer</t>
  </si>
  <si>
    <t>Washington DC</t>
  </si>
  <si>
    <t>مملکت داره می‌ره به روستای خوش آب و هوای گا، هنوز دغدغه مسوولانش پاییدن دخترهاست که یواشکی نرن فوتبال ببینن! #فوتبال #دربی #ورزشگاه_آزادى #تراژدی #دختران</t>
  </si>
  <si>
    <t>Ardavan Roozbeh</t>
  </si>
  <si>
    <t>اقای #رحمتی کاپیتان محترم تیم #استقلال اینجا ملک شخصیتون نیست که عکس بازیکن رقیب به دست تشریف بیارید توی زمین تا وقتی پیرهن #تاج تنتونه لطفا اگر لازم میدونید که عکس به دست بیاید توی زمین اون عکس باید یه تاجی باشه</t>
  </si>
  <si>
    <t>میم کاف</t>
  </si>
  <si>
    <t>Manager of International Affairs of Nikatis(Event Management) with his heart in I.P.A .Co. .</t>
  </si>
  <si>
    <t>خب خداروشکر مثکه بازم چیزی رو از دست ندادم #دربی #کیر_تو_دربی</t>
  </si>
  <si>
    <t>پوریا صالحی</t>
  </si>
  <si>
    <t>A Medical Doctor; Not a Sacred One; Interested in Time.</t>
  </si>
  <si>
    <t>#آذری_جهرمی: پس از ترک ورزشگاه، متوجه شدم بازی #دربی بوده‌است!</t>
  </si>
  <si>
    <t>Ali Montazeri</t>
  </si>
  <si>
    <t>Journalist at titre1online website</t>
  </si>
  <si>
    <t>waltz with habeeb</t>
  </si>
  <si>
    <t>چند ساعت قبل از #دربی بری استادیوم نه تغذیه درست حسابی نه سرویس بهداشتی مناسب یه بازی صفر صفر ببینی چقدر پیاده راه بری برسونی خودتو به مترو آخرش چند نفر با چوب و چاقو و قمه بریزن سرت گوشیتو بدزدن 😞 😞</t>
  </si>
  <si>
    <t>📝 حـبیـب خلیفه 🔎</t>
  </si>
  <si>
    <t>@The_Ruhi توهمه آقا... بعدشم مگه به تعداده؟؟؟!!! شما کیفیت هوادارا رو بسنج که قطعا #استقلال تماشاگرای با کیفیت تری داره😉</t>
  </si>
  <si>
    <t>ZakiehSarshar</t>
  </si>
  <si>
    <t>pic.twitter.com/lpo2O50n0n</t>
  </si>
  <si>
    <t>https://twitter.com/MMLe0/status/1043506276515360769</t>
  </si>
  <si>
    <t>اینم #گل فوق العاده #ژروینیو برای #پارما در بازی هفته گذشته این تیم جلوی کالیاری که تو برنامه این هفته راجع بهش صحبت کردیم. سرعت، دقت، و قدرت. همه توی این گل جمع شدن. #ایتالیا #آفساید #دربى سین‌سین ⚫️🔵 RT @MMLe0: Gervinho just scored his version of the George Weah solo goal. The Cagliari defence parted like his hairline</t>
  </si>
  <si>
    <t>‏‏یک جوان پیر/ اجتماعی و گوشه گیر/ محتاط بی پروا/ روشنفکر متحجر/ منطقی نفهم/</t>
  </si>
  <si>
    <t>با این بازی وحشیانه ای که #استقلال یها انجام دادن،#حسین‌‌_ماهینی هم رباط پاره کرد و تا آخر فصل مصدومه. با این شرایط از آقای #برانکو عاجزانه خواهشمندیم اجازه بدن #رامین_رضاییان برگرده. #پرسپولیس #پرسپولیس_استقلال #برانکو_ایوانکوویچ @HosseinMahini @RezaeianRamin</t>
  </si>
  <si>
    <t>Arash Escobar</t>
  </si>
  <si>
    <t>بجاش امنیت داریم ؛ ولی در ورودی ورزشگاه بیش از ۵۰ گوشی را در روز روشن زورگیری میکنند حالا ۵۰۰ دوربین بذار که نصف جمعیت کشور به ورزیگاه نروند #دربی #IraniansWantRegimeChange</t>
  </si>
  <si>
    <t>ام آی سیکس</t>
  </si>
  <si>
    <t>جمهوری ایرانی. بی دیکتاتور. #براندازم ⛔️ پان_ کلهم⛔️</t>
  </si>
  <si>
    <t>#دربی بی خاصیت.........فقط مشغولید و ملایان به ریشتان میخندند..... #IraniansWantRegimeChange</t>
  </si>
  <si>
    <t>Bahman</t>
  </si>
  <si>
    <t>من که از بازترین پنجره با مردم این ناحیه صحبت کردم، حرفی از جنس زمان نشنیدم. ولی پنجره هنوز بازه، بیا تو!</t>
  </si>
  <si>
    <t>#دربی دیگه مُرد. ازین به بعد بگین تِربی.</t>
  </si>
  <si>
    <t>http://EMAM.COM</t>
  </si>
  <si>
    <t>‏‏‏‏‏ImamKhomeini | امام خمینی بنیانگذار کبیر انقلاب اسلامی و رهبر مستضعفان جهان En: ‎‎@IRKhomeini Ar: ‎‎@EmamKhomeiny</t>
  </si>
  <si>
    <t>I.R.Iran</t>
  </si>
  <si>
    <t>پیام تاریخی امام به‌مناسبت بازگشایی مدارس پس از پیروزی انقلاب این #انقلاب تا رسیدن به نتیجه نهایی -که قطع ید #آمریکا، شوروی، انگلستان وسایر دوَل استعمارگر است- ادامه دارد. فرزندان عزیزم! دیگر این شمایید که باید هرچه بیشتر کوشش کنید تا نهال #آزادی و #استقلال کشور را آبیاری کنید_۱</t>
  </si>
  <si>
    <t>Emam Khomeini</t>
  </si>
  <si>
    <t>اونلی جیزس کن جاج می!</t>
  </si>
  <si>
    <t>https://pbs.twimg.com/media/DoIGVniXoAArM5o.jpg</t>
  </si>
  <si>
    <t>مصداق بارز ارتباط گوز و شقیقه ! 😐🤣 #دلار #دربی #استقلال_پرسپولیس</t>
  </si>
  <si>
    <t>کرم سیاهچاله</t>
  </si>
  <si>
    <t>‏‏‏‏‏فرزند، دانشجوی دکتری برق، مهندس، اصلاح طلب، پرسپولیسی،/مجهز به آنفالویاب/</t>
  </si>
  <si>
    <t>بازی #دربی بوی گل نمیداد ولی تماشاگران خیلی بوی گل می دادند!!!#</t>
  </si>
  <si>
    <t>Abbaskomijani</t>
  </si>
  <si>
    <t>@azarijahromi #دربی 🔹هشت مهاجم مسلح به سلاح سرد در ورودی شرقی ورزشگاه، موبایل هواداران را دزدیدند. 🔹ده ها موبایل به سرقت رفته است. 🙄بعد ۵۰۰ تا دوربین بزارید داخل ورزشگاه 😶😶😶کصخلید بخدا</t>
  </si>
  <si>
    <t>Behzad_441</t>
  </si>
  <si>
    <t>بعد از بازی اعصاب خرد کن #دربی نتاتیابو باعث شد کمی روحیه مون بهتر بشه #تورقوزآباد</t>
  </si>
  <si>
    <t>احسان بخش🇮🇷</t>
  </si>
  <si>
    <t>‏‏‏‏‏‏‏ قهرمان مسابقات جهانی اتلاف وقت</t>
  </si>
  <si>
    <t>واقعا خیلی عجیبه... میشینین کس‌شعر نگاه میکنین بعد از تخمی بودنش شاکی هم هستین #دربی</t>
  </si>
  <si>
    <t>هنسی</t>
  </si>
  <si>
    <t>با این وضعیت محروم و مصدوم های #پرسپوليس همن روزاست که #برانکو بیاد وایسه وسط #آزادی فریاد بزنه هل من ناصر ینصرنی واقعه #کربلا</t>
  </si>
  <si>
    <t>http://almahdyoon.co</t>
  </si>
  <si>
    <t>@RestartIrani97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</si>
  <si>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بیقرار</t>
  </si>
  <si>
    <t>@Sayeh77876483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</si>
  <si>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http://iran-newspaper.com/</t>
  </si>
  <si>
    <t>‏‏‏خبرنگار</t>
  </si>
  <si>
    <t>۵۰۰ دوربین می‌ذارن که زنان تماشاچی‌ #دربی رو شناسایی کنن اما بعد از بازی چند نفر مسلح خیلی راحت به مردم حمله می‌کنن و موبایل‌هاشون رو می‌دزدن. بدون اینکه کسی مراقب مردم باشه!</t>
  </si>
  <si>
    <t>یگانه خدامی</t>
  </si>
  <si>
    <t>حالا که حال و هوای #دربی تموم شد باید خدمتتان عرض کنم که: #دلار ۱۸ تومنی دیگه بهش ارز نمیگن، بهش میگن طول.</t>
  </si>
  <si>
    <t>https://Twitter.com/iraneman_org</t>
  </si>
  <si>
    <t>‏‏‏‏‏‏‏‏‏‏‏‏‏پویای سیاسی - اقتصادی و عدالت اجتماعی پویش مدرسه سازی ایران من http://iraneman.org‎‎‎‎ http://iran-e-man.ir‎‎‎</t>
  </si>
  <si>
    <t>۵۰۰ دوربین برای شناسایی #دختران و البته بقول خودشان تماشاگرنماها در ورزشگاه کارگذاشتند آنوقت هشت مهاجم مسلح در ورودی شرقی ورزشگاه، ده‌ها هواداد را زورگیری کردند و موبایل‌ها را دزدیدند. #استقلال_پرسپولیس #دربی</t>
  </si>
  <si>
    <t>Pooya 🎗️</t>
  </si>
  <si>
    <t>#سید_جلال لب مطلب رو گفت، دو تیم برای گل نخوردن اومده بودن #دربی #پرسپولیس_قهرمان</t>
  </si>
  <si>
    <t>Shahdad Froutan</t>
  </si>
  <si>
    <t>روزی که ثابت شد زن بودن، چه حجم سنگینی از تنهایی است. #دربی</t>
  </si>
  <si>
    <t>@keanu_reeves_fa #خبرها را بررسی می‌کنیم، #گرانی و مشکلات بر تمام اخبار،حتی #دربی سایه انداخته! ای کاش به جای دل‌بستن به این وآن،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</si>
  <si>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حواریون</t>
  </si>
  <si>
    <t>@m_h963 #خبرها را بررسی می‌کنیم، #گرانی و مشکلات بر تمام اخبار،حتی #دربی سایه انداخته! ای کاش به جای دل‌بستن به این وآن،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</si>
  <si>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@santiaaagoooo #خبرها را بررسی می‌کنیم، #گرانی و مشکلات بر تمام اخبار،حتی #دربی سایه انداخته! ای کاش به جای دل‌بستن به این وآن،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</si>
  <si>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@monolozh #خبرها را بررسی می‌کنیم، #گرانی و مشکلات بر تمام اخبار،حتی #دربی سایه انداخته! ای کاش به جای دل‌بستن به این وآن،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</si>
  <si>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ميزي براي كار كاري براي تخت تختي براي خواب خوابي براي جان جاني براي مرگ مرگي براي ياد يادي براي سنگ اين بود زندگي!؟</t>
  </si>
  <si>
    <t>یاسوج_تهران</t>
  </si>
  <si>
    <t>دربی اینقدر کسل بود بعد دقیقه 30 تو اون همه جمعیت خوابم برد #دربی</t>
  </si>
  <si>
    <t>amin salimi</t>
  </si>
  <si>
    <t>#استقلال در ۳۲ روز قبل از دربی ۳ بازی انجام داده، #پرسپولیس در ۳۰ روز قبل از دربی ۴ بازی انجام داده، استقلال تا ۹ روز بعد از #دربی بازی نداره! پرسپولیس ۵ روز بعد از دربی بازی داره! استقلال در یک‌ماه آینده فقط ۳ بازی داره! پرسپولیس در ۲۸ روز آینده ۵ بازی مهم داره! #وزیر_پرسپولیسی</t>
  </si>
  <si>
    <t>‏‏‏‏‏فرزند - پدر - همسر --- شدیدا گرفتار روزمرگی --- شدیدا معتقد به وجود یک راه حل واحد برای تمام مسائل --- هنوز با این سن در حال پیدا کردن راه</t>
  </si>
  <si>
    <t>دیر و کنشت</t>
  </si>
  <si>
    <t>https://twitter.com/Pire_Moqan/status/1045409447240069120</t>
  </si>
  <si>
    <t>دقت کردید این روزا همه اعلام #استقلال میکنن؟ هیشکی اعلام #پرسپولیس نمیکنه؟ وقت آن نرسیده که ایمان بیاورید؟ RT @Pire_Moqan: میگن #تورقوزآباد اعلام استقلال کرده و #تورقوزآباد ی های عراق هم اعتصاب کردن</t>
  </si>
  <si>
    <t>إلى القدس</t>
  </si>
  <si>
    <t>@DonDraperM #خبرها را بررسی می‌کنیم، #گرانی و مشکلات بر تمام اخبار،حتی #دربی سایه انداخته! ای کاش به جای دل‌بستن به این وآن،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</si>
  <si>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چقدر عجيب است چرخ روزگار كه هيچ كس قادر نيست چرخش آن را پيش بينی كند #میرحسین</t>
  </si>
  <si>
    <t>https://pbs.twimg.com/media/DoILL8KU4AE-0jJ.jpg</t>
  </si>
  <si>
    <t>رهبر من ایشونه! رید به همه دوربینا! #پرسپولیس</t>
  </si>
  <si>
    <t>فَرِه</t>
  </si>
  <si>
    <t>https://pbs.twimg.com/media/DoIL3BRU0AAuNUv.jpg</t>
  </si>
  <si>
    <t>https://sport.shafaqna.com/FA/221545/</t>
  </si>
  <si>
    <t>(بدترین خبر برای #پرسپولیس؛ داربی بی نتیجه و یک مصدومیت جدی)  #ماهینی #پرسپولیس</t>
  </si>
  <si>
    <t>‏‏‏‏‏‏‏‏‏‏‏‏‏‏‏‏‏‏سخن این است که ما بی تو نخواهیم حیات...... ‏‎‎‎#معمار ‎‎#ماکت_ساز ‎‎‎‎‎‎‎‎‎‎‎‎‎‎‎‎‎‎‎‎#Architect ‎‎‎‎#Replicator</t>
  </si>
  <si>
    <t>https://pbs.twimg.com/media/DoIMIgMVAAAl47U.jpg</t>
  </si>
  <si>
    <t>#وزیر_ارتباطات هم تو #ورزشگاه_آزادی بازی #دربى رو از نزدیک تماشا کردند؛ این آقایی هم که کنارشون نشستن، همون بازپرسی هستن که دستور #فیلتر_تلگرام رو صادر کرد😀</t>
  </si>
  <si>
    <t>Molaei</t>
  </si>
  <si>
    <t>جدی میخواین چن دیقه حواسمون از این زندگیو مزخرفاتش پرت شه،جا برگزاری این #دربی هایِ کسشر،۴۲۰ دیقه #فوتبال۱۲۰ پخش کنین،وَلاه که جوابه.</t>
  </si>
  <si>
    <t>ویلیام‌ والاس</t>
  </si>
  <si>
    <t>دختري با كتوني هاي سفيد زرنگي!</t>
  </si>
  <si>
    <t>هیچ کدومتون نمیفهمید بابا وزیر جوان تو عمرش دیگه جایگاه راش‌ نمیدن داره استفاده میکنه یاد فلافلی سر کوچه افتادم که تا اونجاای که یه سلول هم نون جا داشته باشه از کواد یارو استفاده میکنن #پرسپولیس #وزیر_جوان</t>
  </si>
  <si>
    <t>رويا</t>
  </si>
  <si>
    <t>خدارو شکر هر 500 تا دوربینو نصب کردن، یکم نگران بودم نرسن ب #دربی #زنان‌در‌آزادی</t>
  </si>
  <si>
    <t>به جای اینکه زوم کنن رو #دزد های بیرون #استادیوم قفلی زدن رو دخترهایی که با لباس پسرونه میان تیم محبوبشون و تشویق کنن #دربی #زنان_استادیوم #امنیت</t>
  </si>
  <si>
    <t>حیف این توییت که حروم شد #دربی</t>
  </si>
  <si>
    <t>بخوریدو بیاشامید اما دعوا نکنید</t>
  </si>
  <si>
    <t>اینترمینال</t>
  </si>
  <si>
    <t>#منافق منم ک هم توییت های #استقلال یا و هم #پرسپلیس ی ها رو فیو میکنم:))</t>
  </si>
  <si>
    <t>اون ۵۰۰ تا دوربین اطراف استادیوم ظاهرا یا مشقی بوده یا فقط برای شناسایی زن‌ها تنظیم شده بوده. خبرهای غیر رسمی از زورگیری با سلاح سرد و سرقت ده‌ها موبایل حکایت دارد. محل: در شرقی #استادیوم_آزادی #دربی</t>
  </si>
  <si>
    <t>Hossein mehrzad</t>
  </si>
  <si>
    <t>اين جهان كوه است و فعل ما ندا...</t>
  </si>
  <si>
    <t>همينجا</t>
  </si>
  <si>
    <t>آقا جدا از همه اينا سعيد فتاحي راست ميگفت استقلال نميتونه ٩٠درصدشو پُر كنه ها.. بابا اينا ٥٠درصدم نتونستن پر كنن ٩٠درصد پيشكش #دربي</t>
  </si>
  <si>
    <t>بوربور</t>
  </si>
  <si>
    <t>CIVIL ENGINEERING @ U.S.C</t>
  </si>
  <si>
    <t>هر چقدر با #دربی حال نکردیم و خستمون کرد ، با خوندن توییت های #تورقوزآباد جان دوباره گرفتیم😂✌🏼</t>
  </si>
  <si>
    <t>http://www.instagram.com/alisharifzade_</t>
  </si>
  <si>
    <t>Photojournalist</t>
  </si>
  <si>
    <t>https://pbs.twimg.com/media/DoINlVaUcAIz49X.jpg</t>
  </si>
  <si>
    <t>فریادهای وینفرد #شفر سرمربی تیم فوتبال #استقلال تهران در بازی مقابل #پرسپولیس #دربی #دربی۸۸</t>
  </si>
  <si>
    <t>alisharifzade</t>
  </si>
  <si>
    <t>‏وقتی آمدی توئیتر چشم ها را باید شست، جور دیگر باید دید</t>
  </si>
  <si>
    <t>https://pbs.twimg.com/media/DoINvwXVsAAbXNa.jpg</t>
  </si>
  <si>
    <t>با 500 تا دوربین، این خانم امروز #دربی را در استادیوم دید آن هم بدون ریش و سیبیل #IraniansWantRegimeChange</t>
  </si>
  <si>
    <t>👁👁cheshm_abi</t>
  </si>
  <si>
    <t>‏‏‏‏‏‏‏‏‏‏‏‏‏‏‏‏‏‏‏‏‏مرگ و زندگی در نظرم برابر شده، هر دو سرشار از نادانی | جبرگرای محتاج اختیار | دیگر؟ هیچ</t>
  </si>
  <si>
    <t>Shutter Island</t>
  </si>
  <si>
    <t>مادرم گفت استقلال با آزادی بازی داره؟ گفتم نه استقلال آزادی با هم یارن و با جمهوری اسلامی بازی دارن قصار گوی کی بودم من #دربی</t>
  </si>
  <si>
    <t>آق گارا</t>
  </si>
  <si>
    <t>کجا باید برویم ؟! مایی که در این بیابان برهوت به دنبال بهترین خودمان میگردیم</t>
  </si>
  <si>
    <t>Homeless</t>
  </si>
  <si>
    <t>https://pbs.twimg.com/media/DoIOPWvVAAAnLxs.jpg</t>
  </si>
  <si>
    <t>به رغم ظاهراً وجود ۵۰۰ دوربین نظارتی ، این خانم امروز با حضور در استادیوم بازی #دربی را تماشا کرد 🇮🇷ایران خبر</t>
  </si>
  <si>
    <t>john wick</t>
  </si>
  <si>
    <t>‏روزنامه‌نگار | عضو حزب اتحاد ملت ایران اسلامی | دانشجوی دکتری عمران | فعال سیاسی</t>
  </si>
  <si>
    <t>https://pbs.twimg.com/media/DoIOU7IXgAI2H-j.jpg</t>
  </si>
  <si>
    <t>برنده #دربی امروز کسی نیست جز این خانم که به تنهایی ۵۰۰ دوربین رو شکست داد!</t>
  </si>
  <si>
    <t>Reza Bahrami</t>
  </si>
  <si>
    <t>برنامه نویس اندروید(با کمتر از نیم قرن تجربه)،استارتاپ لاوِر</t>
  </si>
  <si>
    <t>چه #دربی مسخره ای بود نه تنها بدبختیامون یادمون نرفت من از اون موقع دارم غصه ی رباط پاره کردن حسین ماهینی رو میخورم کلا شدیم فیکس 11 نفر</t>
  </si>
  <si>
    <t>محــ مهدی ــمد</t>
  </si>
  <si>
    <t>بي ادعا</t>
  </si>
  <si>
    <t>https://pbs.twimg.com/media/DoIPWArXoAAOiWS.jpg</t>
  </si>
  <si>
    <t>پيشنهاد به دوستان #پرسنال_برندينگ جهت استفاده به عنوان پوستر اتاق خواب ! #آذري_جهرمي #دربي</t>
  </si>
  <si>
    <t>rasoul</t>
  </si>
  <si>
    <t>بات بات باتم من خاک زیر پاتم من</t>
  </si>
  <si>
    <t>۵۰۰تا دوربین تو #ورزشگاه_آزادی کار گذاشتن زاع #دختر ها رو بزنن اون وقت خود بازیو با ۴تا دوربین پوشش میدن #دربی #IraniansWantRegimeChange</t>
  </si>
  <si>
    <t>ⓡⓞⓑⓞⓣ</t>
  </si>
  <si>
    <t>http://bit.ly/2spGvnO</t>
  </si>
  <si>
    <t>‏‏‏‏‏روزنامه نگار و خبرنگار مستقل Independent Journalist http://t.me/Elham_Yazdiha‎‎‎‎‎</t>
  </si>
  <si>
    <t>https://pbs.twimg.com/media/DoIPzG2VAAAOO6-.jpg</t>
  </si>
  <si>
    <t>بهاره نوشته "پایان حسرت چندساله برای دیدن دربی..." حالا شما هی مامور بذار، هی دوربین نصب کن .. هی شعار زیرساخت بده... دخترها خودشون کم کم این درها رو باز می کنند. #زنان_ورزشگاه #زنان #زنان‌درآزادی #ورزشگاه_آزادی #ورزشگاه #دربی #دربی۸۸</t>
  </si>
  <si>
    <t>Elham Yazdiha</t>
  </si>
  <si>
    <t>‏‏‏‏‏استحمار ستیز / مولف ک.نانوشته «نانوایان»/ هروقت بشه ‎‎‎‎‎#سنگر_خاطرات مینویسم/و ‎‎‎‎#تحسرات ناراحتی هایم است ... (دلداده نوای عرشی سابق)</t>
  </si>
  <si>
    <t>هرکجا عِشـقْ است آنجا خاک ماست</t>
  </si>
  <si>
    <t>با شناختی که از جهرمی دارم انتظار داشتم تو دربی یه طرف صورتشو قرمز کنه یه طرفو آبی واقعا عجیبه که این کارو نکرد #دربی</t>
  </si>
  <si>
    <t>ویکتور هاونگ</t>
  </si>
  <si>
    <t>#ایده_پرداز ، ‎‎#مشاور و ‎‎#استراتژیست_تبلیغاتی (#تبلیغاتچی)</t>
  </si>
  <si>
    <t>Tehran_iran</t>
  </si>
  <si>
    <t>https://pbs.twimg.com/media/DoIP_lJU0AEKW2e.jpg</t>
  </si>
  <si>
    <t>#دربی چند چند شد ؟؟؟ #پرسپولیس صفر - صفر #استقلال خوابمون برد وسط بازی</t>
  </si>
  <si>
    <t>Reza Reyhanikia</t>
  </si>
  <si>
    <t>https://pbs.twimg.com/media/DoIQMnwXsAEQ3NG.jpg</t>
  </si>
  <si>
    <t>پيشنهاد به دوستان #پرسنال_برندينگ جهت استفاده به عنوان پوستر اتاق خواب ! اينم از #lovelyman بعضي ها :)) #جهرمی #آذري_جهرمي #دربي</t>
  </si>
  <si>
    <t>http://instagram.com/meysammbagheri</t>
  </si>
  <si>
    <t>من معنی جدیدی برای هرچیزیم ❤پرسپولیس❤ 😇اسفندی😇</t>
  </si>
  <si>
    <t>هرکی استقلالیه تو دید رس نباشه #پرسپولیس #perspolis</t>
  </si>
  <si>
    <t>MEYSAMMBAGHERI</t>
  </si>
  <si>
    <t>pic.twitter.com/vzNt75d6Uy</t>
  </si>
  <si>
    <t>https://twitter.com/azademohamadiye/status/1045384555480387584
https://twitter.com/azademohamadiye/status/1045384248440573952/video/1</t>
  </si>
  <si>
    <t>اگه اینو واسه بیرانوند میگفت آب طالبی خور و دارودسته اش یکی از سند های پرسپولیسی بودن وزیر رو رو کرده بودن:)))) #استقلال RT @azademohamadiye: پرسپولیس مظلوم من باریکلا؟ آقای احمدی باریکلا که در یک کلمه بیان کردید آنچه ما سالهاست می گوییم. استقلال سوگلی شما و برابر با تیم ملی ست که گرفتن توپش از ما باریکلا دارد!!</t>
  </si>
  <si>
    <t>@HosseinMahini در قلب مایی و ما تمام حمایت مارو داری ، قوی‌تر از همیشه برمیگردی #پرسپولیس #حسین_ماهینی</t>
  </si>
  <si>
    <t>گوزوها چرا سکوهاتونو پر نکردید #دربی #کیسه_کشا</t>
  </si>
  <si>
    <t>https://t.me/BChatBot?start=sc-286011119</t>
  </si>
  <si>
    <t>‏‏‏‏دو دقیقه اومدم خودتونو ببینم</t>
  </si>
  <si>
    <t>خیلیا ازم میپرسن : استاد چرا با استقلال مخالفید؟ جواب من اینه من به همون دلیلی که با استقلال کردستان مخالفم با استقلال تهرانم هم مخالفم! #دربی</t>
  </si>
  <si>
    <t>توماس کاریزماتیک</t>
  </si>
  <si>
    <t>زنان ایرانی برای استادیوم رفتن خودشون را جر میدن به این فکر کردن سه دهه قبل چرا زنان به فکر نبودند که برن استادیوم؟ راستی شما شنیدید بازیکنی یا تیمی از رفتن زنان به استادیوم حرکتی یا حمایتی کرده باشند؟ شده زن‌ها تیم ملی را تحریم کنند؟ #دربی۸۸ #دربی</t>
  </si>
  <si>
    <t>http://goo.gl/5KtgUZ</t>
  </si>
  <si>
    <t>‏‏‏‏‏‏‏‏سید احمدالحسن ع ،وصی و فرستاده ای از طرف امام مهدی ع،همان یمانی موعود بین ماست،تحقیق کنید تا به حقیقت برسید‌. لینک گروه پرسش و پاسخ</t>
  </si>
  <si>
    <t>@AHirad29414413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</si>
  <si>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Talot_10313</t>
  </si>
  <si>
    <t>@petrosian10447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</si>
  <si>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https://telegram.me/HarfBeManBot?start=MTAwODgzNzAy</t>
  </si>
  <si>
    <t>‏‏‏‏‏‏‏‏‏‏‏‏‏‏‏ بارون که می باره تو فکر چترتی من تو فکر گنجیشکام... ‎‎‎‎‎‎‎‎‎‎‎‎‎‎‎‎‎‎#راحت_باش ‎</t>
  </si>
  <si>
    <t>خیلی برام مهم کی ساعت ۷:۳۰ صبح جمعه بلند میشه تا تکرار این دربی ببینه؟؟!!! #پرسپولیس_استقلال</t>
  </si>
  <si>
    <t>مارکو بین شهری</t>
  </si>
  <si>
    <t>http://almahdyoon.org</t>
  </si>
  <si>
    <t>‏‏‏‏‏سید احمدالحسن ع ،وصی و فرستاده ای از طرف امام مهدی ع،همان یمانی موعود بین ماست،تحقیق کنید تا به حقیقت برسید‌</t>
  </si>
  <si>
    <t>https://pbs.twimg.com/media/DoISy5IWsAINIOK.jpg</t>
  </si>
  <si>
    <t>http://goo.gl/zWtRRx</t>
  </si>
  <si>
    <t>@MoHoSAb در دوران آوارگی، #شیخ_عباس_فتحیه از طریق #فضای_مجازی به مناظرات و پاسخگویی به بیش از ۳۰۰شبهه و فعالیت‌های دیگر پرداخت و #شیخ_حسن_سلطانی نیز با زهد و اخلاق، ‌در قالب منبر و گفتمان‌های علمی، قدمی در مسیر زمینه‌سازی #دولت_عدل_الهی برداشت. #ایران #دربی</t>
  </si>
  <si>
    <t>یااحمد</t>
  </si>
  <si>
    <t>آقای سین</t>
  </si>
  <si>
    <t>@SadraMohaqeq اگر شما اینو گفتید برای تحقیر استقلال(که قطعا همینطوره)اینم بای گفت که بقول #کیروش از نظر جامعه شناسی طرفداران استقلال و پرسپولیس ،مرسپولیس تیم حاشیه شهری ها و پا برهنه هاست اما #استقلال تیم طبقه متوسط فرهنگی به بالا.حالا شما این یه نمونه رو که نمیتونی نمونه خروار کنی</t>
  </si>
  <si>
    <t>Siamak</t>
  </si>
  <si>
    <t>https://telegram.me/harfbzanbot?start=LLXvyjb</t>
  </si>
  <si>
    <t>‏‏‏‏‏طِب‌آموزی کوچک👩🏻‍⚕️🇫🇷 علاقه‌مند به پاریس🗼قرمز♥️سبزی‌پلوباماهی🍣لالالند🌌 در تلاش برای زندگیِ بهترِ حیوانات🐽💝 ‎‎‎‎‎#صدای_حیوانات_باشیم 🐶🐾</t>
  </si>
  <si>
    <t>نگرد،نیستم...</t>
  </si>
  <si>
    <t>+باز بلاکت کنم؟😒 -باز کم آوردین؟😂✌🏻 (از سری کل‌کل‌‌های بعد از #دربی)</t>
  </si>
  <si>
    <t>فافا صدام‌ میکنن‌(;</t>
  </si>
  <si>
    <t>هر وقت #پرسپوليس مي بره هروقت ميبازه هر وقت مساوي ميكنه هر وقت بازيكنامون مصدوم ميشن هر وقت يه بازييكن مجبوره تو چند پست غ تخصصي بازي كنه، فقط ميگممم خدا لعنتت كنه #طارمي و #طارهري</t>
  </si>
  <si>
    <t>https://pbs.twimg.com/media/DoITHFJXsAElycn.jpg</t>
  </si>
  <si>
    <t>@SarrafSaeed در دوران آوارگی، #شیخ_عباس_فتحیه از طریق #فضای_مجازی به مناظرات و پاسخگویی به بیش از ۳۰۰شبهه و فعالیت‌های دیگر پرداخت و #شیخ_حسن_سلطانی نیز با زهد و اخلاق، ‌در قالب منبر و گفتمان‌های علمی، قدمی در مسیر زمینه‌سازی #دولت_عدل_الهی برداشت. #ایران #دربی</t>
  </si>
  <si>
    <t>Sublimation</t>
  </si>
  <si>
    <t>https://pbs.twimg.com/media/DoITdcAU8AAdLcj.jpg</t>
  </si>
  <si>
    <t>از حاشیه‌های بازی #دربی</t>
  </si>
  <si>
    <t>Golboo⁦</t>
  </si>
  <si>
    <t>https://pbs.twimg.com/media/DoIThPvWkAEBMDG.jpg</t>
  </si>
  <si>
    <t>@zekipedia @OmidMahdinejaD در دوران آوارگی، #شیخ_عباس_فتحیه از طریق #فضای_مجازی به مناظرات و پاسخگویی به بیش از ۳۰۰شبهه و فعالیت‌های دیگر پرداخت و #شیخ_حسن_سلطانی نیز با زهد و اخلاق، ‌در قالب منبر و گفتمان‌های علمی، قدمی در مسیر زمینه‌سازی #دولت_عدل_الهی برداشت. #ایران #دربی</t>
  </si>
  <si>
    <t>تا ابد جات اینجاست ❤❤❤❤❤ @HosseinMahini #پرسپولیس</t>
  </si>
  <si>
    <t>‏منم که گوشه میخانه خانقاه من است</t>
  </si>
  <si>
    <t>از صد نفر بعد از دربی زورگیری کردن قبل دربی از هزاران نفر رورگیری کردن #دربی #دربى٨٨ #شهرآورد</t>
  </si>
  <si>
    <t>Ehsan.Zare</t>
  </si>
  <si>
    <t>She said 'cool &amp; hot' but I'm LOOSE | Skeptic to anything | Nyctophilia | #bi🏳️‍🌈 ∞ #Inter🇮🇹</t>
  </si>
  <si>
    <t>بر باد رفته از زنجان</t>
  </si>
  <si>
    <t>وسلی #اسنایدر تو مصاحبه زنده با فوتبال۱۲۰ گفت بهترین بهترین #دربی که دیده دربی استانبوله بین گالاتاسرای و فنرباغچه بخاطر شور و هیجان بی‌نظیرش! جالبه تو دربی میلان و ال کلاسیکو بازی کرده خودش</t>
  </si>
  <si>
    <t>$noop Du££</t>
  </si>
  <si>
    <t>تعداد تماشاگران #استقلال این قدری بود که #شفر می‌تونست بگه اگه بردیم همتون شام مهمون من! #دربی</t>
  </si>
  <si>
    <t>mohsen.zlf</t>
  </si>
  <si>
    <t>بازی #دربی هم انقدر یخ و مزخرف بود که اصلا آدم رغبت نمیکنه دیگه کل کل کنه و برای تیم حریف کری بخونه</t>
  </si>
  <si>
    <t>با تو شکسته همیشه نتیجه مذاکرات !</t>
  </si>
  <si>
    <t>خاطرات</t>
  </si>
  <si>
    <t>حالم بهم میخوره از فوتبال #دربی</t>
  </si>
  <si>
    <t>مريم</t>
  </si>
  <si>
    <t>‏‏‏او می‌داند که جنایتکاران خیلی خرافاتی‌اند، بنابراین باید با نمادی علیه آن‌ها بجنگد که ترس را به قلبشان وارد کند</t>
  </si>
  <si>
    <t>Gotham City</t>
  </si>
  <si>
    <t>https://pbs.twimg.com/media/DoIU0LlUUAEZcsr.jpg</t>
  </si>
  <si>
    <t>حکومتی که از ترس #اعتراضات مردمی میلیونها بیننده را مچل میکنه و دستور تساوی #دربی را می‌دهد باید تف کرد برسر و روی ورزش و مدیرانش تا هنگامه #براندازی، بر پدر هرچه #فوتبال_سیاسی و ورزش #ایدئولوژیک لعنت احساس من دستور اکید بطرفین #دربی برای تساوی بودشما چطور؟ #پرسپولیس_استقلال</t>
  </si>
  <si>
    <t>بروس وین ©</t>
  </si>
  <si>
    <t>‏‏از آزادی ،نان و شادی می نویسم</t>
  </si>
  <si>
    <t xml:space="preserve"> در وطن خویش غریب</t>
  </si>
  <si>
    <t>خطاب به آنها که یک روزشان را خراب #دربی کسل کننده تهران کردند. ارزشش را داشت؟ چه میشد فوتبالدوست ها در اعتراض به شرایط تاسف بار کشورمان یک بازی را تحریم میکردند یا مردان هم وطن، تماشای این بازی را خرج حقوق پایمال شده زنان این سرزمین میکردند؟ پایه ی نظام جور کوته فکری ماست.</t>
  </si>
  <si>
    <t>شادی  قشقایی</t>
  </si>
  <si>
    <t>‏‏‏پیاده روی دویدن رو دوست دارم چون بهم احساس آزادی میده..پابند دین ومذهب خاصی نیستم و هیچ تعصبی ام ندارم. خواستار آزادی و عدالت #براندازم #انسانیت</t>
  </si>
  <si>
    <t>اونایی که عمروز ورزشگاه ازادی رو پر کرده بودن مثلا که چی بشه بلند شده بودین با شادی رفته بودین ... تمام این حرکات ملت عقب افتاده نشون میده که پشت این رژیم هستین... خلایق هرچه لایق #دربی #جهل</t>
  </si>
  <si>
    <t>Qasedak</t>
  </si>
  <si>
    <t>‏خشونت محکوم است گفتمان پیروز</t>
  </si>
  <si>
    <t>@zahramolaei17 @basoshadid سیاه پوشیده بودند که بعد از بردی که نشد همدردی کنند با پرسپولیسیها البته هنوز مونده تا در برد دربی به ما برسند #استقلال</t>
  </si>
  <si>
    <t>Ehsan Ghadiri</t>
  </si>
  <si>
    <t>https://pbs.twimg.com/media/DoIVMOlXUAEn2Hc.jpg</t>
  </si>
  <si>
    <t>نظر علیرضا فغانی درباره بازی امروز: بعد بازی‌های جام‌جهانی وقتی بیای همچین دربی رو قضاوت کنی، مث اینه که بعد شیشلیک، آب کرفس بخوری. حتی اندیشه اسلامی ۸ صبح شنبه هم از این دربی جذاب تر بود! #دربی</t>
  </si>
  <si>
    <t>تش تچرا</t>
  </si>
  <si>
    <t>‏‏‏‏‏مدافع حقوق خودم و هم جنسامم و طرفدار صلح و برابری</t>
  </si>
  <si>
    <t>#دربی امروز فقط اونجاش که فغانی وسط دعوا پیرهن بازیکن استقلالو کشید پرتش کرد اونور :-)))</t>
  </si>
  <si>
    <t>ماهی وش</t>
  </si>
  <si>
    <t>‏سواد رسانه ای Media Literacy نوعی درك متكی بر مهارت است، كه به شناخت رسانه و درک مفهوم پیام و اهداف پنهان آن کمک میکند. ‎@medialiteracy کانال تلگرام</t>
  </si>
  <si>
    <t>https://pbs.twimg.com/media/DoIVekGU8AAOCk1.jpg</t>
  </si>
  <si>
    <t>#کاریکاتور روز ️نتیجه #دربی امروز؟! کارتون : محمدرضا میرشاه‌‌ولد #سواد_رسانه</t>
  </si>
  <si>
    <t>سواد رسانه ای 🇮🇷</t>
  </si>
  <si>
    <t>http://www.realmadrid.com</t>
  </si>
  <si>
    <t>هنرمند تنهاست آن‌گاه که از بقیه‌ی جهان منفک می‌شود. ⛰⛺️🏔🏕 Pers❤️polis - Real👑Madrid</t>
  </si>
  <si>
    <t>Santiago Bernabeu</t>
  </si>
  <si>
    <t>ولی با غیبت دوتا دروازه‌بان اصلی السد، مصدومیت حسن الهیدوس و محرومیت یاسر ابوبکر، #پرسپولیس با از کار انداختن ژاوی، میتونه با یه مساوی از قطر برگرده و تو بازی برگشت کارو تموم کنه💪</t>
  </si>
  <si>
    <t>مَ‌خْ‌فی ماکالو</t>
  </si>
  <si>
    <t>pic.twitter.com/yvJcTlRHrq</t>
  </si>
  <si>
    <t>مصاحبه با سرخابی ها بعد از دربی 88 . #پرسپولیس #استقلال #دربی #لیگ_برتر</t>
  </si>
  <si>
    <t>https://telegram.me/HarfBeManBot?start=NjQ5ODM1ODc2</t>
  </si>
  <si>
    <t>English - Français 💟 Personal Tutor, Translator, Linguist 💪🏽 Fitness</t>
  </si>
  <si>
    <t>Apartment 20</t>
  </si>
  <si>
    <t>برنده اصلی #دربی منم که همون یه ربع اول تلویزیون رو خاموش کردم و پای یه بازی بیخود حرص نخوردم.</t>
  </si>
  <si>
    <t>مانیکا گلر بینگ</t>
  </si>
  <si>
    <t>‏‏‏‏‏‏سرشارم یا تهی!؟ مسئله این‌ست...!</t>
  </si>
  <si>
    <t>شکم مادر...</t>
  </si>
  <si>
    <t>@azarijahromi میدونی #دربی بین کدوم تیمها بوده؟!</t>
  </si>
  <si>
    <t>Ali.N.T</t>
  </si>
  <si>
    <t>رفتم خونه خاله دلم باز بشه خاله چسيد دلم پوسيد #دربي</t>
  </si>
  <si>
    <t>omid</t>
  </si>
  <si>
    <t>https://pbs.twimg.com/media/DoIVrNnXoAMQ-i5.jpg</t>
  </si>
  <si>
    <t>تنها خوبی این حرکت این بود که بعد بازی #دربی یه هیجان و شادی واسه مردم ایجاد کرد دعاش کنید شفا بگیره😅😅😜😂😂 #تورقوزآباد #نتانیابو</t>
  </si>
  <si>
    <t>S.M.Masoodi.N</t>
  </si>
  <si>
    <t>‏‏‏‏‏‏‏‏‏‏‏‏‏‏‏‏‏‏‏‏‏‏‏‏‏‏‏‏‏‏‏‏‏‏‏‏‏‏‏‏‏‏‏‏‏‏‏‏‏‏‏‏‏‏‏‏‏‏‏‏‏‏‏‏‏‏‏‏‏‏‏‏‏‏براے ڪسے ڪ ریشہ دارہ شاخ و برگ مهم نیست! صحبت از اصالتہ!😏♒ perspolise⚽ فیو نشونه تایی</t>
  </si>
  <si>
    <t>جایی دور از آدمها</t>
  </si>
  <si>
    <t>❤ #پرسپولیس ❤</t>
  </si>
  <si>
    <t>اَمو رِزا 😐</t>
  </si>
  <si>
    <t>http://1asheghaneyearam.blogsky.com</t>
  </si>
  <si>
    <t>You ll Never Walk Alone</t>
  </si>
  <si>
    <t>https://pbs.twimg.com/media/DoIWnuIUYAAPSlO.jpg</t>
  </si>
  <si>
    <t>با این وضعیت #کشور و #دلار و #گوجه و #نون و #پنیر و #سبزی و #آب و.... #استقلال و #پرسپولیس هم نتونستن هر چند موقت #دل مردم #شاد کنن [با آرزوی سلامتی برای #ماهینی ]</t>
  </si>
  <si>
    <t>Hamed.p</t>
  </si>
  <si>
    <t>مسول بسیج دانشجویی دانشگاه فرهنگیان هرمزگان آینده را زیبا تر از امروز خواهیم ساخت</t>
  </si>
  <si>
    <t>#دربی همیشگی میان #انقلابیون و #لیبرال ها دربی ای که لیبرال ها بازنده اند و همیشه با لباس جدیدی از جنس مظلومیت نمایی به میدان می آیند . دربی که نتیجه آن جز گلابی چیزی نبود. دربی که بار های بار تکرار می شود اما تجربه نمی گیریم. #دولت #دلار #دربی</t>
  </si>
  <si>
    <t>vahidac313</t>
  </si>
  <si>
    <t>به داداشم میگم #دربی کار خودشونه که حواسمونو پرت کنن ! میگه تو حرف نزن :|</t>
  </si>
  <si>
    <t>یه عده از هوادارا میگن شاید نیم‌فصل امید ابراهیمی برگرده #استقلال! نظر همه محترم. نظر منم اینه که از قدیم گفتن "هرکی خواست بره، یه لقمه واسش بگیر که تو راه ضعف نکنه بخواد برگرده" چالش جدیدتو تجربه کن :)</t>
  </si>
  <si>
    <t>liberal منتقد وضع موجود...</t>
  </si>
  <si>
    <t>بیشترین زمان بازی اسیر خطا یا کرنر یا شروع مجدد تلف شد ... #دربی</t>
  </si>
  <si>
    <t>MORTEZA</t>
  </si>
  <si>
    <t>‏‏‏ عاشقانه ‎‎‎#سیگار بکشیم</t>
  </si>
  <si>
    <t>مگر تماشای دربی جز وقت تلف کردن بود؟ #دربی</t>
  </si>
  <si>
    <t>با آخرین نفس هایم</t>
  </si>
  <si>
    <t>http://instagram.com/shahriyarbayat</t>
  </si>
  <si>
    <t>‏‏‏تو وجود نداری مگر از چشم دیگری | خبرنگار ورزشی</t>
  </si>
  <si>
    <t>کلی دوربین گذاشتین که خانوما رو شناسایی کنه تا نیان استادیوم؟ یه دوربین هم میذاشتین سارق های #قمه به دست رو شناسایی کنه! #دربی</t>
  </si>
  <si>
    <t>shahriyar bayat</t>
  </si>
  <si>
    <t>‏‏‏احترام به عقاید حرف پوچی هست . برای تو بعنوان یک ‎#انسان ‎#احترام قائلم ؛ اما با ‎#عقاید و ‎#باور هایی که با آن روی انسانیت خط میکشی در ستیزم . 🔴‎#شایسته_س</t>
  </si>
  <si>
    <t>https://pbs.twimg.com/media/DoIY2n9VsAAluDI.jpg</t>
  </si>
  <si>
    <t>وزیر امنیتی عدم ارتباطات ؛ ( #آذری_جهرمی) در کنار همان بازپرس گوش شکسته ای به تماشای دربی ۸۸ نشسته که قلدرمابانه دستور فیلترکردن #تلگرام را صادر کرده و او هم آن را اجرا نمود! 🔴جهرمی بعنوان یک #وزیر #دولت ، عمله ی پست ترین مقامات قوه قضائیه هست ! #پرسپوليس #استقلال #مردم</t>
  </si>
  <si>
    <t>🔴littlemarat🔴</t>
  </si>
  <si>
    <t>هموطنم #فرشگرد در پی اتحاد من و توهست، زیرا هر انقلابی ثمره اتحادی بزرگست،به #فرشگرد بپیوندید. #دربی #زنان در آزادی #زنان_استادیوم #نه_به_تبعیض_جنسیتی #پرسپولیس #استقلال #پیشنهاد_فالو #تهران #حلقه_اعتماد #آخوند ________________________</t>
  </si>
  <si>
    <t>این ۵۰۰دوربین رو اگه تو دفتر مدیران ارشد کشور گذاشته بودن الان آمار اختلاس یکدهم میشد... #دربی</t>
  </si>
  <si>
    <t>روزنامه نگار، دبير حوزه استقلال ورزش سه</t>
  </si>
  <si>
    <t>سرقت گوشي هواداران #استقلال و #پرسپوليس توسط چند شرور به نظرم شروع هرج و مرج هاي ناشي از مشكلات اقتصاديه خواهش مي كنم #ايران رو شبيه كشورهاي ناامن نكنين فقر داره بي داد مي كنه و اين هم از اولين نشونه هاشه خدا به هممون رحم كنه</t>
  </si>
  <si>
    <t>Farzam</t>
  </si>
  <si>
    <t>#مهدی_طارمی ببین خودت باعث میشی مدام یادمون بیاد که چه کردی با تیم پرسپولیس! پسر جون به تو هیچ ربطی نداره مسائل تیم #پرسپولیس! پس سرت توی کار خودت باشه و اظهارنظر نکن! حسین ماهینی(@HosseinMahini)کاپیتان عزیز تیم ما بوده و هست @MehdiTaremi9</t>
  </si>
  <si>
    <t>https://pbs.twimg.com/media/DoIaAdmUYAAfGsT.jpg</t>
  </si>
  <si>
    <t>#فوتفان #پرسپولیس #استقلال #نود #احترام #دربی فوتبال پر از صحنه های کل کل،فحاشی،شادی،غم.... ولی احترام یه تیکه ی قشنگی از فوتباله.مرسی #مهدی_رحمتی کاپیتانه رقیب بابت کار قشنگت.احترام قرمز و آبی نمیشناسه روحت شاد #هادی_نوروزی روحت شاد #منصور_پورحیدری</t>
  </si>
  <si>
    <t>فرعون</t>
  </si>
  <si>
    <t>living F⚽️OTBALL , BME 📚</t>
  </si>
  <si>
    <t>شفر گفته هردو تیم راه‌های نفوذو به خوبی بسته بودن!انگار تو الکلاسیکو بلد نیستن راه‌های نفوذو ببندن که این همه گل توش داره #دربى٨٨ #پرسپوليس</t>
  </si>
  <si>
    <t>AmirReza</t>
  </si>
  <si>
    <t>‏‏‏ای که از مزار من میگذری روضـــه بخوان نام زینب(س)شنوم زیر لحـــد گریه کنم سر قبرمـ چو بخواننــــد دمـــی روضــه شام سر خــود با لبـــه سنگـــ لحـــد میشکــــ</t>
  </si>
  <si>
    <t>https://pbs.twimg.com/media/DoIadAfVsAAVBsB.jpg</t>
  </si>
  <si>
    <t>ممنونم ممنونم که موجبات خنده و شادی ما را فراهم کردی، کسلی #دربی شست برد #تورقوزآباد</t>
  </si>
  <si>
    <t>علی(توییتر اجازه فالو نمیده)</t>
  </si>
  <si>
    <t>https://t.me/HarfBeManBot?start=NDMxNDM2MDIx</t>
  </si>
  <si>
    <t>‏‏‏‏‏‏‏‏لیسانسه شامپو فروش😄البته لیسانس دوران ما خیلی بود😜اگر برادر یا خواهر ارزشی هستی یا مجاهد پیرو مریم و مسعود رجوی جون مادرت فالو نکن و ضدحال نزن به هردو</t>
  </si>
  <si>
    <t>ایران.خوزستان.اهواز</t>
  </si>
  <si>
    <t>پونصد تا دوربین کار گذاشتن تو استادیوم آزادی که یه دفعه خدانکرده زبونم لال دختری نتونه بره #دربی رو توی استادیوم ببینه!!!پنج تاشو میذاشتین اطراف محل #رژه_اهواز اینهمه جوون سرباز پرپر نشن و اینهمه خانواده داغ نبینن!!!</t>
  </si>
  <si>
    <t>عمو جغد شاخدار</t>
  </si>
  <si>
    <t>Physical education / Football analyst</t>
  </si>
  <si>
    <t>داخل ورزشگاه پونصد دوربین گذاشتن و چندین نیروی لباس شخصی بین هواداران برای شناسایی دختران! بعد بیرون ورزشگاه هشت دزد مسلح به سلاح سرد ده ها گوشی موبایل دزدیدن از پسران! همه اشتباهی هستیم #مسعود_شصتچی #دربی #زنان‌درآزادی</t>
  </si>
  <si>
    <t>Hamed khalili</t>
  </si>
  <si>
    <t>‏‏وصی وفرستاده امام زمان ‎#یمانی موعود#ظهورکرد</t>
  </si>
  <si>
    <t>@aminmeymandian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</si>
  <si>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یاحنون</t>
  </si>
  <si>
    <t>@appadanax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</si>
  <si>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@hamed_hjd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</si>
  <si>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https://telegram.me/harfbzanbot?start=3d5JDEM</t>
  </si>
  <si>
    <t>‏‏‏‏‏‏‏‏‏‏‏‏‏‏‏‏زندگی سخت است، من سخت تر</t>
  </si>
  <si>
    <t>پِسِر شمالی :)</t>
  </si>
  <si>
    <t>https://pbs.twimg.com/media/DoIcdsoXcAcgBqu.jpg</t>
  </si>
  <si>
    <t>حاجی صدا سیما پورن ساخته ... =) #دربی #فوتبال #استقلال #پرسپولیس</t>
  </si>
  <si>
    <t>Burek</t>
  </si>
  <si>
    <t>https://pbs.twimg.com/media/DoIcipfUYAAeonU.jpg</t>
  </si>
  <si>
    <t>خیلی بهت انتقاد شد،خیلی فحش خوردی و کلی تحت فشار هوادار نماها بودی ولی یک‌ بار غر نزدی، یک‌ بار نشد منت بذاری یا حاشیه درست کنی و فقط سکوت کردی.ما هوادارای واقعی #پرسپولیس غیرتت را یادمون نمیره و منتظر هستیم تا زودتر خوب بشی. #حسین_ماهینی عزیز منتظرتیم توی فصل بعد @HosseinMahini</t>
  </si>
  <si>
    <t>این مسخره بودن #دربی هم کار خودشونه. [آقا همین بغل نگهدار.....]</t>
  </si>
  <si>
    <t>https://pbs.twimg.com/media/DoIcu0CWsAEIuy4.jpg</t>
  </si>
  <si>
    <t>چند ماه قبل از اين عكس، حتي يك نفر در كل جهان فكرشو هم نميكرد كه صدام دادگاهي و اعدام بشه. #براندازم #اسراييل #ايران #IraiansWantRegimeChange #دربي #فرشگرد #فروپاشی_اقتصادی #دلار #سكه #ارز #دلار #خامنه‌ای #روحاني</t>
  </si>
  <si>
    <t>نمیدونم چرا همه میگن تیممون کلا 13تا بازیکن داره ک الان شده 12تا که جلو السد حتی 11تام نداریم ما یه تیمیم ک 13 تا بازیکن با تجربه بیشتر به علاوه 5،6 تا بازیکن با تجربه کمتر توش هستن و باید با تمام توان حمایت کنیم ازشون به خصوص جوونامونو #پرسپولیس</t>
  </si>
  <si>
    <t>MojtabA</t>
  </si>
  <si>
    <t>https://pbs.twimg.com/media/DoIdAntXUAEP8Gt.jpg</t>
  </si>
  <si>
    <t>@NazaninShariati در دوران آوارگی، #شیخ_عباس_فتحیه از طریق #فضای_مجازی به مناظرات و پاسخگویی به بیش از ۳۰۰شبهه و فعالیت‌های دیگر پرداخت و #شیخ_حسن_سلطانی نیز با زهد و اخلاق، ‌در قالب منبر و گفتمان‌های علمی، قدمی در مسیر زمینه‌سازی #دولت_عدل_الهی برداشت. #ایران #دربی</t>
  </si>
  <si>
    <t>‏مرگ حس تعویقی است ...! ‎‎‎‎#YNWA</t>
  </si>
  <si>
    <t>انقدر ربيع خواه و كوبيديد كه مصدوم شد حالا هم ماهيني!! حالا ميبينيد نبود ماهيني چقدر ترسناكه؟؟! گاهي اوقات حقمونه! پرسپوليسم تنها تريني!!!❤️ #دربي</t>
  </si>
  <si>
    <t>BaBaBozorg</t>
  </si>
  <si>
    <t>http://www.aliandramyar.com</t>
  </si>
  <si>
    <t>برای داشتن یک‌ قضاوت درست نسبت به سیستم تدافعی #کیروش می تونید یکبار دیگه بازی ایران در برابر اسپانیا،پرتغال،آرژانتین،مراکش،روسیه و شیلی رو ببینید و با #دربی امروز مقایسه کنید! #برانکو #شفر</t>
  </si>
  <si>
    <t>Ramyar Manouchehrzadeh</t>
  </si>
  <si>
    <t>https://pbs.twimg.com/media/DoIdZA6U0AAelf_.jpg</t>
  </si>
  <si>
    <t>@jalilyonline در دوران آوارگی، #شیخ_عباس_فتحیه از طریق #فضای_مجازی به مناظرات و پاسخگویی به بیش از ۳۰۰شبهه و فعالیت‌های دیگر پرداخت و #شیخ_حسن_سلطانی نیز با زهد و اخلاق، ‌در قالب منبر و گفتمان‌های علمی، قدمی در مسیر زمینه‌سازی #دولت_عدل_الهی برداشت. #ایران #دربی</t>
  </si>
  <si>
    <t>همون بهتر سوپرجام لغو شد #دربی</t>
  </si>
  <si>
    <t>ام پي</t>
  </si>
  <si>
    <t>Domain-Driven Design Methodology Consultant &amp;&amp; Scala/Java Developer</t>
  </si>
  <si>
    <t>من نمیدونم چرا جمهوری اسلامی نمیزاره خانوم ها برن‌استادیوم چون اگر یه بار برن اتفاقاتی رو لمس میکنند که دیگه از دو کیلومتریشم رد نمیشن ! #دربی #دربى٨٨</t>
  </si>
  <si>
    <t>Hadi Bahrbegi</t>
  </si>
  <si>
    <t>مادر و همسر</t>
  </si>
  <si>
    <t>نه خودم، نه همسرم و نه بچه هام هیچ کدوم اهل فوتبال نیستیم و هیچ اطلاعاتی در مورد تیمها از جمله #استقلال و #پرسپولیس ندارم. اما نمی دونم چرا فکر می کنم، اگر فوتبالی بودم #پرسپولیسی می شدم.</t>
  </si>
  <si>
    <t>Beti</t>
  </si>
  <si>
    <t>https://pbs.twimg.com/media/DoIeEGzWsAEga24.jpg</t>
  </si>
  <si>
    <t>جذابترین لحظه بازی #پرسپولیس #استقلال #قتل_در_سن_ملو 😂 اون قتل دربوشهرِ اشتباه تایپی داره😁 #مهدی_قائدی #قاتل_اهلی</t>
  </si>
  <si>
    <t>ولی خداییش دم #پرسپوليس گرم که استقلالو نبرد.. خودتونو بذارید جای هوادارای اسدقلال آسیا&gt;حذف جدول&amp;gt;یازدهم دلار&amp;gt;18هزار رب گوجه&amp;gt;19هزار بیچاره ها اینم میباختن دیگه میرفتن خودکشی میکردن</t>
  </si>
  <si>
    <t>Armen Saroukhanian journalist</t>
  </si>
  <si>
    <t>https://pbs.twimg.com/media/DoIeZZNW0AEGmAA.jpg</t>
  </si>
  <si>
    <t>مصدومیت #ماهینی اتفاق تلخیه که تا حدودی قابل پیش بینی بود. تیمی که تقویم فشرده‌ای داره غیرممکنه بتونه با 12 بازیکن جلو بره. در این ماجرا علاوه بر محرومیت #پرسپوليس نباید تاثیر قانون عجیبی که تیم ها رو مجبور می‌کنه لیست ۱۸ نفره بدن، از خاطر برد.</t>
  </si>
  <si>
    <t>آرمن ساروخانیان ⭐⭐</t>
  </si>
  <si>
    <t>#Iranian #MENA #CIS oil &amp; gas industry professional. ‌‌تویت فارسی : عموما نگاه طنز به مسایل روز</t>
  </si>
  <si>
    <t>کسی‌به شفر نگفته با دو‌انگشت هم میشه سوت زد ! لازم نیست از تمام انگشتان دست و پا استفاده کنه !!؟؟ #استقلال_پرسپولیس</t>
  </si>
  <si>
    <t>Hesam</t>
  </si>
  <si>
    <t>https://BestFarsi.com</t>
  </si>
  <si>
    <t>بازنشر بی‌درنگ توییت‌های فارسی که بیشتر از ۱۰۰۰ لایک و ۱۵۰ ریتوییت در کمتر از ۲۴ ساعت می‌گیرند. پرسش یا آمار بیشتر در دایرکت. اعداد بعد هشتگ‌ها تعداد توییت نیست</t>
  </si>
  <si>
    <t>هشتگ‌های داغ ۸ ساعت گذشته #تورقوزآباد ۱۹۶ #iranianswantregimechange ۱۰۸ #دربی ۹۰ اعتصاب_کامیونداران ۶۸ نتانیاهو ۶۲ پرسپولیس ۴۹ حب_الحسین_یجمعنا ۴۵ مهدی_حاجتی ۴۳ دلار ۳۳ استقلال ۳۰ مردم_یادتان_هست ۲۸ اعتصاب_سراسری_کامیونداران ۲۶ روحانی ۲۵</t>
  </si>
  <si>
    <t>توییتر فارسی</t>
  </si>
  <si>
    <t>‏‏تا 1400 با روحانی 😭🙏🏻 هیچ وقت به عقب برنمیگردیم 😏 عشقم 👑💙استقلال💙👑 دوستدار ⚽لیورپول✌🏻</t>
  </si>
  <si>
    <t>https://pbs.twimg.com/media/DoIf_dAUUAAWyIF.jpg</t>
  </si>
  <si>
    <t>بیرانوند : از تساوی خوشحالیم... آخه احمق، اگه رحمتی هم اندازه تو جفتک مینداخت و وقت کشی میکرد و صد البته حکومت هم کمک خرجمون بود، من کل تهران رو لیسک میدادم که😏 یکی نیست بگه بیشعور، تو حرف نزنی نمیگن لالی 🤐 ابرو قشننننننننگ😂😂 #استقلال #لنگ_حقیر</t>
  </si>
  <si>
    <t>wander woman</t>
  </si>
  <si>
    <t>۵۰/۵۰ مهم‌ترین عامل تساوی دربیهاست. اگر ۹۰ درصد تماشاگر بازی دیروز استقلالی - میزبان - بودند؛ قطعاً اجازه نمیدادند شفر اتوبوس پارک کند و پرسپولیس برنده می‌شد! #دربی</t>
  </si>
  <si>
    <t>https://pbs.twimg.com/media/DoIgoNlXcAAIdt0.jpg</t>
  </si>
  <si>
    <t>وسطاش خوابم گرفت ... 😑💤 #دربی #پرسپوليس سروره #استقلال ه.</t>
  </si>
  <si>
    <t>pic.twitter.com/NnoTnU8GRl</t>
  </si>
  <si>
    <t>https://twitter.com/simayazaditv/status/1033044779192512517</t>
  </si>
  <si>
    <t>بعضی از این مامورهای بی وجدان راهنمایی رو ک زرتو زرت ملت رو توی این بی پولی جریمه می کنند،اینطور باید ادب کرد #فرشگرد #براندازان #براندازم #اعتصاب_کامیونداران #اعتصاب_سراسری_کامیونداران #دربی #شاهزاده_رضا_پهلوی #شیراز RT @simayazaditv: دشت ارژن: گوشمالی مأمور سرکوبگر انتظامی یک راننده خشمگین در دشت ارژن در #استان_فارس با یک مأمور نیروی انتظامی درگیر شد و او رابه شدت گوشمالی داد. این درگیری زمانی به وقوع پیوست که خودرو وی پس از تعقیب مأمور نیروی انتظامی واژگون شد #براندازم</t>
  </si>
  <si>
    <t>http://www.afagh14.com</t>
  </si>
  <si>
    <t>ساده و معمولی فعال و اجتماعی</t>
  </si>
  <si>
    <t>علی آباد کتول</t>
  </si>
  <si>
    <t>خدایی من فوتبالی نیستم ولی همیشه استقلال بعد از پیروزی بوده ضمن اینکه استقلال بدون پیروزی هیچ است نیمه #هوایی برای #دربی RT @ma_aminy: یکی از شعارها و آرمانهای اصلی انقلاب ما استقلال بوده و می باشد. استقلال آزادی جمهوری اسلامی #دربی</t>
  </si>
  <si>
    <t>محمد بختیاری</t>
  </si>
  <si>
    <t>به دنبال حقیقت هستم و معتقدم بزرگترین خیانت به خود و جامعه،آگاهانه نفهمیدن است.</t>
  </si>
  <si>
    <t>@H_Hajipour60 باز بهتر از این بود که بشینه #دربی رو ببینه. اون موقع از همه ی مشکلات کشور فارغ میشد. #ایران_تنها</t>
  </si>
  <si>
    <t>Hamid_rz</t>
  </si>
  <si>
    <t>دچار به شوخ طبعی افراطی برای سرپوش گذاشتن روی همه چی ... دژمنِ هرگونه تبعیض و طرفدار شایسته سالاری... چیره‌دست در غلط تایپی ... ♂ = ♀ #فرشگرد</t>
  </si>
  <si>
    <t>90 Bedford street, Apt. 19 ,NY</t>
  </si>
  <si>
    <t>اونایی که قبلا طرفدار 6 آتیشه بودن ولی امروز #دربی به تخمشون بود ریت کنن همو پیدا کنیم</t>
  </si>
  <si>
    <t>🌱 چندلر کینگ 🏳️</t>
  </si>
  <si>
    <t>https://pbs.twimg.com/media/DoIjR8KVsAAVFag.jpg</t>
  </si>
  <si>
    <t>فراخوان به جوانان ،شعارهای ضد حکومتی در دربی امروز توپ تانک فشفشه اخوند باید گم بشه وعده ما ورزشگاه آزادی✌️✌️ جوانان ایران کابوس دیکتاتوری اسلامی ⁧ #دربی ⁩ ⁧ #تاج ⁩ ⁧ ⁧ #تظاهرات_سراسری ⁩ ⁧ #اتحاد_براندازان ⁩ ⁧ #ما_همه_با_هم_هستيم ⁩</t>
  </si>
  <si>
    <t>👑جاوید خاندان پهلوی👑</t>
  </si>
  <si>
    <t>Physician</t>
  </si>
  <si>
    <t>بی شک نماد واقعی مقاومت و پایداری، خود حکومت است که علی رغم همه فشارها و تهدیدها، و آسیب هاو ویرانی های به بارآورده و، تغییرات اجتماعی و فکری و علمی و اقلیمی و غیره، حتی یک قدم هم عقب ننشسته است و ذره ای کوتاه نیامده است. #دربی #زنان‌درآزادی #جمودفکری</t>
  </si>
  <si>
    <t>mahdia gholamnejad</t>
  </si>
  <si>
    <t>هر دم از این باغ بری می‌رسد تازه‌تر از تازه‌تری می‌رسد میشه لطفا زودتر برگردی آقای #ماهینی این تیم تو این روزا شدیدا نیازمند غیرتته مرد ❤️ #پرسپولیس</t>
  </si>
  <si>
    <t>Mobin</t>
  </si>
  <si>
    <t>Persepolis♥️ Arsenal♥️ فوتبال و بدنسازی دو ستون زندگیمه💪⁦⛹️⁩</t>
  </si>
  <si>
    <t>https://pbs.twimg.com/media/DoIm8HoUwAAAUzD.jpg</t>
  </si>
  <si>
    <t>تنها دلخوشی این روزای شخماتیک زندگیم تویی مرددد⁦♥️ #برانکو #پرسپولیس</t>
  </si>
  <si>
    <t>@li R</t>
  </si>
  <si>
    <t>@Erfaneshoon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</si>
  <si>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شمس</t>
  </si>
  <si>
    <t>@engmrtz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</si>
  <si>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@mahrokh1988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</si>
  <si>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@ladyhnygaga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</si>
  <si>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@MrMmh1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</si>
  <si>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بعداز #تو درآغوش #الکل زندگی کردم// با "اِن یَکاد" قرص وشیشه طاقت آوردم//طاقت نیاوردم تماما حفظ ظاهربود//درلابلای بیت ها تشئیع شاعربود...</t>
  </si>
  <si>
    <t>https://twitter.com/ninash_tala/status/1045353160880123905</t>
  </si>
  <si>
    <t>علیه الرحمه فرمود: دربی باید در بی باشه #دربی که دربی نباشه دربی نیس..... RT @ninash_tala: دربیی که وسطش خوابت بگیره رو باید با مستند حیات وحش عوضش کنی🤦‍♀️🤦‍♀️😑 #دربی</t>
  </si>
  <si>
    <t>mehran</t>
  </si>
  <si>
    <t>پدرخوانده‌ی نارنجک و آرپی جیه.مکزیکیه اما آلمانی رو مثل فارسی راحت حرف می‌زنه.یه لیموزین خر داره،عقبش می‌شینه لیموناد می‌خوره.اصلا هم وارد روابط عاشقانه نمی‌شه.</t>
  </si>
  <si>
    <t>https://twitter.com/behzad_talebi/status/1044330900023070720</t>
  </si>
  <si>
    <t>خدایی مسئولای #استقلال حق داشتن، استقلالیا نصف ورزشگاه رو هم نتونستن پر کنن، چه برسه به نود درصد. اما این تقصیر کیه!!؟ RT @behzad_talebi: یا خدا مدیرعامل #استقلال برای این با ۹۰ به ۱۰ درصد شدن بازی #دربی مخالفت کرده، چون می‌ترسیده نتونن ورزشگاه رو پر کنن. با استقلال چی کار می‌کنید لعنتیا.</t>
  </si>
  <si>
    <t>behzad talebi</t>
  </si>
  <si>
    <t>‌همین که زنده‌ایم تو این وضعیت خیلی شانس داریم ... 👌🏻</t>
  </si>
  <si>
    <t>بعد از هر خرید از بازار میفهمم جیبم خالی تر از همیشه هست و در ایران زندگی میکنم ... #ملت_را_گاو_نپنداریم #جهرمی #دربی #آذري_جهرمي #وزیر_ارتباطات</t>
  </si>
  <si>
    <t>#دربی فقط اونجاش که فغانی پیراهن علی کریمی رو کشید و انداختتش عقب که نره سمت شجاع</t>
  </si>
  <si>
    <t>نخ وصل نيست به سرم</t>
  </si>
  <si>
    <t>ورزشگاه ۱۱۰هزار نفری ۱۱۰هزار تا کیر بدون حتی یک جفت خایه #استقلال_پرسپولیس</t>
  </si>
  <si>
    <t>ماتريكسيستيَن</t>
  </si>
  <si>
    <t>ببینید #دربی چقدر کسشر بوده که کل کل ها پیچیده سمت تعدد خطاها</t>
  </si>
  <si>
    <t>https://telegram.me/harfbemanbot?start=OTIxMzQyNDM</t>
  </si>
  <si>
    <t>پسری خسته از دنیای بی رحم.تنها.آرام</t>
  </si>
  <si>
    <t>واقعا فوتبال امروز دو تیم #استقلال و #پرسپولیس میخی بود بر تابوت لیگ بیمار ما که از سر تا پا دولتی است نه دستاوردی داشته و نه خواهد داشت جز حیف و میل منابع و سرمایه های ملی</t>
  </si>
  <si>
    <t>گیگیلی همیشه خسته</t>
  </si>
  <si>
    <t>@IsraelPersian ورزشگاه ۱۱۰هزار نفری ۱۱۰هزار تا کیر بدون حتی یک جفت خایه #استقلال_پرسپولیس</t>
  </si>
  <si>
    <t>http://Almahdyoon.co</t>
  </si>
  <si>
    <t>‏‏سید احمدالحسن ع وصی و فرستاده ای از طرف امام مهدی ع همان یمانی موعود بین ماست.تحقیق کنیدتا به حقیقت برسید. گروه پرسش و پاسخ در تلگرام http://bit.ly/2rWrMlI</t>
  </si>
  <si>
    <t>@Drx661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</si>
  <si>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Hojjat</t>
  </si>
  <si>
    <t>‏‎#توف_به_قبر_پدر_بی_تفاوت_ها</t>
  </si>
  <si>
    <t xml:space="preserve">منطقه صفر مرزی </t>
  </si>
  <si>
    <t>https://pbs.twimg.com/media/DoIrNSYU4AAk0cT.jpg</t>
  </si>
  <si>
    <t>#اعتصاب_تا_براندازی_ #خون_باید_گریست #براندازم #رضاپهلوی #iran #تهران #تبريز #رهبرحقیر #شاهین_نجفی #پرسپولیس #اصلاح_طلب #اصولگرا #اعتصابات_سراسری #فوری #تظاهرات_سراسری #لرستان #ارتش #کولبر #آذربایجان #شیراز #اصفهان</t>
  </si>
  <si>
    <t>Mobarezevatan</t>
  </si>
  <si>
    <t>@AfsharMahnaz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</si>
  <si>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@z_key592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</si>
  <si>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IT Business Analyst and hobby photographer, global citizen</t>
  </si>
  <si>
    <t>منطقی بود که در این روزهای ناپایدار #دربی هم فرمایشی برگزار بشه فقط اون تماشاچی‌هایی که با هزار شوق و امید به عنوان تنها راه سالم تخلیه هیجان به ورزشگاه رفته بودند، سرخورده به خانه برگشتند #دربی_فرمایشی</t>
  </si>
  <si>
    <t>Maziar</t>
  </si>
  <si>
    <t>http://www.instagram.com/radicall63</t>
  </si>
  <si>
    <t>نویسنده با گرایش داستان ها کوتاه و هشویات ذهنی. شاعر با گرایش غزل و سپید های خودمانی. کارشناس معماری/دکوراتور/ معترض مدنی و تحلیل گر غیر متخصص استقلالیِ یواش</t>
  </si>
  <si>
    <t>غیاث آباد</t>
  </si>
  <si>
    <t>صفر صفر به نفع سیاستمدار ها... #استقلال #پرسپولیس</t>
  </si>
  <si>
    <t>رادیکال63</t>
  </si>
  <si>
    <t>بابا نمیخواد برید تو خیابون جونتون بگیرید کف دستتون برای این زندگی کوفتی تظاهرات کنید! نمیخواد خدای نکرده به چیزی اعتراض کنید! در حمایت از خواهر و مادرتون که میتونید استادیوم رفتن رو که #تحریم‌ کنید! #فوتبال_بدون_زنان #دربی</t>
  </si>
  <si>
    <t>BaranBanoo🌧</t>
  </si>
  <si>
    <t>قدر این دربی رو بدونید، دربی قبلی دلار ۴ تومن بود قدر ندونستید! #دربى٨٨ #دربی</t>
  </si>
  <si>
    <t>hossein</t>
  </si>
  <si>
    <t>حتی آیتم گزارش پیوند انار با لیمو ترش توسط کشاورز خوش ذوق کرمانی توی اخبار شبانگاهی از دربی امشب جذاب تره #دربى٨٨ #دربی</t>
  </si>
  <si>
    <t>حتی ژاپنیها هم نمیتونن از این بازی برق تولید کنن. #دربی #دربی۸۸</t>
  </si>
  <si>
    <t>Irani, Brasil</t>
  </si>
  <si>
    <t>https://pbs.twimg.com/media/DoIwJkYUcAA4s1J.jpg</t>
  </si>
  <si>
    <t>فراخوان به جوانان شعارهای ضدحکومتی‌دردربی امروز توپ تانک فشفشه اخوند بایدگم بشه وعده ماورزشگاه آزادی✌️✌️ جوانان ایران کابوس دیکتاتوری اسلامی ⁧#دربی ⁩ ⁧#تاج #پیروزی #فوتبال ⁩ ⁧#استقلال ⁩ ⁧#تظاهرات_سراسری ⁩ ⁧#اتحاد_براندازان ⁩ ⁧#ما_همه_با_هم_هستيم ⁩</t>
  </si>
  <si>
    <t>naderjahanbani</t>
  </si>
  <si>
    <t>https://telegram.me/harfbzanbot?start=64rYVv</t>
  </si>
  <si>
    <t>‏‏‏‏‏به دنیای من بیا من اون سیبیم که تو هنوز گاز نزدی آدم ...</t>
  </si>
  <si>
    <t>زیر سقف دودی</t>
  </si>
  <si>
    <t>#دربی فقط اونایی که خودمونو میزدیم به دل درد که مدرسه نریم و بمونیم خونه بازی رو ببینیم ! وگرنه این که راحت تلوزیونو روشن کنی بزنی ۳ فوتبالو ببینی که فایده نداره ! @hiidde_n</t>
  </si>
  <si>
    <t>صــــــادیـــــــسم 👻</t>
  </si>
  <si>
    <t>@shainaforoozan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</si>
  <si>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@kade_ravi @sinavaliollah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</si>
  <si>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بازى مهيج نبود ولى از بُعد فنى بازى روان و رو بجلويى رو از هر دو تيم شاهد بوديم. هيچ تيمى زير توپ نزد و تيم صاحب توپ با بازى زمينى و انتقال نسبتا سريع توپ به جلو آهنگى تهاجمى داشت نكته منفى بازى صوتهاى مكرر #فغانى بود كه باعث توقف گردش توپ و جريان بازى ميشد. #پرسپولیس_استقلال</t>
  </si>
  <si>
    <t>Behrouz Afshar</t>
  </si>
  <si>
    <t>@fa_as2020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</si>
  <si>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هشتگ داغ 6 ساعت گذشته: #حب_الحسین_یجمعنا: 15069 توییت #IraniansWantRegimeChange: 7776 توییت #اعتصاب_کامیونداران: 3307 توییت #تورقوزآباد: 3251 توییت #بندرانزلی: 3120 توییت #دربی: 2253 توییت #Restart_will_make_iran_great_again: 2037 توییت #نتانیاهو: 1668 توییت</t>
  </si>
  <si>
    <t>@khani1412 @ajibzade @Nimaa1992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</si>
  <si>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‏‏‏یه آدم ‎‎‎#آزاد غیر متعصب و معتقد ب عقل و بعضی چیزای اسلام ، ‎‎‎#خداباور و به دنبال زیبایی های زندگی و بسیار بحث کننده(درحال ترک این عادت) و به دنبال تغییر</t>
  </si>
  <si>
    <t>نمیدونم</t>
  </si>
  <si>
    <t>pic.twitter.com/1764mYaRYd</t>
  </si>
  <si>
    <t>مهران مدیری دقیقا شخصیت منه بین دوستام😂😂😂 #پرسپولیس #استقلال</t>
  </si>
  <si>
    <t>(NO_One سابق) _اِگون شیله</t>
  </si>
  <si>
    <t>@madadsyah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</si>
  <si>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متفکر،درون گرا،جستجوگر،اکانت بگا داده</t>
  </si>
  <si>
    <t>این همه میگن #دربی بد بود، کجاش بد بود به من که چسبید،راحت خوابیدم #کیری #کسشر #لیگ‌برتر</t>
  </si>
  <si>
    <t>Mrvitka</t>
  </si>
  <si>
    <t>خداروشکر این #دربى٨٨ کوفتیتون هم که تموم شد حالامیشه برگردید سر موضع اصلی حمایت #اعتصاب_کامیونداران #اعتصاب_سراسری_کامیونداران شعار که ندادید فقط الکی توییت زدید سگ پاچه ادم بگیره جو نگیره #دربی #اعتصاب_سراسری #اعتراضات_سراسری</t>
  </si>
  <si>
    <t>‏‏‏‏‏‏‏‏بیو ینی بیوگرافی یا همون زندگینامه وقتی زندگیم پرسپولیسه دیگه حرفی باقی نمیمونه❤❤❤❤❤❤</t>
  </si>
  <si>
    <t>طهران با دسته ی بلندش</t>
  </si>
  <si>
    <t>https://pbs.twimg.com/media/DoI3yHNXoAE5u0d.jpg</t>
  </si>
  <si>
    <t>انقد عاشقتم که شبا چشمامو با تو میبندم و روزا با دیدن تو روزمو آغاز میکنم #پرسپولیس</t>
  </si>
  <si>
    <t>Hossipsg</t>
  </si>
  <si>
    <t>https://telegram.me/HarfBeManBot?start=MjQyNDAyMDA4</t>
  </si>
  <si>
    <t>یک عدد پتیاره پاییز، نه سبز نه بنفش، فقط قرمز❤️ این کاربر به شدت پرسپولیسیست احتیاط کنید⚠️</t>
  </si>
  <si>
    <t>Tehran_Iran</t>
  </si>
  <si>
    <t>https://pbs.twimg.com/media/DoI7v65WsAAqKOq.jpg</t>
  </si>
  <si>
    <t>تاریخ تکرار میشه پرفسور جان یه عده نمیتونن بودنتو تحمل کنن بذار تا میتونن جولون بدن دل تیکه پاره ما با تو و پسرای باغیرتته شاید نتونیم تو استادیوم ایستاده برات ایسلندی بریم ولی دیدنت روی نیمکت پر از غرورمون میکنه #برانکو #عشق_جان</t>
  </si>
  <si>
    <t>کُـــــــنــــــســـــــوئـــِـــــــلا 👩🏻‍🍳</t>
  </si>
  <si>
    <t>https://pbs.twimg.com/media/DoJGjYXVsAAkCUh.jpg</t>
  </si>
  <si>
    <t>‌پول اون دوریین هایی که خریدین، نصب کردین توی ورزشگاه آزادی تا هر دختری که وارد ورزشگاه شد رو دستگیر کنید، حق این بچه ها برای داشتن یه کلاس درس نبود؟ روستای "نوک آباد گشت" سراوان #IraniansWantRegimeChaneg #اعتصابات_سراسری #دربی</t>
  </si>
  <si>
    <t>http://t.me/PmUnkwonBot?start=u_ZLONGP</t>
  </si>
  <si>
    <t>‏‏‏‏‏‏‏‏یکم بی ادب اما عاشق ادبیات-AUT</t>
  </si>
  <si>
    <t>یه جایی ک دشمن نباشه جای دوست</t>
  </si>
  <si>
    <t>بابا پرسپولیسیا یه جور حرف میزنن انگار #استقلال بود که تونست از پرسپولیس مساوی بگیره</t>
  </si>
  <si>
    <t>مُهَندِس</t>
  </si>
  <si>
    <t>جوونه بی اعصاب #پرسپولیسی</t>
  </si>
  <si>
    <t>جزایر لانگرهانس</t>
  </si>
  <si>
    <t>تو این اوضاع دلمون به یه دربی خوش بود که اونم ریدن توش #دربی</t>
  </si>
  <si>
    <t>اسمو وللششش</t>
  </si>
  <si>
    <t>قبلا لمون بودم از این به بعد فیشر هستم</t>
  </si>
  <si>
    <t>فرنگ</t>
  </si>
  <si>
    <t>@adamipari888 خدائیش افتخار هم داره بالاخره مساوی گرفتن از #پرسپولیس کار آسونی نبود.</t>
  </si>
  <si>
    <t>میس فیشر🏳️</t>
  </si>
  <si>
    <t>روابط عمومی استانداری بوشهر | عضو انجمن جامعه شناسی ایران</t>
  </si>
  <si>
    <t xml:space="preserve"> bushehr | iran</t>
  </si>
  <si>
    <t>https://pbs.twimg.com/media/DoJYchLXoAEEoeE.jpg</t>
  </si>
  <si>
    <t>مخالفت استقلال با قانون حق ۹۰ درصدی تماشاگر میزبان بدون حکمت نبود! #دربی #شهراورد #پرسپولیس</t>
  </si>
  <si>
    <t>morteza darvishi</t>
  </si>
  <si>
    <t>https://pbs.twimg.com/media/DoJZML5W0Acq2a-.jpg</t>
  </si>
  <si>
    <t>تجربه اول و آخر تماشای دربی در ورزشگاه آزادی! #پرسپولیس #استقلال</t>
  </si>
  <si>
    <t>‏وصی و فرستاده ی امام مهدی ع سید احمدالحسن همان یمانی موعود ظهور کرد</t>
  </si>
  <si>
    <t>@bitterfact3 @zakani_ir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</si>
  <si>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عبد صالح</t>
  </si>
  <si>
    <t>@Shirinto @pdarkhande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</si>
  <si>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@zehtabiyan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</si>
  <si>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https://pbs.twimg.com/media/DoJsHn9XgAAsvs0.jpg</t>
  </si>
  <si>
    <t>یکی از ویژگی های چرخیدن و دیدن جنگل از نزدیک، کنار هم قرار گرفتن حیوانات با سلایق مختلفه. مثلا همین کوچولوی سیاه. نگاه به جسه اش نکنین، مسئول بازرسی فیلترهای تصفیه آب رودخونه جنگله که یه وقت خدایی نکرده حیوونای دیگه مسموم نشن. #دربی #تماشاگر #وزیر</t>
  </si>
  <si>
    <t>http://www.pode.ir</t>
  </si>
  <si>
    <t>Trying to settle life</t>
  </si>
  <si>
    <t>#نیروی_انتظامی ۵۰۰ تا دوربین برای شناسایی بانوان در #ورزشگاه_آزادی کار میگذاره... ۸ نفر زورگیر بعد از بازی #پرسپولیس #استقلال در ورودی شرقی گوشیهای مردم رو دزدیدند با سلاح سر‌د... #بدون_شرح #داربی</t>
  </si>
  <si>
    <t>Ali R</t>
  </si>
  <si>
    <t>‏‏‏‏عاشق فیزیک، نجوم، زیست شناسی تکاملی، ولی مجبورررم سیاسی باشم، مجبورم همینکه ‎‎#سکولار باشی برام محترمی چه مذهبی چه بی دین حامی ‎‎‎#فرشگرد 🌐</t>
  </si>
  <si>
    <t xml:space="preserve">خیلی دور خیلی هم نزدیک </t>
  </si>
  <si>
    <t>خواستم بگم حتی خوندن کتاب اندیشه اسلامی تو هشت صبح روز تعطیل جذابیتش بیشتر از اون بازی #دربی دیروز هست در این حد !!! 😁</t>
  </si>
  <si>
    <t>I'm 🗽🏳</t>
  </si>
  <si>
    <t>⁦❤️ 🅿🅴🆁🆂🅴🅿🅾🅻🅸🆂 ❤️</t>
  </si>
  <si>
    <t>ἶɾმղ</t>
  </si>
  <si>
    <t>ناشکری کردیم خدا همون #ماهینی ضعیف رو هم کلا تا پایان فصل ازما گرفت، با آرزوی سلامتی #پرسپولیس</t>
  </si>
  <si>
    <t>მlἶ lმհօօէ</t>
  </si>
  <si>
    <t>http://instagram.com/enghelabi.b</t>
  </si>
  <si>
    <t>آقامعلم آینده، ‏‏‏‏‏‏‏‏‏‏خداقبول کنه انقلابی،کمی تا قسمتی شاعر،سیاسی ام اما سیاست زده نیستم!</t>
  </si>
  <si>
    <t>پایتخت کلمپه و قوتو جهان</t>
  </si>
  <si>
    <t>خداییش حیف وقتمون که پای بازی دربی حروم شد! فقط زیر توپ میزدن #پرسپولیس_استقلال</t>
  </si>
  <si>
    <t>م.مهدی بوستان</t>
  </si>
  <si>
    <t>کارشناس ارشد الکترونیک، کارشناس شبکه و امنیت، اهل نقاشی و سیاسی وابسته به نظام! "تصمیم گرفتم تمام فالوئرهامو فالو کنم"</t>
  </si>
  <si>
    <t>توی این چند روز توی تایملاین عجایبی دیدم! طرف ارزشی، انقلابی، تحصیلکرده، با شعور، با سطح درک و تحلیل بالا! بعضا شاخ، اما طرفدار #پرسپوليس !!! سقط من عینی! #دربی</t>
  </si>
  <si>
    <t>Plusboy (سید امیر )</t>
  </si>
  <si>
    <t>‏‏هنر نزد ایرانیان است وبس/ندارند شیرژیان را به کس/ همه یکدلانند ویزدان شناس/به گیتی ندارند در دل هراس/ چو ایران نباشد تن من مباد/بر این بوم وبر زنده یک تن مباد</t>
  </si>
  <si>
    <t>گرفتن یک امتیاز و مساوی با #پرسپولیس به کمک #داور را به تمامی استقلالی ها تبریک عرض میکنم و این افتخاری هست که نصیب هر تیمی نمیشود. #دربی RT @ma_aminy: یکی از شعارها و آرمانهای اصلی انقلاب ما استقلال بوده و می باشد. استقلال آزادی جمهوری اسلامی #دربی</t>
  </si>
  <si>
    <t>سیدپیام حسینی</t>
  </si>
  <si>
    <t>وقتى به مارى آنتوانت گفتند مردم نون ندارند بخورند، به طعنه گفت: خب كيك بخورند! جالب كه ايشون آخرين ملكه قبل از انقلاب كبير فرانسه بود و توسط مردم گردن زده شد!</t>
  </si>
  <si>
    <t>#دربى پرسپولیس با دو پنجره بسته، دم نزد و مطیع برنامه‌ غلط فدراسیون شد: بازی پشت بازی. فدراسیون برای گرفتن ارز بیشتر از دولت، منفعتش در حذف پرسپولیس و استقلال از آسیا بود که متاسفانه ۵۰ درصد از آرزویش تحقق یافت. فشردگی تقویم بازیها برای چیست؟</t>
  </si>
  <si>
    <t>AntiMale🏳</t>
  </si>
  <si>
    <t>https://t.me/maan_n</t>
  </si>
  <si>
    <t>آدم هاى بى رويا مردگان روانند، روياهايت را دنبال كن. People with no dream are walking dead, follow your dreams. #شاهنامه #screenplay #پرسپوليس #ManchesterUnited</t>
  </si>
  <si>
    <t>برانکو هر روز که از خواب بیدار می شه زمزمه می کنه: ورایدون که با ما نسازد جهان بسازیم ما با جهان جهان #برانکو_جان #پرسپولیس #شاهنامه #فردوسی</t>
  </si>
  <si>
    <t>میثم، یک رویاساز</t>
  </si>
  <si>
    <t>https://pbs.twimg.com/media/DoKFSvzXgAEeWAy.jpg</t>
  </si>
  <si>
    <t>#حکایت_کن از روزی که سوپرمن #سوپر_عن شد #دربی</t>
  </si>
  <si>
    <t>"اندکی صبر صحر نزدیک است" #باز_شدن_پنجره #پرسپوليس</t>
  </si>
  <si>
    <t>‏‏‏‏‏‏‏‏‏‏‏‏‏‏‏‏‏‏به شنیدن عادت کن ، خواهی دید که از سخن ابلهان نیز ، سود خواهی جست..-</t>
  </si>
  <si>
    <t>مثل همیشه #دربی</t>
  </si>
  <si>
    <t>🔥 شیردال 🔥</t>
  </si>
  <si>
    <t>فيو و ریتوییت لزوما تایید توييت نیست... ادعاي روشنفكري هم ندارم! #تاج 💙</t>
  </si>
  <si>
    <t>کولوکوکو خروجی اول</t>
  </si>
  <si>
    <t>داربید چه روزیه چه ساعتی؟ #دربی</t>
  </si>
  <si>
    <t>هاوکینگ قلی میرزا</t>
  </si>
  <si>
    <t>No Thing</t>
  </si>
  <si>
    <t>https://pbs.twimg.com/media/DoKHrv6UwAIoLYw.jpg</t>
  </si>
  <si>
    <t>برد تو چنگ #پرسپوليس بود. #پرسپولیس #perspolis #IRAN</t>
  </si>
  <si>
    <t>Gladiator</t>
  </si>
  <si>
    <t>Director at Cinema</t>
  </si>
  <si>
    <t>درس بزرگ دربي پايتخت اين بود ، كه هرجا نشستي، دقت كن كي كنارت نشسته و باهاش معاشرت كن كه بعد از ترك اونجا تازه متوجه نشي. #وزير #وزير_ارتباطات #استقلال_پرسپولیس</t>
  </si>
  <si>
    <t>Majid Tavakoli</t>
  </si>
  <si>
    <t>https://instagram.com/mostaghiss/</t>
  </si>
  <si>
    <t>‏‏‏‏‏‏‏‏‏‏‏‏‏‏‏گناه،تنها سرطان لاعلاج، برا سعادت توست😏 همیشه خودت باش،خودت مگه چشه؟🙄 فیو و ریت، بیانگر تایید سایر توئیتای اون شخص نیست [مرد متاهل،شغل آزاد]</t>
  </si>
  <si>
    <t xml:space="preserve">Iran - اراک </t>
  </si>
  <si>
    <t>@bakhtiari_moh قوله تعالی: و اخري تحبونها نصر من الله و فتح قريب (صف/۱۳) پیروزی یک چیزی نیست که ذاتا ارزشمند باشه بلکه برا شما خوشاینده (تحبونها). مهم نزد خدا تغییرات درونی افراد و استقلال فکری اونهاست‌. ملتی به #پیروزی میرسه که جوانان ش فکر #استقلال در سر داشته باشن.</t>
  </si>
  <si>
    <t>🇮🇷 المستغیث بالله</t>
  </si>
  <si>
    <t>‏‏‏‏‏سرباز انقلاب/ دستش خوش آنکه مرا زینبی نوشت</t>
  </si>
  <si>
    <t>حالا ما که دیروز شیفت بودیم و دربی رو مثل قبل درست حسابی ندیدیم ولی کیسه‌کشا خیلیم خوشحال باشن با تیمی که رفته نیمه نهایی آسیا مساوی کردن این قرمز منه/دوسش دارم خیلی زیاد❤ #پرسپولیس</t>
  </si>
  <si>
    <t>ghobar</t>
  </si>
  <si>
    <t>http://etemadonline.com</t>
  </si>
  <si>
    <t>iran, tehran</t>
  </si>
  <si>
    <t>#دربی فقط دربی با #دلار ۳۴۰۰!</t>
  </si>
  <si>
    <t>Farshad Azami</t>
  </si>
  <si>
    <t>‏‏‏‏‏‏‏‏‏‏‏‏‏‏‏‏‏‏‏‏🍃ابدا والله ما ننسی حسینا🍃سیدالشهدا به ما آموخت بهترین معنای زندگی شهادت در راه خداست. . . . . . . . . . طلبگی ام را افتخار_عشق سیاست ‎‎‎</t>
  </si>
  <si>
    <t>خب حالا وقتش دو تیم به اینده فکر کنن!! استقلال به سایپا پرسپولیس به نیم نهایی اسیا مدیون هستین اگر فکر کنید مسخرتون کردیم #دربی</t>
  </si>
  <si>
    <t>https://eitaa.com/pajayepa</t>
  </si>
  <si>
    <t>‏‏‏‏‏✨﷽✨ ومـُذْ کنتُ طِفلاً عرِفـتُ الحُسین رِضاعاً.. وللآن لـم أُفطَــمِ ▫▫▫▫▫▫▫▫▫▫▫ سـلامٌ عـلیکَ فأنتَ الســـلام وإن کـنتَ مخـتـضباً بالــدمِ!🏴</t>
  </si>
  <si>
    <t>خاورمیانه متحده اسلامی</t>
  </si>
  <si>
    <t>اخیرا #وزیر_ارتباطات به کسی میگن که ارتباط گیری او با اقشار مختلف جامعه عالی باشه و بس! #دربی</t>
  </si>
  <si>
    <t>🇮🇷میرزا میثم‏🇵🇸🇧🇭</t>
  </si>
  <si>
    <t>من و تو بارون سه تا ديوونه ...</t>
  </si>
  <si>
    <t>🦒</t>
  </si>
  <si>
    <t>@Pourya_r_98 ❤️❤️❤️❤️ #پرسپوليس #perspolis #پرسپوليس ❤️❤️❤️❤️</t>
  </si>
  <si>
    <t>عمه کوچولو 👶🏻</t>
  </si>
  <si>
    <t>https://pbs.twimg.com/media/DoKXdVqW0AAloNV.jpg</t>
  </si>
  <si>
    <t>اینجا بر اثر میزان استشمام بوی #حشیش کاملا احساس میکردم در استادیوم سن پترزبورگ هستم. باورش سخت است ولی مواد مخدر در استادیوم ها به قدری زیاد شده که حتی نفس کشیدن هم سخت شده. حشیش و گل دیروز بیداد میکرد و هنوز سردرد دارم. البته که #دربی بی خاصیت هم کم تاثیر نبود</t>
  </si>
  <si>
    <t>https://pbs.twimg.com/media/DoKYwobXsAAQm2F.jpg</t>
  </si>
  <si>
    <t>برنده #دربی کسی نبود جز این خانم که به تنهایی ۵۰۰ دوربین رو شکست داد!</t>
  </si>
  <si>
    <t>سید احمدالحسن ع وصی و فرستاده ای از طرف امام مهدی ع*همان یمانی موعود بین ماست.تحقیق کنید تا به حقیقت برسید. لینک گروه پرسش و پاسخ</t>
  </si>
  <si>
    <t>#خبرها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</si>
  <si>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Hoda Alyamani</t>
  </si>
  <si>
    <t>‏خــوشتریـن رنگ محبت در وجـود/ای کـه پیکارت تعصب می سـرود🔴🔴🔴🔴🔴🔴با تو هسـتم ای یار نفیـس/پرسپولیسم پرسپولیسم پرسپولیس</t>
  </si>
  <si>
    <t>حسین با غیرت خیلی متاسف شدیم از مصدومیتی که برات پیش اومد امیدوارم هر چه زودتر سلامتیت رو بدست بیاری و مثل همیشه باغیرت تو ترکیب تیممون باشی نگران #پرسپولیس نباش #برانکو استاد بازی گرفتن از بازیکنای جوان هست @HosseinMahini</t>
  </si>
  <si>
    <t>پسـ‌ـر قــرمــزی</t>
  </si>
  <si>
    <t>مخالفینم رو هم دنبال می کنم. شاید چیزهای جدیدی یاد گرفتم...</t>
  </si>
  <si>
    <t>دیروز #دربی بوده؟ 😀🙄</t>
  </si>
  <si>
    <t>سید مهدی پیشنمازی 🇮🇷</t>
  </si>
  <si>
    <t>مشاور سازمان خصوصی سازی ازموافقت رئیس جمهور با واگذاری پرسپولیس و استقلال خبر داد شك نكنيد باهجوم طرفدارا عاشقِ #پرسپوليس اين تيم يه تيم ثروتمند تبديل ميشه ولى اگركينه و حسادت مسئولين ورسانه هاى ابى اجازه پيشرفت بدن! چون تو اين محروميت اسپانسرا كيسه استقلال رو با٦٠ميلياردپر كردن</t>
  </si>
  <si>
    <t>https://khabar-fouri.com</t>
  </si>
  <si>
    <t>‏‏‏‏‏‏‏‏‏‏‏‏‏‏‏محلی برای دریافت فوری ترین و مهمترین اخبار ایران و جهان با نگاهی نو. / عضویت در کانال تلگرامی = دریافت لحظه‌ای خبر</t>
  </si>
  <si>
    <t>هفته هشتم لیگ برتر / #دربی ۸۸ شروع بازی استقلال - پرسپولیس @Khabar_Fouri</t>
  </si>
  <si>
    <t>خبر های فوری / مهم🔖</t>
  </si>
  <si>
    <t>هفته هشتم لیگ برتر / #دربی ۸۸ استقلال ۰ - ۰ پرسپولیس پایان نیمه اول @Khabar_Fouri</t>
  </si>
  <si>
    <t>هفته هشتم لیگ برتر / #دربی ۸۸ استقلال ۰ - ۰ پرسپولیس شروع نیمه دوم @Khabar_Fouri</t>
  </si>
  <si>
    <t>https://pbs.twimg.com/media/DoKdHYYXoAAsAVY.jpg</t>
  </si>
  <si>
    <t>🔵⚽️🔴 نصب ۵۰۰ دوربین مخفی در سکوها برای شناسایی افراد آشوبگر و دختران مردنما #دربی ✅ @Khabar_Fouri</t>
  </si>
  <si>
    <t>https://pbs.twimg.com/media/DoKdXHHX0AAJHsc.jpg</t>
  </si>
  <si>
    <t>📸 نمایی از ورزشگاه آزادی در فاصله یک ساعت به شروع #دربی 🔹جایگاه تماشاگران پرسپولیس در حال تکمیل ولی جایگاه زیادی از هواداران استقلال خالی است. #ورزشی ✅ @Khabar_Fouri</t>
  </si>
  <si>
    <t>https://pbs.twimg.com/media/DoKd8I1X0AAG2pp.jpg</t>
  </si>
  <si>
    <t>https://pbs.twimg.com/media/DoKd9KHXsAAFKnF.jpg</t>
  </si>
  <si>
    <t>📸 دختری که امروز با لباس و چهره پسرانه، از ۵۰۰ دوربین مخفی گذشت و وارد استادیوم آزادی شد! #دربی ✅ @Khabar_Fouri</t>
  </si>
  <si>
    <t>http://Instagram.com/khalilihastam</t>
  </si>
  <si>
    <t>journalist روزنامه نگار، مدرس دانشگاه</t>
  </si>
  <si>
    <t>پانصد دوربین و صدها نیرو برای جلوگیری از ورود #زنان به #استادیوم بکار گرفتند ولی براشون مهم نبود دزدان مردم را در کنار #استادیوم_آزادی لخت کنند. پس نتیجه می‌گیریم حفظ دستور #تفکیک_جنسیتی بر مقابله با دزدان واجب است. #دربی #استادیوم_آزادی #زنان</t>
  </si>
  <si>
    <t>mehrdad khalili</t>
  </si>
  <si>
    <t>جعفر سبحانی مشاور سازمان خصوصی سازی: رئیس جمهور با واگذاری سرخابی‌ های پایتخت موافقت کرد/ نامه ای از وزارت اقتصاد به هیئت دولت برای بازنگری مصوبه قبلی ارسال شده است/ منتظر مصوبه هیئت وزیران برای شروع روند واگذاری #استقلال و #پرسپولیس هستیم</t>
  </si>
  <si>
    <t>https://pbs.twimg.com/media/DoKgPP7XkAEkvTh.jpg</t>
  </si>
  <si>
    <t>همینه که می‌گیم اول بشی آخر بشی عاشقتیم #پرسپولیس #برانکو</t>
  </si>
  <si>
    <t>تا نفس در جان است باید رفت....</t>
  </si>
  <si>
    <t>وقتی در #دربی هم مردم بازنده هستند...</t>
  </si>
  <si>
    <t>مجید حصارکی</t>
  </si>
  <si>
    <t>https://telegram.me/HarfBeManBot?start=MTk1NTcwNzQ4</t>
  </si>
  <si>
    <t>‏‏‏‏‏‏‏‏‏‏‏زندگی کننده در یک هارد. پاترهد کورواسود تاجی سینما دوست راک و متال زی. از پیروان اسلش و هیث لجر وی فقط به خاطر علاقه‌ش به شیفت شب ، پزشکی میخونه.</t>
  </si>
  <si>
    <t>سرگردون تو رشت</t>
  </si>
  <si>
    <t>دورنگی فقط اونجاش که تا دیروز پرسپولیسی ها ماهینی رو مسخره میکردن و آرزو میکردن تو ترکیب نباشه، حالا که مصدوم شده کلن نظرها عوض شده و ماهینی همون چیزی بود که لازم داشتن. جماعت دو رو! #پرسپولیس #ماهینی</t>
  </si>
  <si>
    <t>ارشد هاگوارتز</t>
  </si>
  <si>
    <t>‏‏‏‏‏‏‏‏‏‏‏مدیر مسئول نشریه عمار|مدیریت استراتژیک| فعال رسانه</t>
  </si>
  <si>
    <t>روحانی:هنوز سه سال مونده ،باهم خیلی کار داریم فعلا بمالید همینه که هست... #روحانی #تورقوزآباد #استقلال #تَکرار #FATF #دفاع_مقدس #2030</t>
  </si>
  <si>
    <t>صادق علوی</t>
  </si>
  <si>
    <t>#پرسپوليس حضور در رده دوم جدول حضور در نیمه نهایی اسیا کلا ۱۳ بازیکن داره که یکیش هم مصدوم شد تو ۱۵ روز ۴ تا بازی سخت انجام میده ولی دم نزد پرسپولیس مظلوم و تنها الکی دهنتون باز نکنید و حرف بزنید اگه مغز داریدقبلش فکر کنید😊</t>
  </si>
  <si>
    <t>https://pbs.twimg.com/media/DoKl9M5X0AAo2NH.jpg</t>
  </si>
  <si>
    <t>#فوتفان #پرسپولیس #نود #احترام تو این چندسال حاضر شدی تو پست های مختلف بازی کنی از کیفیتت کم شد بی منت بی ادعا.هر بازیکنی دوران اوج داره دوران افت داره.من قبولت دارم چون واسه پرسپولیس زحمت میکشی ایشالا خبرای خوب بشنویم راجب مصدومیتت.با قدرت برمیگردی پسر بوشهری پرسپولیس</t>
  </si>
  <si>
    <t>کوروش کبیر</t>
  </si>
  <si>
    <t>https://pbs.twimg.com/media/DoKmkidWsAAt4oQ.jpg</t>
  </si>
  <si>
    <t>http://yon.ir/l1nVJ</t>
  </si>
  <si>
    <t>برای انتخاب علی دایی به عنوان بهترین مهاجم تاریخ جام ملت‌های آسیا به لینک زیر مراجع کنید 👇👇👇  #علی_دایی #فوتبال #فوتبال120 #نود #پرسپولیس #پرسپولیس_استقلال #ایرانی‌ #ایران #آسیا #تهران #اردبیل #نظرسنجي #ریتوییت #عربستان #آذربایجان #شهریار</t>
  </si>
  <si>
    <t>afshin rasouli</t>
  </si>
  <si>
    <t>تنها زیبایی دربی پاره شدن پرچم لنگ و متعاقباٌ بر افراشته شدن پرچم زیبای #استقلال بود💙✌️ #دربی</t>
  </si>
  <si>
    <t>‏‏‏عاشق اعداد و ارقام. علاقه مند به کتاب کاغذی. کلکسیونر فیلم خارجی. متخصص فولدربندی. طرفدار استقلال. اقتصاد شریف.</t>
  </si>
  <si>
    <t>دیروز با رفقا نشستیم #دربی رو دیدیم. اینکه همه ناراضی و فس بودیم، درست. ولی حداقل بعد بازی خوب و خوش پاشدیم رفتیم شام خوردیم و هیچ بشری راجب فوتبال حرف نزد.</t>
  </si>
  <si>
    <t>Mr</t>
  </si>
  <si>
    <t>وقتی امیرحسین صادقی میگه دست برانکو از شفر باز تر واسه انتخاب سیستم و ترکیب تیم باید با فوتبال دیدن خداحافظی کرد... #کیسه #استقلال</t>
  </si>
  <si>
    <t>http://t.me/meysam_moussavy</t>
  </si>
  <si>
    <t>lahijan</t>
  </si>
  <si>
    <t>یکی از بدی های توییتر اینه که نمیگن دیروز #دربی بوده بریم دنبال نتیجه ش یه وقت فردا سر کار ضایع نشیم #استقلال_پرسپولیس #پرسپولیس_استقلال</t>
  </si>
  <si>
    <t>Meysam Moussavy</t>
  </si>
  <si>
    <t>بازی بعدی 🏆 لیگ قهرمانان آسیا ۲۰۱۸ ⚽ السد - #پرسپولیس 📆 سه‌شنبه ۱۰ مهر ۱۳۹۷ 🕒 ساعت ۱۸:۴۵ 🏟 ورزشگاه جاسم بن حمد #ACL2018 @TheAFCCL</t>
  </si>
  <si>
    <t>https://pbs.twimg.com/media/DoIE_4oUYAA42yL.jpg</t>
  </si>
  <si>
    <t>https://twitter.com/masoudasadi67/status/1045403571733364737</t>
  </si>
  <si>
    <t>#تورقوزآباد #اسرائيل_سقطت #اسرائیل #منوتو #مردم_بدانید #دربی #پهلوی RT @masoudasadi67: این #تورقوزآباد که فک میکنی توش فعالیت هسته ای میشه همه تو خونشون یدونه از این نیروگاها دارن...میخای از زراد خانش یه عکس بفرستم برات؟؟؟یا همونی که دستته کافیه!! کودنِ خر(ضمن عذرخواهی از خر) @netanyahu</t>
  </si>
  <si>
    <t>پسـرِ خوب</t>
  </si>
  <si>
    <t>اونقد کشیدم انتظار🌿🌸🌱تا شدم معتاد یار</t>
  </si>
  <si>
    <t>دربی بدون برنده و بازنده، حال گیره #دربی</t>
  </si>
  <si>
    <t>داش اصغر</t>
  </si>
  <si>
    <t>https://pbs.twimg.com/media/DoKrNS5WkAUX9FC.jpg</t>
  </si>
  <si>
    <t>از روز تولد #آرتین با یاسر (داداشم) سر تیم‌های مورد علاقه آینده‌ش توافق کردیم: اون #استقلال رو برداشت من #بایرن و #آلمان</t>
  </si>
  <si>
    <t>‏‏سید احمدالحسن(ع) وصی و فرستاده ای از طرف امام مهدی(ع) همان یمانی موعود بین ماست تحقیق کنید و خود راه حقیقت را دریابید. لینک گروه پرسش پاسخ https://t.co/DQpxVA</t>
  </si>
  <si>
    <t>@dashasghar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</si>
  <si>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**سماء**</t>
  </si>
  <si>
    <t>‏‏‏‏‏‏‏‏‏‏هیچ‌کس بی دامنِ تر نیست لیکن پیشِ خلق، باز می‌پوشند و ما بر آفتاب افکنده‌ایم</t>
  </si>
  <si>
    <t>Miramar Air Station</t>
  </si>
  <si>
    <t>ما یه ضرب المثل داریم که میگیم: بیری بیرینین گوتونه آغاش گویور، بیری دییر تاققیلتی هاردان گَلیر؟ مملکت رو گرگ برده شما با توییتای #دربی و #پرسپولیس و #استقلال تایم لاین رو زخمی کردین. پس به اونیکه ۱۰تا #رب و ۱۰۰کیلو برنج می‌خره خرده نگیرین، فقط نوع کصخلیت‌تون فرق میکنه.</t>
  </si>
  <si>
    <t>_r4ptor</t>
  </si>
  <si>
    <t>https://virgool.io/@MahdiOmrani</t>
  </si>
  <si>
    <t>In love with Social Engineering / Born to be a Geek 😎</t>
  </si>
  <si>
    <t>https://twitter.com/MahdiOmrani/status/1041695875440025600</t>
  </si>
  <si>
    <t>تا یادم نرفته بگم #دربی_فقط_اونجاش_که دقیقه ۲۳ کیسه کشا یاد #منصورپورحیدری کردن! روحش شاد ولی ناموسن خودشون خنده شون نمیگیره از این حجم از اسکی؟ 😂 عادی شده دیگه براتون کپی کردن ایده‌ها و شعارهای #پرسپولیس تو استادیوم نه؟ بس نیست دیگه بعد اینهمه سال؟؟؟ 😁 RT @MahdiOmrani: یه روزی اگه بچم ازم بپرسه عاشق چیِ #پرسپولیس شدی، بهش میگم عاشق مکتبی که توی اون طرفداراش سالهاست که هیچ وقت یادشون نمیره #دقيقه۲۴ یاد کاپیتانشون رو زنده کنن! ⁦❤️⁩</t>
  </si>
  <si>
    <t>Mahdi Omrani</t>
  </si>
  <si>
    <t>https://twitter.com/afkhomand/status/1045301448203018241
https://twitter.com/afkhomand/status/1045297071568408576</t>
  </si>
  <si>
    <t>اسپانسر شدن مثل کوبرندینگ وقتی اثرگذاره که مبتنی بر ارزشهای مشترک دو #برند باشه، مساله اینه که #پرسپولیس یا #استقلال نتونستند ارزشهای متمایزی رو تو ذهن مخاطب بوجود بیارن. پس اینجور اسپانسر شدن تنها با هدف دیده شدن و مثل خرید رسانه است. RT @afkhomand: اسپانسر مشترک یعنی نفهمیدن معنای رقابت در تجارت،یعنی عادت به بازار بدون رقیب یا با رقیب بدون آزار،بازی که تمام شود کسی یادش نخواهد ماند اسنپ روی پیراهن بود،چون از شاخصه اصلی این بازار یعنی هواداری بهره نبرده بود مثل ایرانسل</t>
  </si>
  <si>
    <t>Yafarmo</t>
  </si>
  <si>
    <t>‏‏‏‏‏‎‎‎‎‎#یاحسین</t>
  </si>
  <si>
    <t>من واقعا نمیفهمم دو تا تیم باشگاهی با هم بازی میکنن چه اهمیتی داره کی ببره کی ببازه ..... #دربی</t>
  </si>
  <si>
    <t>نسل ظهور</t>
  </si>
  <si>
    <t>رئیس پلیس پیشگیری تهران بزرگ خبر حمله هفت مرد مسلح با سلاح سرد پس از بازی دو تیم #استقلال و #پرسپولیس به هواداران این دو تیم را در جلوی در #ورزشگاه_آزادی تکذیب کرد.|ایلنا</t>
  </si>
  <si>
    <t>https://pbs.twimg.com/media/DoKuTjoX0AAxDAf.jpg</t>
  </si>
  <si>
    <t>گرشاسبی برای حضور در مراسم سالگرد #هادی_نوروزی به کپورچال رفت;مراسم سومین سالگرد درگذشت کاپیتان سابق #پرسپولیس امروز در محل دفن این بازیکن برگزار می‌شود</t>
  </si>
  <si>
    <t>I want to live for myself and enjoy every day🙂</t>
  </si>
  <si>
    <t>کیفیت بازی استقلال و پرسپولیس نشون دهنده کیفیت زندگیمون تو ایران بود. #استقلال_پرسپولیس</t>
  </si>
  <si>
    <t>mojtaba</t>
  </si>
  <si>
    <t>اهل حالي؟ اهل صفا از زندگي؟ اهل اينكه با هم جمع شيم و كارهاي بزرك بكنيم؟ پس من هم داداشتم</t>
  </si>
  <si>
    <t>pic.twitter.com/PO8qR0iD7O</t>
  </si>
  <si>
    <t>#پرسپولیس_استقلال دربی کسل‌کننده تهران سومین تقابل شفر و برانکو برای نخستین بار مساوی شد.این بازی بسیار خشن و فیزیکی دنبال شد و دو تیم کمتر موفق به خلق موقعیت روی دروازه یکدیگر شدند و نهایتا بازی با تساوی بدون گل به پایان رسید</t>
  </si>
  <si>
    <t>داداش قيامي</t>
  </si>
  <si>
    <t>https://pbs.twimg.com/media/DoKv3UpXkAA_tt8.jpg</t>
  </si>
  <si>
    <t>دال ذال</t>
  </si>
  <si>
    <t>https://pbs.twimg.com/media/DoKx7tRX0AAE0JG.jpg</t>
  </si>
  <si>
    <t>ورود خانمها به استادیوم بازم ماجرا شد پیش از شروع بازی پرسپولیس و استقلال ، رسانه های داخلی از بازداشت دو زن خبر دادند که با گریم مردانه وارد استادیوم شده بودند. تعدادی از بانواننیز حین بازی عکس خود از داخل استادیوم را روی خط گذاشتن #پرسپولیس_استقلال #براندازم</t>
  </si>
  <si>
    <t>از استادیوم ازادی خبر رسیده استقلالی ها هنوز دارن خطا میکنن.... #پرسپوليس</t>
  </si>
  <si>
    <t>https://pbs.twimg.com/media/DoKye-YXgAIg_Kt.jpg</t>
  </si>
  <si>
    <t>خداحافظی با بازیکنان خارجی؟ مدیرعامل #پرسپولیس: با این اوضاعی که درخصوص مسائل ارزی وجود دارد و باشگاه با آن دست به گریبان است، برای فصل آینده یک فرد خارجی هم نمی‌توانیم نگه داریم🔴⚽️</t>
  </si>
  <si>
    <t>دکتر طرفدار #استقلال است انتظار داشتین من طرفدار دو آتیشه #پرسپولیس نباشم؟ RT @AbdolrezaDavari: روز رقابت #دربي پایتخت، تنها روزي است كه اصلا نميتوانم با دكتر#احمدي_نژاد احساس همدلي كنم. 🚩🚩پرچم سرخ #پرسپوليس بالاست</t>
  </si>
  <si>
    <t>نوروزی... روحت شاد... #پرسپولیس</t>
  </si>
  <si>
    <t>Saeid7</t>
  </si>
  <si>
    <t>http://ebrahimirad.com</t>
  </si>
  <si>
    <t>Back-end Developer, Co-founder &amp; CTO @ http://ostadbank.com</t>
  </si>
  <si>
    <t>حسین ماهینی عزیز برای همه تلاشهایی که کردی ممنونیم. ما میدونیم پارگی ربات صلیبی تو به خاطر بازی های فشرده با وجود مصدومیت بود. دمت گرم که اینقدر با تعصب هستی. دوست داریم کاپیتان 💓💓💓💓💓💓 @HosseinMahini #حسین_ماهینی #پرسپولیس #متعصب #کاپیتان</t>
  </si>
  <si>
    <t>Vahid Ebrahimirad</t>
  </si>
  <si>
    <t>http://obscura.ir</t>
  </si>
  <si>
    <t>دانشجوی جامعه‌شناسی</t>
  </si>
  <si>
    <t>"رییس جمهور با #واگذاری #سرخابی‌ها موافقت کرد".... تعطیلی و نابودی صدها کارخانه حاصل این سیاستهای واگذاری بوده... شاید قرار است تا نابودی این دو تیم ملی (#پرسپولیس و #استقلال) هم پیش برویم... عجیب تر آنکه هنوز سخن از #خصوصی_سازی به عنوان یک ژست تبلیغاتی مطرح میشود</t>
  </si>
  <si>
    <t>نوح</t>
  </si>
  <si>
    <t>تاریخ این بازی وحشیانه استقلال به هدف مصدوم کردن بازیکنای پرسپولیس قبل از بازی آسیایی رو فراموش نخواهد کرد و مطمئن باشید روزی به سر خودتون میاد #پرسپولیس</t>
  </si>
  <si>
    <t>https://pbs.twimg.com/media/DoK12XsWkAAnjjg.jpg</t>
  </si>
  <si>
    <t>وقتی پرچم قرمزت را میگیری و میری تو ورزشگاه آزادی برای تیم بی هویتت نعره میکشی یادت باشه که این ورزشگاه رو کی ساخت و داری کجا پات رو می گذاری. #تیمسار_خسروانی #جهان_پهلوان_تختی #علی_عبدو #تاج #استقلال #لنگ #تیم_حکومتی_این_کجا_وآن_کجا</t>
  </si>
  <si>
    <t>Gabi</t>
  </si>
  <si>
    <t>pic.twitter.com/zz6yQcsRc6</t>
  </si>
  <si>
    <t>وقتي #فغاني بيشرف اين صحنه رو #پنالتي نميگيره ،حساب كن اين خطا رو بازيكنهاي #پرسپوليس انجام ميدادن هم اخراج ميكرد هم پنالتي ميگرفت هم به بازيكنهاي معترض كارت زرد ميداد و چند تا داد و فرياد ناقابل هم تحويل ميداد كه من تصميم گيرنده ام</t>
  </si>
  <si>
    <t>دوستتان دارم واین تمام حرف منست ( هفتم :مرداد۱۳۶۶ )(پرسپولیسی ❤️❤️❤️❤️❤️❤️)</t>
  </si>
  <si>
    <t>Singapore</t>
  </si>
  <si>
    <t>pic.twitter.com/vMhySdYAQJ</t>
  </si>
  <si>
    <t>#دربی ۸۸ :طبق معمول جناب فغانی واسه دل همسرش دربی را صوت زد کشیدن دست علی پور توسط منتظری خطای واضح پنالتی را نگرفت و داوری او در نتیجه بازی تاثیر داشت کارشناسی دوم درکامنت #داوود رفعتی #هوشنگ نصیر زاده</t>
  </si>
  <si>
    <t>امید ⚖⚖⚖❌⭕️‼️📩🌍</t>
  </si>
  <si>
    <t>pic.twitter.com/h38hQnZxr7</t>
  </si>
  <si>
    <t>مثل امیر حسین احمق نباشیم! آقای برانکو ما به احترام شما و تیمی که ساختید کلاه از سر بر میداریم، شما که به ما یاد دادید غر نزنیم و از داشته ها بهترین استفاده رو ببریم، شما که اعتماد به نفس دادید به جوانان جویای نام، با وجود شما نیمکت پرسپولیس خالی نیست #پرسپولیس</t>
  </si>
  <si>
    <t>shahi</t>
  </si>
  <si>
    <t>https://pbs.twimg.com/media/DoK3w_7XsAEoSdP.jpg</t>
  </si>
  <si>
    <t>اوج شخصیت داور بین المللی😏😏 ایشون تو هیچ داوری بین المللی این کارو نمیکنن، چون عواقبش رو میدونن. اما اینجا نتونست تحمل کنه چون پای تیم محبوبش وسط بود😡😡😡#استقلال_پرسپولیس #داربی۸۷ #فقانی</t>
  </si>
  <si>
    <t>hadi khademi</t>
  </si>
  <si>
    <t>فشار مداوم. بازی کردن با پای در خطر مصدومیت. جنگیدن تا آخرین توان. پارگی رباط صلیبی. خیریتی در کار نبود الدنگ! پای #حسین_ماهینی هزینه‌ایست که #پرسپوليس برای فساد مدیرانش و بی‌شخصیتی و بی ‌وجودی #مهدی_طارمی و صد البته حضور مافیایی #حسین_هدایتی می‌دهد.</t>
  </si>
  <si>
    <t>Shahoo Sanaie</t>
  </si>
  <si>
    <t>گرشاسبی: ایوانکوویچ، رسن، رادوشویچ و منشا، پنج ماه است حقوق نگرفته اند و می توانند همین امروز پرسپولیس را ترک کنند. پ.ن: آن ها احتمالا تا پایان فصل صبر می کنند. پ.ن2: مگر #پرسپولیس دولتی نیست، چرا فقط از دولتی بودن کنترل امنیتی باشگاه نصیبش شده و نمی تواند ارز دولتی بگیرد؟</t>
  </si>
  <si>
    <t>http://worldinsport.com/profile/Meysam/</t>
  </si>
  <si>
    <t>Journalist | Once a blue, forever Blue</t>
  </si>
  <si>
    <t>pic.twitter.com/4KZUpPvQNn</t>
  </si>
  <si>
    <t>Glory 💙 #استقلال</t>
  </si>
  <si>
    <t>Meysam Yaghoubi</t>
  </si>
  <si>
    <t>ارام وصبور</t>
  </si>
  <si>
    <t>خدارا سپاس که بازی را ندیدم وباز سپاس وقت را گذاشتم یک فیلیم با حال پر خوانده قسمت اول را از فیلیمو دیدم برای سومین بار... #دربی</t>
  </si>
  <si>
    <t>ابوالفضل وکیلی</t>
  </si>
  <si>
    <t>كسى كه بعضيا ميخوان تركش كنن و بعضيا عاشقش هستن</t>
  </si>
  <si>
    <t>https://pbs.twimg.com/media/DoK891bWkAUNKmQ.jpg</t>
  </si>
  <si>
    <t>وقتى تو مهمونى ميخواى چُسى بياى كه من خيلى درسخونم #دربى</t>
  </si>
  <si>
    <t>دنيا</t>
  </si>
  <si>
    <t>https://pbs.twimg.com/media/DoK9lbUXgAAfgOU.jpg</t>
  </si>
  <si>
    <t>#دربی #پرسپوليس</t>
  </si>
  <si>
    <t>http://www.cinemafa.com</t>
  </si>
  <si>
    <t>علاقمند سینما و شاید ژورنالیست!</t>
  </si>
  <si>
    <t>https://pbs.twimg.com/media/DoK9KozWsAAeEJe.jpg</t>
  </si>
  <si>
    <t>دیروز اعلام کردند 500 دوربین در ورزشگاه آزادی نصب شده تا دخترهایی که با ظاهر مردانه میان رو شناسایی کنه. اما بهاره دختر پرسپولیسی، موفق شد #دربی رو از نزدیک ببینه! #پرسپولیس #استقلال #نه_به_تبعیض</t>
  </si>
  <si>
    <t>Payam Khodabandehlu</t>
  </si>
  <si>
    <t>‏‏ایرانی، مسلمان، شیعه، مهندس و مستقل/ فالو و ریتوییت به معنی تأیید محتوا نیست./ سعی می کنم منصفانه به قضایا نگاه کنم</t>
  </si>
  <si>
    <t>https://twitter.com/majazestan/status/1045273797413277696</t>
  </si>
  <si>
    <t>#استقلال به به هرچه متفکره استقلالیه 🙂 ببینیم می تونیم جنگ راه بندازیم RT @majazestan: [ استقلال ] 💎</t>
  </si>
  <si>
    <t>Mahmoud 🇮🇷</t>
  </si>
  <si>
    <t>Journalist...FarsNewsAgency خبرگزاري فارس، دبیر سرویس پارلمان</t>
  </si>
  <si>
    <t>tehran- iran</t>
  </si>
  <si>
    <t>https://pbs.twimg.com/media/DoLA_dvXoAAB3Bx.jpg</t>
  </si>
  <si>
    <t>پلیس اسب سوار در #دربی</t>
  </si>
  <si>
    <t>mohamadamin mirzaee</t>
  </si>
  <si>
    <t>باشه بهش ميگم</t>
  </si>
  <si>
    <t>https://pbs.twimg.com/media/DoLBqDqW0AIrLy3.jpg</t>
  </si>
  <si>
    <t>به نقل از سایت باشگاه #پرسپولیس و بنا بر اعلام کادر پزشکی تیم، هر چند نشانه‌های آسیب‌دیدگی حکایت از پاره‌گی رباط زانوی ماهینی دارد اما وضعیت مدافع سرخپوشان بعد از جواب MRI مشخص می‌شود.</t>
  </si>
  <si>
    <t>󠁧󠁢󠁥󠁮󠁧ش ي</t>
  </si>
  <si>
    <t>قبل از شروع بازی در حال خوندن نماز بودیم که یک قرمزپوش جلومون آب گذاشت و رفت. [با این حرکتش خیلی حال کردم. به نظرتون از حالت انفعال خارج بشم و #پرسپولیسی بشم!؟] قیمت آب در ورزشگاه: 2500 تومن! #دربی</t>
  </si>
  <si>
    <t>https://twitter.com/HosseinMahini/status/1045612742600806401</t>
  </si>
  <si>
    <t>به قول بیرانوند : تن من مباد و #پرسپولیس باد :)))) @HosseinMahini RT @HosseinMahini: اگه یک‌درصد فقط یک‌درصد به فکر خودم بودم تا تیم نباید این ۳-۴ تا بازی رو به زور امپول قرص مسکن بازی میکردم ولی عشق تاوان داره، رباط که چیزی نیست من جونم هم برای این تیم میدم و از همگی تشکر میکنم که جویای احوالم بودین هم پرسپولیسی‌ها و هم استقلالی‌ها❤️💙</t>
  </si>
  <si>
    <t>⁦mahmoud⁦</t>
  </si>
  <si>
    <t>ما انقلابی هستیم، مهر ولایت با ماست هیهات من الذله، شوق شهادت با ماست لبیک یا ثارالله</t>
  </si>
  <si>
    <t>@keramati013 خوبی #دربی حداقل این بود که استقلالی ها شانس این رو داشتن دروازه بانی که توپ رونالدو رو گرفته از نزدیک ببینن.</t>
  </si>
  <si>
    <t>رضا هداوند 🇮🇷🇵🇸</t>
  </si>
  <si>
    <t>من یک کرد . گیلگ.مازنی.ترکمن-آذری-ترک زبان ایرانی.عرب زبان ایرانی-لر . بختیاری .زرتشتی . مسیحی و کلیمی و مندائی هستم . آرزوی من ایرانی یک تکه و متحد #پرسپولیسی</t>
  </si>
  <si>
    <t>Paradise, NV</t>
  </si>
  <si>
    <t>@HosseinMahini #پرسپولیس تنهاترین تیم ایرانی در اسیا سرت سلامت کاپیتان ♥️♥️♥️♥️♥️♥️</t>
  </si>
  <si>
    <t>iranian_ir</t>
  </si>
  <si>
    <t>https://Instagram.com/mzf13</t>
  </si>
  <si>
    <t>هر از چندگاهی با آدم های احمق ملاقات کن ، میتونی یه چیزایی یاد بگیری !</t>
  </si>
  <si>
    <t>https://pbs.twimg.com/media/DoIRkkSVsAAslFq.jpg</t>
  </si>
  <si>
    <t>https://twitter.com/sooshiiiiiiii/status/1045417401813069824</t>
  </si>
  <si>
    <t>لعنت بر باعث و بانی هاش، به کوری دشمنای دور و نزدیک این لشکر ۴۰میلیونی بازم ادامه میده #پرسپولیس RT @sooshiiiiiiii: شاید ندونیم گردان بره گروهان برگرده یعنی چی شاید ندونیم گروهان بره نفر برگرده یعنی چی ولی خوب میدونیم قهرمان بره ١٣نفر برگرده یعنی چی خوب میدونیم ١٣ بره و حالا ١٢ برگرده یعنی چی خوب میدونیم حتا واسه حساس ترین بازی فصلت ١١ هم نباشی یعنی چی این خزون هم میگذره ولی لعنت بر بانیانش</t>
  </si>
  <si>
    <t>Hossein Mozaffari</t>
  </si>
  <si>
    <t>http://www.ppig.ir</t>
  </si>
  <si>
    <t>‏‏‏‏‏‏‏‏‏‏‏‏‏‏‏اصلاح‌طلب در همه امور، علاقمند به هنر و ورزش 🇫🇷🥇</t>
  </si>
  <si>
    <t>در برنامه ورزش و مردم، #فغانی گفت: در جام جهانی بعدی اگر شد با اسم #ایران و اگر نشد با هر اسم دیگری حضور خواهم داشت. ناخواسته چی کار داریم می‌کنیم با آبروی ایران و ایرانی؟ #استقلال_پرسپولیس</t>
  </si>
  <si>
    <t>Sh.Golzarfar</t>
  </si>
  <si>
    <t>https://pbs.twimg.com/media/DoLKALbXkAEP1MS.jpg</t>
  </si>
  <si>
    <t>مصاحبه تاريخي #عمر_عبدالرحمن يادتونه؟ #شفر سرمربي استقلال از بازيكنان در حين بازي خواست شماره ١٠ (من) را بزنند! . تو #دربي هم به نظر چنين چيزي خواسته بود كه اون قدر شديد خطا ميكردن!</t>
  </si>
  <si>
    <t>شب اومدم خونه مادرم میگه چه خوب که #دربی مساوی شد! میگم: هیچکس از مساوی خوشحال نیست. میگه: اگر یه تیم میبرد، هوادارای تیم رقیب خیلی ناراحت می‌شدند! اینکه کسی خیلی ناراحت نشده نشون میده مساوی بد نیست</t>
  </si>
  <si>
    <t>رقابت اصلی بازی دیشب بین #شفر و #فغانی بود برای اینکه ببینیم کی بیشتر میتونه تو نود دقیقه سوت بزنه :)) #پرسپولیس #کانال_هواداران_پرسپولیس #استقلال #دربی</t>
  </si>
  <si>
    <t>اگه می‌دونستم #دربی انقد چرت میشه، هفته های پیش از این خوشحال بودم که دو تا ۹۰ دقیقه فوتبال می‌بینم (هم بازی پرسپولیس و هم استقلال)</t>
  </si>
  <si>
    <t>دختر برنابئو</t>
  </si>
  <si>
    <t>PERSPOLIS♥️⭐️🏆 اگه پرسپولیس اولویتت نیست و برای سرگرمی فوتبالی هستی فالو نکن...!</t>
  </si>
  <si>
    <t>https://pbs.twimg.com/media/DoLLucdXUAAsTQk.jpg</t>
  </si>
  <si>
    <t>زیبایی محض. #پرسپولیس ♥️</t>
  </si>
  <si>
    <t>علی</t>
  </si>
  <si>
    <t>‏‏کنج عزلتی نشسته‌ام،بسیارهم خسته‌ام، ، بلاک شده توسط پسر</t>
  </si>
  <si>
    <t>https://pbs.twimg.com/media/DoLL14SX0AA-SAN.jpg</t>
  </si>
  <si>
    <t>یجوری سوختین انگار باباتون نتانیاهو بوده یه عوضی نژاد پرست ک اینهمه جلزولز نداره پفیوزا #تورقوزآباد #زندگی_سگی_اسرائیلیها #دربی</t>
  </si>
  <si>
    <t>حضرت نوح</t>
  </si>
  <si>
    <t>Journalist at Shargh @SharghDaily - مسوول صفحه " روزنامه " در روزنامه شرق. هر چیزی که اینجا می نویسم الزامن موضع روزنامه نیست. بی ادبی= بلاک. همیشه پرسپولیسی.</t>
  </si>
  <si>
    <t>https://twitter.com/hosseinmahini/status/1045612742600806401</t>
  </si>
  <si>
    <t>همین که تاآخرین نفس برای #پرسپولیس میجنگیدبرای ماکافی است.خسته نباشید.بازی السدجایت خالی خواهدبودو البته جای محروم ها.مهم نیست مسئولان برنامه ریزی لیگ،آسیا راحساب نکرده اند،مهم نیست ازنقل و‌انتقالات محروم هستیم؛مهم این است شماها پرسپولیسی هستید.مابه شماافتخار میکنیم. RT @HosseinMahini: اگه یک‌درصد فقط یک‌درصد به فکر خودم بودم تا تیم نباید این ۳-۴ تا بازی رو به زور امپول قرص مسکن بازی میکردم ولی عشق تاوان داره، رباط که چیزی نیست من جونم هم برای این تیم میدم و از همگی تشکر میکنم که جویای احوالم بودین هم پرسپولیسی‌ها و هم استقلالی‌ها❤️💙</t>
  </si>
  <si>
    <t>Sahar Tolouee</t>
  </si>
  <si>
    <t>https://pbs.twimg.com/media/DoLL7PpWkAAmkJx.jpg</t>
  </si>
  <si>
    <t>مهدی #رحمتی با کلین شیت در #دربی تعداد کلین شیت های خود را به عدد ۹ رساند و رکورددار کلین شیت در دربی شد #استقلال</t>
  </si>
  <si>
    <t>حال و هوای برنامه های ورزشی تلویزیون هم بعد دربی اینه که هردوطرف از باخت ترسیدن! اما نمیگن چرا تا جلوی محوطه میرفتن اما دیگه کاری نمیکردن، نمیگن زیرتوپ های زیاد میزدن و زیاد بازیکنا میخوابیدن(البته این مورد رو گفتن) #پرسپوليس #استقلال #دربی #لیگ_برتر #فوت_توییت #ترول_فوتبال</t>
  </si>
  <si>
    <t>اس تق لالیا ستاره سوم و زدن یا نه؟؟ ناسلامتی از پرسپولیس مساوی گرفتن!! #استقلال_پرسپولیس</t>
  </si>
  <si>
    <t>http://us.blastingnews.com/editorial-staff/mhedi-mahmoudi/</t>
  </si>
  <si>
    <t>Journalist, Studied IR at Tehran University. Retweet not endorsement.</t>
  </si>
  <si>
    <t>رییس پلیس پایتخت اعلام کرد برگزاری #شهرآورد 88 در کمال امنیت و آرامش و بدون هیچ حادثه امنیتی و انتظامی برگزار شد (یه قل دو قل بازی کردن که دیگه درگیری نداره) #استقلال #پرسپولیس</t>
  </si>
  <si>
    <t>mehdi mahmoudi</t>
  </si>
  <si>
    <t>pic.twitter.com/12BU3BZWBC</t>
  </si>
  <si>
    <t>آفتاب کم جون صبحگاهی 10مهر 94 حال و هوای فوق العاده دلگیری به استادیوم آزادی داده بود ؛ ما که هرگز بوقت شادی برای #پرسپولیس در این ورزشگاه نبودیم آمده بودیم تا با کاپیتان 30ساله مان خداحافظی کنیم. #هادی_نوروزی</t>
  </si>
  <si>
    <t>کوپرنیک انسان را از مرکز عالم بیرون راند، داروین وی را واداشت تا به خویشاوندی خود با حیوانات اقرار کند و فروید نشان داد که عقل نیز در خانه‌ی خود فاقد سروری است.</t>
  </si>
  <si>
    <t>دوربین‌های ورزشگاه برای پیدا کردن زن‌ها نبود، برای پیدا کردن شعار دهنده‌ها بود. #دربی #زنان‌در‌آزادی</t>
  </si>
  <si>
    <t>harikham</t>
  </si>
  <si>
    <t>خيابان شمار- نوروفاكر</t>
  </si>
  <si>
    <t>در عجبم از كسايي كه شب قبل از #دربی ، بازي ليورپول چلسي رو ديدن و باز پاي اين فوتبال بي رمق و بي رونق نشستن بعد از جام جهاني اصلا دلم به ديدن فوتبال داخلي نميره...</t>
  </si>
  <si>
    <t>پكر مرد</t>
  </si>
  <si>
    <t>https://t.me/Babak_Daryabak</t>
  </si>
  <si>
    <t>‏‏‏‏‏اَللّهُمَّ عَجِّل لِوَلیِّکَ الفَرَج...</t>
  </si>
  <si>
    <t>سیمرغ؛ مازندران. تهران؛ ایران!</t>
  </si>
  <si>
    <t>https://pbs.twimg.com/media/DoLPH35UYAAsoug.jpg</t>
  </si>
  <si>
    <t>یک‌بار از مهندس #مشایی پرسیدم اینکه می‌گویند دکتر #احمدی‌نژاد #استقلال ی است و شما #پرسپولیس ی؛ درست است؟ گفتند: آن زمان‌ها که فوتبال و این موضوعات برایم جذابیت خاصی داشت، بله! این ایام خیلی فرصت نمی‌کنم دنبال کنم این مسائل را... #زندانی_سیاسی #اوین</t>
  </si>
  <si>
    <t>Babak Daryabak</t>
  </si>
  <si>
    <t>برخیز زندگی کن عشق هنوز سرپا ایستاده</t>
  </si>
  <si>
    <t>pic.twitter.com/5oG6ns0yz5</t>
  </si>
  <si>
    <t>#تظاهر #پرسپولیس #سیاست #عشق #ایران #خدا</t>
  </si>
  <si>
    <t>Mohamadsaleh Kamrani</t>
  </si>
  <si>
    <t>pic.twitter.com/befueD6J28</t>
  </si>
  <si>
    <t>pic.twitter.com/SZDVTtj5WR</t>
  </si>
  <si>
    <t>آقا حسین ماهینی بامعرفت بودی و هستی ایشالله هرچه زودتر خوب شی و به میادین برگردی ❤❤❤❤ . #رامین_رضاییان #حسین_ماهینی #پرسپولیس</t>
  </si>
  <si>
    <t>journalist,writer/رهارهارها من</t>
  </si>
  <si>
    <t>دیشب بالاخره از چند گروهی که دعوت به تماشای #دربی شده بودن، یه گروه دونفره استقلالی اومدن پیشم. اونقدر #فوتبال کسل کننده بود که راجع به هر چیزی حرف زدیم جز توجه به فوتبال. آخرشم فیلم #قاتل_اهلی کیمیایی رو دیدیم فوتبالو شست برد.</t>
  </si>
  <si>
    <t>Mohsendalili</t>
  </si>
  <si>
    <t>کیسه کش خیلی داری گه سید جلال میخوری کی سیری میشی ؟ #استقلال</t>
  </si>
  <si>
    <t>روزنامه نگار فعال اجتماعی مدیر مسئول روزنامه زنگ آخر</t>
  </si>
  <si>
    <t>تهران عباس آباد</t>
  </si>
  <si>
    <t>https://pbs.twimg.com/media/DoLUYOpXcAAehzl.jpg</t>
  </si>
  <si>
    <t>https://www.instagram.com/p/BoQ9mF8HXht/?utm_source=ig_share_sheet&amp;igshid=z977cfjr7x3p</t>
  </si>
  <si>
    <t>اگر ورود بانوان به کافه ها ممنوع نمیشود مینویسم زنان تماشاگر فوتبال کافه ها به مردان با غیرت ایرانی شک نکنید  #فوتبال #زنان #سمیه_کرمانی #ورزشگاه #دربی #ممنوع</t>
  </si>
  <si>
    <t>سمیه کرمانی</t>
  </si>
  <si>
    <t>۵۰۰ تا دوربین میزارن تا یک وقت خانوم ها وارد نشن و ما ازش جوک میسازیم و آقایون همچنان پول پرداخت کرده بلیط میخرن و خیلی راحت میرن بازی هارو میبینن! سکوت میکنیم و خب حقمونه اگر هی دارن تحقیرمون میکنن ! #دربی #ورزشگاه_آزادی #اعتراضات_سراسری</t>
  </si>
  <si>
    <t>آدالا</t>
  </si>
  <si>
    <t>و شما دخترا از فوتبالیست هایی حمایت میکنید که وجود شما در ورزشگاه ابدا براشون مهم نیست که اگر غیر از این بود حداقل یکیشون واکنشی نشون میداد ! پس چرا انقدر خودتون رو کوچیک میکنید که با لباس پسرونه برید و بازیشون رو ببینید ؟؟؟؟!!! #دربی #ورزشگاه_آزادی #حق_من</t>
  </si>
  <si>
    <t>https://www.facebook.com/bakterixaan/</t>
  </si>
  <si>
    <t>Iranian musician. Makichi band .. vegetarian - باکتری‌خان .. یک موزیسین گیاهخوار، یک آرتیست ناقص، یک مغز برهنه و یک دیوانه عاقل - ما؟کی؟چی؟ و ماکیچی هم گروهمونه</t>
  </si>
  <si>
    <t>Strasbourg, France</t>
  </si>
  <si>
    <t>@Dokhi_Blue ارتش سرخ #پرسپولیس قهرمان 🤘🏼🤘🏼🤘🏼💪🏼💪🏼💪🏼</t>
  </si>
  <si>
    <t>Bakteri Xaan  باکتری</t>
  </si>
  <si>
    <t>‏‏‏‏آذری ام.‏‏‏‏دهه شصتی...♀️ عاشق صدای پای چوبین... فالوبک میدم. طراح صنعتی که نه طراحی خوب میداند و نه صنعت... ⛔مجاهد⛔عرزشی⛔اصلاحطلب⛔</t>
  </si>
  <si>
    <t>sare jammm</t>
  </si>
  <si>
    <t>واقعا توقع داشتین #دربی برنده داشته باشه؟؟؟!!! یعنی تو ماه محرم بریزید تو خیابون شادی کنید؟؟؟!!! یا با این اوضاع مملکت بهونه دستتون بدن شعار بدین؟؟؟!!!</t>
  </si>
  <si>
    <t>➰👑💙اینجا مُقام نِداره؛مسئول مُنُم.💙👑➰</t>
  </si>
  <si>
    <t>#پرسپولیس فقط با 9 بازیکن در رده بزرگسالان داره میره قطر برای بازی با #السد قدرتمند پرستاره در مرحله نیمه نهایی جام باشگاه های آسیا دقت کنید 9 بازیکن در رده بزرگسالان و بقیه امیدهای پرسپولیس هستند. اما یادمون نره که امید آخرین چیزیست که می میرد.</t>
  </si>
  <si>
    <t>محرومیت از نقل و انتقالات فقط برای بزرگسالان نبود. تیم های پایه #پرسپوليس هم محرومه. الان به دلیل کمبود بازیکن تیم نونهالان داره برای نوجوانان بازی می کنه! همین طور جوانان و رده اُمید... این خیانت یه روزی یقه مسببانش رو می گیره #ترکاشوند #طاهری #طارمی</t>
  </si>
  <si>
    <t>https://pbs.twimg.com/media/DoLaMCfXkAAYtrS.jpg</t>
  </si>
  <si>
    <t>همچون خون در رگ های من جاری عشق تو در جان و تن باقی می مانم پای روزهایت پرسپولیسم تو قهرمانی❤️ #پرسپوليس</t>
  </si>
  <si>
    <t>جانی سینز زمانت را بشناس...</t>
  </si>
  <si>
    <t>تنها دست آورد #پرسپولیس از رربی مصدومیت ماهینی بود</t>
  </si>
  <si>
    <t>Babak</t>
  </si>
  <si>
    <t>اول پرسپولیس سپس مابقی حیات ❤❤❤❤❤❤</t>
  </si>
  <si>
    <t>بتااز گله ی استقلاااال و چند کشته ای چیزی ز ارتش سرخ ها کم کن هوای حذف نفسگیر است وینفرد چاوشی ساشا صفا #دربی</t>
  </si>
  <si>
    <t>Alino</t>
  </si>
  <si>
    <t>‏‏‏.أَيْنَ الطَّالِبُ (الْمُطَالِبُ) بِدَمِ الْمَقْتُولِ بِكَرْبَلاَء. l'm muslim i'm revolutionary قَالَ رَبِّ هَبْ لِي مِن لَّدُنكَ ذُرِّيَّةً طَيِّبَةً</t>
  </si>
  <si>
    <t>جمهوری اسلامی ایران مشهد</t>
  </si>
  <si>
    <t>دربی دربی ک میگن همین بود ؟ی ساعت و نیم وقت ملت رو الکی تلف شد و کمترین لذتی از تماشای بازی نبردیم. #پرسپولیس_استقلال</t>
  </si>
  <si>
    <t>سرداروطن</t>
  </si>
  <si>
    <t>الان وقتشه که برانکو نشون بده #پرسپولیس فقط ۱۲ بازیکن نداره و مانند همتی ها زیاد داریم 😍</t>
  </si>
  <si>
    <t>یه چاقی که فتیش فوتبال داره</t>
  </si>
  <si>
    <t>https://pbs.twimg.com/media/DoLdVIbW0AAl6Ig.jpg</t>
  </si>
  <si>
    <t>اگه رفیق استقلالی دارین و این روزا تولدشه این عکسو چاپ کنین بهش هدیه بدین این عکس الان از اون 6 تای معروف و ایمون زائد هم کشنده تره #استقلال #استقلال_السد</t>
  </si>
  <si>
    <t>فت فوتیش</t>
  </si>
  <si>
    <t>https://pbs.twimg.com/media/DoLglmPXcAAKyXl.jpg</t>
  </si>
  <si>
    <t>ماجرای #تورقوزآباد، #دربی کسل کننده دیروز شست و برد! #نتانیاهو @IsraelPersian</t>
  </si>
  <si>
    <t>http://www.instagram.com/m.borhaniniya</t>
  </si>
  <si>
    <t>Screenwriter 📚 novelist ... Persian, Arabic</t>
  </si>
  <si>
    <t>https://pbs.twimg.com/media/DoLhAONXUAgl732.jpg</t>
  </si>
  <si>
    <t>یه #دربی پرطرفدار و استادیوم پر از زباله! #بهداشت دوستا کجان که #فوتبال رو تعطیل کنن! به جای حذف نذری های سفره #امام_حسین و اللهُ متم نوره</t>
  </si>
  <si>
    <t>m.borhaniniya</t>
  </si>
  <si>
    <t>الحاجي گرو مهاجمي كه تا حالا يه شوت در چارچوب براي #استقلال نزده! با #دلار۱۹۰۰۰تومانی چقدر دستمزد ميگيره؟ #شفر با قرارداد نوزده ميليارد توماني ( تا اين لحظه ) فقط يه بُرد تو ليگ داشته! غارت بيت المال توسط وزير ورزش براي تيم محبوبش! @maziaran</t>
  </si>
  <si>
    <t>Islamic Republic of Iran,tehran</t>
  </si>
  <si>
    <t>دنبال اینم کی اسم این بازی مسخره رو گذاشت سوپر کلاسیکو؟#دربی</t>
  </si>
  <si>
    <t>MOHAMMAD GHARAGOZLOU</t>
  </si>
  <si>
    <t>حیف که مجبور بودم.تو تایم این بازی مسخره چه کارهایی که نمی شد کرد.دو قسمت سریال ببینم.با پسرم بازی کنم،شما بگید....#دربی</t>
  </si>
  <si>
    <t>قبلش تیتر زده بودن بی خیال دلار،دربی رو بچسب.بعد از بازی دقیقا باید به چی میچسبیدیم؟به بدبختیامون؟من که حین بازی هم فکر سیب زمینی کیلویی 6 تومن و رب 18 تومنی بودم #دربی</t>
  </si>
  <si>
    <t>آقا داوطلب ميخوايم براي دفاع راست #پرسپوليس،،،کسي هست؟!!!!</t>
  </si>
  <si>
    <t>بازی رفت با السد قطر فرصتی برای ظهور یک صادق محرمی دیگر در پست دفاع راست #پرسپولیس. #شاهین_عباسیان</t>
  </si>
  <si>
    <t>اگه مربیایه ایرانی بالاسر این دو تیم بودن و این دربی با این کیفیتیو می دیدیم خود ما رسانه ها پاره شان می کردیم از انتقاد.یادتان باشد دو دربی قبلی برانکو و شفر هم فقط یک گل بیشتر داشت #دربی</t>
  </si>
  <si>
    <t>‏سعی می کنم انسان باشم... هنوز دانش میجویم... پرسپولیسی... 💗💗💗💗💗💗</t>
  </si>
  <si>
    <t>https://twitter.com/a__l__iii/status/1045635649418727424</t>
  </si>
  <si>
    <t>وضعیت #پرسپولیس مثل عامه مردم ایران هست. کم آوردن، اما دوست ندارن تسلیم بشن و امیدوارن. کاش بریم #فینال تا معجزه برامون رخ بده. معجزه زندگی RT @a__l__iii: برای بازی تو نیمه نهایی اسیا وضعیت خوب نیست و کمبود بازیکن داریم و واقعا عذاب اوره :( ولی این که هیچ جوره دوست نداریم تسلیم بشیم هم یه حس خوب و غرور میده بهمون... خدا کمکمون کنه🙏🏻♥️</t>
  </si>
  <si>
    <t>🇮🇷 SHISA</t>
  </si>
  <si>
    <t>https://www.instagram.com/alitabatabaei14</t>
  </si>
  <si>
    <t>مربی بسکتبال،تاتو آرتیست شاید نقاش یاطراح لباس یه وقتایی هم عکاس و ادیتور،تو خونه مامانم مهندس صدام میکنه یادم نره IT خوندم .ولی در کل به خودت نناز به تبی بندی</t>
  </si>
  <si>
    <t>همین گوشه کنار های شرق</t>
  </si>
  <si>
    <t>#دربی که تموم شد حالا وقتشه دوتا تیم رو ‌آینده تمرکز کنند #استقلال به سایپا 😂 #پرسپولیس به #نیمه_نهایی_آسیا ❤️</t>
  </si>
  <si>
    <t>آرتیست اَلَکی</t>
  </si>
  <si>
    <t>آدم خوبیم😁😁</t>
  </si>
  <si>
    <t>Mohammadaminrahmani</t>
  </si>
  <si>
    <t>‏‏‏‏‏There are no shortcuts to any place worth going</t>
  </si>
  <si>
    <t>من یک پرسپولیسی هستم، حاضر بودم #پرسپوليس طی يک بازی زیبا و هیجان انگیز 3-2 به #استقلال ميباخت ولی این بازی کسل کننده رو نمی دیدم من اهل توهم توطئه نیستم ولی فکر کنم ج.ا گفته بود مساوی کنید شلوغ نشه</t>
  </si>
  <si>
    <t>تاکی تاچى بانا</t>
  </si>
  <si>
    <t>رسد ادمی به جائی که به جز خدا نبیند بنگر که تا چه حد است مقام ادمیت----------------- برا فالو بازی نیومدم !</t>
  </si>
  <si>
    <t>چه کنم چه کنم های کشورهای اروپایی در قبال تحریمهای امریکا علیه ایران و اینکه نمی خواهند اما مجبورند تبعیت کنند یعنی همه این کشورهای با این همه به اصطلاح پیشرفت #استقلال ندارند جوان ایرانی به #استقلال واقعی خودت بناز ما #ایرانیم هیچکس نمی تواند به ما بگوید چه بکنیم چه نکنیم</t>
  </si>
  <si>
    <t>مرتضی</t>
  </si>
  <si>
    <t>#ورزشی #گرشاسبی: بابت #دربی۸۸ از هواداران عذرخواهی می‌کنم/ با این وضعیت، فصل آینده فرد خارجی نخواهیم داشت/ وضعیت نهایی ماهینی سه روز دیگر مشخص می‌شود محمود کلهر: #پرسپولیس و #استقلال کم اثرترین بازی را انجام دادند/ برانکو نباید از بازی با السد بترسد</t>
  </si>
  <si>
    <t>https://pbs.twimg.com/media/DoL0D0QXsAAmmP4.jpg</t>
  </si>
  <si>
    <t>سومین سالگرد درگذشت کاپیتان فقید #پرسپولیس هادی نوروزی امروز در کپورچال برگزار شد؛ روحش شاد و یادش گرامی #کاپیتان_ابدی #هادی_نوروزی</t>
  </si>
  <si>
    <t>‏‏‏‏‏‏‏‏‏‏‏‏‏‏‏‏‏‏‏‏‏‏‏ما آدمهای احمقی نبودیم،ساده بودیم واز روی سادگی به احمق ها اجازه دادیم تا در زندگی ما دخالت کنند! بی مخاطبم ‎‎‎‎</t>
  </si>
  <si>
    <t>پشت هیچستانم</t>
  </si>
  <si>
    <t>گرشاسبی: رباط پای ماهینی آسیب دیده است. ان شاءالله پارگی رباط نباشد. سه روز باید باشد تا ورم پایش بخوابد و مشخص شود میزان آسیب دیدگی اش چقدر است. #پرسپولیس</t>
  </si>
  <si>
    <t>رادیو دل واژه</t>
  </si>
  <si>
    <t>https://pbs.twimg.com/media/DoL2lGIXsAE5cmO.jpg</t>
  </si>
  <si>
    <t>تقدیم به دوستداران #کاپیتان_ابدی #پرسپوليس #هادی_نوروزی عزیز در سالگرد داغدار شدن دل و گریان شدن چشمهایمان- همیشه یاد باقیست #نوروزی #برانکو #دربی</t>
  </si>
  <si>
    <t>تنها نکته مثبت #دربی دیروز این بود که پیروز قربانی و امیرحسین صادقی و سپهر حیدری فهمیدن اون سالهایی که همش دربی مساوی میشد ما پای تلویزیون چی میکشیدیم #استقلال #پرسپوليس</t>
  </si>
  <si>
    <t>‏‏‏‏‏‏‏‏‏‏‏‏بیکارِعلافم_اماسیکلم کامل✌ شبان دیدآن خدارادردلِ کوه کمر🍀 دیدِموسی؛ازخدابودَست یک چیزدگر🍀 شایدم؛موسی نمیفهمیدحرف؛آن شبان🍀 هرکجاباشی خدااینستُ آن</t>
  </si>
  <si>
    <t>سفر روحانی به #نیویورک بعداز #حادثه_تروریستی_اهواز بود شهرآوردِ #استقلال و #پرسپولیس دقیقا بعدازسخنرانی #روحانی به #نیویورک؛ و ورودش به تهران انجام شد این شمارامشکوک نمیکنه!؟! من که میگم تساویِ پرسپولیس واستقلال؛ #کار_سپاهه؛ میگیدنه!؟! ازبچه های #جریان_سوم و #فرشگرد بپرسید( -:',</t>
  </si>
  <si>
    <t>تَشیار هَزآریان</t>
  </si>
  <si>
    <t>http://www.irbitpal.com</t>
  </si>
  <si>
    <t>Manager of BesTalk language institute</t>
  </si>
  <si>
    <t>https://pbs.twimg.com/media/DoL3wUiXoAAmMG6.jpg</t>
  </si>
  <si>
    <t>ببین چی پیدا کرده! جد سید جلال (بلال) حسینی 😂😂 @trollfootball_f #ترول_فوتبال #پرسپولیس #جلال_حسینی</t>
  </si>
  <si>
    <t>هادي عم</t>
  </si>
  <si>
    <t>سفر روحانی به #نیویورک بعداز #حادثه_تروریستی_اهواز بود. شهرآوردِ #استقلال و #پرسپولیس؛ بعدازسخنرانیِ #روحانی در #نیویورک؛ و ورودش به تهران انجام شد. این شمارامشکوک نمیکنه!؟! من که میگم تساویِ پرسپولیس واستقلال؛ #کار_سپاهه؛ میگیدنه!؟! ازبچه های #جریان_سوم و #فرشگرد بپرسید ( -:',</t>
  </si>
  <si>
    <t>https://pbs.twimg.com/media/DoL6zhJXcAAk-Ok.jpg</t>
  </si>
  <si>
    <t>سومین سالگرد درگذشت کاپیتان فقید پرسپولیس هادی نوروزی امروز در کپورچال برگزار شد؛ روحش شاد و یادش گرامی #پرسپولیس</t>
  </si>
  <si>
    <t>we wake up and watch the world fall apart</t>
  </si>
  <si>
    <t>جَللَل المَللَق! ی کسخلی میشه #طارمیِ افلیج، میاد گه میکشه ب #پرسپولیس و پررو پررو راشو میگیره میره؛ یکی هم میشه #ماهینی. ناموس غیرت واسه تیمشه، بدون هیچ شوآف!</t>
  </si>
  <si>
    <t>O.o</t>
  </si>
  <si>
    <t>https://pbs.twimg.com/media/DoL77mGXUAAmpy2.jpg</t>
  </si>
  <si>
    <t>تقدیم به دوستداران #کاپیتان_ابدی #پرسپولیس #هادی_نوروزی عزیز در سومین سال داغدار شدن دلهایمان و جاری شدن اشک بر چشمانمان-یادش گرامی و نامش باقی. #برانکو #دربی #استقلال #پرسپولیس_السد</t>
  </si>
  <si>
    <t>https://pbs.twimg.com/media/DoL8YTDXUAEDett.jpg</t>
  </si>
  <si>
    <t>همچون خون در رگ‌های من جاری عشق تو در جان و تن باقی می‌مانم پای روزهایت پرسپولیسَم تو قهرمانی❤️ 🔴 #پرسپولیس</t>
  </si>
  <si>
    <t>Mohamad Reza</t>
  </si>
  <si>
    <t>https://t.me/BiChatBot?start=sc-692534725</t>
  </si>
  <si>
    <t>‏‏‏‏‏‏‏‏‏📐 ‏Architect ‏‏ارزشی و مجاهد 🚫</t>
  </si>
  <si>
    <t>چند نفر میان به راحتی بعد از بازی #دربی تو ورزشگاه "با ۵۰۰ تا دوربین مخفی نصب شده"‌ از ۱۰ها نفر زورگیری میکنن، اونایی که زورگیری کردند چند نفر آدم معمولی بودن که بعدشم به راحتی فرار کردند، ببین اگه #داعش میخواست عملیاتی انجام بده به چه راحتی میتونست، آقای ج.ا اینم از امنیتتون!</t>
  </si>
  <si>
    <t>علی عرفان</t>
  </si>
  <si>
    <t>http://bit.ly/2rWrMlI</t>
  </si>
  <si>
    <t>‏سید احمدالحسن ع ،وصی و فرستاده ای از طرف امام مهدی ع،همان یمانی موعود بین ماست،تحقیق کنید تا به حقیقت برسید‌. لینک گروه پرسش و پاسخ</t>
  </si>
  <si>
    <t>@shadighashghaei #خبرها رابررسی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درمیان ماست #حب_الحسین_یجمعنا #پرسپولیس #اعتصاب_کامیونداران #روحانی #دلار</t>
  </si>
  <si>
    <t>زمینه ساز</t>
  </si>
  <si>
    <t>@alireza_arad #خبرهارا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</si>
  <si>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@iranium88 #خبرهارابررسی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</si>
  <si>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@parsnikoo میگن 500دوربین مخفی که برای #دربی در ورزشگاه آزادی نصب کردن برای شناسایی #زنان پسرنماست،بزرگوارها حتما آماده باش نیروهای امنیتی و انتظامی که نمونش در متروهاست هم برای برخورد با زنان است؟! یا تهدیدات امنیتی و تروریستی مهمی پیش رو ماست که خیلی مهمتر از برخورد با چند دختر بچست</t>
  </si>
  <si>
    <t>‌🇫‌🇷‌🇪‌🇪‌_🇲‌🇦‌🇳</t>
  </si>
  <si>
    <t>‏سید احمد الحسن ع وصی و فرستاده ای از طرف امام مهدی عج همان یمانی موعود در بین ماست بخوانید و جستجو کنید تا به حقیقت برسید لینک گروه پرسش و پاسخ</t>
  </si>
  <si>
    <t>وطنم ایران</t>
  </si>
  <si>
    <t>@shainaforoozan #خبرهارا بررسی می‌کنیم، #گرانی ومشکلات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</si>
  <si>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Ya Zahra</t>
  </si>
  <si>
    <t>@niloo_fark #خبرها را بررسی می‌کنیم، #گرانی و مشکلات بر تمام اخبار،حتی #دربی سایه انداخته! ای کاش به جای دل‌بستن به این وآن،بفهمیم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</si>
  <si>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https://pbs.twimg.com/media/DoL9s6zXsAAusbV.jpg</t>
  </si>
  <si>
    <t>حقیقتاً پشمام . آقاااااااااا پشمام #دربی #استقلال #دربی_فقط_اونجاش_که سید سیو میکنه</t>
  </si>
  <si>
    <t>@Alirezainfornal @gregreese #خبرهارا بررسی می‌کنیم، #گرانی ومشکلات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</si>
  <si>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@khosravifarsani #خبرهارا بررسی می‌کنیم، #گرانی و مشکلات بر تمام اخبار،حتی #دربی سایه انداخته! ای کاش به جای دل‌بستن به این وآن،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</si>
  <si>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@restart_iranian #خبرهارابررسی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</si>
  <si>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https://pbs.twimg.com/media/DoL-eH2W0AE2AEC.jpg</t>
  </si>
  <si>
    <t>#کاپیتان_ابدی #پرسپولیس #هادی_نوروزی #دربی #برانکو</t>
  </si>
  <si>
    <t>https://t.me/hesamkhorasani</t>
  </si>
  <si>
    <t>ای صاحب فتوی، ز تو پرکارتریم، با این‌همه مستی، ز تو هشیارتریم؛ تو خونِ کسان خوری و ما خونِ رَزان، انصاف بده؛ کدام خونخوارتریم؟ ... روزنامه نگار</t>
  </si>
  <si>
    <t>شهر ری، تهران، استان تهران، ایران</t>
  </si>
  <si>
    <t>https://www.isna.ir/news/97070302072/%D8%B4%DA%A9%D8%A7%DB%8C%D8%AA-%D9%86%D9%85%D8%A7%DB%8C%D9%86%D8%AF%DA%AF%D8%A7%D9%86-%D9%85%D8%AC%D9%84%D8%B3-%D8%B9%D9%84%DB%8C%D9%87-%DB%8C%DA%A9-%D9%BE%D8%B1%D8%B3%D9%BE%D9%88%D9%84%DB%8C%D8%B3%DB%8C</t>
  </si>
  <si>
    <t>چندوقت پیش با #شایان_مصلح بازیکن #پرسپولیس گپی داشتم. وسط گفتگو اسم #مولانا را آوردم، او هم سریعا گفت: «لعنت خدا بر مولوی». با آن‌که با باورهای #شیعه_رافضی آشناام، اما انتظار چنین پاسخ تندی را نداشتم. باید بپذیریم که ما هم گرفتار #افراط_گری شده‌ایم.</t>
  </si>
  <si>
    <t>Hesam Khorasani</t>
  </si>
  <si>
    <t>https://telegram.me/harfbzanbot?start=PY4Y1P</t>
  </si>
  <si>
    <t>نامبرده در خانواده ای مذهبی دیده به جهان گشود اما با مطالعه و تحقیق از مذهب فاصله گرفته عقل گرا گردید.</t>
  </si>
  <si>
    <t>half IRN half not IRN :)</t>
  </si>
  <si>
    <t>#برانکو کاری با #پرسپولیس مریض سال های قبل کرد که الان با اینکه ۱۱ نفر هم نداریم داریم واسه بازی برگشت فینال اسیا نقشه میکشیم، اونوقت یه سریا ... ولشون کن بیمارن</t>
  </si>
  <si>
    <t>‏Xacaнтуc</t>
  </si>
  <si>
    <t>❤my life persepolis❤</t>
  </si>
  <si>
    <t>pic.twitter.com/jLzjlcDwII</t>
  </si>
  <si>
    <t>هادی با تعصب🖤 فریاد قرمز و آبی در ورزشگاه آزادی نوروزی روحت شاد💙❤️ #هادی_نوروزی #پرسپولیس #استقلال</t>
  </si>
  <si>
    <t>J.jakson</t>
  </si>
  <si>
    <t>آقاي #شفر شايد تاحالا فهميده باشي چرا به #برانكو ميگيم #پرفسور فوتبال تو ايران با تمام دنيا فرق داره، علاوه بر داشتن دانش مربيگري بايد با فدراسيون و مدير عامل و بازيكن غيرحرفه اي،زد و بندهايي كه به ضرر تيمت پشت پرده انجام ميدن بجنگي و قهرماني بياري #پرسپولیس_برانكو</t>
  </si>
  <si>
    <t>دو پنجره است محرومیم، از نقل و انتقالات حامی هرگز نبخشد، بانی اتفاقات گفتا که خیریت بود، خیریتش چه بوده؟ بجز ارز و ریالی که در جیب تو بوده! #طارمی #برانکو #ماهینی #پرسپولیس</t>
  </si>
  <si>
    <t>https://pbs.twimg.com/media/DoMGa-CXoAElTSC.jpg</t>
  </si>
  <si>
    <t>http://tn.ai/1839401</t>
  </si>
  <si>
    <t>فرزند دوم منشا به دنیا آمد/فرزند دختر #گادوین_منشا به دنیا آمد و این در شرایطی بود که او نتوانست به خاطر بازی‌های حساس #پرسپولیس در لیگ و لیگ قهرمانان آسیا کنار همسرش باشد</t>
  </si>
  <si>
    <t>S Politics News Football Health Sports</t>
  </si>
  <si>
    <t>#فتاحی #رئیس_سازمان_لیگ باید از #بیرانوند و تمام تیم #پرسپولیس بابت بی احترامی اش #معذرت_خواهی کند @PerspolisFCIran @fcperspolisir</t>
  </si>
  <si>
    <t>Taimaz Sanayi</t>
  </si>
  <si>
    <t>حالا اینکه چی شده فوتبالیستای ایرانی انقد منت سر مردم میذارن معلوم نیس.یکی میگه #تیم_ملی بازی کردم نرفتم هالیدی یکی میگه به عشق طرفدارا اومدم ولی nمیلیارد گرفته یه ریالم تخفیف نداده یا اعتصاب کرده یکی خودشو به گا میده بهانه همشونم عششششق به هواداره.#استقلال #پرسپولیس #نود</t>
  </si>
  <si>
    <t>#ماهینی عزیز شما برای #پرسپولیس و هواداران ثابت شده هستی، براتون آرزوی سلامتی دارم. زود برگرد.❤ RT @HosseinMahini: اگه یک‌درصد فقط یک‌درصد به فکر خودم بودم تا تیم نباید این ۳-۴ تا بازی رو به زور امپول قرص مسکن بازی میکردم ولی عشق تاوان داره، رباط که چیزی نیست من جونم هم برای این تیم میدم و از همگی تشکر میکنم که جویای احوالم بودین هم پرسپولیسی‌ها و هم استقلالی‌ها❤️💙</t>
  </si>
  <si>
    <t>http://jjo.ir/ieqhgnyj</t>
  </si>
  <si>
    <t>#فغانى : دیگر شوقی برای قضاوت بازی‌های #استقلال و #پرسپولیس ندارم داور #دربى٨٨ از اتفاقاتی که برای او پیش و بعد از این بازی افتاده است، ابراز ناراحتی کرد و گفت: بهتر است از این به بعد یک داور خارجی دربی را قضاوت کند.</t>
  </si>
  <si>
    <t>دانشجوی ژنتیک... چشامونو باز کنیم ... هرچی میکشیم از دست خودمونه</t>
  </si>
  <si>
    <t>تورقوزآباد😊</t>
  </si>
  <si>
    <t>به نام خدا از : ملت ایران به : خرکننده جناب #نتانیاهو نمیدونم کجایی...نمیدونم الان داری چیکار میکنی ولی دوست دارم لپتو بگیرم و بکشم و ببوسم😘 پ.ن : کاری که که با #بنیامین کردی ایمون زائد با #استقلال ، #مورینیو با #منچستر و #کاریوس با #لیورپول نکرد... و من الله توفیق🤗 #تورقوزآباد</t>
  </si>
  <si>
    <t>TNJ</t>
  </si>
  <si>
    <t>جالبه، هواداران #پرسپولیس بعد از مصدومیت ماهینی در حال اشک و آه هستند که تیمشون برای بازی السد بازیکن نداره، ولی یادشون رفته تو ترکیب #استقلال در بازی با همین السد صیادمنش هفده ساله، قائدی ۱۹ ساله و روح‌الله باقری از لیگ۱ اومده بازی کردند. مظلوم‌نمایی!</t>
  </si>
  <si>
    <t>هنا تجدون اجمل ماقيل بالخواطر والحكم ننتقي لكم خواطر مستوحاة من الجمال⛰🌈</t>
  </si>
  <si>
    <t>على المراجل دوم متربي ويقول هذا طريقي وهذا هو دربي #دربي</t>
  </si>
  <si>
    <t>براعه بالخواطر⛱</t>
  </si>
  <si>
    <t>pic.twitter.com/cEoKBTEmG2</t>
  </si>
  <si>
    <t>🎥 رئیس پلیس پایتخت: خبر زورگیری از هواداران #دربی کذب است/ با افرادی که اقدام به انتشار این خبر کردند برخورد خواهد شد</t>
  </si>
  <si>
    <t>resident of earth planet 🌏 🕊</t>
  </si>
  <si>
    <t xml:space="preserve">inferno 🔥 🔥 </t>
  </si>
  <si>
    <t>@arash_sobhani تلفظ صحیح #دربی درب_ی است یعنی دری 🔺 #دربى٨٨ هم در اصل دربی نیست، درب ای است با شماره هشتادو هشت #دربی_فقط_اونجاش_که ، یک عده دارند در زمین فوتبال قدم می زنند</t>
  </si>
  <si>
    <t>ETeymourpour 🌎 🕊</t>
  </si>
  <si>
    <t>https://www.instagram.com/m.a.ahmadi97/</t>
  </si>
  <si>
    <t>دانشجوی نقشه برداری، ساکن تهران،مهم تر از همه امیدوارم به آینده/هیچ شنیده ­ای که مرغی اسیر،قفس را هم بر دارد وباخود ببرد؟</t>
  </si>
  <si>
    <t>https://pbs.twimg.com/media/DoMQ_xGU4AA9vdt.jpg</t>
  </si>
  <si>
    <t>اینکه میگویند افراد با تجربه + باتحصیلات بالا بهتر متوجه می شوند همیشه هم صادق نیست. دانشجویان جوان انقلابی حرفشان هم فقط همین است #استقلال کشور و اقتدار کشور را به خطر نیاندازید. #بشماامیدوارم #جنگ_نمیشود_مذاکره_نمیکنیم</t>
  </si>
  <si>
    <t>مُحمَّدِاَمین</t>
  </si>
  <si>
    <t>pic.twitter.com/h8R82sfnxM</t>
  </si>
  <si>
    <t>🎥 اظهارات وزیر ارتباطات در مورد #دربی روز گذشته پایتخت</t>
  </si>
  <si>
    <t>Be Reds 💖 • Anathema • Atheist براندازم👊</t>
  </si>
  <si>
    <t>#تراکتور باز ی تیم ضعیف دید چندتا گل زد طرفداراش فاز قهرمانی برداشتن؛) داداش تو از #استقلال ۳تا نخور چی؟ اها اماده نبودین! خب از صنعت نفت ۳تا نخور بعد بیا فاز قهرمانی بردار</t>
  </si>
  <si>
    <t>امام خمینی : با #جنگ به این نتیجه رسیدیم ، که باید روی پای خود بایستیم ! *** یعنی حتما ملت ها باید درگیر جنگ باشند تا به فکر #خودکفایی و #استقلال بیفتند !</t>
  </si>
  <si>
    <t>http://t.me/lemon_life</t>
  </si>
  <si>
    <t>🍋‏‏God's plan is the greatest</t>
  </si>
  <si>
    <t>into the wild</t>
  </si>
  <si>
    <t>چه تیم خوبی شده تراکتور 👌🏼 جنگ بر سر نایب قهرمانی دیدنی میشه امسال :))) ✌🏼❤🥇🏆 #پرسپوليس</t>
  </si>
  <si>
    <t>فِرِدریش شیلِر</t>
  </si>
  <si>
    <t>Architect 🏠🏘</t>
  </si>
  <si>
    <t>این استقلالی که از تراکتور ۶تا خورد همون استقلالی هست که استقلالیا قهرمانی‌شون رو به خودش می‌چسبوند. این ۶تا امشب هم نوش جونتون #۶تاییا #پرسپولیس</t>
  </si>
  <si>
    <t>hamoon</t>
  </si>
  <si>
    <t>هرجا سخن از #استقلال است یه شیش تا فرو شده</t>
  </si>
  <si>
    <t>آسمان آبی تنها دلتنگی من از این جهان خواهد بود جایی که همیشه برایم بوی خدا می دهد به گواهی دستانی که همیشه به سوی آسمان است</t>
  </si>
  <si>
    <t>آقا کسی فیلم دربی ۸۸ رو داره خوابم نمیره به عنوان قرص خواب میخوام #دربى٨٨ #استقلال #سرور #پرسپوليس</t>
  </si>
  <si>
    <t>Yaratehrani15</t>
  </si>
  <si>
    <t>♥️♥️ @RealMadrid, Perspolis &amp; TractorSazi ♥️♥️ مخالف سرسخت ازدواج جوانان</t>
  </si>
  <si>
    <t>Tabriz-Iran</t>
  </si>
  <si>
    <t>#استقلال عادت داره ۶ تا ۶ تا بخوره، چه تهرانی چه خوزستانیش. #تراکتورسازی</t>
  </si>
  <si>
    <t>اَجوَف فوقانی</t>
  </si>
  <si>
    <t>https://telegram.me/HarfBeManBot?start=Mzg3NDU5MjM5</t>
  </si>
  <si>
    <t>اولین گزارشگر🎤ایرانی شبکه #منچستریونایتد</t>
  </si>
  <si>
    <t>تراکتورسازی شعبه جنوبی #استقلال رو ۶ تایی کرد :))</t>
  </si>
  <si>
    <t>آقای گزارشگر</t>
  </si>
  <si>
    <t>pic.twitter.com/DoevrTWkUk</t>
  </si>
  <si>
    <t>سردار رحیمی، رئیس پلیس پایتخت: خبر زورگیری از هواداران #دربی کذب است. با افرادی که اقدام به انتشار این خبر کردند برخورد خواهد شد. #استقلال #پرسپوليس</t>
  </si>
  <si>
    <t>دوستت دارم پیش از آنکه بشناسمت</t>
  </si>
  <si>
    <t>#تراختور6 0 #استقلال خوزستان پ، تقدیم به منتظران استیل آذین شدن تراختور چه قدر خوبه این #تراختور چه قدر عشقه #استوکس 😍😍😍😍😍</t>
  </si>
  <si>
    <t>ali sa</t>
  </si>
  <si>
    <t>‏‏‏Sociologist, Journalist. Ardabil</t>
  </si>
  <si>
    <t>تراختور ده‌ها موقعیت گل و ۶ گل زده؛ دربی بزرگ پایتخت بدون موقعیت گل! #تراختور #دربی</t>
  </si>
  <si>
    <t>Mustafa Jamshidi</t>
  </si>
  <si>
    <t>@MehdiTaremi9 قرمز قشنگ تر از زرده که حتماً خيريتي داره #پرسپوليس</t>
  </si>
  <si>
    <t>@Bar00nNamNam #پرسپولیس هیچ شعبه ای ندارد. هیچ جا هیچ وقت.</t>
  </si>
  <si>
    <t>مهم اینه که #استقلال عادت داره ۶ تایی بشه ، حالا خوزستان و تهرانش فرقی نداره ، همونجوری که واسه قهرمانی خوزستان تو خیابون داشتین شادی میکردین امروز هم ما جرتون میدیم #تراکتورسازی ۶ #استقلال_خوزستان ۰ #پرسپولیس_سرور_استقلالِ</t>
  </si>
  <si>
    <t>یه زمان فکر میکردم باید شل کنم بعد فهمیدم بایدی در کار نیست خودش شل میشه</t>
  </si>
  <si>
    <t>https://pbs.twimg.com/media/DoMc2AIVAAA3PeB.jpg</t>
  </si>
  <si>
    <t>یه ملت رو فقط ما تو کافمون واسه #دربی اسیر کرده‌ بودیم آخرش هیچی به هیچی یعنی قشنگ هیچیاااا</t>
  </si>
  <si>
    <t>داریوش آخر</t>
  </si>
  <si>
    <t>مثل بازیهای رئال مادرید تو زمان ژنرال فرانکو که به زور اسلحه رئال بازیکن میگرفت و برنده میشد یه روزی هم گند دربی های حکومتی پرسپولیس و استقلال در میاد #دربی</t>
  </si>
  <si>
    <t>Darush Aliha</t>
  </si>
  <si>
    <t>‏‏‏‏‏‏‏فمینیست/ باعّ :| https://telegram.me/HarfBeManBot?start=NTA3NzQ1Njk0</t>
  </si>
  <si>
    <t>هر تیمی که آبی می پوشه جلوی تیمی که قرمز می پوشه، بازی کنه، شیش تا از قرمزا می خوره :) #استقلال</t>
  </si>
  <si>
    <t>مرلین مونرو</t>
  </si>
  <si>
    <t>اگه بخاطر بک فالوو میکنی نکن</t>
  </si>
  <si>
    <t>https://pbs.twimg.com/media/DoMeJfHXcAAidDx.jpg</t>
  </si>
  <si>
    <t>در جدیدترین رنکینگ باشگاهی؛ تیم #پرسپولیس در رتبه اول ایران، پنجم آسیا و ۱۳۶ جهان قرار گرفت پ ن:اون دوستان استقلالی که میگفتن السد قوی تر از الدحیل هست رنک الدحیل رو هم ببینن</t>
  </si>
  <si>
    <t>Elle est ma fille</t>
  </si>
  <si>
    <t>@ahmadinejad1366 @AliAbutalebi یکی از نکات منفی‌دکتر که من هیچ‌جا از این مطلب‌نتونستم دفاعی کنم در برابر‌منتقدین، استقلالی بودن دکتر احمدی نژاد هستش، 😀😀😀 #پرسپولیس</t>
  </si>
  <si>
    <t>À Chiraz</t>
  </si>
  <si>
    <t>‏‏‏‏‏‏جناب‌جان هستم برادر دوقلوی جناب‌خان./ اکانت قبلیم حذف شد./ فعلا در مرحله فالوئرگیری (و فالوبک‌گیری) هستم .../ هیچ فالویی ابدی نیست مگر در صورت فالوبک د</t>
  </si>
  <si>
    <t>چهل‌سال بعد وقتی که تراکتوری‌ها دیگه نمیتونند افتخار فوتبالی‌ای بدست بیارند، به مناسبت چهل‌سالگی شش‌تایی کردن #استقلال خوزستان جشن می‌گیرند!</t>
  </si>
  <si>
    <t>جناب جان</t>
  </si>
  <si>
    <t>روی قبرم بنویسید خیلی زور زد به طارمی فحش نده #پرسپولیس #طارمی</t>
  </si>
  <si>
    <t>‏‏🔸‏‏‏‏دانشجوی عمران 🎓دانشگاه علم و صنعت</t>
  </si>
  <si>
    <t>tehran_yazd</t>
  </si>
  <si>
    <t>#ایرانسل مسابقه پیش بینی #دربی گذاشته جایزش بسته اینترنتی 500 مگه خدایی این همه دست و دلبازی خوب نیست. #حاتم_طایی</t>
  </si>
  <si>
    <t>امیرم</t>
  </si>
  <si>
    <t>#فوتفان #پرسپولیس #استقلال دوستان استقلالی که ۳ سال پیش داداش داداش میکردید با قهرمانی هم نامتون الان حستون چیه؟(۲/۵نمره)</t>
  </si>
  <si>
    <t>فرعون دوم</t>
  </si>
  <si>
    <t>‏‏‏‏‏‏‏‏‏‏‏‏‏⁦ ⁦⚽🎮🎶⁦🖥️⁩📚📱🔭(🦂آبان ماهی)🍁🍂........🔴</t>
  </si>
  <si>
    <t>#تراکتور چی میگه... یعنی خوشم میاد #استقلال واسه هر شهری باشه باید ی بار شیش تایی رو بشه....😆😂🤣 ⁦❤️⁩⁦❤️⁩⁦❤️⁩⁦❤️⁩⁦❤️⁩⁦❤️⁩</t>
  </si>
  <si>
    <t>نیوهورایزنز(افق های نو)🛰️⁩</t>
  </si>
  <si>
    <t>‏‏‏‏‏‏‏‏‏‏‏‏‏‏‏‏</t>
  </si>
  <si>
    <t>#نساجی هم مساوی کرد درست مثل #پرسپولیس ولی بازی جذابی بود برعکس دربی</t>
  </si>
  <si>
    <t>خسرو</t>
  </si>
  <si>
    <t>سه شنبه پرسپولیس تنها تر از همیشه س با دو محروم و یک مصدوم و بدون بازیکن،بدون برانکو باید بره و با السد تو قطر بازی کنه تنها امید ما به خدا و غیرت بازیکنامونه. ما هوادار همیشه پشت تیم و برانکو هستیم. #پرسپوليس</t>
  </si>
  <si>
    <t>‏‏‏‏‏‏‏‏‏🇮🇷 مهندس مکانیک... استاد دانشگاه پیام‌نور شیراز... گاهی شاعر... football ❤❤❤❤❤❤</t>
  </si>
  <si>
    <t>Iran, shiraz</t>
  </si>
  <si>
    <t>لجباز فقط #برانکو که تو ذوب آهن هم #مسلمان نیمکت میشینه!! #پرسپولیس #پرفسور_برانکو</t>
  </si>
  <si>
    <t>یکتا بانو</t>
  </si>
  <si>
    <t>https://pbs.twimg.com/media/DoMkaU7XgAE6RbL.jpg</t>
  </si>
  <si>
    <t>در جدیدترین رنکینگ باشگاهی؛ تیم #پرسپولیس در رتبه اول ایران، پنجم آسیا و ۱۳۶ جهان قرار گرفت باخت به پرسپولیس باعث شد الدحیل صدر آسیا را از دست بدهد! 🔴 @PerspolisFCIran</t>
  </si>
  <si>
    <t>https://pbs.twimg.com/media/DoMkjK6XkAAszYT.jpg</t>
  </si>
  <si>
    <t>مسئله خاصی پیش نیومده تاریخ شنبه‌س :) #استقلال</t>
  </si>
  <si>
    <t>روی قلب من نوشته رنگ‌قرمز رنگ عشقه واسه تو‌ جونمو میدم #پرسپولیس سرور عشقه❤️</t>
  </si>
  <si>
    <t>‏هنوز اگرچه ز خورشید هنوز اگر چه ز برگ درین غروب خزان چشم بر نمی‌گیرم ... 🇮🇷🇶🇦🇸🇦🇮🇶🇮🇳🇦🇪🇱🇰🇦🇹🇲🇾🇹🇷🇹🇭🇮🇩🇬🇪🇹🇱🇻🇳🇫🇷🇪🇸🇵🇹🇷🇸🇺🇳</t>
  </si>
  <si>
    <t>انباری</t>
  </si>
  <si>
    <t>شنیدم بازم شیش تایی شدید 😂😂 #استقلال</t>
  </si>
  <si>
    <t>کلاغ کون دریده</t>
  </si>
  <si>
    <t>https://pbs.twimg.com/media/DoMlh6-WkAAUyHe.jpg</t>
  </si>
  <si>
    <t>جدول لیگ برتر پس از هفت مسابقه هفته هشتم؛ #پرسپولیس سوم شد @PerspolisFCIran</t>
  </si>
  <si>
    <t>حالا خوبه تراکتوری‌ها محل سگ هم بهتون نمیذارن که دارین رو گهشون اسکی میرین دوست لنگیا :))) #پرسپولیس</t>
  </si>
  <si>
    <t>https://twitter.com/REZAAA1999/status/1045716138787778560</t>
  </si>
  <si>
    <t>ولی شما یه لحضه تصور کن "پیروزی" تو همچین شرایطی چقد بیشتر میچسبه؟؟؟😍 به نظرم سه شنبه از اون روزهای دلچسبه که قراره ذوق مرگ بشیم 😊💃 #پرسپوليس RT @REZAAA1999: سه شنبه پرسپولیس تنها تر از همیشه س با دو محروم و یک مصدوم و بدون بازیکن،بدون برانکو باید بره و با السد تو قطر بازی کنه تنها امید ما به خدا و غیرت بازیکنامونه. ما هوادار همیشه پشت تیم و برانکو هستیم. #پرسپوليس</t>
  </si>
  <si>
    <t>چه غوغایی کرد این #تراکتورسازی. به‌عنوان یکی از طرفداران #پرسپولیس خیلی خوشحال شدم از نمایش #تراکتور، هرچه تیم‌های قوی‌تری توی لیگ باشن، لیگ جذاب‌تر می‌شه. واقعا نمایش تراکتورسازی دیدنی بود تبریک می‌گم 👊</t>
  </si>
  <si>
    <t>یه توییت از یه طرفدار استقلال رو دیدم که بخاطرش سه دور اتاق راه رفتم که فحش نکشم بهش. واقعا بعضیا جای مغز عن تو سرشونه #پرسپولیس</t>
  </si>
  <si>
    <t>https://pbs.twimg.com/media/DoMqy6NUUAA-ykN.jpg</t>
  </si>
  <si>
    <t>آقا #رسول_خطیبی هستند، بازیکن سابق تیم ملی و #استقلال سطح تحلیل و استدلال رو جابجا کردند</t>
  </si>
  <si>
    <t>مدت هاست عبور کرده ام از خویش... یادم بخـــیـــر......</t>
  </si>
  <si>
    <t>https://pbs.twimg.com/media/DoKzuf9XsAAv7ea.jpg</t>
  </si>
  <si>
    <t>https://twitter.com/sina77rezaei/status/1045595708290674688</t>
  </si>
  <si>
    <t>در این تصویر زیبا باز هم سروری پرسپولیس را مشاهده می نمایید #پرسپولیس RT @sina77rezaei: دربی اینجوری قشنگ تره😉</t>
  </si>
  <si>
    <t>aseman</t>
  </si>
  <si>
    <t>‏‏‏دانشجوی کارشناسی ارشد علوم سیاسی</t>
  </si>
  <si>
    <t>آذربایجان غربی، سولدوز (نقده)</t>
  </si>
  <si>
    <t>تراختوْرۇن ایندیکی دۇرۇمۇ، بیزیم بیر سیْرا ایداره‌لریمیزین وضعییتینه بنزه‌ییر. بۇ «بیر سیْرا ایداره‌لرین» صدری اوْلماسا، اوْلماغیْندان داها یاخشیْدیْر. تراختور 6 - #استقلال خوزستان 0 #تیراختوْر #تراختور #شامپیون #سن_یاشا #ائلیمیزین_فخری #تورک #تورکجه_جومالار‌</t>
  </si>
  <si>
    <t>حجت رستمی</t>
  </si>
  <si>
    <t>تا ‏توانی به خرابی من ای عشق بکوش، من نه آنم که ازین پس دگر آباد شوم... !!</t>
  </si>
  <si>
    <t>Persian</t>
  </si>
  <si>
    <t>https://pbs.twimg.com/media/DoMtytEXkAAoxYx.jpg</t>
  </si>
  <si>
    <t>#دربی_فقط_اونجاش_که نه آبی مهمه نه قرمز، عشق مهمه عشق...💜💜 #دربی</t>
  </si>
  <si>
    <t>ستاره🌠</t>
  </si>
  <si>
    <t>خبرنگار روزنامه ایران ورزشی</t>
  </si>
  <si>
    <t>کلا همه تیم‌هایی که اسمشون #استقلال هست علاقه خاصی به خوردن ۶ گل دارن. بعد از استقلال تهران، استقلال اهواز هم ۶ گل خورد. امشب هم استقلال خوزستان ۶ تا از تراکتور خورد. #۶تایی‌ها</t>
  </si>
  <si>
    <t>samira shirmardi</t>
  </si>
  <si>
    <t>https://pbs.twimg.com/media/DoH4TGMUcAA9zXB.jpg</t>
  </si>
  <si>
    <t>https://twitter.com/tipo_soltan/status/1045389610333990912</t>
  </si>
  <si>
    <t>دقیقن این همون چیزی بود که من پنجشنبه داشتم بهش فکر میکردم!! #پرسپولیس بمال بماله😂😂 اون از طارمی و مسلمان، این از شایان مصلح... حاج شایان مداحی میکنه و #برانکو هم میشه میوندار هئیت😂😂 RT @tipo_soltan: چند وقت دیگه دیدین پروفسور برانکو ریش گذاشته و تسبیح دست گرفته تعجب نکنین. اون راه پیشرفت تو ایران رو یاد گرفته !</t>
  </si>
  <si>
    <t>https://pbs.twimg.com/media/DoMzwKTX0AAGE_x.jpg</t>
  </si>
  <si>
    <t>استوری جدید رامین رضاییان برای حسین ماهینی . #رامین_رضاییان #حسین_ماهینی #پرسپولیس</t>
  </si>
  <si>
    <t>‏‏بعد از هر کامنتى که ميگذارم برایم مهم نیست درباره من چه فکری ميکنى مهم اینست که در فضای مجازی بازهم خودم هستم .خط قرمز من هم رهبری و یا خیانت به مملکت هست</t>
  </si>
  <si>
    <t>#استقلال فکرى اجاره ای و منفعتی نیست</t>
  </si>
  <si>
    <t>على</t>
  </si>
  <si>
    <t>https://telegram.me/harfbzanbot?start=J5nz0J</t>
  </si>
  <si>
    <t>‏‏‏‏‏‏‏‏‏‏‏‏‏‏من علی مطبوعاتم،دانا و با سواتم،گویم سخن فراوان،تا وقتی در حیاتم</t>
  </si>
  <si>
    <t>https://pbs.twimg.com/media/DoM6thOWsAAwwsH.jpg</t>
  </si>
  <si>
    <t>این خبر مال شیش سال پیشه.دم سیدجلال گرم .ای تو روح اون ژوزه و رویانیان #پرسپولیس</t>
  </si>
  <si>
    <t>⁦علی مطبوعات</t>
  </si>
  <si>
    <t>https://pbs.twimg.com/media/DoM7Q6-XgAEC1mU.jpg</t>
  </si>
  <si>
    <t>امید نمازی:با کسی مشکل ندارم. انتظار دارم همه زحمت بکشند و تلاش کنند وقتی بازیکن نمیخواهد تلاش کند نمی‌توانم از اواستفاده کنم #مسلمان تلاش کند میتواند جزئی از مجموعه ما باشد و اگر تلاش نکند، نه . کجاست بازیکنی که تو #پرسپولیس میگفت داریم برای خیریه بازی میکنیم وسردسته حواشی بود؟</t>
  </si>
  <si>
    <t>pic.twitter.com/Yquae3q9ps</t>
  </si>
  <si>
    <t>https://twitter.com/Hdsqt68/status/1034498841394012161</t>
  </si>
  <si>
    <t>این آهنگ من با صدای بلند شب قهرمانی دوسال قبل تو شادی خیابونیم گوش میدادم. فوق العادس #پرسپولیس RT @Hdsqt68: به شخصیتِ خوانندش کاری ندارم که چطوریه! ولی تو کوچه ماهم عروسی میشه!! @p7medosa7 @_the_AntiPop_ @Msintheend @NoOonSaAad @anaa_ak8 @pirmard_khaste @ladyhnygaga</t>
  </si>
  <si>
    <t>فرقه بین بازی اینکه بری واسه نباختن با اینکه بری واسه نبردن! #دربی #استقلال #پرسپوليس #گاوبندی</t>
  </si>
  <si>
    <t>‏‏‏‏‏‏‏‏ادم یک، بودن،است انسان یک، شدن،</t>
  </si>
  <si>
    <t xml:space="preserve">یه شمالی دهه شصتی بچه شاهی </t>
  </si>
  <si>
    <t>@HosseinMahini همیشه مثل مردها دفاع کن نه مثل پسر بچه های خوب :)))))❤❤#پرسپولیس</t>
  </si>
  <si>
    <t>robber</t>
  </si>
  <si>
    <t>‏‏‏نه من بَدَم نه تو/ رو مغز من نَدو</t>
  </si>
  <si>
    <t>خیابونم توش موندیم واسه ۴ چیز</t>
  </si>
  <si>
    <t>همّه میدونن بازی #استقلال_پرسپولیس دیروز تبانی بود، بدا به حال این برنامه‌های فوتبالی که تو رودربایستی باس این بازی کسشرو تحلیل کنن سرانه خشم تو جامعه اونقدر بالاست که اگه مساوی نمیشد، یه طرف او یکیو میخورد</t>
  </si>
  <si>
    <t>امیر دودو</t>
  </si>
  <si>
    <t>https://www.varzesh3.com/news/1557258/%DA%AF%D8%B2%D8%A7%D8%B1%D8%B4-%D8%A8%D8%A7%D8%B2%DB%8C-%D8%AA%D8%B1%D8%A7%DA%A9%D8%AA%D9%88%D8%B1%D8%B3%D8%A7%D8%B2%DB%8C-%D9%88-%D8%A7%D8%B3%D8%AA%D9%82%D9%84%D8%A7%D9%84-%D8%AE%D9%88%D8%B2%D8%B3%D8%AA%D8%A7%D9%86-%D8%AA%D8%A7%D8%B1%DB%8C%D8%AE-1397-7-6</t>
  </si>
  <si>
    <t>شش هیچ؛ رونمایی از #تراکتور ترسناک! #تراکتورسازی 6 - 0 #استقلال #خوزستان #Iran #PersianGulf⚽ #لیگ_برتر #ایران 🇮🇷</t>
  </si>
  <si>
    <t>https://pbs.twimg.com/media/DoNLa1_X0AASh9L.jpg</t>
  </si>
  <si>
    <t>سید حسین حسینی و شایعه اعتراضش به نیمکت نشینی بحث داغی است که در این مدت سوژه رسانه ها بود اما او با رفتار حرفه ای که از خود نشان داد به همه ثابت کرد که این بحث ها شایعه ای بیش نیست #استقلال</t>
  </si>
  <si>
    <t>‏ای کاش هر چه زودتر بفهمیم ‎#راه_حل_فقط_مهدی_است فقط کافی است او را بخواهیم. و اکنون نزدیک هجده سال است که فرستادهٔ ایشان، ‎#احمد_الحسن در بین ماست.</t>
  </si>
  <si>
    <t>@mehdiahmadi110 @bbcpersian #خبرها را بررسی می‌کنیم، #گرانی و مشکلات بر تمام اخبار،حتی #دربی سایه انداخته! ای کاش به جای دل‌بستن به این و آن، بفهمیم که #راه_حل_فقط_مهدی_است #فوری #احمد_الحسن فرستاده #امام_مهدی همان #یمانی روایات در میان ماست #حب_الحسین_یجمعنا #پرسپولیس #اعتصاب_کامیونداران #روحانی #دلار</t>
  </si>
  <si>
    <t>مالک أشتر</t>
  </si>
  <si>
    <t>برای همین ما طرفدار پرسپولیسیم، برای تیم و پیروزیش و شادی هوادارا می‌جنگید و این هوادار به پای شما و تیم میمونه،اینو بدونید ما همیشه پای عشقمون هستیم #پرسپوليس RT @HosseinMahini: اگه یک‌درصد فقط یک‌درصد به فکر خودم بودم تا تیم نباید این ۳-۴ تا بازی رو به زور امپول قرص مسکن بازی میکردم ولی عشق تاوان داره، رباط که چیزی نیست من جونم هم برای این تیم میدم و از همگی تشکر میکنم که جویای احوالم بودین هم پرسپولیسی‌ها و هم استقلالی‌ها❤️💙</t>
  </si>
  <si>
    <t>https://pbs.twimg.com/media/DoNObpUXsAExQa3.jpg</t>
  </si>
  <si>
    <t>#طرح_موزاییکی که به دلیل کم بودن #کیسه_کش ها هرگز اجرا نشد :))) #دربی #کیسه #پرسپولیس #قهرمان</t>
  </si>
  <si>
    <t>AliNoshadi</t>
  </si>
  <si>
    <t>الان بگی شیش تایی میگن کدوم خوزستان یا تهران... #شیشتقلال #پرسپوليس #تراکتور</t>
  </si>
  <si>
    <t>Matin Hamedi</t>
  </si>
  <si>
    <t>@madyaaar و پايه ثابت همه بد بيارى هاى ساخته ى مافيا #پرسپوليس</t>
  </si>
  <si>
    <t>‏‏‏‏‏‏‏یان سەرکەوتن یان سەرکەوتن</t>
  </si>
  <si>
    <t>شاخ و‌ داخ</t>
  </si>
  <si>
    <t>تو‌این هاگیر واگیر اونیکی #استقلال هم که #شیشتایی شد</t>
  </si>
  <si>
    <t>چۆخای‌ رۆژهه ڵات</t>
  </si>
  <si>
    <t>https://pbs.twimg.com/media/DoNVlG9W0AEoblq.jpg</t>
  </si>
  <si>
    <t>سطح تحلیل ایشون در همین حد کلکل و بچگانه اس! و‌ حوضه نگاهشم محدوده به انتظارات و افکارش! این قبیل آدما وظیفشون اینه ک مسائل و بشکلی توجیه کنن! که ضعفهای مرتبط با تیم محبوبشون دیده نشه و این نوعی مدیریت جو طرفدارانشونه! از آدمای کوچیک نباید انتظار بزرگ داشت... #استقلال #دربی</t>
  </si>
  <si>
    <t>‏‏‏‏‏‏‏دانشجوی همیشگی علوم سیاسی... فوتبالی... منچستر یونایتد+پرسپولیس❤❤</t>
  </si>
  <si>
    <t>https://pbs.twimg.com/media/DoNZEyGWsAEzVxS.jpg</t>
  </si>
  <si>
    <t>تیمی یکدل بدون ادعا و با صلابت مسیر سختی را طی می کند بازیکنان خوبی داریم نمیکت جوان و آینده داری داریم کادر فنی خوب و حرفه ای داریم آنقدر میبریم تا کسانی که سکوها را علیه #پرسپولیس متشنج کردند و امروز سکویی برای متشنج کردن ندارند بفهمند چه ببریم چه ببازیم ما عاشقیم و دلباخته</t>
  </si>
  <si>
    <t>عسگر زینالی</t>
  </si>
  <si>
    <t>member of degaran tribe. fan of @perspolisfciran &amp; @chelseafc 🖤👁‍🗨🖤👁‍🗨 :)</t>
  </si>
  <si>
    <t>@arghavane_fifi بلیط های بازی های خونگی #پرسپوليس تو آزادی از فصل ۹۴-۹۵ تا به امروز 😊😊😊</t>
  </si>
  <si>
    <t>👁‍🗨ali relay🇮🇷</t>
  </si>
  <si>
    <t>‏‏‏‏‏‏‏‏کارشناس ارشد #بازاریابی بین الملل / مشاور سیاسی / مربی #کونگفو توآ / موسس ‎‎‎‎‎‎#جمعیت_جوانان_اهوازی_موثر</t>
  </si>
  <si>
    <t>https://pbs.twimg.com/media/DoNbLRuWkAIv9_d.jpg</t>
  </si>
  <si>
    <t>رودستی که ایران در قضیه #تورقوزآباد به #نتانیاهو زد خارج از خنده دار بودنش، یه سیلیِ آبدارِ اطلاعاتی بود. یه جوکِ ناب به تاریخچه سازمانهای اطلاعاتی جهان وارد شد. یه چیزی تو مایه های دنیای فوتبال و 6تای #استقلال😐</t>
  </si>
  <si>
    <t>وهاب چندکاری</t>
  </si>
  <si>
    <t>روزنامه نگار /journalist/مطالب این صفحه نظر شخصی است /ریتوئیت به معنی تایید کامل نیست</t>
  </si>
  <si>
    <t>https://pbs.twimg.com/media/DoNc9qNXcAEzcWo.jpg</t>
  </si>
  <si>
    <t>دوباره یک تیم #قرمز به یک تیم #آبی ۶گل زد #استقلال_پرسپولیس #استقلال_خوزستان #تراکتورسازی</t>
  </si>
  <si>
    <t>alizadmehrعلی زادمهر🇮🇷</t>
  </si>
  <si>
    <t>https://pbs.twimg.com/media/DoNgIVkXsAAm97g.jpg</t>
  </si>
  <si>
    <t>هرجا سخن از #6تایی ها است نام #استقلال می درخشد😂😂👌 به راستی عدد 6 برازنده استقلال است😂😂👍 🆔 @TiraXtur 🚜</t>
  </si>
  <si>
    <t>ولی هنوزم تنها تیمی که 6 تا داخل و خارج ایران خورده #استقلال تهران هست، خیابانی در حال گذارش بازی اس تهران و خوزستان</t>
  </si>
  <si>
    <t>ﺁﻗﺎ ﻭﺣﻴﺪ ﺧﺎﻥ</t>
  </si>
  <si>
    <t>قانون بقای سوراخ میگه ۶تا خوردن از بین نمی‌رود، بلکه از یک #استقلال به استقلال دیگر منتقل می‌شود. #تراکتور_استقلال‌خوزستان</t>
  </si>
  <si>
    <t>تابع قوانین اساس‌نامه فدراسیون فوتبال</t>
  </si>
  <si>
    <t>تهران - ایران</t>
  </si>
  <si>
    <t>اسم #استقلال با شیش گره خورده اصن</t>
  </si>
  <si>
    <t>آقا‌ مربی</t>
  </si>
  <si>
    <t>https://telegram.me/harfbzanbot?start=rv7pa8E</t>
  </si>
  <si>
    <t>‏‏‏‏مدرس ؛ محقق ؛ خبر نویس ، عکاس خبری و ... ؛ ورود همه آزاد ! واسه چی جبهه بندی میکنید باو :/</t>
  </si>
  <si>
    <t>pic.twitter.com/X0s11m9dYn</t>
  </si>
  <si>
    <t>این خیلی خوب بود : گو نخور برو اونور ... هوی گوسفند بیا اینجا 😂😂😂😂😅 #علیرضا_فغانی #دربی</t>
  </si>
  <si>
    <t>Bellatrix Lestrang</t>
  </si>
  <si>
    <t>با درود بر #شاهزاده_رضا_پهلوی ، من ب عنوان دختری جوان از نسل سوم انقلاب کثیف آخوندی از شما تقاضادارم #شاهزاده_به_ایران_برگرد...دل تورا خواهد #Ahvaz #براندازان #اسکناس_نویسی #جریان_سوم #دربی #زنان در آزادی #زنان_استادیوم #نه_به_تبعیض_جنسیتی #پرسپولیس #استقلال #پیشنهاد_فالو</t>
  </si>
  <si>
    <t>pic.twitter.com/gooVOwrJPW</t>
  </si>
  <si>
    <t>اینو کجای دلمون بذاریم؟! بعد میگن علیه داور شعار نده، آقا رفتید استادیوم جای منم که نمیذارن بیاییم دو تا نگو به داور بگید والا! #پرسپولیس</t>
  </si>
  <si>
    <t>یه یوونتوسی با پرسپولیس نون اضافه</t>
  </si>
  <si>
    <t>وقتی میگیم #پرسپوليس یعنی طرف مقابلمون طرفدار هر تیمی میخواد باشه ما میبریمش بهش میرینیم تجاوز میکنیم کونشم میذاریم بعد اخر کار میپاشیم رو صورتشون بعلههههه ما جانی سینز نیستیم ولی کون جانی هم میذاریم ارهههههههه #پرسپولیس_السد #السد_پرسپولیس #پرسپولیس_قهرمان</t>
  </si>
  <si>
    <t>عمو موخی</t>
  </si>
  <si>
    <t>شوهر عمه م میگه: اینا که هی میگفتن این بازی هم مثل بقیه بازی 3 امتیاز داره حالا که #دربی مساوی شد اون یک امتیاز دیگه ش کجا میره؟ کسی خبر داره الان دیه چنده؟ #فوتبال</t>
  </si>
  <si>
    <t>چرا همیشه یک طرف نتایج شیشتایی باید یه استقلال باشه؟ یادتونه سالی که کیسه خوزستان قهرمان شده بود میگفتن کیسه تهران و اهواز نداریم؟ یه چیی میدونستن که میگفتن. #تراکتورسازی #پرسپوليس</t>
  </si>
  <si>
    <t>http://instagram.com/footballrooz</t>
  </si>
  <si>
    <t>آخرین اخبار روز و نوستالژی از فوتبال ایران و جهان</t>
  </si>
  <si>
    <t>https://pbs.twimg.com/media/DoN3Yt2U0AEwyot.jpg</t>
  </si>
  <si>
    <t>زود خوب شو حسین آقا 🙏 @HosseinMahini #حسین_ماهینی #دربی #پرسپوليس #استقلال</t>
  </si>
  <si>
    <t>فوتبال روز</t>
  </si>
  <si>
    <t>جوشكار ،همسر،بدر،ليسانس رياضي فقط صهيون بكش</t>
  </si>
  <si>
    <t>@Maxi_milianos از همون اول عاشقت بودم مكسي ديگه طنازي نكن #استقلال</t>
  </si>
  <si>
    <t>يه آدم شايد 😍🇮🇷</t>
  </si>
  <si>
    <t>http://Instagram.com/mehran_______________________</t>
  </si>
  <si>
    <t>ما در هر چیز فقط تقریبا هستیم .</t>
  </si>
  <si>
    <t>اونایی که با قهرمانی استقلال خوزستان طبل شادانه ها رو اورده بودن بیرون و بزن و بکوب و برقص داشتن … الان با شیشتایی شدنش … یاد ۵۲ افتادن یا نه …؟☺🤔 #پرسپوليس #استقلال</t>
  </si>
  <si>
    <t>Mehranmirma'na</t>
  </si>
  <si>
    <t>https://pbs.twimg.com/media/DoOBF73XgAE_8ee.jpg</t>
  </si>
  <si>
    <t>معرف حضورتون هستند سلطانِ مالیدن و رنگ عوض کردن علی آقای پروین تولدتون مبارک #اسطوره #فوتبال #پرسپوليس #فوتبال #ایران #استقلال</t>
  </si>
  <si>
    <t>http://instagram.com/sirbehnamofficial</t>
  </si>
  <si>
    <t>musician/band #RAD iranian hip hop #artist 🍄 420 🍄 دوباره قماره ی بازی کثیف</t>
  </si>
  <si>
    <t>IRAN tehran 021</t>
  </si>
  <si>
    <t>https://pbs.twimg.com/media/DoOFYRvXoAAo2ED.jpg</t>
  </si>
  <si>
    <t>#پرسپولیس #طهران روز سه شنبه در مرحله نیمه نهایی #لیگ_قهرمانان_آسیا به مصاف تیم #السد #قطر میره ، و تنها 9 بازیکن بزرگسال در اختیار داره ، ولی ما به این تیم ایمان داریم . پیش به سوی قهرمانی ّ#سربهنام #رد #ردی #ردیا #sirbehnam پوستر باشگاه السد برای بازی با پرسپولیس 👇</t>
  </si>
  <si>
    <t>Sir behnam</t>
  </si>
  <si>
    <t>https://pbs.twimg.com/media/DoOJTOqXUAYsVoZ.jpg</t>
  </si>
  <si>
    <t>#پرسپولیس بین چهار تیمی که تو لیگ قهرمانان #آسیا صعود کردن به مرحله نیمه نهایی ، تو رنکینگ اوله ، باهمین تیم خسته و پاچیده هم شک ندارم که قهرمان میشیم . یار دوازدهم تیم ملی پرسپولیسیم #طهران #ایران #فوتبال #سربهنام #رد #ردی #ردیا #sirbehnam #persepolis #perspolis</t>
  </si>
  <si>
    <t>Melbourne, Victoria</t>
  </si>
  <si>
    <t>هر وقت اوضاع مملکت قاراشمیش بوده اتفاقی بازی پرسپولیس استقلال به صورت کسالت باری مساوی شده!! #پرسپوليس #استقلال #دربی</t>
  </si>
  <si>
    <t>Reza Davari</t>
  </si>
  <si>
    <t>‏فعال ملی مدنی آزربایجان؛ خبرنگار سابق؛ دیلمانج؛ اورمیه گؤلو؛ سئوگی سیز.....!!</t>
  </si>
  <si>
    <t>Təbriz</t>
  </si>
  <si>
    <t>https://twitter.com/BMogadm/status/1045696018086588416</t>
  </si>
  <si>
    <t>شما در دقیقه ۲۴ و... شعار #روحت_شاد و فلان تیم سرور فلان تیمه را سر هدید؛ ما هم قبل از شروع بازی سرود #آذربایجان بخوانیم و در دقیقه ۱۵ شعار #تورک_دیلینده_مدرسه (تحصیل به زبان تورکی) را فریاد بزنیم. باید هم فرقی بین ما و شما باشد.....! #آزربایجان #تراکتور #استقلال #پرسپوليس RT @BMogadm: سیز ۲۴ ینجی دقیقه ده #روحت_شاد و فلان تیم سرور فلان تیمه شعاری وئرین؛ بیزده اویونان اؤنجه #آزربایجان ین میللی مارشین (سرود ملی) اوخویوب، ۱۵ ینجی دقیقه ده #تورک_دیلینده_مدرسه شعاری وئریک. گرک بیزیم و سیزین آرازدا بیر فرق اولاداااا... #تورکجه_جومالار #تراختور #سرخابی</t>
  </si>
  <si>
    <t>Babək Hüseyni Muqəddəm</t>
  </si>
  <si>
    <t>@MehdiTaremi9 برو اشغال عوضی برو ان شالله اگر مقصر بودی تو شرایط الان #پرسپولیس خیریت تو زندگیت نباشه.</t>
  </si>
  <si>
    <t>Vahid.As</t>
  </si>
  <si>
    <t>pic.twitter.com/sDc10k9NvJ</t>
  </si>
  <si>
    <t>ويديو جنجالي از مكالمه يك هوادار #پرسپوليس با #فتاحي مسئول برگزاري مسابقات #ليگ برتر كه در فضاي مجازي پخش شد كه درآن فتاحي حرف عجيبي درمورد #بيرانوند مي زند!!</t>
  </si>
  <si>
    <t>http://Mohammadreza_Hoseinzadeh.rozblog.com</t>
  </si>
  <si>
    <t>Live in Iran, Guilan, Rasht. Industrial Management Student at PNU Rasht. Acting Student at "7" Cinema Training Center.</t>
  </si>
  <si>
    <t>به امید پیروزی #رئال_مادرید در #دربی امشب 💪🏼💓 #رئال #لالیگا #رئال_اتلتیکو #Real #RealMadrid #RealMadridAtleti #Laliga #RMLiga</t>
  </si>
  <si>
    <t>Mohammadreza Hoseinzadeh</t>
  </si>
  <si>
    <t>Financial department 📉📈📊 💙Esteghlal💙 “Interested”</t>
  </si>
  <si>
    <t>Iraq, Iran</t>
  </si>
  <si>
    <t>@azarijahromi جناب جهرمی وضعیت آنتن دهی و اینترنت های همراه رو تو ورزشگاه آزادی وقتی جمعیت زیاده مشاهده کردین؟ نیاز به تقویت دارند #دربی</t>
  </si>
  <si>
    <t>MrVahid</t>
  </si>
  <si>
    <t>http://mag.mynewsbase.com</t>
  </si>
  <si>
    <t>پایش فراگیر رسانه‌ها و اخبار ایران / وابسته به هسته فناور مبناخبر</t>
  </si>
  <si>
    <t>https://pbs.twimg.com/media/DoO-fJ3X0AArcJw.jpg</t>
  </si>
  <si>
    <t>http://mag.mynewsbase.com/index.php/opinion-editorial/item/143-ahwaz-attack-zarif-mogherini</t>
  </si>
  <si>
    <t>منتخب هفته در مجله مبناخبر: از #استعفای وزیر صنعت، آغاز توزیع #سبد‌کالا و عدم افزایش #حقوق کارمندان تا ثبت ملی خانه پدری #فروغ‌‌فرخزاد، #دربی ۸۸ و معرفی مایکروسافت #آفیس۲۰۱۹</t>
  </si>
  <si>
    <t>مجله مبناخبر</t>
  </si>
  <si>
    <t>سنگ تیپا خورده رنجور</t>
  </si>
  <si>
    <t>خبر کوتاه بود #رامین_رضاییان به #پرسپولیس بر می‌گردد (باسن‌ها می‌سوزد)</t>
  </si>
  <si>
    <t>https://pbs.twimg.com/media/DoPOSdIXcAATZFt.jpg</t>
  </si>
  <si>
    <t>معمولا موقعي که چند نفر به يک نفر حمله ميکنن،دوست دارم ازش دفاع کنم ولي اين قضيه شامل #طارمي نميشه هواداراي #پرسپوليس حق دارن عليه اش موضع داشته باشن اون از پارسال و بلايي که 4 روز قبل از بازي با الحلال سرمون آورد،اينم از امسال که خدا ميدونه قراره چه بلايي سرمون بياد</t>
  </si>
  <si>
    <t>https://pbs.twimg.com/media/DoPOh8TXoAA2I2N.jpg</t>
  </si>
  <si>
    <t>@MehdiTaremi9به نفعته که در صورت صعود نکردن #پرسپوليس گم و گور بشي</t>
  </si>
  <si>
    <t>https://pbs.twimg.com/media/DoPR7IvXsAA_J1V.jpg</t>
  </si>
  <si>
    <t>خودم تهران، دلم دوحه... #پرسپوليس ❤️</t>
  </si>
  <si>
    <t>داريم تموم ميشيم</t>
  </si>
  <si>
    <t>دو روزه هى ياد دربى مى افتم هى فحش مى دم به كل عواملش #دربى از اين بدتر نمى شد</t>
  </si>
  <si>
    <t>Mojtaba TKh</t>
  </si>
  <si>
    <t>خبرنگار ورزشی و فوتبالی/ یه پرسپولیسی و آرژانتینی اصیل</t>
  </si>
  <si>
    <t>#دربی مزخرف با چاشنی مصدومیت #حسین_ماهینی... هم #پرسپولیس و هم #استقلال فوتبالی زشت و با ترسی رو بازی کردن... به نظرم برای یک بار هم شده قبل از دربی رسانه ها نباید به این بازی بپردازن تا کادرفنی و بازیکنانی دو تیم بدونن مردم مسخره اونا نیستن</t>
  </si>
  <si>
    <t>Milad Azami</t>
  </si>
  <si>
    <t>http://nasrnews.ir</t>
  </si>
  <si>
    <t>‏‏‏‏نخستین پایگاه خبری،تحلیلی شمالغرب کشور/ فرهنگی،هنری،اجتماعی،سیاسی،اقتصاد،فناوری</t>
  </si>
  <si>
    <t>http://NasrNews.ir
https://www.instagram.com/p/BoTK7k4nPie/?utm_source=ig_twitter_share&amp;igshid=11sjdlylbj3ga</t>
  </si>
  <si>
    <t>. . . ▪️مصاحبه #خبرنگار خبر ورزشی با #دختر استقلالی که به تماشای #دربی رفته بود  @nasrnews_ir @ Tabriz, Iran</t>
  </si>
  <si>
    <t>Nasrnews.ir</t>
  </si>
  <si>
    <t>https://pbs.twimg.com/media/DoPepZZWsAEjB7g.jpg</t>
  </si>
  <si>
    <t>این حرکت اسماعیلی یکی از زیباترین صحنه های #دربی بود #استقلال</t>
  </si>
  <si>
    <t>https://pbs.twimg.com/media/DoPiiT3W0AAPgeT.jpg</t>
  </si>
  <si>
    <t>https://pbs.twimg.com/media/DoPklcgXcAEOgwv.jpg</t>
  </si>
  <si>
    <t>چرا #دربی کسل‌کننده بود؟ یا توپ یا بازیکن؛ دربی پر از نبردهای تن به تن بوده و بیشتر از یک‌سوم این نبردها منجر به خطا شده است.</t>
  </si>
  <si>
    <t>https://pbs.twimg.com/media/DoPpQWHVAAAqm4Q.jpg</t>
  </si>
  <si>
    <t>امروزدرکناردربی رم و مادرید،حساس ترین و بکش بکش ترین دربی تو کرواسی برگزارمیشه. پیشنهاد می کنم بازیکناوکادر فنی #پرسپولیس و #استقلال، "هرواتسکی دربی" بین هایدوک اشپیلت و دیناموزاگرب روببینن و یکم یاد بگیرن دربی یعنی چی خوش به حال صادق محرمی که میتونه این بازی رو از نزدیک لمس کنه</t>
  </si>
  <si>
    <t>@PMR0731 به‌عنوان یه پرسپولیسی می‌گم، صرف‌نظر از کاری که #طارمی با #پرسپولیس کرده، فحش دادن و ناسزا گفتن به هرکس تو هر شرایطی کار ناپسندیه. امثال ایشونو باید ول کرد به حال خودشون، با فحش دادن فقط فرهنگ خودمونو زیر سوال می‌بریم.</t>
  </si>
  <si>
    <t>https://pbs.twimg.com/media/DoP5M7iV4AAlwcN.jpg</t>
  </si>
  <si>
    <t>http://tn.ai/1839752</t>
  </si>
  <si>
    <t>⚽️ #برانکو: برای بازی با #السد هیجان داریم/ #سیدجلال_حسینی امروز کسالت داشت که به وی گفتیم استراحت کند/ #پرسپولیس با لیاقت تمام راهی نیمه نهایی #لیگ_قهرمانان_آسیا شده است/ هدف‌ ما رفتن به #فینال است</t>
  </si>
  <si>
    <t>⚽️✍🏽</t>
  </si>
  <si>
    <t>فرشید اسماعیلی: همين كری خوانی ها هم باعث شد تا کیفیت مسابقه پايين بيايد! عجب! #دربی</t>
  </si>
  <si>
    <t>Yasi</t>
  </si>
  <si>
    <t>استقلالیا نمیخوان مثل اون موقع که استقلال خوزستان قهرمان جشن گرفتن برای باخت ۶ هیچش ماله بکشن یا خرما بدن #شش_تایی #استقلال</t>
  </si>
  <si>
    <t>خب رسیدیم به یک Super Saturday ! اگه این امکان رو داشتین که یکی از بازی‌های امروز رو تو استادیوم تماشا کنین، کدوم رو انتخاب می‌کردین؟ #دربی #رم_لاتزیو #رئال #رم #لاتزیو #لیورپول #چلسی #یوونتوس #یووه #ناپولی #اتلتیکو #رونالدو</t>
  </si>
  <si>
    <t>عاشق خدايي هستم كه روي زمين غريب است و دوستدار مردمي هستم كه زندگي در كنار آنها زيباست و طرفدار تيمي هستم كه نفس من است،پس من يك ايراني پرسپوليسي ام.🇩🇰🇮🇷</t>
  </si>
  <si>
    <t>København, Danmark</t>
  </si>
  <si>
    <t>@MehdiTaremi9 هر وقت #پرسپولیس به مشكل مي خورد و مثل اين روزها به بن بست مي خورد،فقط ياد شما مي افتم كه نمك خوردي و نمكدون شكستي.</t>
  </si>
  <si>
    <t>Reza Nikoomagham</t>
  </si>
  <si>
    <t>Journalist//</t>
  </si>
  <si>
    <t>m.b</t>
  </si>
  <si>
    <t>https://pbs.twimg.com/media/DoP-9_3W0AAZRtZ.jpg</t>
  </si>
  <si>
    <t>به جا مانده از #دربی زخمی اما همچنان امیداوار #استقلال #پرسپولیس</t>
  </si>
  <si>
    <t>soroush irani</t>
  </si>
  <si>
    <t>‏‏‏‏‏‏پایبند به تکریم ارباب رجوع🕶️</t>
  </si>
  <si>
    <t>https://pbs.twimg.com/media/DoP_gNgV4AErcrw.jpg</t>
  </si>
  <si>
    <t>نیمه اول شفر خیلی اعتراض میکرد یه صحنه نامداری داره به شفر میگه کارت نمیده چوپون لنگیا طی یه حرکت جالب نوشته نامداری گفته بزنید کارت نمیده یه چی تومایه‌های داستان سریع بچپ 😂 #پرسپولیس</t>
  </si>
  <si>
    <t>عظما🐢</t>
  </si>
  <si>
    <t>دلخوری سرخابی ها از فعانی: او جملاتی به كار می برد كه باعث دلخوری ما شد. و رفتارش براي ما عجيب بود. او قبلا بازیکنان را با اسم آقا صدا می كرد... ما گفتيم باعث افتخار ايران هستی ولی انصافاً توقع اين رفتارها را نداشتيم. آيا او با بازیکنان خارجی هم اين طور رفتار می کند؟ #دربی</t>
  </si>
  <si>
    <t>https://twitter.com/YoSrA_Bakhakh/status/1045902192853614592
http://www.the-afc.com/competitions/afc-asian-cup/latest/news/vote-for-your-best-ever-afc-asian-cup-forward</t>
  </si>
  <si>
    <t>یه هل دیگه بدیم #علی_دایی از بازیکن عربستان میزنه جلو #پرسپولیس #استقلال RT @YoSrA_Bakhakh: اینجا برین به #علی_دایی رأی بدین دیگه این بهترین مهاجم #آسیا حقشه</t>
  </si>
  <si>
    <t>Pooria Puya</t>
  </si>
  <si>
    <t>تمام مسائل رو به چپت بگیر........................ غصه نخور درست میشه😉</t>
  </si>
  <si>
    <t>Amsterdam, The Netherlands</t>
  </si>
  <si>
    <t>دوتا شیث رضایی میفرستادن تو زمین همدیگرو انگشت میکردن از این بازی بهتر بود یاد دربی افتادم حالم خراب شد #دربی</t>
  </si>
  <si>
    <t>گویا پنجره #دولت هم مثل #پرسپوليس بسته ست و نیروی جدید نمیتونن بگیرن ولی نتایج #برانکو کجا نتایج #روحاني کجا ؟</t>
  </si>
  <si>
    <t>علی علیپور: يك درصد هم شك ندارم كه پنالتی بود. خود منتظری هم خوب می داند دست مرا كشيد و اگر داور زاویه دید خوبی داشت پنالتی پژمان را می گرفت.ما بهتر از استقلال بوديم و اگر داور دقت می کرد نتيجه #دربی عوض می شد!</t>
  </si>
  <si>
    <t>http://www.fcesteghlalclub.ir/</t>
  </si>
  <si>
    <t>‏سایت خبری ، تحلیلی و آماری هواداران استقلال //با استقلال کلاب بروز باشید!//</t>
  </si>
  <si>
    <t>https://ift.tt/2Iqvewe</t>
  </si>
  <si>
    <t>New post in استقلال کِلاب: فریدون اصفهانیان رئیس کمیته داوران: فغانی باز هم داور #دربی می شود فغانی بعد از جام جهانی هم گفته بود که دیگر در لیگ داوری نمی‌کند، اما اینطور نشد. قطعا اگر نیاز باشد از ایشان در آینده هم در دربی استفاده می‌کنیم. #RCOM @Es…</t>
  </si>
  <si>
    <t>EsteghlalFan'sClub</t>
  </si>
  <si>
    <t>@TheAFCCL #پرسپوليس 💪❤❤❤</t>
  </si>
  <si>
    <t>http://www.ibena.ir</t>
  </si>
  <si>
    <t>‏‏‏‏‏‏ رسانه مرجع شبکه بانکی http://t.me/ibenanews‎‎‎‎‎‎</t>
  </si>
  <si>
    <t>http://www.ibena.ir/news/91902/</t>
  </si>
  <si>
    <t>خصوصی‌سازی #پرسپولیس و #استقلال در روند تحقیق و تفحص بی اثر است</t>
  </si>
  <si>
    <t>ibena.ir</t>
  </si>
  <si>
    <t>وقتی #برانکو پیچش مو میبیند سعید آذری، مدیرعامل ذوب آهن: مسلمان اگر نمی‌خواهد انرژی‌اش را در زمین بگذارد باید ساکش را بردارد و به منزل برود، دوست ندارم موضوع پرسپولیس برای مسلمان تداعی شود</t>
  </si>
  <si>
    <t>https://pbs.twimg.com/media/DoQYM5cWsAEi8FX.jpg</t>
  </si>
  <si>
    <t>سعید آذری: #مسلمان تمرکز کاری ندارد و اگر نمیخواهد انرژی اش را در زمین بگذارد، ساکش را بردارد و به منزل برود من اجازه ادامه این رفتار را نمیدهم باید بداند مابه اسم و رسم بازیکن پول نمیدهیم اگرمیخواهد بماند باید۴برابر #پرسپولیس بدود وتلاش کند وگرنه او راکنار میگذاریم وحذف میکنیم</t>
  </si>
  <si>
    <t>اینستاگرام: @chiafoadi</t>
  </si>
  <si>
    <t>خیلی ها می پرسند چرا #دربی جذاب نبود و #استقلال و #پرسپولیس بی کیفیت بودند. دلیلش ساده است. استقلال و پرسپولیس خالی شده اند.۵ ستاره از استقلال رفته اند و پرسپولیس هم با پنجره بسته ستاره از دست داده. از مدیران سابق و فعلی استقلال و مدیریت فعلی پرسپولیس باید پرسید چرا خالی شدید؟</t>
  </si>
  <si>
    <t>chia  foadi</t>
  </si>
  <si>
    <t>https://pbs.twimg.com/media/DoQaFqdXUAE_xSo.jpg</t>
  </si>
  <si>
    <t>برانکو تو تمرین امروز گفته هوادارای #پرسپولیس توقع دارند در کهکشان راه شیری هم قهرمان شویم ^___^ این جملش یعنی هیچ مشکلی نمیتونه جلوی موفقیتمونو بگیره فقط حمایت میخوایم❤</t>
  </si>
  <si>
    <t>نمازی سرمربی ذوب آهن محسن مسلمان رو بازی نمی‌ده و می‌گه کم تلاش می‌کنه و نمی‌دوه. همون حرفی که برانکو می‌زد و هوادار در شبکه‌ی اجتماعی شلوار برانکو رو پرچم استادیوم می‌‌نمود. رامین رضاییان هم هنوز تیم نداره و تو پروفایلش نوشته بازیکن تیم بلژیک!!! به برانکو اعتماد کنید. #پرسپوليس</t>
  </si>
  <si>
    <t>‏http://t.me/HarfBeManBot?s‎‎…‎ عاقل از ما میرمد؛ دیوانه هم...</t>
  </si>
  <si>
    <t>اینقد بازیکن نداریم که هربازی دیگه نیازی نیست ترکیبو چک کنیم چون همون ۱۱نفر همیشگی تو ترکیبن بعد تواین اوضاع شفر میاد به بازیکناش یادمیده که بچه های مارو مصدوم کنن بی وجدان تر ازاینم مگه داریم؟!!! #پرسپوليس</t>
  </si>
  <si>
    <t>Rango✌</t>
  </si>
  <si>
    <t>https://www.instagram.com/esnzare/</t>
  </si>
  <si>
    <t>‏‏</t>
  </si>
  <si>
    <t>https://pbs.twimg.com/media/DoQda69X0AAC-5S.jpg</t>
  </si>
  <si>
    <t>متن #خبر : #هوادار #تراکتورسازی در جریان دیدار با #استقلال #خوزستان درگذشت. از اونجایی که برد و باخت آدم به کشتن میده قراره با مساعدت ویژه مسئولین، بازی های لیگ برتر هم تحقق #شعار #بردبرد آقای #روحانی باشه. #دمت_گرم_روحانی #فوتبال #لیگ_برتر</t>
  </si>
  <si>
    <t>RadioMan</t>
  </si>
  <si>
    <t>https://ift.tt/2OqQyHq</t>
  </si>
  <si>
    <t>New post in استقلال کِلاب: دیدار سایپا و #استقلال در ورزشگاه تختی برگزار می‌شود با وجودی که بازی های خانگی شاگردان علی دایی در ورزشگاه دستگردی اکباتان برگزار می شود اما باشگاه سایپا قصد دارد دیدار این تیم با آبی پوشان پایتخت را در ورزشگاه تختی برگزار ک…</t>
  </si>
  <si>
    <t>گادوین منشا: اگر آنها ژاوی و گابی را دارند ما هم سيدجلال و بيرانوند را داريم كه قادريم از آنها بازنده بسازيم. ما می خواهیم به فينال ليگ قهرمانان آسيا برسيم و تاریخ سازی کنیم. ماشالا به غیرت و تعصب منشا که داری روحیه میده. درد و بلاش تو سر بازنده های آزمون وفاداری #پرسپوليس</t>
  </si>
  <si>
    <t>https://pbs.twimg.com/media/DoQgds_XgAApYp4.jpg</t>
  </si>
  <si>
    <t>https://sport.shafaqna.com/FA/221847/</t>
  </si>
  <si>
    <t>(بهترین بازیکن #استقلال در داربی)  #استقلال #علی_کریمی</t>
  </si>
  <si>
    <t>باتوجه به نحوه جدایی رامین و شخصیت #برانکو و مصاحبه ایکه گفته رامین رضاییان با اومدن به #پرسپولیس تیم ملیش و رابطه اش با #کیروش رو به خطر نمیندازه احتمال اومدن رامین 1% بیشتر نیس.</t>
  </si>
  <si>
    <t>مُنتقد، مُنتقم، مُستدل، مُشتعل، مُنبسط، مُستتر، گاها مُنفعل و مُنزجر، مُستطع! پرسپولیسی!</t>
  </si>
  <si>
    <t>My roOm!</t>
  </si>
  <si>
    <t>https://pbs.twimg.com/media/DoQoGqDU8AADkFA.jpg</t>
  </si>
  <si>
    <t>آخ که من چقد کییییف میکنم وقتی با کلی گوزگوز از #پرسپولیس میرین و بعد از گذشتِ کمتر از یکسال مثه سگگگ پشیمون میشین ازینکه چرا جنبه و لیاقت این پیرهنو نداشتین! #هرچی_برانکو_بگه</t>
  </si>
  <si>
    <t>کریــــــزی فاکینگ فراگ</t>
  </si>
  <si>
    <t>https://telegram.me/harfbemanbot?start=MTM3MDk0MjAy</t>
  </si>
  <si>
    <t>میهمانخانهِ مردم کش روزش تاریک</t>
  </si>
  <si>
    <t>دوسه سال پیش #استقلال #پرسپولیس بازی داشتن منم در مغازه م بودم پسره اومده بود خرید پشت تلفن میزد تو سرش که چرا #مجید_حسینی فیکسه و اون الان فیکسه #ترابوزان ه</t>
  </si>
  <si>
    <t>hsn</t>
  </si>
  <si>
    <t>اى مادرم ، ايران زمين / اغاز تو پايان تويى #تاجى</t>
  </si>
  <si>
    <t>از فوتباليستى كه بايد برود ولى نمى رود و تا اون كسى كه تجربه مربيگرى تيم رو ندارد و قبول نمى كند #گروه_سوم ، اين گروه ذى نفعان سابق استقلال محسوب ميشن حال كه دستشون از همه چيز كوتاه شده از هر فرصتى ، براى خراب كردن ارامش تيم به كمك رسانه هاى پر مخاطبشان كمك مى گيرند #استقلال</t>
  </si>
  <si>
    <t>تاجيران</t>
  </si>
  <si>
    <t>‏‏‏‏‏‏‏‏‏‏🇮🇷 مهندس مکانیک... استاد دانشگاه... گاهی شاعر... football ❤❤❤❤❤❤</t>
  </si>
  <si>
    <t>می توانست عافیت طلبی کند، در زمانه محرومیت تیمش را به بهانه ای ترک کند و دوباره یک سال بعد در قامت منجی بازگردد. اما او ماند... چون اوو #پرفسور_برانکو است... #پرسپولیس</t>
  </si>
  <si>
    <t>https://pbs.twimg.com/media/DoQ22E2VYAAweVO.jpg</t>
  </si>
  <si>
    <t>تصویری دیده نشده از تیم پرسپولیس در بنگلادش. این تیم چند روز بعد از ثبت این عکس با خلق حماسه ای بزرگ به تیم محمدان بنگلادش باخت تا به لقب ارتش سرخ آسیا مفتخر بشه و سوژه خنده مردمان یک قاره رو فراهم کنه. #استقلال #نوستالژی</t>
  </si>
  <si>
    <t>https://pbs.twimg.com/media/DoQ3nGfUwAEr3z7.jpg</t>
  </si>
  <si>
    <t>http://tn.ai/1840222</t>
  </si>
  <si>
    <t>شدت مصدومیت #ماهینی مشخص شد/ پزشک #پرسپولیس: با دریافت جواب ام آر آی، تشخیص پاره‌گی رباط صلیبی حسین ماهینی تأیید شد/ جراحی این بازیکن انجام خواهد شد/ به این منظور وی مدتی تحت فیزیوتراپی و اقدامات پیش از جراحی خواهد بود تا برای این منظور آماده شود</t>
  </si>
  <si>
    <t>از #دربی های آبکی گرفته #دربی_فقط_اونجاش_که 🔺 #زنان حق حضور در ورزشگاه و استادیوم ها را ندارند گرفته تا هنرمندان میلی و سلبریتی های حکومتی که به مانند ملیجک های دوران قاجار شده اند 🔺 همه چیز شده مثل فیلم های تیم برتون فانتزی و ترسناک</t>
  </si>
  <si>
    <t>http://instagram.com/Elahe_Rastegary</t>
  </si>
  <si>
    <t>Follow Me ...!</t>
  </si>
  <si>
    <t>دوستان پیج منو فالو کنید. ممنون #ایران #پرسپولیس #استقلال #تهران #ورزش #رقص #دانس #فتنیس #Iran</t>
  </si>
  <si>
    <t>Elahe Rastegary</t>
  </si>
  <si>
    <t>دوستان پیج منو فالو کنید. ممنون #ایران #پرسپولیس #استقلال #ورزش #رقص #فتنیس #Iran</t>
  </si>
  <si>
    <t>https://pbs.twimg.com/media/DoQ-yEmXcAIKNWo.jpg</t>
  </si>
  <si>
    <t>دکتر حقیقت پزشک باشگاه #پرسپولیس: با دریافت جواب ام آر آی، تشخیص پاره‌گی رباط صلیبی حسین ماهینی تایید شد با نظر پزشک متخصص، جراحی این بازیکن انجام خواهد شد. به این منظور وی مدتی تحت فیزیوتراپی و اقدامات پیش از جراحی خواهد بود تا برای این منظور آماده شود</t>
  </si>
  <si>
    <t>وقتی از دربی مصلحتی میگیم دقیقا از چه چیزی حرف میزنیم غیاثی: خطا روی علیپور پنالتی بود سخنگوی کمیته داوران فدراسیون فوتبال هم علیرضا فغانی را در مورد اعلام نکردن پنالتی به سود #پرسپولیس خطاکار دانست،</t>
  </si>
  <si>
    <t>هفته نامهٔ "وقت اضافه" با هدف بررسی هفتگی لیگ های معتبر اروپایی!</t>
  </si>
  <si>
    <t>https://pbs.twimg.com/media/DoRBbZvWsAAKvXD.jpg</t>
  </si>
  <si>
    <t>"#هیاهو برای #هیچ؛ در وصف #دربی_۸۸ " «نوشته: شایان شیانی» #استقلال #پرسپولیس</t>
  </si>
  <si>
    <t>ExtraTIME Magazine</t>
  </si>
  <si>
    <t>El desarrollador, el feminista, el rey, el mejor. #Persepolis #Rojiblancos</t>
  </si>
  <si>
    <t xml:space="preserve">
</t>
  </si>
  <si>
    <t>باز تیم مفتضح #استقلال با کمک داوری از باخت فرار کرد. رییس کمیته داوران اعتراف کرد که گرفتن دست علیپور توسط پژمان منتظری پنالتی بود. فردا باز یه مشت شیرین عقل استقلالی میان جلوی وزارت ورزش میگن وزیر پرسپولیسی نمیخوایم، نمیخوایم 😒</t>
  </si>
  <si>
    <t>اتوماتا 🏳️</t>
  </si>
  <si>
    <t>بازیکن خارجی خریدیم که مشغول تفریحه و البته با پوزش، خانم‌بازی هم جزو برنامه‌های هر روزشه. بعد از حماقت مدیران قبلی توی خرید بازیکنای مصدوم و بنجل، مسئول این خریدهای بدردنخور کیه؟ #استقلال</t>
  </si>
  <si>
    <t>https://pbs.twimg.com/media/DoRHeq-XUAE8yV5.jpg</t>
  </si>
  <si>
    <t>https://pbs.twimg.com/media/DoRHjWYW0AEJ_PK.jpg</t>
  </si>
  <si>
    <t>FC Bayern❤ Graphic designer Advertising</t>
  </si>
  <si>
    <t>مربی السد گفته به دنبال برد پر گل در دیدار مقابل پرسپولیس هستیم با توجه به وضعیت پرسپولیس این گفته ممکنه اتفاق بیفته ولی ایشون باید بدونه مدیر الدحیلی که السد خیلی وقته داره لیگشونو پایین تر از اونا تموم میکنه همینارم گفته بود #پرسپوليس</t>
  </si>
  <si>
    <t>Mehdi Bayern</t>
  </si>
  <si>
    <t>pic.twitter.com/7ZGeFqmQFg</t>
  </si>
  <si>
    <t>https://twitter.com/ASRomaEN/status/1046039806214643713</t>
  </si>
  <si>
    <t>لورنزو #پلگرینی دقیقه ۳۶ جای #پاستوره مصدوم رو گرفت و دقیقه ۴۵ با یه ضربه پشت پا گل اول #رم رو به ثمر رسوند تا جای خالی پاستوره‌ی پشت پا زن احساس نشه. #دربی‌ #رم #لاتزیو #ایتالیا RT @ASRomaEN: Pastore taught you well... ⚽️👟💪</t>
  </si>
  <si>
    <t>#فازیو با یک حرکت مبتدیانه کمر #رم رو شکوند تا #ایموبیله گل تساوی #لاتزیو رو خیلی تمیز بزنه. فعلا یک - یک. #دربی #دلاکپیتاله</t>
  </si>
  <si>
    <t>خوشحالی #ده_روسی رو وقتی که با پای مصدوم بعداز گل سوم رم دیدم ناخوداگاه یاد بازیکنای #استقلال #پرسپولیس افتادم که تو سخت ترین شرایط تیماشون تنها گذاشتند. #ابراهیمی #احمدزاده #مجید_حسینی #وحیدامیری و...</t>
  </si>
  <si>
    <t>Arj</t>
  </si>
  <si>
    <t>جز در مورد تاج و استقلال ...من کلا آی هو نو آیدیا</t>
  </si>
  <si>
    <t>pic.twitter.com/46PJiZlfTr</t>
  </si>
  <si>
    <t>با افتخار #تاجی هستم #تاج #استقلال</t>
  </si>
  <si>
    <t>mertezaa</t>
  </si>
  <si>
    <t>http://www.kayhan.london</t>
  </si>
  <si>
    <t>Welcome to our official Twitter page. Follow for daily reports. #کیهان_لندن</t>
  </si>
  <si>
    <t>https://pbs.twimg.com/media/DoRTdcKXcAU2EsN.jpg</t>
  </si>
  <si>
    <t>https://kayhan.london/fa/?p=131481</t>
  </si>
  <si>
    <t>#امیر_عابدینى: فروش #پرسپولیس و استقلال یک نمایش است امیر عابدینى بازیکن پیشین تیم ملى فوتبال و مدیرعامل اسبق باشگاه پرسپولیس، هشتاد و هشتمین دیدار پرسپولیس و #استقلال (تاج) را که پنجشنبه این هفته بدون رد و بدل گل در #تهران برگزار شد، فاقد هیجان، پر از...</t>
  </si>
  <si>
    <t>KayhanLondon کیهان لندن</t>
  </si>
  <si>
    <t>الان همه نگران این هستند که #پرسپولیس_جان جلوی السد بازیکن نداره, اما نکته نگران کننده تر اینه که با این وضع دلار هنوز نتونستند دستمزد #برانکو و دیگر خارجی ها رو بدن ☹️☹️</t>
  </si>
  <si>
    <t>فاصله دلار و ریال دقیقا یه چیزی شده توو مایه های افتخارات آسیایی #استقلال و پرسپولیس همینقدر زیاد همینقدر دست نیافتنی</t>
  </si>
  <si>
    <t>نغمه اسدی بودن</t>
  </si>
  <si>
    <t>iran.amol</t>
  </si>
  <si>
    <t>#پرسپوليس همین یه پرسپولیس برامون مونده که این سه شنبه یه بازی فوق حساس داره وخیلی تنهاست وتنها کمک ما هوادارا بهش انرژی مثبت دادنه❤❤❤💪💪💪</t>
  </si>
  <si>
    <t>naghmehasadi</t>
  </si>
  <si>
    <t>#خبرنگار</t>
  </si>
  <si>
    <t>https://pbs.twimg.com/media/DoRdtw0WkAI6AE2.jpg</t>
  </si>
  <si>
    <t>ديگر با لباس پسرانه به استاديوم آزادي نمي رود گفت و گوي من با تنها دختر هوادار تماشاگر #دربی٨٩ در ورزشگاه آزادي #دختران_هوادار #ممنوعيت_ورود_به_ورزشگاه #روزنامه_پيروزي #پرسپوليس</t>
  </si>
  <si>
    <t>Maryam.S</t>
  </si>
  <si>
    <t>https://calcioiraniano.altervista.org/esteghlal-persepolis-0-0-botte-rabbia-delusione/</t>
  </si>
  <si>
    <t>🔵 Esteghlal-Persepolis 🔴 0-0: botte, rabbia e delusione nel #Shahravard 🏟️ Infortunato Mahini, salterà il resto della stagione #TehranDerby #Tehran #derby #پرسپولیس #استقلال #شهراورد #شهراورد88 #دربی88 #تهران #Iran #PersianGulf⚽ #لیگ_برتر #ایران 🇮🇷</t>
  </si>
  <si>
    <t>‏‏‏‏‏‏‏آتش نشانی سوخت ٫ کجای کاری ؟؟ {واقعا اینجا اینستاگرام نیست ؟ من درست اومدم ؟}</t>
  </si>
  <si>
    <t>دوست دخترم ساعت ۶ پیام داد منو دوست داری یا فوتبال ؟ منم ساعت ۹ بهش پیام دادم گفتم : معلومه که تورو دوست دارم چه سوالیه ! #دربی #پرسپوليس #استقلال</t>
  </si>
  <si>
    <t>#پرسپوليس #قهرمان</t>
  </si>
  <si>
    <t>امروز نظرم اینه شاید فردا این نباشه، اون باشه</t>
  </si>
  <si>
    <t>@nobel4peace ملا محمد عمر در طول مدت حضور خود در ایران ۴ بار به تماشای بازی #استقلال در استادیوم نشست، او از فروشگاه های واقع در میدان منیریه برای خود و فرزندش ست کامل لباس و کیف این باشگاه را خریده بود</t>
  </si>
  <si>
    <t>جد پدری</t>
  </si>
  <si>
    <t>https://pbs.twimg.com/media/DoRqVm1WkAAwn-b.jpg</t>
  </si>
  <si>
    <t>پایگاه اینترنتی #فوتبال_دربیز، رده بندی #دربی‌های فوتبال جهان را اعلام کرد که #سرخابیهای_پایتخت در رتبه‌های بالاتر از شهر #رئالی‌ها و #منچستری‌ها قرار گرفته‌اند. #استقلال #پرسپوليس</t>
  </si>
  <si>
    <t>منشا: اگر السد ژاوی و گابی را دارد ما هم سيدجلال و بيرانوند را داريم و قادريم از آنها بازنده بسازيم ما می‌خواهیم به فينال ليگ قهرمانان آسيا برسيم و تاریخ سازی کنیم #پرسپولیس</t>
  </si>
  <si>
    <t>‏‏‏مهندس صنایع و ارشد مدیریت اجرایی / همسر و یک تازه پدر / مهاجرت کرده از تهران به کرمان</t>
  </si>
  <si>
    <t>لامصب بازی لیورپول و چلسی کم از #دربی ما نداره</t>
  </si>
  <si>
    <t>Ali Adineh</t>
  </si>
  <si>
    <t>بازی فوتبال چلسی و لیورپول میبینم واقعن سطح بازیشون از بازی #دربی تهران استقلال و پرسپولیس خیلی پایین تر نیست،سرعت توپ انقدر زیاده که نمیتونم بخوابم والا</t>
  </si>
  <si>
    <t>http://xn----5mc2a5crfj74fmh.com</t>
  </si>
  <si>
    <t>و بیکار</t>
  </si>
  <si>
    <t>İzmir, Türkiye</t>
  </si>
  <si>
    <t>@Saba38914585 @Reza90592636 #پرسپولیس خسته هنوز از جا ننشسته</t>
  </si>
  <si>
    <t>جرجیس الدوله</t>
  </si>
  <si>
    <t>برانكو در گفت و گو با مديران #پرسپوليس اعلام كرده برای نيم فصل دوم همان نفراتي كه قبلا قرارداد بسته اند كافي است و اضافه شدن آنها مشكلات را حل خواهد كرد. پ. ن: به واژه #آقا معنایی تازه بخشیدی برانکو جان ❤️</t>
  </si>
  <si>
    <t>امروز داشتم یه مطلب مینوشتم راجب احتمالات موجود برای ترکیب پرسپولیس هرجور میخواستم ترکیب 11 نفره رو بچینم یه جاش مشکل داشت حتی 11 تا کامل نمیشد. دلم برای مظلومیت #برانکو و #پرسپولیس کباب شد. بجز #طارمی و #طاهری خیر نبینید هیچی نمیتونم بگم.</t>
  </si>
  <si>
    <t>@SharareMishavam @AzamRasti نمی‌دونم داستانش چیه؛ اما با عرض معذرت یه هشتگ کم داشت! #پرسپوليس</t>
  </si>
  <si>
    <t>عاشق ‏‏‏پرسپولیس و رئالی افراطی / فیلم باز و سریال باز</t>
  </si>
  <si>
    <t>غمگینم مثل استقلالی که بازی دورتموند میدید که هم کامبک خورد هم4تا. #پرسپولیس</t>
  </si>
  <si>
    <t>Doctorstrange</t>
  </si>
  <si>
    <t>امسال #استقلال یه بازیکن آورده به نام #الحاجی_گرو. یه نگاه به عملکردش انداختم. خیلی جالب بود. ۲۴۶ دقیقه بازی کرده، فقط یک شوت زده، اونم خارج از چارچوب. در تمام مدتی که داخل زمین بوده، استقلال اصلا گل نزده. ولی تا دلت بخواد، بدن گذاشته. @EsteghlalTehFC</t>
  </si>
  <si>
    <t>تضعیف #استقلال تنها کاری بوده که دولت روحانی بی‌نقص انجامش داده</t>
  </si>
  <si>
    <t>‏فوتبال، استقلال، ایران، ایتالیا!</t>
  </si>
  <si>
    <t>Tampa, FL</t>
  </si>
  <si>
    <t>@alirrezazzz خب کوته فکر، داره میگه "به پرسپولیسی ها کارت نمیده، نه نمیده " 😁 #پرسپولیس #دربی #دربی۸۷</t>
  </si>
  <si>
    <t>MoSa da</t>
  </si>
  <si>
    <t>https://pbs.twimg.com/media/DoSJrtLXoAA3WAa.jpg</t>
  </si>
  <si>
    <t>روزنامه پیروزی یکشنبه ۸ مهرماه ۹۷ @PerspolisFCIran #روزنامه #پرسپولیس</t>
  </si>
  <si>
    <t>ايرانيم ، اصفهاني الاصل ، صفوي رافضي</t>
  </si>
  <si>
    <t>احتمالا اقاي #ولايتي استقلالي باشند و ناخوداگاه با ذكر كلمه لُنگ ! اعتراف كرده اند كه پرسپوليسيها مرد جنگ و ميدانند #پرسپوليس</t>
  </si>
  <si>
    <t>Hamid</t>
  </si>
  <si>
    <t>#پرسپولیس سه‌شنبه شب در نبود سه بازیکنش باید به مصاف #السد بره... فقط می‌خوام بدونم علی‌اکبر طاهری و برادر ترکاشوند که آن هنرنمایی منحصر به فرد را به خرج دادند، این شب‌ها راحت می‌خوابند؟</t>
  </si>
  <si>
    <t>‏#پرسپولیسی و ‎#لیورپولی و ‎#بارسایی مامانم اینجاست کراش نزنید روم😂 دایرکت⛔</t>
  </si>
  <si>
    <t>محسن مسلمان به دلیل انجام رفتار هایی عجیب و بر هم زدن نظم تمرین ذوب آهن بعد از جای نگرفتن در ترکیب از این تیم اخراج شد و مدیران ذوب‌آهن عذر این هافبک بازیساز را خواسته اند! اصلا خوشحال نیستم ولی الآن قدر پیراهن مقدس #پرسپولیس رو میدونه. #هر_چی_برانکو_بگه</t>
  </si>
  <si>
    <t>هر وقت وضع و سبک زندگی ما، درآمد ما، لذت ها و سرگرمی ها و خوشی ها، دغدغه هامون و ... بقیه چیزامون مثل اونا بود میشه مثلا #دربی خودمون رو هم با اونا مقایسه کرد</t>
  </si>
  <si>
    <t>ehsan</t>
  </si>
  <si>
    <t>فعلا مشغول تکامل یافتن تو بازیگری! جغرافیای سیاسی دانشگاه فردوسی مشهد</t>
  </si>
  <si>
    <t>#برانکو وقتی #محسن_مسلمان رو گذاشت کنار کلی بهش انتقاد کردن ولی هرچی زمان میگذره بیشتر میشه بهش ایمان آورد! #پرسپولیس #رامین_رضائیان</t>
  </si>
  <si>
    <t>رضا علیزاده</t>
  </si>
  <si>
    <t>https://pbs.twimg.com/media/DnDXE0jWwAAyM7G.jpg</t>
  </si>
  <si>
    <t>https://twitter.com/eshqibash/status/1040568240131461122</t>
  </si>
  <si>
    <t>#استقلال #Iran @FcEsteghlal RT @Eshqibash: حالا توی این عکس، دیگه هیچ آدم زنده ای نیست مجید غلام نژاد به دلیل ایست قلبی در 35 سالگی! فوت کرد</t>
  </si>
  <si>
    <t>‏Iran🇮🇷 Russia🇷🇺 👨‍🍳👞👓🎓 تا خودت نخوای نمیشع این خط اینم نشون :) ‎#عاشق_خدا</t>
  </si>
  <si>
    <t>Moscow, Russia</t>
  </si>
  <si>
    <t>در صدر حسادت هام به خارجی‌ها باید #دربی رو هم اضافه کنم. فوتبال فقط خارجی اونم با گزارش عادل :)</t>
  </si>
  <si>
    <t>mohammad tavakoli</t>
  </si>
  <si>
    <t>‏‏‏‏ز احمقان بگریز چنان که عیسی گریخت..صحبت احمق بسی خون ها که ریخت</t>
  </si>
  <si>
    <t>@FardadFarahzad #استقلال #شفافیت #شرافت #میهن_دوستی را فراموش نکنید</t>
  </si>
  <si>
    <t>Vandadmilani</t>
  </si>
  <si>
    <t>به نظرم اون پرسپولیسیایی که پارسال به خاطر مسلمان به برانکو ایراد میگرفتن باید صف بکشن دست برانکو رو ببوسن از دلش در بیارن. #برانکو #محسن_مسلمان #ایوانکوویچ #مسلمان #پرسپولیس</t>
  </si>
  <si>
    <t>‏‏‏‏‏‏‏‏‏‏پرسپولیسی ام ⚽ مدیرفروشم 💵 حقوق خوندم📚 و از همه مهمتر عاشقم 💑❤ عرزشی❌مجاهد❌اصلاح طلب❌</t>
  </si>
  <si>
    <t>بعضی وقتا میام از زمونه و وضع گلایه کنم یاد آقا #برانکو میوفتم که با دست خالی یه بارم شکوه و شکایت نکرد از چیزی، هیچی دیگه خجالت میکشم ساکت میشم مثل #برانکو باشید :)) #پرسپولیس</t>
  </si>
  <si>
    <t>https://www.instagram.com/Elahe_Rastegari/</t>
  </si>
  <si>
    <t>https://www.instagram.com/Elahe_Rastegari</t>
  </si>
  <si>
    <t>فالو کنید دوستان  #ایران #پرسپوليس #استقلال #تهران #رقص #فتنیس #Iran</t>
  </si>
  <si>
    <t>Elahe Rastegari</t>
  </si>
  <si>
    <t>Je suis libre comme l’art💞SIC 🎓 #médias #communication Lisa ma raison de vivre ❤️😻</t>
  </si>
  <si>
    <t xml:space="preserve">Oran </t>
  </si>
  <si>
    <t>https://pbs.twimg.com/media/DoSRkZ2WkAIGe5C.jpg</t>
  </si>
  <si>
    <t>لا أدري عن اي مصالحة يتحدث ، منح الحرية لمن قتل و عنف باسم الاسلام بالاضافة لحقوق اكثر و ازيد من المواطن البريء، فعلا لابد ان نشفى و نستيقظ من الكابوس لكن بطرق اخري أكيد. #الحرية #حرية_تعبير #مصالحة #تسامح #استقلال #جهل</t>
  </si>
  <si>
    <t>Radjaa Attari</t>
  </si>
  <si>
    <t>🌸 Elahe Rastegari 🌸 💞 لیلای بی پروا منم ..! 💞 در عشق تو نالان منم ..! 💞 گر جان زمن خواهی بگو ..! 💞 آن کس که جان داده منم ..! 🌹💃 مربی فتنیس و رقص 💃🌹  #ایران #تهران #تبریز #اصفهان #پرسپوليس #استقلال #رقص #فتنیس #Iran</t>
  </si>
  <si>
    <t>به نظرم شبکه ۳ که هی تیزر بازی پرسپولیس السد رو پخش میکنه بعدشم باید یه تیزر پخش کنه که استقلال با خایه هاش باید بازی کنه فردا جلو صدا سیما تجمع میکنن شعار میدن صدا سیما پرسپولیسی :))))) #پرسپوليس</t>
  </si>
  <si>
    <t>https://pbs.twimg.com/media/DoSUDrIXgAAJL25.jpg</t>
  </si>
  <si>
    <t>شاید بهتر باشد "فتحی" در استفاده از افعال، دقت بیشتری داشته باشد. شاکله تیم فصل قبل را به هم "ریختند"! #استقلال</t>
  </si>
  <si>
    <t>http://telegram.me/masoud_bazmara</t>
  </si>
  <si>
    <t>‏‏‏‏سی اُمین روز از ششُمین ماه سال هفتاد و دو/ مهندسی برق قدرت/ اصلاح طلب/</t>
  </si>
  <si>
    <t>#ولایتی میگه از یمنی ها یاد بگیرین لُنگ بستن مقاومت میکنن! داداش اگه #لنگ پوشیدن جواب میداد که #پرسپولیس بعد ۵۰ سال تو آسیا یک پُخی میشد دیگه!!</t>
  </si>
  <si>
    <t>Masoud Bazm Ara🇮🇷</t>
  </si>
  <si>
    <t>Profile Image</t>
  </si>
  <si>
    <t>Timezone</t>
  </si>
  <si>
    <t>Website</t>
  </si>
  <si>
    <t>Bio</t>
  </si>
  <si>
    <t>Location</t>
  </si>
  <si>
    <t>User Since</t>
  </si>
  <si>
    <t>Verfied</t>
  </si>
  <si>
    <t>Listed</t>
  </si>
  <si>
    <t>Follows</t>
  </si>
  <si>
    <t>Followers</t>
  </si>
  <si>
    <t>App</t>
  </si>
  <si>
    <t>Media</t>
  </si>
  <si>
    <t>Link(s)</t>
  </si>
  <si>
    <t>Tweet ID</t>
  </si>
  <si>
    <t>Tweet Text</t>
  </si>
  <si>
    <t>Full Name</t>
  </si>
  <si>
    <t>Screen Name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</si>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</sst>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4">
    <font>
      <sz val="10"/>
      <color rgb="FF000000"/>
      <name val="Arial"/>
    </font>
    <font>
      <sz val="8"/>
      <name val="Droid Sans"/>
    </font>
    <font>
      <u/>
      <sz val="8"/>
      <color rgb="FF0000FF"/>
      <name val="Droid Sans"/>
    </font>
    <font>
      <sz val="8"/>
      <color rgb="FFFFFFFF"/>
      <name val="Droid Sans"/>
    </font>
  </fonts>
  <fills count="3">
    <fill>
      <patternFill patternType="none"/>
    </fill>
    <fill>
      <patternFill patternType="gray125"/>
    </fill>
    <fill>
      <patternFill patternType="solid">
        <fgColor rgb="FF4A86E8"/>
        <bgColor rgb="FF4A86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applyFont="1" applyAlignment="1">
      <alignment vertical="center" wrapText="1"/>
    </xf>
    <xf numFmtId="0" fontId="1" fillId="0" borderId="0" xfId="0" applyFont="1" applyAlignment="1">
      <alignment vertical="center"/>
    </xf>
    <xf numFmtId="164" fontId="1" fillId="0" borderId="0" xfId="0" applyNumberFormat="1" applyFont="1" applyAlignment="1">
      <alignment horizontal="center" vertical="center"/>
    </xf>
    <xf numFmtId="14" fontId="1" fillId="0" borderId="0" xfId="0" applyNumberFormat="1"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Alignment="1">
      <alignment horizontal="left" vertical="center" wrapText="1"/>
    </xf>
    <xf numFmtId="0" fontId="1" fillId="0" borderId="0" xfId="0" quotePrefix="1" applyFont="1" applyAlignment="1">
      <alignment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164" fontId="3" fillId="2" borderId="1"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telegram.me/harfbemanbot?start=MjM3Mzk3OTYy" TargetMode="External"/><Relationship Id="rId21" Type="http://schemas.openxmlformats.org/officeDocument/2006/relationships/hyperlink" Target="https://pbs.twimg.com/media/DoRqVm1WkAAwn-b.jpg" TargetMode="External"/><Relationship Id="rId170" Type="http://schemas.openxmlformats.org/officeDocument/2006/relationships/hyperlink" Target="http://bit.ly/2rWrMlI" TargetMode="External"/><Relationship Id="rId268" Type="http://schemas.openxmlformats.org/officeDocument/2006/relationships/hyperlink" Target="https://eitaa.com/pajayepa" TargetMode="External"/><Relationship Id="rId475" Type="http://schemas.openxmlformats.org/officeDocument/2006/relationships/hyperlink" Target="https://t.me/Nashenastel_bot?start=u43958207" TargetMode="External"/><Relationship Id="rId682" Type="http://schemas.openxmlformats.org/officeDocument/2006/relationships/hyperlink" Target="https://pbs.twimg.com/media/DoGsCjSX0AA421x.jpg" TargetMode="External"/><Relationship Id="rId128" Type="http://schemas.openxmlformats.org/officeDocument/2006/relationships/hyperlink" Target="https://telegram.me/harfbzanbot?start=4GD8072" TargetMode="External"/><Relationship Id="rId335" Type="http://schemas.openxmlformats.org/officeDocument/2006/relationships/hyperlink" Target="http://1asheghaneyearam.blogsky.com/" TargetMode="External"/><Relationship Id="rId542" Type="http://schemas.openxmlformats.org/officeDocument/2006/relationships/hyperlink" Target="https://twitter.com/may3am89/status/1045353460718276609" TargetMode="External"/><Relationship Id="rId987" Type="http://schemas.openxmlformats.org/officeDocument/2006/relationships/hyperlink" Target="https://pbs.twimg.com/media/DoFZICwXgAAidEj.jpg" TargetMode="External"/><Relationship Id="rId1172" Type="http://schemas.openxmlformats.org/officeDocument/2006/relationships/hyperlink" Target="https://telegram.me/HarfBeManBot?start=MjMyNzUxOTAy" TargetMode="External"/><Relationship Id="rId402" Type="http://schemas.openxmlformats.org/officeDocument/2006/relationships/hyperlink" Target="https://twitter.com/ehsan_rastgar/status/1045361266301325314" TargetMode="External"/><Relationship Id="rId847" Type="http://schemas.openxmlformats.org/officeDocument/2006/relationships/hyperlink" Target="http://instagram.com/amirsajaadian" TargetMode="External"/><Relationship Id="rId1032" Type="http://schemas.openxmlformats.org/officeDocument/2006/relationships/hyperlink" Target="https://www.yjc.ir/00S1lx" TargetMode="External"/><Relationship Id="rId1477" Type="http://schemas.openxmlformats.org/officeDocument/2006/relationships/hyperlink" Target="https://pbs.twimg.com/media/DoBV1xgU0AAeqZ7.jpg" TargetMode="External"/><Relationship Id="rId1684" Type="http://schemas.openxmlformats.org/officeDocument/2006/relationships/hyperlink" Target="http://daddadnadadbezormikonim.com/" TargetMode="External"/><Relationship Id="rId707" Type="http://schemas.openxmlformats.org/officeDocument/2006/relationships/hyperlink" Target="http://fcesteghlal.ir/" TargetMode="External"/><Relationship Id="rId914" Type="http://schemas.openxmlformats.org/officeDocument/2006/relationships/hyperlink" Target="https://pbs.twimg.com/media/DoFuXH7XUAAsGS7.jpg" TargetMode="External"/><Relationship Id="rId1337" Type="http://schemas.openxmlformats.org/officeDocument/2006/relationships/hyperlink" Target="https://pbs.twimg.com/media/DoAj5aoXUAE7cI0.jpg" TargetMode="External"/><Relationship Id="rId1544" Type="http://schemas.openxmlformats.org/officeDocument/2006/relationships/hyperlink" Target="https://pbs.twimg.com/media/DoATmi3XUAEwAFm.jpg" TargetMode="External"/><Relationship Id="rId43" Type="http://schemas.openxmlformats.org/officeDocument/2006/relationships/hyperlink" Target="http://tn.ai/1840222" TargetMode="External"/><Relationship Id="rId1404" Type="http://schemas.openxmlformats.org/officeDocument/2006/relationships/hyperlink" Target="http://iharf.me/?start=1918751124" TargetMode="External"/><Relationship Id="rId1611" Type="http://schemas.openxmlformats.org/officeDocument/2006/relationships/hyperlink" Target="https://pbs.twimg.com/media/DoCDaMhWsAASQax.jpg" TargetMode="External"/><Relationship Id="rId192" Type="http://schemas.openxmlformats.org/officeDocument/2006/relationships/hyperlink" Target="http://pic.twitter.com/befueD6J28" TargetMode="External"/><Relationship Id="rId497" Type="http://schemas.openxmlformats.org/officeDocument/2006/relationships/hyperlink" Target="http://instagram.com/kamranbaranji" TargetMode="External"/><Relationship Id="rId357" Type="http://schemas.openxmlformats.org/officeDocument/2006/relationships/hyperlink" Target="http://goo.gl/5KtgUZ" TargetMode="External"/><Relationship Id="rId1194" Type="http://schemas.openxmlformats.org/officeDocument/2006/relationships/hyperlink" Target="https://t.me/xHarfBot?start=196933148" TargetMode="External"/><Relationship Id="rId217" Type="http://schemas.openxmlformats.org/officeDocument/2006/relationships/hyperlink" Target="http://www.cinemafa.com/" TargetMode="External"/><Relationship Id="rId564" Type="http://schemas.openxmlformats.org/officeDocument/2006/relationships/hyperlink" Target="https://telegram.me/harfbzanbot?start=G6zLGvn" TargetMode="External"/><Relationship Id="rId771" Type="http://schemas.openxmlformats.org/officeDocument/2006/relationships/hyperlink" Target="https://pbs.twimg.com/media/DoGR406XsAA8GWr.jpg" TargetMode="External"/><Relationship Id="rId869" Type="http://schemas.openxmlformats.org/officeDocument/2006/relationships/hyperlink" Target="http://telegram.me/ghalam_student" TargetMode="External"/><Relationship Id="rId1499" Type="http://schemas.openxmlformats.org/officeDocument/2006/relationships/hyperlink" Target="https://pbs.twimg.com/media/DoAj5aoXUAE7cI0.jpg" TargetMode="External"/><Relationship Id="rId424" Type="http://schemas.openxmlformats.org/officeDocument/2006/relationships/hyperlink" Target="https://t.me/joinchat/Iy8a8FJD3LVYg1mNPzlnyA" TargetMode="External"/><Relationship Id="rId631" Type="http://schemas.openxmlformats.org/officeDocument/2006/relationships/hyperlink" Target="https://twitter.com/abdolrezadavari/status/1045319276545085441" TargetMode="External"/><Relationship Id="rId729" Type="http://schemas.openxmlformats.org/officeDocument/2006/relationships/hyperlink" Target="https://pbs.twimg.com/media/DoGfMchW0AAUT--.jpg" TargetMode="External"/><Relationship Id="rId1054" Type="http://schemas.openxmlformats.org/officeDocument/2006/relationships/hyperlink" Target="https://pbs.twimg.com/media/DoFKWLmXkAEPOif.jpg" TargetMode="External"/><Relationship Id="rId1261" Type="http://schemas.openxmlformats.org/officeDocument/2006/relationships/hyperlink" Target="https://pbs.twimg.com/media/DoDU-hVWsAIpak9.jpg" TargetMode="External"/><Relationship Id="rId1359" Type="http://schemas.openxmlformats.org/officeDocument/2006/relationships/hyperlink" Target="https://pbs.twimg.com/media/DoCbpeWXsAAh5jX.jpg" TargetMode="External"/><Relationship Id="rId936" Type="http://schemas.openxmlformats.org/officeDocument/2006/relationships/hyperlink" Target="https://telegram.me/harfbzanbot?start=4drjXwV" TargetMode="External"/><Relationship Id="rId1121" Type="http://schemas.openxmlformats.org/officeDocument/2006/relationships/hyperlink" Target="http://pic.twitter.com/306Ozdo9kN" TargetMode="External"/><Relationship Id="rId1219" Type="http://schemas.openxmlformats.org/officeDocument/2006/relationships/hyperlink" Target="https://pbs.twimg.com/media/DoAj5aoXUAE7cI0.jpg" TargetMode="External"/><Relationship Id="rId1566" Type="http://schemas.openxmlformats.org/officeDocument/2006/relationships/hyperlink" Target="http://iharf.me/?start=1918751124" TargetMode="External"/><Relationship Id="rId65" Type="http://schemas.openxmlformats.org/officeDocument/2006/relationships/hyperlink" Target="https://pbs.twimg.com/media/DoP-9_3W0AAZRtZ.jpg" TargetMode="External"/><Relationship Id="rId1426" Type="http://schemas.openxmlformats.org/officeDocument/2006/relationships/hyperlink" Target="https://pbs.twimg.com/media/DoCbpeWXsAAh5jX.jpg" TargetMode="External"/><Relationship Id="rId1633" Type="http://schemas.openxmlformats.org/officeDocument/2006/relationships/hyperlink" Target="http://t.me/jokemoke" TargetMode="External"/><Relationship Id="rId281" Type="http://schemas.openxmlformats.org/officeDocument/2006/relationships/hyperlink" Target="https://pbs.twimg.com/media/DoJYchLXoAEEoeE.jpg" TargetMode="External"/><Relationship Id="rId141" Type="http://schemas.openxmlformats.org/officeDocument/2006/relationships/hyperlink" Target="http://t.me/lemon_life" TargetMode="External"/><Relationship Id="rId379" Type="http://schemas.openxmlformats.org/officeDocument/2006/relationships/hyperlink" Target="http://almahdyoon.co/" TargetMode="External"/><Relationship Id="rId586" Type="http://schemas.openxmlformats.org/officeDocument/2006/relationships/hyperlink" Target="http://www.facebook.com/iranteamfootball" TargetMode="External"/><Relationship Id="rId793" Type="http://schemas.openxmlformats.org/officeDocument/2006/relationships/hyperlink" Target="https://telegram.me/HarfBeManBot?start=MjQ3Njc2ODIw" TargetMode="External"/><Relationship Id="rId7" Type="http://schemas.openxmlformats.org/officeDocument/2006/relationships/hyperlink" Target="https://pbs.twimg.com/media/DoSRkZ2WkAIGe5C.jpg" TargetMode="External"/><Relationship Id="rId239" Type="http://schemas.openxmlformats.org/officeDocument/2006/relationships/hyperlink" Target="http://newspaper.hamshahri.org/" TargetMode="External"/><Relationship Id="rId446" Type="http://schemas.openxmlformats.org/officeDocument/2006/relationships/hyperlink" Target="http://www.google.com/" TargetMode="External"/><Relationship Id="rId653" Type="http://schemas.openxmlformats.org/officeDocument/2006/relationships/hyperlink" Target="https://pbs.twimg.com/media/DoG5WD9X0AEcArt.jpg" TargetMode="External"/><Relationship Id="rId1076" Type="http://schemas.openxmlformats.org/officeDocument/2006/relationships/hyperlink" Target="https://pbs.twimg.com/media/DoE-r81X0AIho7H.jpg" TargetMode="External"/><Relationship Id="rId1283" Type="http://schemas.openxmlformats.org/officeDocument/2006/relationships/hyperlink" Target="http://pic.twitter.com/nA6yG1EBQ3" TargetMode="External"/><Relationship Id="rId1490" Type="http://schemas.openxmlformats.org/officeDocument/2006/relationships/hyperlink" Target="https://pbs.twimg.com/media/DoBXnuCX0AAC4zj.jpg" TargetMode="External"/><Relationship Id="rId306" Type="http://schemas.openxmlformats.org/officeDocument/2006/relationships/hyperlink" Target="https://twitter.com/ma_aminy/status/1045316547424718849" TargetMode="External"/><Relationship Id="rId860" Type="http://schemas.openxmlformats.org/officeDocument/2006/relationships/hyperlink" Target="https://telegram.me/HarfBeManBot?start=NzEyMDU2MjU" TargetMode="External"/><Relationship Id="rId958" Type="http://schemas.openxmlformats.org/officeDocument/2006/relationships/hyperlink" Target="https://pbs.twimg.com/media/DoFh3vHXgAAwFvR.jpg" TargetMode="External"/><Relationship Id="rId1143" Type="http://schemas.openxmlformats.org/officeDocument/2006/relationships/hyperlink" Target="http://t.me/montazeran_zuhhur" TargetMode="External"/><Relationship Id="rId1588" Type="http://schemas.openxmlformats.org/officeDocument/2006/relationships/hyperlink" Target="http://www.rezabehjat.com/" TargetMode="External"/><Relationship Id="rId87" Type="http://schemas.openxmlformats.org/officeDocument/2006/relationships/hyperlink" Target="http://vahid.as/" TargetMode="External"/><Relationship Id="rId513" Type="http://schemas.openxmlformats.org/officeDocument/2006/relationships/hyperlink" Target="https://twitter.com/avenger_75/status/1045319584197357568" TargetMode="External"/><Relationship Id="rId720" Type="http://schemas.openxmlformats.org/officeDocument/2006/relationships/hyperlink" Target="https://telegram.me/HarfBeManBot?start=MTMxNjgwNDY4" TargetMode="External"/><Relationship Id="rId818" Type="http://schemas.openxmlformats.org/officeDocument/2006/relationships/hyperlink" Target="https://pbs.twimg.com/media/DoGFUinXsAA7a-u.jpg" TargetMode="External"/><Relationship Id="rId1350" Type="http://schemas.openxmlformats.org/officeDocument/2006/relationships/hyperlink" Target="https://pbs.twimg.com/media/DoAUpF6X0AApGBZ.jpg" TargetMode="External"/><Relationship Id="rId1448" Type="http://schemas.openxmlformats.org/officeDocument/2006/relationships/hyperlink" Target="https://pbs.twimg.com/media/DoCoxX7XcAA0HfA.jpg" TargetMode="External"/><Relationship Id="rId1655" Type="http://schemas.openxmlformats.org/officeDocument/2006/relationships/hyperlink" Target="https://pbs.twimg.com/media/DoBRdPFXgAAyllU.jpg" TargetMode="External"/><Relationship Id="rId1003" Type="http://schemas.openxmlformats.org/officeDocument/2006/relationships/hyperlink" Target="https://pbs.twimg.com/media/DoFXSfdXcAAwG4b.jpg" TargetMode="External"/><Relationship Id="rId1210" Type="http://schemas.openxmlformats.org/officeDocument/2006/relationships/hyperlink" Target="http://telegram.me/perspolis_twitt" TargetMode="External"/><Relationship Id="rId1308" Type="http://schemas.openxmlformats.org/officeDocument/2006/relationships/hyperlink" Target="https://pbs.twimg.com/media/DoDHmdCUcAAiJWf.jpg" TargetMode="External"/><Relationship Id="rId1515" Type="http://schemas.openxmlformats.org/officeDocument/2006/relationships/hyperlink" Target="https://pbs.twimg.com/media/DoCSee_XkAAk5rN.jpg" TargetMode="External"/><Relationship Id="rId14" Type="http://schemas.openxmlformats.org/officeDocument/2006/relationships/hyperlink" Target="https://pbs.twimg.com/media/DnDXE0jWwAAyM7G.jpg" TargetMode="External"/><Relationship Id="rId163" Type="http://schemas.openxmlformats.org/officeDocument/2006/relationships/hyperlink" Target="http://goo.gl/5KtgUZ" TargetMode="External"/><Relationship Id="rId370" Type="http://schemas.openxmlformats.org/officeDocument/2006/relationships/hyperlink" Target="https://pbs.twimg.com/media/DoINlVaUcAIz49X.jpg" TargetMode="External"/><Relationship Id="rId230" Type="http://schemas.openxmlformats.org/officeDocument/2006/relationships/hyperlink" Target="https://twitter.com/AbdolrezaDavari/status/1045319276545085441" TargetMode="External"/><Relationship Id="rId468" Type="http://schemas.openxmlformats.org/officeDocument/2006/relationships/hyperlink" Target="https://pbs.twimg.com/media/DoHrvG1U4AAnmNT.jpg" TargetMode="External"/><Relationship Id="rId675" Type="http://schemas.openxmlformats.org/officeDocument/2006/relationships/hyperlink" Target="https://twitter.com/dw_persian/status/1045302590915973120" TargetMode="External"/><Relationship Id="rId882" Type="http://schemas.openxmlformats.org/officeDocument/2006/relationships/hyperlink" Target="https://pbs.twimg.com/media/DoF1rFWV4AEX_Fh.jpg" TargetMode="External"/><Relationship Id="rId1098" Type="http://schemas.openxmlformats.org/officeDocument/2006/relationships/hyperlink" Target="https://pbs.twimg.com/media/DoEplXtWsAAgLbR.jpg" TargetMode="External"/><Relationship Id="rId328" Type="http://schemas.openxmlformats.org/officeDocument/2006/relationships/hyperlink" Target="https://telegram.me/harfbzanbot?start=3d5JDEM" TargetMode="External"/><Relationship Id="rId535" Type="http://schemas.openxmlformats.org/officeDocument/2006/relationships/hyperlink" Target="http://calcioiraniano.altervista.org/" TargetMode="External"/><Relationship Id="rId742" Type="http://schemas.openxmlformats.org/officeDocument/2006/relationships/hyperlink" Target="https://t.me/HarfBeManBot?start=MjMwOTAwMTY0" TargetMode="External"/><Relationship Id="rId1165" Type="http://schemas.openxmlformats.org/officeDocument/2006/relationships/hyperlink" Target="https://pbs.twimg.com/media/DoEeTw8WsAMkJCQ.jpg" TargetMode="External"/><Relationship Id="rId1372" Type="http://schemas.openxmlformats.org/officeDocument/2006/relationships/hyperlink" Target="https://t.me/afratarh" TargetMode="External"/><Relationship Id="rId602" Type="http://schemas.openxmlformats.org/officeDocument/2006/relationships/hyperlink" Target="http://tlgrm.me/harfbzanbot?start=ow2wAwr" TargetMode="External"/><Relationship Id="rId1025" Type="http://schemas.openxmlformats.org/officeDocument/2006/relationships/hyperlink" Target="https://pbs.twimg.com/media/DoFSIPvWsAABgWa.jpg" TargetMode="External"/><Relationship Id="rId1232" Type="http://schemas.openxmlformats.org/officeDocument/2006/relationships/hyperlink" Target="https://pbs.twimg.com/media/DoC5lBuWkAITmOF.jpg" TargetMode="External"/><Relationship Id="rId1677" Type="http://schemas.openxmlformats.org/officeDocument/2006/relationships/hyperlink" Target="https://pbs.twimg.com/media/DoBv0ZkXsAAUpxW.jpg" TargetMode="External"/><Relationship Id="rId907" Type="http://schemas.openxmlformats.org/officeDocument/2006/relationships/hyperlink" Target="https://pbs.twimg.com/media/DoFwiwiXsAAO6Je.jpg" TargetMode="External"/><Relationship Id="rId1537" Type="http://schemas.openxmlformats.org/officeDocument/2006/relationships/hyperlink" Target="https://telegram.me/harfbzanbot?start=ApzW5xz" TargetMode="External"/><Relationship Id="rId36" Type="http://schemas.openxmlformats.org/officeDocument/2006/relationships/hyperlink" Target="https://pbs.twimg.com/media/DoRHeq-XUAE8yV5.jpg" TargetMode="External"/><Relationship Id="rId1604" Type="http://schemas.openxmlformats.org/officeDocument/2006/relationships/hyperlink" Target="https://pbs.twimg.com/media/DoBsZHPW0AA6pxn.jpg" TargetMode="External"/><Relationship Id="rId185" Type="http://schemas.openxmlformats.org/officeDocument/2006/relationships/hyperlink" Target="https://pbs.twimg.com/media/DoLdVIbW0AAl6Ig.jpg" TargetMode="External"/><Relationship Id="rId392" Type="http://schemas.openxmlformats.org/officeDocument/2006/relationships/hyperlink" Target="https://t.me/sinadotnet" TargetMode="External"/><Relationship Id="rId697" Type="http://schemas.openxmlformats.org/officeDocument/2006/relationships/hyperlink" Target="https://telegram.me/harfbzanbot?start=yMy45W" TargetMode="External"/><Relationship Id="rId252" Type="http://schemas.openxmlformats.org/officeDocument/2006/relationships/hyperlink" Target="http://www.yjc.ir/" TargetMode="External"/><Relationship Id="rId1187" Type="http://schemas.openxmlformats.org/officeDocument/2006/relationships/hyperlink" Target="https://pbs.twimg.com/media/DoBcykpXoAEEzYT.jpg" TargetMode="External"/><Relationship Id="rId112" Type="http://schemas.openxmlformats.org/officeDocument/2006/relationships/hyperlink" Target="http://www.facebook.com/iranteamfootball" TargetMode="External"/><Relationship Id="rId557" Type="http://schemas.openxmlformats.org/officeDocument/2006/relationships/hyperlink" Target="https://www.instagram.com/hamed_moftakhar_hoseini" TargetMode="External"/><Relationship Id="rId764" Type="http://schemas.openxmlformats.org/officeDocument/2006/relationships/hyperlink" Target="http://flwback.co/" TargetMode="External"/><Relationship Id="rId971" Type="http://schemas.openxmlformats.org/officeDocument/2006/relationships/hyperlink" Target="https://twitter.com/meysametammar/status/1045217876607676416" TargetMode="External"/><Relationship Id="rId1394" Type="http://schemas.openxmlformats.org/officeDocument/2006/relationships/hyperlink" Target="https://pbs.twimg.com/media/DoC0_r0WsAE41Ul.jpg" TargetMode="External"/><Relationship Id="rId417" Type="http://schemas.openxmlformats.org/officeDocument/2006/relationships/hyperlink" Target="http://instagram.com/mahtab.kardouni74" TargetMode="External"/><Relationship Id="rId624" Type="http://schemas.openxmlformats.org/officeDocument/2006/relationships/hyperlink" Target="http://t.me/darkpath1" TargetMode="External"/><Relationship Id="rId831" Type="http://schemas.openxmlformats.org/officeDocument/2006/relationships/hyperlink" Target="http://instagram.com/senior_m0hammad" TargetMode="External"/><Relationship Id="rId1047" Type="http://schemas.openxmlformats.org/officeDocument/2006/relationships/hyperlink" Target="https://pbs.twimg.com/media/DoFLn0iXkAAXoEE.jpg" TargetMode="External"/><Relationship Id="rId1254" Type="http://schemas.openxmlformats.org/officeDocument/2006/relationships/hyperlink" Target="https://pbs.twimg.com/media/DoDVn8pXcAApvhp.jpg" TargetMode="External"/><Relationship Id="rId1461" Type="http://schemas.openxmlformats.org/officeDocument/2006/relationships/hyperlink" Target="https://pbs.twimg.com/media/DoClclbWkAIgZwT.jpg" TargetMode="External"/><Relationship Id="rId929" Type="http://schemas.openxmlformats.org/officeDocument/2006/relationships/hyperlink" Target="https://facebook.com/officialaliashini" TargetMode="External"/><Relationship Id="rId1114" Type="http://schemas.openxmlformats.org/officeDocument/2006/relationships/hyperlink" Target="https://pbs.twimg.com/media/DoDwpLcX0AAReM6.jpg" TargetMode="External"/><Relationship Id="rId1321" Type="http://schemas.openxmlformats.org/officeDocument/2006/relationships/hyperlink" Target="https://pbs.twimg.com/media/DoDC6XkXcAktJLH.jpg" TargetMode="External"/><Relationship Id="rId1559" Type="http://schemas.openxmlformats.org/officeDocument/2006/relationships/hyperlink" Target="https://pbs.twimg.com/media/DoATmi3XUAEwAFm.jpg" TargetMode="External"/><Relationship Id="rId58" Type="http://schemas.openxmlformats.org/officeDocument/2006/relationships/hyperlink" Target="http://ibena.ir/" TargetMode="External"/><Relationship Id="rId1419" Type="http://schemas.openxmlformats.org/officeDocument/2006/relationships/hyperlink" Target="http://aparat.com/aghahesam" TargetMode="External"/><Relationship Id="rId1626" Type="http://schemas.openxmlformats.org/officeDocument/2006/relationships/hyperlink" Target="https://pbs.twimg.com/media/Da5kzTBX0AA_pEc.jpg" TargetMode="External"/><Relationship Id="rId274" Type="http://schemas.openxmlformats.org/officeDocument/2006/relationships/hyperlink" Target="https://pbs.twimg.com/media/DoKFSvzXgAEeWAy.jpg" TargetMode="External"/><Relationship Id="rId481" Type="http://schemas.openxmlformats.org/officeDocument/2006/relationships/hyperlink" Target="http://instagram.com/hamed_sh80" TargetMode="External"/><Relationship Id="rId134" Type="http://schemas.openxmlformats.org/officeDocument/2006/relationships/hyperlink" Target="https://telegram.me/harfbzanbot?start=oddEK8Y" TargetMode="External"/><Relationship Id="rId579" Type="http://schemas.openxmlformats.org/officeDocument/2006/relationships/hyperlink" Target="https://t.me/xHarfBot?start=92262311" TargetMode="External"/><Relationship Id="rId786" Type="http://schemas.openxmlformats.org/officeDocument/2006/relationships/hyperlink" Target="https://pbs.twimg.com/media/DoGO_Z_W0AEoWNB.jpg" TargetMode="External"/><Relationship Id="rId993" Type="http://schemas.openxmlformats.org/officeDocument/2006/relationships/hyperlink" Target="https://pbs.twimg.com/media/DoFYmdfW0AAYzMU.jpg" TargetMode="External"/><Relationship Id="rId341" Type="http://schemas.openxmlformats.org/officeDocument/2006/relationships/hyperlink" Target="https://pbs.twimg.com/media/DoIVMOlXUAEn2Hc.jpg" TargetMode="External"/><Relationship Id="rId439" Type="http://schemas.openxmlformats.org/officeDocument/2006/relationships/hyperlink" Target="http://trtpersian.com/" TargetMode="External"/><Relationship Id="rId646" Type="http://schemas.openxmlformats.org/officeDocument/2006/relationships/hyperlink" Target="http://davoodamini.com/" TargetMode="External"/><Relationship Id="rId1069" Type="http://schemas.openxmlformats.org/officeDocument/2006/relationships/hyperlink" Target="https://pbs.twimg.com/media/DoFCJ9MX0AAs2__.jpg" TargetMode="External"/><Relationship Id="rId1276" Type="http://schemas.openxmlformats.org/officeDocument/2006/relationships/hyperlink" Target="http://pic.twitter.com/0RzAdwIWHg" TargetMode="External"/><Relationship Id="rId1483" Type="http://schemas.openxmlformats.org/officeDocument/2006/relationships/hyperlink" Target="http://pic.twitter.com/TR8JFj8cGH" TargetMode="External"/><Relationship Id="rId201" Type="http://schemas.openxmlformats.org/officeDocument/2006/relationships/hyperlink" Target="http://sharghdaily.ir/" TargetMode="External"/><Relationship Id="rId506" Type="http://schemas.openxmlformats.org/officeDocument/2006/relationships/hyperlink" Target="http://90tv.ir/" TargetMode="External"/><Relationship Id="rId853" Type="http://schemas.openxmlformats.org/officeDocument/2006/relationships/hyperlink" Target="http://mr.sh/" TargetMode="External"/><Relationship Id="rId1136" Type="http://schemas.openxmlformats.org/officeDocument/2006/relationships/hyperlink" Target="https://www.linkedin.com/in/farazfatemimoghaddam/" TargetMode="External"/><Relationship Id="rId713" Type="http://schemas.openxmlformats.org/officeDocument/2006/relationships/hyperlink" Target="https://telegram.me/HarfBeManBot?start=NTc2OTI1MTQx" TargetMode="External"/><Relationship Id="rId920" Type="http://schemas.openxmlformats.org/officeDocument/2006/relationships/hyperlink" Target="http://orosie.ir/" TargetMode="External"/><Relationship Id="rId1343" Type="http://schemas.openxmlformats.org/officeDocument/2006/relationships/hyperlink" Target="https://pbs.twimg.com/media/DoAj5aoXUAE7cI0.jpg" TargetMode="External"/><Relationship Id="rId1550" Type="http://schemas.openxmlformats.org/officeDocument/2006/relationships/hyperlink" Target="https://pbs.twimg.com/media/DoCTAYPXoAEdz5T.jpg" TargetMode="External"/><Relationship Id="rId1648" Type="http://schemas.openxmlformats.org/officeDocument/2006/relationships/hyperlink" Target="https://pbs.twimg.com/media/DoB1a8jXkAA2bs_.jpg" TargetMode="External"/><Relationship Id="rId1203" Type="http://schemas.openxmlformats.org/officeDocument/2006/relationships/hyperlink" Target="http://danialnadertehrani.blogfa.com/" TargetMode="External"/><Relationship Id="rId1410" Type="http://schemas.openxmlformats.org/officeDocument/2006/relationships/hyperlink" Target="https://pbs.twimg.com/media/DoCbpeWXsAAh5jX.jpg" TargetMode="External"/><Relationship Id="rId1508" Type="http://schemas.openxmlformats.org/officeDocument/2006/relationships/hyperlink" Target="http://mjahmadee.ir/" TargetMode="External"/><Relationship Id="rId296" Type="http://schemas.openxmlformats.org/officeDocument/2006/relationships/hyperlink" Target="http://www.instagram.com/radicall63" TargetMode="External"/><Relationship Id="rId156" Type="http://schemas.openxmlformats.org/officeDocument/2006/relationships/hyperlink" Target="http://www.tasnimnews.com/" TargetMode="External"/><Relationship Id="rId363" Type="http://schemas.openxmlformats.org/officeDocument/2006/relationships/hyperlink" Target="https://pbs.twimg.com/media/DoIP_lJU0AEKW2e.jpg" TargetMode="External"/><Relationship Id="rId570" Type="http://schemas.openxmlformats.org/officeDocument/2006/relationships/hyperlink" Target="https://t.me/BiChatBot?start=sc-109504147" TargetMode="External"/><Relationship Id="rId223" Type="http://schemas.openxmlformats.org/officeDocument/2006/relationships/hyperlink" Target="https://pbs.twimg.com/media/DoK3w_7XsAEoSdP.jpg" TargetMode="External"/><Relationship Id="rId430" Type="http://schemas.openxmlformats.org/officeDocument/2006/relationships/hyperlink" Target="http://isport.ir/" TargetMode="External"/><Relationship Id="rId668" Type="http://schemas.openxmlformats.org/officeDocument/2006/relationships/hyperlink" Target="http://blog.wonderfulme.eu/" TargetMode="External"/><Relationship Id="rId875" Type="http://schemas.openxmlformats.org/officeDocument/2006/relationships/hyperlink" Target="https://twitter.com/avant_tv" TargetMode="External"/><Relationship Id="rId1060" Type="http://schemas.openxmlformats.org/officeDocument/2006/relationships/hyperlink" Target="https://pbs.twimg.com/media/DoFG5r9W0AAnTBG.jpg" TargetMode="External"/><Relationship Id="rId1298" Type="http://schemas.openxmlformats.org/officeDocument/2006/relationships/hyperlink" Target="https://pbs.twimg.com/media/DoCbpeWXsAAh5jX.jpg" TargetMode="External"/><Relationship Id="rId528" Type="http://schemas.openxmlformats.org/officeDocument/2006/relationships/hyperlink" Target="https://pbs.twimg.com/media/DoHiIF2U0AEMVtL.jpg" TargetMode="External"/><Relationship Id="rId735" Type="http://schemas.openxmlformats.org/officeDocument/2006/relationships/hyperlink" Target="http://www.fcesteghlal.ir/" TargetMode="External"/><Relationship Id="rId942" Type="http://schemas.openxmlformats.org/officeDocument/2006/relationships/hyperlink" Target="https://pbs.twimg.com/media/DoFm7arWkAAt_xy.jpg" TargetMode="External"/><Relationship Id="rId1158" Type="http://schemas.openxmlformats.org/officeDocument/2006/relationships/hyperlink" Target="https://scriptics.ir/" TargetMode="External"/><Relationship Id="rId1365" Type="http://schemas.openxmlformats.org/officeDocument/2006/relationships/hyperlink" Target="http://facebook.com/osro" TargetMode="External"/><Relationship Id="rId1572" Type="http://schemas.openxmlformats.org/officeDocument/2006/relationships/hyperlink" Target="https://pbs.twimg.com/media/DoBasQtXgAAckG9.jpg" TargetMode="External"/><Relationship Id="rId1018" Type="http://schemas.openxmlformats.org/officeDocument/2006/relationships/hyperlink" Target="https://telegram.me/harfbzanbot?start=W0J4gng" TargetMode="External"/><Relationship Id="rId1225" Type="http://schemas.openxmlformats.org/officeDocument/2006/relationships/hyperlink" Target="https://telegram.me/harfbemanbot?start=MTAxODQ2Mzkz" TargetMode="External"/><Relationship Id="rId1432" Type="http://schemas.openxmlformats.org/officeDocument/2006/relationships/hyperlink" Target="https://pbs.twimg.com/media/DoCo4aAW0AUAbYf.jpg" TargetMode="External"/><Relationship Id="rId71" Type="http://schemas.openxmlformats.org/officeDocument/2006/relationships/hyperlink" Target="https://pbs.twimg.com/media/DoPpQWHVAAAqm4Q.jpg" TargetMode="External"/><Relationship Id="rId802" Type="http://schemas.openxmlformats.org/officeDocument/2006/relationships/hyperlink" Target="https://t.me/HarfBeManBot?start=MjMwOTAwMTY0" TargetMode="External"/><Relationship Id="rId29" Type="http://schemas.openxmlformats.org/officeDocument/2006/relationships/hyperlink" Target="http://www.kayhan.london/" TargetMode="External"/><Relationship Id="rId178" Type="http://schemas.openxmlformats.org/officeDocument/2006/relationships/hyperlink" Target="https://pbs.twimg.com/media/DoL0D0QXsAAmmP4.jpg" TargetMode="External"/><Relationship Id="rId385" Type="http://schemas.openxmlformats.org/officeDocument/2006/relationships/hyperlink" Target="https://t.me/RadioOffside" TargetMode="External"/><Relationship Id="rId592" Type="http://schemas.openxmlformats.org/officeDocument/2006/relationships/hyperlink" Target="https://t.me/golshany" TargetMode="External"/><Relationship Id="rId245" Type="http://schemas.openxmlformats.org/officeDocument/2006/relationships/hyperlink" Target="http://fc-perspolis.com/" TargetMode="External"/><Relationship Id="rId452" Type="http://schemas.openxmlformats.org/officeDocument/2006/relationships/hyperlink" Target="https://twitter.com/shabgarddd/status/1045369237286473728" TargetMode="External"/><Relationship Id="rId897" Type="http://schemas.openxmlformats.org/officeDocument/2006/relationships/hyperlink" Target="http://ostadkar.pro/" TargetMode="External"/><Relationship Id="rId1082" Type="http://schemas.openxmlformats.org/officeDocument/2006/relationships/hyperlink" Target="http://instagram.com/ahmadsaeedi22" TargetMode="External"/><Relationship Id="rId105" Type="http://schemas.openxmlformats.org/officeDocument/2006/relationships/hyperlink" Target="https://pbs.twimg.com/media/DoNZEyGWsAEzVxS.jpg" TargetMode="External"/><Relationship Id="rId312" Type="http://schemas.openxmlformats.org/officeDocument/2006/relationships/hyperlink" Target="https://pbs.twimg.com/media/DoIf_dAUUAAWyIF.jpg" TargetMode="External"/><Relationship Id="rId757" Type="http://schemas.openxmlformats.org/officeDocument/2006/relationships/hyperlink" Target="https://pbs.twimg.com/media/DoGb2A2WkAAfiig.jpg" TargetMode="External"/><Relationship Id="rId964" Type="http://schemas.openxmlformats.org/officeDocument/2006/relationships/hyperlink" Target="http://telegram.me/aminassadi" TargetMode="External"/><Relationship Id="rId1387" Type="http://schemas.openxmlformats.org/officeDocument/2006/relationships/hyperlink" Target="https://pbs.twimg.com/media/DoC2FxVWsAAquLd.jpg" TargetMode="External"/><Relationship Id="rId1594" Type="http://schemas.openxmlformats.org/officeDocument/2006/relationships/hyperlink" Target="http://zardpress.wordpress.com/" TargetMode="External"/><Relationship Id="rId93" Type="http://schemas.openxmlformats.org/officeDocument/2006/relationships/hyperlink" Target="https://pbs.twimg.com/media/DoOBF73XgAE_8ee.jpg" TargetMode="External"/><Relationship Id="rId617" Type="http://schemas.openxmlformats.org/officeDocument/2006/relationships/hyperlink" Target="https://pbs.twimg.com/media/DoG7KqPXsAAZtwi.jpg" TargetMode="External"/><Relationship Id="rId824" Type="http://schemas.openxmlformats.org/officeDocument/2006/relationships/hyperlink" Target="https://pbs.twimg.com/media/DoGEqQoWkAI7K4P.jpg" TargetMode="External"/><Relationship Id="rId1247" Type="http://schemas.openxmlformats.org/officeDocument/2006/relationships/hyperlink" Target="https://twitter.com/KohnavardTanha/status/1045069485462487040" TargetMode="External"/><Relationship Id="rId1454" Type="http://schemas.openxmlformats.org/officeDocument/2006/relationships/hyperlink" Target="https://pbs.twimg.com/media/DoClnvQXoAEi1C2.jpg" TargetMode="External"/><Relationship Id="rId1661" Type="http://schemas.openxmlformats.org/officeDocument/2006/relationships/hyperlink" Target="https://t.me/HarfBeManBot?start=MjMwOTAwMTY0" TargetMode="External"/><Relationship Id="rId1107" Type="http://schemas.openxmlformats.org/officeDocument/2006/relationships/hyperlink" Target="https://pbs.twimg.com/media/DoEQNq1XcAA58pT.jpg" TargetMode="External"/><Relationship Id="rId1314" Type="http://schemas.openxmlformats.org/officeDocument/2006/relationships/hyperlink" Target="http://t.me/montazeran_zuhhur" TargetMode="External"/><Relationship Id="rId1521" Type="http://schemas.openxmlformats.org/officeDocument/2006/relationships/hyperlink" Target="https://twitter.com/missAzarakhsh/status/1045002616084803585" TargetMode="External"/><Relationship Id="rId1619" Type="http://schemas.openxmlformats.org/officeDocument/2006/relationships/hyperlink" Target="https://telegram.me/HarfBeManBot?start=NzY4MzcyNjI" TargetMode="External"/><Relationship Id="rId20" Type="http://schemas.openxmlformats.org/officeDocument/2006/relationships/hyperlink" Target="http://&#1606;&#1605;&#1740;&#1588;&#1607;-&#1711;&#1601;&#1578;.com/" TargetMode="External"/><Relationship Id="rId267" Type="http://schemas.openxmlformats.org/officeDocument/2006/relationships/hyperlink" Target="https://pbs.twimg.com/media/DoKXdVqW0AAloNV.jpg" TargetMode="External"/><Relationship Id="rId474" Type="http://schemas.openxmlformats.org/officeDocument/2006/relationships/hyperlink" Target="https://pbs.twimg.com/media/DoHqok6UYAAojpF.jpg" TargetMode="External"/><Relationship Id="rId127" Type="http://schemas.openxmlformats.org/officeDocument/2006/relationships/hyperlink" Target="https://twitter.com/REZAAA1999/status/1045716138787778560" TargetMode="External"/><Relationship Id="rId681" Type="http://schemas.openxmlformats.org/officeDocument/2006/relationships/hyperlink" Target="https://pbs.twimg.com/media/DoGsOeTXcAExD5E.jpg" TargetMode="External"/><Relationship Id="rId779" Type="http://schemas.openxmlformats.org/officeDocument/2006/relationships/hyperlink" Target="https://pbs.twimg.com/media/DoGPww4XsAEL5FO.jpg" TargetMode="External"/><Relationship Id="rId986" Type="http://schemas.openxmlformats.org/officeDocument/2006/relationships/hyperlink" Target="http://www.farsnews.com/" TargetMode="External"/><Relationship Id="rId334" Type="http://schemas.openxmlformats.org/officeDocument/2006/relationships/hyperlink" Target="https://pbs.twimg.com/media/DoIWnuIUYAAPSlO.jpg" TargetMode="External"/><Relationship Id="rId541" Type="http://schemas.openxmlformats.org/officeDocument/2006/relationships/hyperlink" Target="http://www.facebook.com/iranteamfootball" TargetMode="External"/><Relationship Id="rId639" Type="http://schemas.openxmlformats.org/officeDocument/2006/relationships/hyperlink" Target="https://pbs.twimg.com/media/DoG5-9rXgAExY3i.jpg" TargetMode="External"/><Relationship Id="rId1171" Type="http://schemas.openxmlformats.org/officeDocument/2006/relationships/hyperlink" Target="https://pbs.twimg.com/media/DoD1Ed8VsAIN6Kv.jpg" TargetMode="External"/><Relationship Id="rId1269" Type="http://schemas.openxmlformats.org/officeDocument/2006/relationships/hyperlink" Target="https://pbs.twimg.com/media/DoCbpeWXsAAh5jX.jpg" TargetMode="External"/><Relationship Id="rId1476" Type="http://schemas.openxmlformats.org/officeDocument/2006/relationships/hyperlink" Target="https://twitter.com/shinaamp/status/1045005170411737090" TargetMode="External"/><Relationship Id="rId401" Type="http://schemas.openxmlformats.org/officeDocument/2006/relationships/hyperlink" Target="https://t.me/trenditter" TargetMode="External"/><Relationship Id="rId846" Type="http://schemas.openxmlformats.org/officeDocument/2006/relationships/hyperlink" Target="https://pbs.twimg.com/media/DoGBO2XXoAEdlLT.jpg" TargetMode="External"/><Relationship Id="rId1031" Type="http://schemas.openxmlformats.org/officeDocument/2006/relationships/hyperlink" Target="https://telegram.me/HarfBeManBot?start=MjI1ODg1NzQx" TargetMode="External"/><Relationship Id="rId1129" Type="http://schemas.openxmlformats.org/officeDocument/2006/relationships/hyperlink" Target="http://pic.twitter.com/9PSIIyvogz" TargetMode="External"/><Relationship Id="rId1683" Type="http://schemas.openxmlformats.org/officeDocument/2006/relationships/hyperlink" Target="https://pbs.twimg.com/media/DoBuXViW0AEYGsh.jpg" TargetMode="External"/><Relationship Id="rId706" Type="http://schemas.openxmlformats.org/officeDocument/2006/relationships/hyperlink" Target="https://pbs.twimg.com/media/DoGhYqkWsAArCLo.jpg" TargetMode="External"/><Relationship Id="rId913" Type="http://schemas.openxmlformats.org/officeDocument/2006/relationships/hyperlink" Target="http://instagram.com/abolfazl_b_313" TargetMode="External"/><Relationship Id="rId1336" Type="http://schemas.openxmlformats.org/officeDocument/2006/relationships/hyperlink" Target="http://peyvandha.ir/" TargetMode="External"/><Relationship Id="rId1543" Type="http://schemas.openxmlformats.org/officeDocument/2006/relationships/hyperlink" Target="https://telegram.me/HarfBeManBot?start=NzY4MzcyNjI" TargetMode="External"/><Relationship Id="rId42" Type="http://schemas.openxmlformats.org/officeDocument/2006/relationships/hyperlink" Target="http://instagram.com/Elahe_Rastegary" TargetMode="External"/><Relationship Id="rId1403" Type="http://schemas.openxmlformats.org/officeDocument/2006/relationships/hyperlink" Target="https://pbs.twimg.com/media/DoClclbWkAIgZwT.jpg" TargetMode="External"/><Relationship Id="rId1610" Type="http://schemas.openxmlformats.org/officeDocument/2006/relationships/hyperlink" Target="https://twitter.com/alirrezazzz/status/1041769066158022656" TargetMode="External"/><Relationship Id="rId191" Type="http://schemas.openxmlformats.org/officeDocument/2006/relationships/hyperlink" Target="http://pic.twitter.com/SZDVTtj5WR" TargetMode="External"/><Relationship Id="rId289" Type="http://schemas.openxmlformats.org/officeDocument/2006/relationships/hyperlink" Target="http://almahdyoon.org/" TargetMode="External"/><Relationship Id="rId496" Type="http://schemas.openxmlformats.org/officeDocument/2006/relationships/hyperlink" Target="https://pbs.twimg.com/media/DoHk4JuVsAA_sCa.jpg" TargetMode="External"/><Relationship Id="rId149" Type="http://schemas.openxmlformats.org/officeDocument/2006/relationships/hyperlink" Target="http://facebook.com/babakghannad" TargetMode="External"/><Relationship Id="rId356" Type="http://schemas.openxmlformats.org/officeDocument/2006/relationships/hyperlink" Target="https://telegram.me/HarfBeManBot?start=MTAwODgzNzAy" TargetMode="External"/><Relationship Id="rId563" Type="http://schemas.openxmlformats.org/officeDocument/2006/relationships/hyperlink" Target="http://calcioiraniano.altervista.org/" TargetMode="External"/><Relationship Id="rId770" Type="http://schemas.openxmlformats.org/officeDocument/2006/relationships/hyperlink" Target="http://www.facebook.com/Siasat.Zadegan?ref=tn_tinyman" TargetMode="External"/><Relationship Id="rId1193" Type="http://schemas.openxmlformats.org/officeDocument/2006/relationships/hyperlink" Target="http://pic.twitter.com/fyHRWZDg0w" TargetMode="External"/><Relationship Id="rId216" Type="http://schemas.openxmlformats.org/officeDocument/2006/relationships/hyperlink" Target="https://pbs.twimg.com/media/DoK9KozWsAAeEJe.jpg" TargetMode="External"/><Relationship Id="rId423" Type="http://schemas.openxmlformats.org/officeDocument/2006/relationships/hyperlink" Target="https://twitter.com/PerspolisFCIran/status/1045364008381898753" TargetMode="External"/><Relationship Id="rId868" Type="http://schemas.openxmlformats.org/officeDocument/2006/relationships/hyperlink" Target="https://pbs.twimg.com/media/DoF9CrgWkAgMkEH.jpg" TargetMode="External"/><Relationship Id="rId1053" Type="http://schemas.openxmlformats.org/officeDocument/2006/relationships/hyperlink" Target="https://pbs.twimg.com/media/DoFIqQuWsAAYjY4.jpg" TargetMode="External"/><Relationship Id="rId1260" Type="http://schemas.openxmlformats.org/officeDocument/2006/relationships/hyperlink" Target="https://twitter.com/KohnavardTanha/status/1045069485462487040" TargetMode="External"/><Relationship Id="rId1498" Type="http://schemas.openxmlformats.org/officeDocument/2006/relationships/hyperlink" Target="https://pbs.twimg.com/media/DoAj5aoXUAE7cI0.jpg" TargetMode="External"/><Relationship Id="rId630" Type="http://schemas.openxmlformats.org/officeDocument/2006/relationships/hyperlink" Target="http://tlgrm.me/harfbzanbot?start=ow2wAwr" TargetMode="External"/><Relationship Id="rId728" Type="http://schemas.openxmlformats.org/officeDocument/2006/relationships/hyperlink" Target="http://t.me/ill3gals" TargetMode="External"/><Relationship Id="rId935" Type="http://schemas.openxmlformats.org/officeDocument/2006/relationships/hyperlink" Target="https://pbs.twimg.com/media/DoFpECUWkAAQd01.jpg" TargetMode="External"/><Relationship Id="rId1358" Type="http://schemas.openxmlformats.org/officeDocument/2006/relationships/hyperlink" Target="https://pbs.twimg.com/media/DoCbpeWXsAAh5jX.jpg" TargetMode="External"/><Relationship Id="rId1565" Type="http://schemas.openxmlformats.org/officeDocument/2006/relationships/hyperlink" Target="https://pbs.twimg.com/media/DoCKw2WWsAAlI9P.jpg" TargetMode="External"/><Relationship Id="rId64" Type="http://schemas.openxmlformats.org/officeDocument/2006/relationships/hyperlink" Target="https://pbs.twimg.com/media/DoP_gNgV4AErcrw.jpg" TargetMode="External"/><Relationship Id="rId1120" Type="http://schemas.openxmlformats.org/officeDocument/2006/relationships/hyperlink" Target="https://twitter.com/Roozarooznews/status/1044867653557473280" TargetMode="External"/><Relationship Id="rId1218" Type="http://schemas.openxmlformats.org/officeDocument/2006/relationships/hyperlink" Target="http://t.me/sarbazane_barandaz" TargetMode="External"/><Relationship Id="rId1425" Type="http://schemas.openxmlformats.org/officeDocument/2006/relationships/hyperlink" Target="https://pbs.twimg.com/media/DoAUDiwXcAACZsm.jpg" TargetMode="External"/><Relationship Id="rId1632" Type="http://schemas.openxmlformats.org/officeDocument/2006/relationships/hyperlink" Target="https://twitter.com/sepehrlm/status/1044642806218805248" TargetMode="External"/><Relationship Id="rId280" Type="http://schemas.openxmlformats.org/officeDocument/2006/relationships/hyperlink" Target="https://pbs.twimg.com/media/DoJZML5W0Acq2a-.jpg" TargetMode="External"/><Relationship Id="rId140" Type="http://schemas.openxmlformats.org/officeDocument/2006/relationships/hyperlink" Target="https://telegram.me/HarfBeManBot?start=Mzg3NDU5MjM5" TargetMode="External"/><Relationship Id="rId378" Type="http://schemas.openxmlformats.org/officeDocument/2006/relationships/hyperlink" Target="http://iran-newspaper.com/" TargetMode="External"/><Relationship Id="rId585" Type="http://schemas.openxmlformats.org/officeDocument/2006/relationships/hyperlink" Target="https://telegram.me/harfbzanbot?start=rWpK6Bl" TargetMode="External"/><Relationship Id="rId792" Type="http://schemas.openxmlformats.org/officeDocument/2006/relationships/hyperlink" Target="https://pbs.twimg.com/media/DoGNoleW0AANfCi.jpg" TargetMode="External"/><Relationship Id="rId6" Type="http://schemas.openxmlformats.org/officeDocument/2006/relationships/hyperlink" Target="https://www.instagram.com/Elahe_Rastegari/" TargetMode="External"/><Relationship Id="rId238" Type="http://schemas.openxmlformats.org/officeDocument/2006/relationships/hyperlink" Target="http://piroozidaily.ir/" TargetMode="External"/><Relationship Id="rId445" Type="http://schemas.openxmlformats.org/officeDocument/2006/relationships/hyperlink" Target="https://pbs.twimg.com/media/DoHwsCmW0AIIvrJ.jpg" TargetMode="External"/><Relationship Id="rId652" Type="http://schemas.openxmlformats.org/officeDocument/2006/relationships/hyperlink" Target="http://friendfeed.com/anarchist66" TargetMode="External"/><Relationship Id="rId1075" Type="http://schemas.openxmlformats.org/officeDocument/2006/relationships/hyperlink" Target="https://pbs.twimg.com/media/DoE-_BnXUAEX7Ly.jpg" TargetMode="External"/><Relationship Id="rId1282" Type="http://schemas.openxmlformats.org/officeDocument/2006/relationships/hyperlink" Target="https://t.me/afratarh" TargetMode="External"/><Relationship Id="rId305" Type="http://schemas.openxmlformats.org/officeDocument/2006/relationships/hyperlink" Target="https://pbs.twimg.com/media/DoIjR8KVsAAVFag.jpg" TargetMode="External"/><Relationship Id="rId512" Type="http://schemas.openxmlformats.org/officeDocument/2006/relationships/hyperlink" Target="https://pbs.twimg.com/media/DoHjjnBXsAYWz8b.jpg" TargetMode="External"/><Relationship Id="rId957" Type="http://schemas.openxmlformats.org/officeDocument/2006/relationships/hyperlink" Target="https://pbs.twimg.com/media/DoFgmxiXoAANHYt.jpg" TargetMode="External"/><Relationship Id="rId1142" Type="http://schemas.openxmlformats.org/officeDocument/2006/relationships/hyperlink" Target="http://pic.twitter.com/nA6yG1EBQ3" TargetMode="External"/><Relationship Id="rId1587" Type="http://schemas.openxmlformats.org/officeDocument/2006/relationships/hyperlink" Target="https://pbs.twimg.com/media/DoBasQtXgAAckG9.jpg" TargetMode="External"/><Relationship Id="rId86" Type="http://schemas.openxmlformats.org/officeDocument/2006/relationships/hyperlink" Target="http://pic.twitter.com/sDc10k9NvJ" TargetMode="External"/><Relationship Id="rId817" Type="http://schemas.openxmlformats.org/officeDocument/2006/relationships/hyperlink" Target="http://eqbali.com/" TargetMode="External"/><Relationship Id="rId1002" Type="http://schemas.openxmlformats.org/officeDocument/2006/relationships/hyperlink" Target="https://t.me/BiChatBot?start=sc-512683360" TargetMode="External"/><Relationship Id="rId1447" Type="http://schemas.openxmlformats.org/officeDocument/2006/relationships/hyperlink" Target="https://khodnevissblog.wordpress.com/" TargetMode="External"/><Relationship Id="rId1654" Type="http://schemas.openxmlformats.org/officeDocument/2006/relationships/hyperlink" Target="http://goo.gl/mtMB1T" TargetMode="External"/><Relationship Id="rId1307" Type="http://schemas.openxmlformats.org/officeDocument/2006/relationships/hyperlink" Target="http://pic.twitter.com/1RHEVnT1t5" TargetMode="External"/><Relationship Id="rId1514" Type="http://schemas.openxmlformats.org/officeDocument/2006/relationships/hyperlink" Target="https://twitter.com/missAzarakhsh/status/1045002616084803585" TargetMode="External"/><Relationship Id="rId13" Type="http://schemas.openxmlformats.org/officeDocument/2006/relationships/hyperlink" Target="https://twitter.com/eshqibash/status/1040568240131461122" TargetMode="External"/><Relationship Id="rId162" Type="http://schemas.openxmlformats.org/officeDocument/2006/relationships/hyperlink" Target="http://goo.gl/5KtgUZ" TargetMode="External"/><Relationship Id="rId467" Type="http://schemas.openxmlformats.org/officeDocument/2006/relationships/hyperlink" Target="http://www.iipa.ir/News/71346.html" TargetMode="External"/><Relationship Id="rId1097" Type="http://schemas.openxmlformats.org/officeDocument/2006/relationships/hyperlink" Target="https://scriptics.ir/" TargetMode="External"/><Relationship Id="rId674" Type="http://schemas.openxmlformats.org/officeDocument/2006/relationships/hyperlink" Target="http://pic.twitter.com/g4crSC1AjU" TargetMode="External"/><Relationship Id="rId881" Type="http://schemas.openxmlformats.org/officeDocument/2006/relationships/hyperlink" Target="https://twitter.com/saramosavi8/status/1045218288727470080" TargetMode="External"/><Relationship Id="rId979" Type="http://schemas.openxmlformats.org/officeDocument/2006/relationships/hyperlink" Target="https://twitter.com/avant_tv" TargetMode="External"/><Relationship Id="rId327" Type="http://schemas.openxmlformats.org/officeDocument/2006/relationships/hyperlink" Target="https://pbs.twimg.com/media/DoIcdsoXcAcgBqu.jpg" TargetMode="External"/><Relationship Id="rId534" Type="http://schemas.openxmlformats.org/officeDocument/2006/relationships/hyperlink" Target="http://www.newhomegroup.ir/" TargetMode="External"/><Relationship Id="rId741" Type="http://schemas.openxmlformats.org/officeDocument/2006/relationships/hyperlink" Target="https://pbs.twimg.com/media/DoGdoEYWkAAqDsW.jpg" TargetMode="External"/><Relationship Id="rId839" Type="http://schemas.openxmlformats.org/officeDocument/2006/relationships/hyperlink" Target="https://pbs.twimg.com/media/DoGBtHOXUAAag34.jpg" TargetMode="External"/><Relationship Id="rId1164" Type="http://schemas.openxmlformats.org/officeDocument/2006/relationships/hyperlink" Target="https://twitter.com/sarrafsaeed/status/1044660383074652161" TargetMode="External"/><Relationship Id="rId1371" Type="http://schemas.openxmlformats.org/officeDocument/2006/relationships/hyperlink" Target="http://aparat.com/aghahesam" TargetMode="External"/><Relationship Id="rId1469" Type="http://schemas.openxmlformats.org/officeDocument/2006/relationships/hyperlink" Target="https://pbs.twimg.com/media/DoCGrpCWkAAmU-0.jpg" TargetMode="External"/><Relationship Id="rId601" Type="http://schemas.openxmlformats.org/officeDocument/2006/relationships/hyperlink" Target="https://pbs.twimg.com/media/DoG8wQDXgAIxwZF.jpg" TargetMode="External"/><Relationship Id="rId1024" Type="http://schemas.openxmlformats.org/officeDocument/2006/relationships/hyperlink" Target="https://pbs.twimg.com/media/DoFSciaWkAAMhK5.jpg" TargetMode="External"/><Relationship Id="rId1231" Type="http://schemas.openxmlformats.org/officeDocument/2006/relationships/hyperlink" Target="http://pic.twitter.com/nA6yG1EBQ3" TargetMode="External"/><Relationship Id="rId1676" Type="http://schemas.openxmlformats.org/officeDocument/2006/relationships/hyperlink" Target="https://pbs.twimg.com/media/DoBasQtXgAAckG9.jpg" TargetMode="External"/><Relationship Id="rId906" Type="http://schemas.openxmlformats.org/officeDocument/2006/relationships/hyperlink" Target="https://telegram.me/HarfBeManBot?start=NzkzMDYxNjc" TargetMode="External"/><Relationship Id="rId1329" Type="http://schemas.openxmlformats.org/officeDocument/2006/relationships/hyperlink" Target="https://pbs.twimg.com/media/DoDA6OUXoAAkYfS.jpg" TargetMode="External"/><Relationship Id="rId1536" Type="http://schemas.openxmlformats.org/officeDocument/2006/relationships/hyperlink" Target="https://pbs.twimg.com/media/DoAUpF6X0AApGBZ.jpg" TargetMode="External"/><Relationship Id="rId35" Type="http://schemas.openxmlformats.org/officeDocument/2006/relationships/hyperlink" Target="https://pbs.twimg.com/media/DoRHjWYW0AEJ_PK.jpg" TargetMode="External"/><Relationship Id="rId1603" Type="http://schemas.openxmlformats.org/officeDocument/2006/relationships/hyperlink" Target="https://www.instagram.com/didehban_reza" TargetMode="External"/><Relationship Id="rId184" Type="http://schemas.openxmlformats.org/officeDocument/2006/relationships/hyperlink" Target="https://pbs.twimg.com/media/DoLglmPXcAAKyXl.jpg" TargetMode="External"/><Relationship Id="rId391" Type="http://schemas.openxmlformats.org/officeDocument/2006/relationships/hyperlink" Target="http://www.instagram.com/aramehetemadi" TargetMode="External"/><Relationship Id="rId251" Type="http://schemas.openxmlformats.org/officeDocument/2006/relationships/hyperlink" Target="https://pbs.twimg.com/media/DoKgPP7XkAEkvTh.jpg" TargetMode="External"/><Relationship Id="rId489" Type="http://schemas.openxmlformats.org/officeDocument/2006/relationships/hyperlink" Target="http://t.me/hashiyenegar" TargetMode="External"/><Relationship Id="rId696" Type="http://schemas.openxmlformats.org/officeDocument/2006/relationships/hyperlink" Target="https://pbs.twimg.com/media/DoGqH8lXgAI4hQ5.jpg" TargetMode="External"/><Relationship Id="rId349" Type="http://schemas.openxmlformats.org/officeDocument/2006/relationships/hyperlink" Target="http://goo.gl/zWtRRx" TargetMode="External"/><Relationship Id="rId556" Type="http://schemas.openxmlformats.org/officeDocument/2006/relationships/hyperlink" Target="https://pbs.twimg.com/media/DoHW5XUWkAAy1qy.jpg" TargetMode="External"/><Relationship Id="rId763" Type="http://schemas.openxmlformats.org/officeDocument/2006/relationships/hyperlink" Target="https://pbs.twimg.com/media/DoGa7uUWkAECNZ-.jpg" TargetMode="External"/><Relationship Id="rId1186" Type="http://schemas.openxmlformats.org/officeDocument/2006/relationships/hyperlink" Target="http://www.al-ain.com/" TargetMode="External"/><Relationship Id="rId1393" Type="http://schemas.openxmlformats.org/officeDocument/2006/relationships/hyperlink" Target="https://pbs.twimg.com/media/DoCbpeWXsAAh5jX.jpg" TargetMode="External"/><Relationship Id="rId111" Type="http://schemas.openxmlformats.org/officeDocument/2006/relationships/hyperlink" Target="https://www.varzesh3.com/news/1557258/%DA%AF%D8%B2%D8%A7%D8%B1%D8%B4-%D8%A8%D8%A7%D8%B2%DB%8C-%D8%AA%D8%B1%D8%A7%DA%A9%D8%AA%D9%88%D8%B1%D8%B3%D8%A7%D8%B2%DB%8C-%D9%88-%D8%A7%D8%B3%D8%AA%D9%82%D9%84%D8%A7%D9%84-%D8%AE%D9%88%D8%B2%D8%B3%D8%AA%D8%A7%D9%86-%D8%AA%D8%A7%D8%B1%DB%8C%D8%AE-1397-7-6" TargetMode="External"/><Relationship Id="rId209" Type="http://schemas.openxmlformats.org/officeDocument/2006/relationships/hyperlink" Target="https://twitter.com/sooshiiiiiiii/status/1045417401813069824" TargetMode="External"/><Relationship Id="rId416" Type="http://schemas.openxmlformats.org/officeDocument/2006/relationships/hyperlink" Target="https://pbs.twimg.com/media/DoH5ME-U8AIurMl.jpg" TargetMode="External"/><Relationship Id="rId970" Type="http://schemas.openxmlformats.org/officeDocument/2006/relationships/hyperlink" Target="https://pbs.twimg.com/media/DoFej8zXsAAJImX.jpg" TargetMode="External"/><Relationship Id="rId1046" Type="http://schemas.openxmlformats.org/officeDocument/2006/relationships/hyperlink" Target="http://www.molina.ir/" TargetMode="External"/><Relationship Id="rId1253" Type="http://schemas.openxmlformats.org/officeDocument/2006/relationships/hyperlink" Target="https://pbs.twimg.com/media/DnT0kC-WwAA1RrX.jpg" TargetMode="External"/><Relationship Id="rId623" Type="http://schemas.openxmlformats.org/officeDocument/2006/relationships/hyperlink" Target="http://www.irancell.ir/" TargetMode="External"/><Relationship Id="rId830" Type="http://schemas.openxmlformats.org/officeDocument/2006/relationships/hyperlink" Target="http://www.iranintl.com/" TargetMode="External"/><Relationship Id="rId928" Type="http://schemas.openxmlformats.org/officeDocument/2006/relationships/hyperlink" Target="http://facebook.com/asmaerfanifar" TargetMode="External"/><Relationship Id="rId1460" Type="http://schemas.openxmlformats.org/officeDocument/2006/relationships/hyperlink" Target="https://pbs.twimg.com/media/DnTyietX0AECKem.jpg" TargetMode="External"/><Relationship Id="rId1558" Type="http://schemas.openxmlformats.org/officeDocument/2006/relationships/hyperlink" Target="https://pbs.twimg.com/media/DoCTAYPXoAEdz5T.jpg" TargetMode="External"/><Relationship Id="rId57" Type="http://schemas.openxmlformats.org/officeDocument/2006/relationships/hyperlink" Target="http://www.mizanonline.ir/sports" TargetMode="External"/><Relationship Id="rId1113" Type="http://schemas.openxmlformats.org/officeDocument/2006/relationships/hyperlink" Target="https://pbs.twimg.com/media/DoD0yMkX0AAYD8U.jpg" TargetMode="External"/><Relationship Id="rId1320" Type="http://schemas.openxmlformats.org/officeDocument/2006/relationships/hyperlink" Target="http://www.islamshia.org/" TargetMode="External"/><Relationship Id="rId1418" Type="http://schemas.openxmlformats.org/officeDocument/2006/relationships/hyperlink" Target="https://pbs.twimg.com/media/DoCbpeWXsAAh5jX.jpg" TargetMode="External"/><Relationship Id="rId1625" Type="http://schemas.openxmlformats.org/officeDocument/2006/relationships/hyperlink" Target="https://pbs.twimg.com/media/DoBasQtXgAAckG9.jpg" TargetMode="External"/><Relationship Id="rId273" Type="http://schemas.openxmlformats.org/officeDocument/2006/relationships/hyperlink" Target="https://t.me/maan_n" TargetMode="External"/><Relationship Id="rId480" Type="http://schemas.openxmlformats.org/officeDocument/2006/relationships/hyperlink" Target="https://pbs.twimg.com/media/DoHqWBtU0AAwOTa.jpg" TargetMode="External"/><Relationship Id="rId133" Type="http://schemas.openxmlformats.org/officeDocument/2006/relationships/hyperlink" Target="http://piroozidaily.ir/" TargetMode="External"/><Relationship Id="rId340" Type="http://schemas.openxmlformats.org/officeDocument/2006/relationships/hyperlink" Target="https://pbs.twimg.com/media/DoIVekGU8AAOCk1.jpg" TargetMode="External"/><Relationship Id="rId578" Type="http://schemas.openxmlformats.org/officeDocument/2006/relationships/hyperlink" Target="http://github.com/MahanFathi" TargetMode="External"/><Relationship Id="rId785" Type="http://schemas.openxmlformats.org/officeDocument/2006/relationships/hyperlink" Target="https://telegram.me/harfbzanbot?start=4GD8072" TargetMode="External"/><Relationship Id="rId992" Type="http://schemas.openxmlformats.org/officeDocument/2006/relationships/hyperlink" Target="https://pbs.twimg.com/media/DoFYvALWsAArI0f.jpg" TargetMode="External"/><Relationship Id="rId200" Type="http://schemas.openxmlformats.org/officeDocument/2006/relationships/hyperlink" Target="https://twitter.com/hosseinmahini/status/1045612742600806401" TargetMode="External"/><Relationship Id="rId438" Type="http://schemas.openxmlformats.org/officeDocument/2006/relationships/hyperlink" Target="https://pbs.twimg.com/media/DoHxR0GXkAAU7UE.jpg" TargetMode="External"/><Relationship Id="rId645" Type="http://schemas.openxmlformats.org/officeDocument/2006/relationships/hyperlink" Target="https://pbs.twimg.com/media/DoG2HtsXkAAm5IR.jpg" TargetMode="External"/><Relationship Id="rId852" Type="http://schemas.openxmlformats.org/officeDocument/2006/relationships/hyperlink" Target="http://zardpress.wordpress.com/" TargetMode="External"/><Relationship Id="rId1068" Type="http://schemas.openxmlformats.org/officeDocument/2006/relationships/hyperlink" Target="https://pbs.twimg.com/media/DoFC4nCXUAAjt2q.jpg" TargetMode="External"/><Relationship Id="rId1275" Type="http://schemas.openxmlformats.org/officeDocument/2006/relationships/hyperlink" Target="https://telegram.me/harfbzanbot?start=4GD8072" TargetMode="External"/><Relationship Id="rId1482" Type="http://schemas.openxmlformats.org/officeDocument/2006/relationships/hyperlink" Target="http://pic.twitter.com/TR8JFj8cGH" TargetMode="External"/><Relationship Id="rId505" Type="http://schemas.openxmlformats.org/officeDocument/2006/relationships/hyperlink" Target="http://www.90tv.ir/news/485392/" TargetMode="External"/><Relationship Id="rId712" Type="http://schemas.openxmlformats.org/officeDocument/2006/relationships/hyperlink" Target="https://pbs.twimg.com/media/DoGhF1IXkAE1Rth.jpg" TargetMode="External"/><Relationship Id="rId1135" Type="http://schemas.openxmlformats.org/officeDocument/2006/relationships/hyperlink" Target="https://pbs.twimg.com/media/DoDQCQJW0AAyvyJ.jpg" TargetMode="External"/><Relationship Id="rId1342" Type="http://schemas.openxmlformats.org/officeDocument/2006/relationships/hyperlink" Target="https://pbs.twimg.com/media/DoC5lBuWkAITmOF.jpg" TargetMode="External"/><Relationship Id="rId79" Type="http://schemas.openxmlformats.org/officeDocument/2006/relationships/hyperlink" Target="https://pbs.twimg.com/media/DoPR7IvXsAA_J1V.jpg" TargetMode="External"/><Relationship Id="rId1202" Type="http://schemas.openxmlformats.org/officeDocument/2006/relationships/hyperlink" Target="https://pbs.twimg.com/media/DoD0yMkX0AAYD8U.jpg" TargetMode="External"/><Relationship Id="rId1647" Type="http://schemas.openxmlformats.org/officeDocument/2006/relationships/hyperlink" Target="https://pbs.twimg.com/media/DoA4yloXcAIxmpo.jpg" TargetMode="External"/><Relationship Id="rId1507" Type="http://schemas.openxmlformats.org/officeDocument/2006/relationships/hyperlink" Target="https://pbs.twimg.com/media/DoCDaMhWsAASQax.jpg" TargetMode="External"/><Relationship Id="rId295" Type="http://schemas.openxmlformats.org/officeDocument/2006/relationships/hyperlink" Target="https://pbs.twimg.com/media/DoIwJkYUcAA4s1J.jpg" TargetMode="External"/><Relationship Id="rId155" Type="http://schemas.openxmlformats.org/officeDocument/2006/relationships/hyperlink" Target="https://pbs.twimg.com/media/DoMGa-CXoAElTSC.jpg" TargetMode="External"/><Relationship Id="rId362" Type="http://schemas.openxmlformats.org/officeDocument/2006/relationships/hyperlink" Target="https://pbs.twimg.com/media/DoIQMnwXsAEQ3NG.jpg" TargetMode="External"/><Relationship Id="rId1297" Type="http://schemas.openxmlformats.org/officeDocument/2006/relationships/hyperlink" Target="http://t.me/montazeran_zuhhur" TargetMode="External"/><Relationship Id="rId222" Type="http://schemas.openxmlformats.org/officeDocument/2006/relationships/hyperlink" Target="http://varzesh3.com/" TargetMode="External"/><Relationship Id="rId667" Type="http://schemas.openxmlformats.org/officeDocument/2006/relationships/hyperlink" Target="https://t.me/BiChatBot?start=sc-413655848" TargetMode="External"/><Relationship Id="rId874" Type="http://schemas.openxmlformats.org/officeDocument/2006/relationships/hyperlink" Target="https://pbs.twimg.com/media/DoF30ZbXoAEuTzm.jpg" TargetMode="External"/><Relationship Id="rId527" Type="http://schemas.openxmlformats.org/officeDocument/2006/relationships/hyperlink" Target="https://pbs.twimg.com/media/DoHiLmoU0AAj3vI.jpg" TargetMode="External"/><Relationship Id="rId734" Type="http://schemas.openxmlformats.org/officeDocument/2006/relationships/hyperlink" Target="https://pbs.twimg.com/media/DoGeq1iXcAEtcJ8.jpg" TargetMode="External"/><Relationship Id="rId941" Type="http://schemas.openxmlformats.org/officeDocument/2006/relationships/hyperlink" Target="https://pbs.twimg.com/media/DoFndemXcAAmsF1.jpg" TargetMode="External"/><Relationship Id="rId1157" Type="http://schemas.openxmlformats.org/officeDocument/2006/relationships/hyperlink" Target="https://pbs.twimg.com/media/DoEeTw8WsAMkJCQ.jpg" TargetMode="External"/><Relationship Id="rId1364" Type="http://schemas.openxmlformats.org/officeDocument/2006/relationships/hyperlink" Target="https://pbs.twimg.com/media/DoCbpeWXsAAh5jX.jpg" TargetMode="External"/><Relationship Id="rId1571" Type="http://schemas.openxmlformats.org/officeDocument/2006/relationships/hyperlink" Target="https://pbs.twimg.com/media/DoCOb7zXUAMsAEx.jpg" TargetMode="External"/><Relationship Id="rId70" Type="http://schemas.openxmlformats.org/officeDocument/2006/relationships/hyperlink" Target="http://zoomit.ir/" TargetMode="External"/><Relationship Id="rId801" Type="http://schemas.openxmlformats.org/officeDocument/2006/relationships/hyperlink" Target="https://pbs.twimg.com/media/DoGMYY5XgAAA8ff.jpg" TargetMode="External"/><Relationship Id="rId1017" Type="http://schemas.openxmlformats.org/officeDocument/2006/relationships/hyperlink" Target="https://www.instagram.com/moghadase_dousti" TargetMode="External"/><Relationship Id="rId1224" Type="http://schemas.openxmlformats.org/officeDocument/2006/relationships/hyperlink" Target="http://pic.twitter.com/6okkR36cQt" TargetMode="External"/><Relationship Id="rId1431" Type="http://schemas.openxmlformats.org/officeDocument/2006/relationships/hyperlink" Target="https://pbs.twimg.com/media/DoCSee_XkAAk5rN.jpg" TargetMode="External"/><Relationship Id="rId1669" Type="http://schemas.openxmlformats.org/officeDocument/2006/relationships/hyperlink" Target="https://telegram.me/HarfBeManBot?start=MTk5MzE1MTIz" TargetMode="External"/><Relationship Id="rId1529" Type="http://schemas.openxmlformats.org/officeDocument/2006/relationships/hyperlink" Target="https://telegram.me/harfbzanbot?start=oddEK8Y" TargetMode="External"/><Relationship Id="rId28" Type="http://schemas.openxmlformats.org/officeDocument/2006/relationships/hyperlink" Target="https://pbs.twimg.com/media/DoRTdcKXcAU2EsN.jpg" TargetMode="External"/><Relationship Id="rId177" Type="http://schemas.openxmlformats.org/officeDocument/2006/relationships/hyperlink" Target="https://pbs.twimg.com/media/DoL2lGIXsAE5cmO.jpg" TargetMode="External"/><Relationship Id="rId384" Type="http://schemas.openxmlformats.org/officeDocument/2006/relationships/hyperlink" Target="http://pic.twitter.com/lpo2O50n0n" TargetMode="External"/><Relationship Id="rId591" Type="http://schemas.openxmlformats.org/officeDocument/2006/relationships/hyperlink" Target="http://pic.twitter.com/tHMXeegtmO" TargetMode="External"/><Relationship Id="rId244" Type="http://schemas.openxmlformats.org/officeDocument/2006/relationships/hyperlink" Target="https://pbs.twimg.com/media/DoIE_4oUYAA42yL.jpg" TargetMode="External"/><Relationship Id="rId689" Type="http://schemas.openxmlformats.org/officeDocument/2006/relationships/hyperlink" Target="https://www.facebook.com/milad.nasimsobhan.9" TargetMode="External"/><Relationship Id="rId896" Type="http://schemas.openxmlformats.org/officeDocument/2006/relationships/hyperlink" Target="https://pbs.twimg.com/media/DoFyR5ZVsAEdPI4.jpg" TargetMode="External"/><Relationship Id="rId1081" Type="http://schemas.openxmlformats.org/officeDocument/2006/relationships/hyperlink" Target="http://www.titreazad.ir/" TargetMode="External"/><Relationship Id="rId451" Type="http://schemas.openxmlformats.org/officeDocument/2006/relationships/hyperlink" Target="https://pbs.twimg.com/media/DoHuoDRXgAEVx46.jpg" TargetMode="External"/><Relationship Id="rId549" Type="http://schemas.openxmlformats.org/officeDocument/2006/relationships/hyperlink" Target="http://calcioiraniano.altervista.org/" TargetMode="External"/><Relationship Id="rId756" Type="http://schemas.openxmlformats.org/officeDocument/2006/relationships/hyperlink" Target="https://pbs.twimg.com/media/DoGb5TzXkAA73AC.jpg" TargetMode="External"/><Relationship Id="rId1179" Type="http://schemas.openxmlformats.org/officeDocument/2006/relationships/hyperlink" Target="http://linkedin.com/in/zide-alshehhi-658752167" TargetMode="External"/><Relationship Id="rId1386" Type="http://schemas.openxmlformats.org/officeDocument/2006/relationships/hyperlink" Target="https://pbs.twimg.com/media/DoC1_1vXsAEjX4J.jpg" TargetMode="External"/><Relationship Id="rId1593" Type="http://schemas.openxmlformats.org/officeDocument/2006/relationships/hyperlink" Target="http://pic.twitter.com/MK9bAkXPqs" TargetMode="External"/><Relationship Id="rId104" Type="http://schemas.openxmlformats.org/officeDocument/2006/relationships/hyperlink" Target="https://pbs.twimg.com/media/DoNbLRuWkAIv9_d.jpg" TargetMode="External"/><Relationship Id="rId311" Type="http://schemas.openxmlformats.org/officeDocument/2006/relationships/hyperlink" Target="https://dalghakirani.blogspot.co.uk/" TargetMode="External"/><Relationship Id="rId409" Type="http://schemas.openxmlformats.org/officeDocument/2006/relationships/hyperlink" Target="https://pbs.twimg.com/media/DoH6eJ6UcAArCOi.jpg" TargetMode="External"/><Relationship Id="rId963" Type="http://schemas.openxmlformats.org/officeDocument/2006/relationships/hyperlink" Target="http://instagram.com/ehsanrastgar" TargetMode="External"/><Relationship Id="rId1039" Type="http://schemas.openxmlformats.org/officeDocument/2006/relationships/hyperlink" Target="https://telegram.me/HarfBeManBot?start=ODYwOTY5NTA" TargetMode="External"/><Relationship Id="rId1246" Type="http://schemas.openxmlformats.org/officeDocument/2006/relationships/hyperlink" Target="http://iharf.me/?start=1918751124" TargetMode="External"/><Relationship Id="rId92" Type="http://schemas.openxmlformats.org/officeDocument/2006/relationships/hyperlink" Target="http://instagram.com/sirbehnamofficial" TargetMode="External"/><Relationship Id="rId616" Type="http://schemas.openxmlformats.org/officeDocument/2006/relationships/hyperlink" Target="https://telegram.me/harfbzanbot?start=zE8y87y" TargetMode="External"/><Relationship Id="rId823" Type="http://schemas.openxmlformats.org/officeDocument/2006/relationships/hyperlink" Target="http://13esilent13silence.blogfa.com/" TargetMode="External"/><Relationship Id="rId1453" Type="http://schemas.openxmlformats.org/officeDocument/2006/relationships/hyperlink" Target="https://twitter.com/iranteammelli/status/1045018142186131457" TargetMode="External"/><Relationship Id="rId1660" Type="http://schemas.openxmlformats.org/officeDocument/2006/relationships/hyperlink" Target="http://kajkolakhan_17.blogfa.com/" TargetMode="External"/><Relationship Id="rId1106" Type="http://schemas.openxmlformats.org/officeDocument/2006/relationships/hyperlink" Target="http://instagr.am/Farzininjast" TargetMode="External"/><Relationship Id="rId1313" Type="http://schemas.openxmlformats.org/officeDocument/2006/relationships/hyperlink" Target="https://pbs.twimg.com/media/DoDFs62WsAYLxJK.jpg" TargetMode="External"/><Relationship Id="rId1520" Type="http://schemas.openxmlformats.org/officeDocument/2006/relationships/hyperlink" Target="https://pbs.twimg.com/media/DoCSee_XkAAk5rN.jpg" TargetMode="External"/><Relationship Id="rId1618" Type="http://schemas.openxmlformats.org/officeDocument/2006/relationships/hyperlink" Target="https://pbs.twimg.com/media/DoAUpF6X0AApGBZ.jpg" TargetMode="External"/><Relationship Id="rId199" Type="http://schemas.openxmlformats.org/officeDocument/2006/relationships/hyperlink" Target="http://www.fcesteghlal.ir/" TargetMode="External"/><Relationship Id="rId266" Type="http://schemas.openxmlformats.org/officeDocument/2006/relationships/hyperlink" Target="https://pbs.twimg.com/media/DoKYwobXsAAQm2F.jpg" TargetMode="External"/><Relationship Id="rId473" Type="http://schemas.openxmlformats.org/officeDocument/2006/relationships/hyperlink" Target="https://www.instagram.com/rezzanaderi" TargetMode="External"/><Relationship Id="rId680" Type="http://schemas.openxmlformats.org/officeDocument/2006/relationships/hyperlink" Target="http://www.tasnimnews.com/" TargetMode="External"/><Relationship Id="rId126" Type="http://schemas.openxmlformats.org/officeDocument/2006/relationships/hyperlink" Target="http://zoomit.ir/" TargetMode="External"/><Relationship Id="rId333" Type="http://schemas.openxmlformats.org/officeDocument/2006/relationships/hyperlink" Target="http://instagram.com/shahriyarbayat" TargetMode="External"/><Relationship Id="rId540" Type="http://schemas.openxmlformats.org/officeDocument/2006/relationships/hyperlink" Target="http://www.gheybi.net/" TargetMode="External"/><Relationship Id="rId778" Type="http://schemas.openxmlformats.org/officeDocument/2006/relationships/hyperlink" Target="https://pbs.twimg.com/media/DoGP2GgXgAI5twW.jpg" TargetMode="External"/><Relationship Id="rId985" Type="http://schemas.openxmlformats.org/officeDocument/2006/relationships/hyperlink" Target="http://pic.twitter.com/KZvrCY4Rxj" TargetMode="External"/><Relationship Id="rId1170" Type="http://schemas.openxmlformats.org/officeDocument/2006/relationships/hyperlink" Target="https://pbs.twimg.com/media/DoEbUMxXoAAxuit.jpg" TargetMode="External"/><Relationship Id="rId638" Type="http://schemas.openxmlformats.org/officeDocument/2006/relationships/hyperlink" Target="https://t.me/Nashenastel_bot?start=u618187226" TargetMode="External"/><Relationship Id="rId845" Type="http://schemas.openxmlformats.org/officeDocument/2006/relationships/hyperlink" Target="http://fa.euronews.com/" TargetMode="External"/><Relationship Id="rId1030" Type="http://schemas.openxmlformats.org/officeDocument/2006/relationships/hyperlink" Target="https://khodnevissblog.wordpress.com/" TargetMode="External"/><Relationship Id="rId1268" Type="http://schemas.openxmlformats.org/officeDocument/2006/relationships/hyperlink" Target="https://t.me/sinaiswriting" TargetMode="External"/><Relationship Id="rId1475" Type="http://schemas.openxmlformats.org/officeDocument/2006/relationships/hyperlink" Target="https://telegram.me/harfbzanbot?start=4GD8072" TargetMode="External"/><Relationship Id="rId1682" Type="http://schemas.openxmlformats.org/officeDocument/2006/relationships/hyperlink" Target="https://pbs.twimg.com/media/DoBulY-XoAEKoOe.jpg" TargetMode="External"/><Relationship Id="rId400" Type="http://schemas.openxmlformats.org/officeDocument/2006/relationships/hyperlink" Target="http://iran-varzeshi.com/" TargetMode="External"/><Relationship Id="rId705" Type="http://schemas.openxmlformats.org/officeDocument/2006/relationships/hyperlink" Target="http://koronanews.ir/" TargetMode="External"/><Relationship Id="rId1128" Type="http://schemas.openxmlformats.org/officeDocument/2006/relationships/hyperlink" Target="https://twitter.com/aaarhaaam/status/1045071535298543616" TargetMode="External"/><Relationship Id="rId1335" Type="http://schemas.openxmlformats.org/officeDocument/2006/relationships/hyperlink" Target="https://pbs.twimg.com/media/DoBasQtXgAAckG9.jpg" TargetMode="External"/><Relationship Id="rId1542" Type="http://schemas.openxmlformats.org/officeDocument/2006/relationships/hyperlink" Target="https://pbs.twimg.com/media/DoCSee_XkAAk5rN.jpg" TargetMode="External"/><Relationship Id="rId912" Type="http://schemas.openxmlformats.org/officeDocument/2006/relationships/hyperlink" Target="https://pbs.twimg.com/media/DoFvl9VXkAAntOh.jpg" TargetMode="External"/><Relationship Id="rId41" Type="http://schemas.openxmlformats.org/officeDocument/2006/relationships/hyperlink" Target="http://instagram.com/Elahe_Rastegary" TargetMode="External"/><Relationship Id="rId1402" Type="http://schemas.openxmlformats.org/officeDocument/2006/relationships/hyperlink" Target="https://pbs.twimg.com/media/DoCbpeWXsAAh5jX.jpg" TargetMode="External"/><Relationship Id="rId190" Type="http://schemas.openxmlformats.org/officeDocument/2006/relationships/hyperlink" Target="https://pbs.twimg.com/media/DoLUYOpXcAAehzl.jpg" TargetMode="External"/><Relationship Id="rId288" Type="http://schemas.openxmlformats.org/officeDocument/2006/relationships/hyperlink" Target="http://pic.twitter.com/1764mYaRYd" TargetMode="External"/><Relationship Id="rId495" Type="http://schemas.openxmlformats.org/officeDocument/2006/relationships/hyperlink" Target="http://hamed.es/" TargetMode="External"/><Relationship Id="rId148" Type="http://schemas.openxmlformats.org/officeDocument/2006/relationships/hyperlink" Target="http://www.farsnews.com/" TargetMode="External"/><Relationship Id="rId355" Type="http://schemas.openxmlformats.org/officeDocument/2006/relationships/hyperlink" Target="http://almahdyoon.org/" TargetMode="External"/><Relationship Id="rId562" Type="http://schemas.openxmlformats.org/officeDocument/2006/relationships/hyperlink" Target="http://www.madmetalmusic.com/" TargetMode="External"/><Relationship Id="rId1192" Type="http://schemas.openxmlformats.org/officeDocument/2006/relationships/hyperlink" Target="http://pic.twitter.com/fyHRWZDg0w" TargetMode="External"/><Relationship Id="rId215" Type="http://schemas.openxmlformats.org/officeDocument/2006/relationships/hyperlink" Target="https://twitter.com/majazestan/status/1045273797413277696" TargetMode="External"/><Relationship Id="rId422" Type="http://schemas.openxmlformats.org/officeDocument/2006/relationships/hyperlink" Target="http://www.hosseinzafari.ir/" TargetMode="External"/><Relationship Id="rId867" Type="http://schemas.openxmlformats.org/officeDocument/2006/relationships/hyperlink" Target="https://pbs.twimg.com/media/DoF90tYUwAA-KGe.jpg" TargetMode="External"/><Relationship Id="rId1052" Type="http://schemas.openxmlformats.org/officeDocument/2006/relationships/hyperlink" Target="https://twitter.com/kalyaee/status/1045197348429877248" TargetMode="External"/><Relationship Id="rId1497" Type="http://schemas.openxmlformats.org/officeDocument/2006/relationships/hyperlink" Target="http://pic.twitter.com/TR8JFj8cGH" TargetMode="External"/><Relationship Id="rId727" Type="http://schemas.openxmlformats.org/officeDocument/2006/relationships/hyperlink" Target="https://ir.linkedin.com/in/mojtaba-ebrahimi-94677480" TargetMode="External"/><Relationship Id="rId934" Type="http://schemas.openxmlformats.org/officeDocument/2006/relationships/hyperlink" Target="https://pbs.twimg.com/media/DoFpD4NWkAARnLg.jpg" TargetMode="External"/><Relationship Id="rId1357" Type="http://schemas.openxmlformats.org/officeDocument/2006/relationships/hyperlink" Target="http://pic.twitter.com/k2SrdZ8Tx7" TargetMode="External"/><Relationship Id="rId1564" Type="http://schemas.openxmlformats.org/officeDocument/2006/relationships/hyperlink" Target="https://pbs.twimg.com/media/DoCOb7zXUAMsAEx.jpg" TargetMode="External"/><Relationship Id="rId63" Type="http://schemas.openxmlformats.org/officeDocument/2006/relationships/hyperlink" Target="http://www.fcesteghlalclub.ir/" TargetMode="External"/><Relationship Id="rId1217" Type="http://schemas.openxmlformats.org/officeDocument/2006/relationships/hyperlink" Target="https://pbs.twimg.com/media/DoAj5aoXUAE7cI0.jpg" TargetMode="External"/><Relationship Id="rId1424" Type="http://schemas.openxmlformats.org/officeDocument/2006/relationships/hyperlink" Target="https://pbs.twimg.com/media/DoClclbWkAIgZwT.jpg" TargetMode="External"/><Relationship Id="rId1631" Type="http://schemas.openxmlformats.org/officeDocument/2006/relationships/hyperlink" Target="https://pbs.twimg.com/media/DoBV1xgU0AAeqZ7.jpg" TargetMode="External"/><Relationship Id="rId377" Type="http://schemas.openxmlformats.org/officeDocument/2006/relationships/hyperlink" Target="https://twitter.com/iraneman_org" TargetMode="External"/><Relationship Id="rId584" Type="http://schemas.openxmlformats.org/officeDocument/2006/relationships/hyperlink" Target="http://instagram.com/sadegh_thr122" TargetMode="External"/><Relationship Id="rId5" Type="http://schemas.openxmlformats.org/officeDocument/2006/relationships/hyperlink" Target="https://www.instagram.com/Elahe_Rastegari/" TargetMode="External"/><Relationship Id="rId237" Type="http://schemas.openxmlformats.org/officeDocument/2006/relationships/hyperlink" Target="https://pbs.twimg.com/media/DoKuTjoX0AAxDAf.jpg" TargetMode="External"/><Relationship Id="rId791" Type="http://schemas.openxmlformats.org/officeDocument/2006/relationships/hyperlink" Target="https://t.me/soheilar74" TargetMode="External"/><Relationship Id="rId889" Type="http://schemas.openxmlformats.org/officeDocument/2006/relationships/hyperlink" Target="http://www.mizanonline.ir/sports" TargetMode="External"/><Relationship Id="rId1074" Type="http://schemas.openxmlformats.org/officeDocument/2006/relationships/hyperlink" Target="http://instagram.com/zahratabrizii" TargetMode="External"/><Relationship Id="rId444" Type="http://schemas.openxmlformats.org/officeDocument/2006/relationships/hyperlink" Target="https://pbs.twimg.com/media/DoHw1IpWkAEZSLo.jpg" TargetMode="External"/><Relationship Id="rId651" Type="http://schemas.openxmlformats.org/officeDocument/2006/relationships/hyperlink" Target="http://www.khabarvarzeshi.com/" TargetMode="External"/><Relationship Id="rId749" Type="http://schemas.openxmlformats.org/officeDocument/2006/relationships/hyperlink" Target="http://varzesh3.com/" TargetMode="External"/><Relationship Id="rId1281" Type="http://schemas.openxmlformats.org/officeDocument/2006/relationships/hyperlink" Target="https://www.linkedin.com/in/farazfatemimoghaddam/" TargetMode="External"/><Relationship Id="rId1379" Type="http://schemas.openxmlformats.org/officeDocument/2006/relationships/hyperlink" Target="https://pbs.twimg.com/media/DoC222fW0AAjvS9.jpg" TargetMode="External"/><Relationship Id="rId1586" Type="http://schemas.openxmlformats.org/officeDocument/2006/relationships/hyperlink" Target="https://twitter.com/amirpoormehdi/status/1044934856906608640" TargetMode="External"/><Relationship Id="rId304" Type="http://schemas.openxmlformats.org/officeDocument/2006/relationships/hyperlink" Target="https://pbs.twimg.com/media/DoIm8HoUwAAAUzD.jpg" TargetMode="External"/><Relationship Id="rId511" Type="http://schemas.openxmlformats.org/officeDocument/2006/relationships/hyperlink" Target="http://iran-varzeshi.com/" TargetMode="External"/><Relationship Id="rId609" Type="http://schemas.openxmlformats.org/officeDocument/2006/relationships/hyperlink" Target="https://pbs.twimg.com/media/DoG7_l5X0AE13Bo.jpg" TargetMode="External"/><Relationship Id="rId956" Type="http://schemas.openxmlformats.org/officeDocument/2006/relationships/hyperlink" Target="https://twitter.com/ehsan_rastgar/status/1045222954227904512" TargetMode="External"/><Relationship Id="rId1141" Type="http://schemas.openxmlformats.org/officeDocument/2006/relationships/hyperlink" Target="https://t.me/afratarh" TargetMode="External"/><Relationship Id="rId1239" Type="http://schemas.openxmlformats.org/officeDocument/2006/relationships/hyperlink" Target="https://instagram.com/babakghannad/" TargetMode="External"/><Relationship Id="rId85" Type="http://schemas.openxmlformats.org/officeDocument/2006/relationships/hyperlink" Target="http://mohammadreza_hoseinzadeh.rozblog.com/" TargetMode="External"/><Relationship Id="rId816" Type="http://schemas.openxmlformats.org/officeDocument/2006/relationships/hyperlink" Target="https://pbs.twimg.com/media/DoGFbmaXcAEWC5X.jpg" TargetMode="External"/><Relationship Id="rId1001" Type="http://schemas.openxmlformats.org/officeDocument/2006/relationships/hyperlink" Target="http://pic.twitter.com/ItdntIWkWF" TargetMode="External"/><Relationship Id="rId1446" Type="http://schemas.openxmlformats.org/officeDocument/2006/relationships/hyperlink" Target="https://pbs.twimg.com/media/DoCo4aAW0AUAbYf.jpg" TargetMode="External"/><Relationship Id="rId1653" Type="http://schemas.openxmlformats.org/officeDocument/2006/relationships/hyperlink" Target="https://pbs.twimg.com/media/DoB0qNWXUAElKt3.jpg" TargetMode="External"/><Relationship Id="rId1306" Type="http://schemas.openxmlformats.org/officeDocument/2006/relationships/hyperlink" Target="https://pbs.twimg.com/media/DoDHmdCUcAAiJWf.jpg" TargetMode="External"/><Relationship Id="rId1513" Type="http://schemas.openxmlformats.org/officeDocument/2006/relationships/hyperlink" Target="https://pbs.twimg.com/media/DoBasQtXgAAckG9.jpg" TargetMode="External"/><Relationship Id="rId12" Type="http://schemas.openxmlformats.org/officeDocument/2006/relationships/hyperlink" Target="https://telegram.me/HarfBeManBot?start=NjE0Mjk0MTY5" TargetMode="External"/><Relationship Id="rId161" Type="http://schemas.openxmlformats.org/officeDocument/2006/relationships/hyperlink" Target="https://pbs.twimg.com/media/DoL-eH2W0AE2AEC.jpg" TargetMode="External"/><Relationship Id="rId399" Type="http://schemas.openxmlformats.org/officeDocument/2006/relationships/hyperlink" Target="http://etemaadonline.ir/" TargetMode="External"/><Relationship Id="rId259" Type="http://schemas.openxmlformats.org/officeDocument/2006/relationships/hyperlink" Target="https://khabar-fouri.com/" TargetMode="External"/><Relationship Id="rId466" Type="http://schemas.openxmlformats.org/officeDocument/2006/relationships/hyperlink" Target="http://soalcity.ir/" TargetMode="External"/><Relationship Id="rId673" Type="http://schemas.openxmlformats.org/officeDocument/2006/relationships/hyperlink" Target="http://www.goftogoonews.com/" TargetMode="External"/><Relationship Id="rId880" Type="http://schemas.openxmlformats.org/officeDocument/2006/relationships/hyperlink" Target="http://linux-zone.org/" TargetMode="External"/><Relationship Id="rId1096" Type="http://schemas.openxmlformats.org/officeDocument/2006/relationships/hyperlink" Target="https://pbs.twimg.com/media/DoEeTw8WsAMkJCQ.jpg" TargetMode="External"/><Relationship Id="rId119" Type="http://schemas.openxmlformats.org/officeDocument/2006/relationships/hyperlink" Target="https://pbs.twimg.com/media/DoMzwKTX0AAGE_x.jpg" TargetMode="External"/><Relationship Id="rId326" Type="http://schemas.openxmlformats.org/officeDocument/2006/relationships/hyperlink" Target="https://pbs.twimg.com/media/DoIcipfUYAAeonU.jpg" TargetMode="External"/><Relationship Id="rId533" Type="http://schemas.openxmlformats.org/officeDocument/2006/relationships/hyperlink" Target="http://www.facebook.com/iranteamfootball" TargetMode="External"/><Relationship Id="rId978" Type="http://schemas.openxmlformats.org/officeDocument/2006/relationships/hyperlink" Target="https://pbs.twimg.com/media/DoFafblXUAAWYCA.jpg" TargetMode="External"/><Relationship Id="rId1163" Type="http://schemas.openxmlformats.org/officeDocument/2006/relationships/hyperlink" Target="http://government.ae/" TargetMode="External"/><Relationship Id="rId1370" Type="http://schemas.openxmlformats.org/officeDocument/2006/relationships/hyperlink" Target="http://thenormalone.ir/" TargetMode="External"/><Relationship Id="rId740" Type="http://schemas.openxmlformats.org/officeDocument/2006/relationships/hyperlink" Target="http://www.facebook.com/iranteamfootball" TargetMode="External"/><Relationship Id="rId838" Type="http://schemas.openxmlformats.org/officeDocument/2006/relationships/hyperlink" Target="https://t.me/HarfBeManBot?start=MTI5MDEzMDU4" TargetMode="External"/><Relationship Id="rId1023" Type="http://schemas.openxmlformats.org/officeDocument/2006/relationships/hyperlink" Target="https://telegram.me/HarfBeManBot?start=Mzk2NTY2Mjk" TargetMode="External"/><Relationship Id="rId1468" Type="http://schemas.openxmlformats.org/officeDocument/2006/relationships/hyperlink" Target="https://telegram.me/harfbzanbot?start=xBVm7p" TargetMode="External"/><Relationship Id="rId1675" Type="http://schemas.openxmlformats.org/officeDocument/2006/relationships/hyperlink" Target="https://t.me/Foot_twitte" TargetMode="External"/><Relationship Id="rId600" Type="http://schemas.openxmlformats.org/officeDocument/2006/relationships/hyperlink" Target="https://pbs.twimg.com/media/DoG8xHmXcAEZeIY.jpg" TargetMode="External"/><Relationship Id="rId1230" Type="http://schemas.openxmlformats.org/officeDocument/2006/relationships/hyperlink" Target="http://pic.twitter.com/306Ozdo9kN" TargetMode="External"/><Relationship Id="rId1328" Type="http://schemas.openxmlformats.org/officeDocument/2006/relationships/hyperlink" Target="https://t.me/BiChatBot?start=sc-285000275" TargetMode="External"/><Relationship Id="rId1535" Type="http://schemas.openxmlformats.org/officeDocument/2006/relationships/hyperlink" Target="https://pbs.twimg.com/media/DoBasQtXgAAckG9.jpg" TargetMode="External"/><Relationship Id="rId905" Type="http://schemas.openxmlformats.org/officeDocument/2006/relationships/hyperlink" Target="https://pbs.twimg.com/media/DoFxMnEX0AAxdxc.jpg" TargetMode="External"/><Relationship Id="rId34" Type="http://schemas.openxmlformats.org/officeDocument/2006/relationships/hyperlink" Target="https://t.me/RadioOffside" TargetMode="External"/><Relationship Id="rId1602" Type="http://schemas.openxmlformats.org/officeDocument/2006/relationships/hyperlink" Target="https://pbs.twimg.com/media/DoCGmrAXUAUuGWy.jpg" TargetMode="External"/><Relationship Id="rId183" Type="http://schemas.openxmlformats.org/officeDocument/2006/relationships/hyperlink" Target="http://www.instagram.com/m.borhaniniya" TargetMode="External"/><Relationship Id="rId390" Type="http://schemas.openxmlformats.org/officeDocument/2006/relationships/hyperlink" Target="https://pbs.twimg.com/media/DoH_A0dU8AAHImp.jpg" TargetMode="External"/><Relationship Id="rId250" Type="http://schemas.openxmlformats.org/officeDocument/2006/relationships/hyperlink" Target="https://telegram.me/HarfBeManBot?start=MTk1NTcwNzQ4" TargetMode="External"/><Relationship Id="rId488" Type="http://schemas.openxmlformats.org/officeDocument/2006/relationships/hyperlink" Target="https://www.instagram.com/bijan_salehi" TargetMode="External"/><Relationship Id="rId695" Type="http://schemas.openxmlformats.org/officeDocument/2006/relationships/hyperlink" Target="https://telegram.me/HarfBeManBot?start=MjEzMjY2MzQz" TargetMode="External"/><Relationship Id="rId110" Type="http://schemas.openxmlformats.org/officeDocument/2006/relationships/hyperlink" Target="http://www.fcesteghlal.ir/" TargetMode="External"/><Relationship Id="rId348" Type="http://schemas.openxmlformats.org/officeDocument/2006/relationships/hyperlink" Target="https://pbs.twimg.com/media/DoITdcAU8AAdLcj.jpg" TargetMode="External"/><Relationship Id="rId555" Type="http://schemas.openxmlformats.org/officeDocument/2006/relationships/hyperlink" Target="http://instagram.com/ehsanrastgar" TargetMode="External"/><Relationship Id="rId762" Type="http://schemas.openxmlformats.org/officeDocument/2006/relationships/hyperlink" Target="https://www.instagram.com/mrlutherking" TargetMode="External"/><Relationship Id="rId1185" Type="http://schemas.openxmlformats.org/officeDocument/2006/relationships/hyperlink" Target="https://pbs.twimg.com/media/DoEIeVAXcAE1bRx.jpg" TargetMode="External"/><Relationship Id="rId1392" Type="http://schemas.openxmlformats.org/officeDocument/2006/relationships/hyperlink" Target="https://telegram.me/harfbzanbot?start=8bDrweN" TargetMode="External"/><Relationship Id="rId208" Type="http://schemas.openxmlformats.org/officeDocument/2006/relationships/hyperlink" Target="http://www.ppig.ir/" TargetMode="External"/><Relationship Id="rId415" Type="http://schemas.openxmlformats.org/officeDocument/2006/relationships/hyperlink" Target="https://pbs.twimg.com/media/DoH5wDTU0AUPXT1.jpg" TargetMode="External"/><Relationship Id="rId622" Type="http://schemas.openxmlformats.org/officeDocument/2006/relationships/hyperlink" Target="https://pbs.twimg.com/media/DoG60_iXkAAUbXo.jpg" TargetMode="External"/><Relationship Id="rId1045" Type="http://schemas.openxmlformats.org/officeDocument/2006/relationships/hyperlink" Target="http://newspaper.hamshahri.org/" TargetMode="External"/><Relationship Id="rId1252" Type="http://schemas.openxmlformats.org/officeDocument/2006/relationships/hyperlink" Target="http://iharf.me/?start=1918751124" TargetMode="External"/><Relationship Id="rId927" Type="http://schemas.openxmlformats.org/officeDocument/2006/relationships/hyperlink" Target="https://pbs.twimg.com/media/DoEeTw8WsAMkJCQ.jpg" TargetMode="External"/><Relationship Id="rId1112" Type="http://schemas.openxmlformats.org/officeDocument/2006/relationships/hyperlink" Target="https://pbs.twimg.com/media/DoD1Ed8VsAIN6Kv.jpg" TargetMode="External"/><Relationship Id="rId1557" Type="http://schemas.openxmlformats.org/officeDocument/2006/relationships/hyperlink" Target="https://telegram.me/harfbzanbot?start=xBVm7p" TargetMode="External"/><Relationship Id="rId56" Type="http://schemas.openxmlformats.org/officeDocument/2006/relationships/hyperlink" Target="https://pbs.twimg.com/media/DoQYM5cWsAEi8FX.jpg" TargetMode="External"/><Relationship Id="rId1417" Type="http://schemas.openxmlformats.org/officeDocument/2006/relationships/hyperlink" Target="http://iharf.me/?start=1918751124" TargetMode="External"/><Relationship Id="rId1624" Type="http://schemas.openxmlformats.org/officeDocument/2006/relationships/hyperlink" Target="https://telegram.me/HarfBeManBot?start=NzY4MzcyNjI" TargetMode="External"/><Relationship Id="rId272" Type="http://schemas.openxmlformats.org/officeDocument/2006/relationships/hyperlink" Target="https://pbs.twimg.com/media/DoKHrv6UwAIoLYw.jpg" TargetMode="External"/><Relationship Id="rId577" Type="http://schemas.openxmlformats.org/officeDocument/2006/relationships/hyperlink" Target="https://twitter.com/ma_aminy/status/1045316547424718849" TargetMode="External"/><Relationship Id="rId132" Type="http://schemas.openxmlformats.org/officeDocument/2006/relationships/hyperlink" Target="https://pbs.twimg.com/media/DoMkaU7XgAE6RbL.jpg" TargetMode="External"/><Relationship Id="rId784" Type="http://schemas.openxmlformats.org/officeDocument/2006/relationships/hyperlink" Target="https://pbs.twimg.com/media/DoGPE84XkAECZKO.jpg" TargetMode="External"/><Relationship Id="rId991" Type="http://schemas.openxmlformats.org/officeDocument/2006/relationships/hyperlink" Target="http://piroozidaily.ir/" TargetMode="External"/><Relationship Id="rId1067" Type="http://schemas.openxmlformats.org/officeDocument/2006/relationships/hyperlink" Target="https://pbs.twimg.com/media/DoFD94HW0AAR14f.jpg" TargetMode="External"/><Relationship Id="rId437" Type="http://schemas.openxmlformats.org/officeDocument/2006/relationships/hyperlink" Target="https://pbs.twimg.com/media/DoHxuRqUcAAsdVt.jpg" TargetMode="External"/><Relationship Id="rId644" Type="http://schemas.openxmlformats.org/officeDocument/2006/relationships/hyperlink" Target="https://pbs.twimg.com/media/DoG5PJeXcAAPeyx.jpg" TargetMode="External"/><Relationship Id="rId851" Type="http://schemas.openxmlformats.org/officeDocument/2006/relationships/hyperlink" Target="https://pbs.twimg.com/media/DoF_5-gX0AEXmHt.jpg" TargetMode="External"/><Relationship Id="rId1274" Type="http://schemas.openxmlformats.org/officeDocument/2006/relationships/hyperlink" Target="https://pbs.twimg.com/media/DoCDaMhWsAASQax.jpg" TargetMode="External"/><Relationship Id="rId1481" Type="http://schemas.openxmlformats.org/officeDocument/2006/relationships/hyperlink" Target="http://pic.twitter.com/TR8JFj8cGH" TargetMode="External"/><Relationship Id="rId1579" Type="http://schemas.openxmlformats.org/officeDocument/2006/relationships/hyperlink" Target="http://instagram.com/mraliaz8" TargetMode="External"/><Relationship Id="rId504" Type="http://schemas.openxmlformats.org/officeDocument/2006/relationships/hyperlink" Target="http://www.mizanonline.ir/sports" TargetMode="External"/><Relationship Id="rId711" Type="http://schemas.openxmlformats.org/officeDocument/2006/relationships/hyperlink" Target="http://www.fcesteghlal.ir/" TargetMode="External"/><Relationship Id="rId949" Type="http://schemas.openxmlformats.org/officeDocument/2006/relationships/hyperlink" Target="http://www.bazareshabake.com/" TargetMode="External"/><Relationship Id="rId1134" Type="http://schemas.openxmlformats.org/officeDocument/2006/relationships/hyperlink" Target="https://pbs.twimg.com/media/DoDQmPyXkAED17X.jpg" TargetMode="External"/><Relationship Id="rId1341" Type="http://schemas.openxmlformats.org/officeDocument/2006/relationships/hyperlink" Target="https://telegram.me/harfbzanbot?start=qy7jabV" TargetMode="External"/><Relationship Id="rId78" Type="http://schemas.openxmlformats.org/officeDocument/2006/relationships/hyperlink" Target="http://nasrnews.ir/" TargetMode="External"/><Relationship Id="rId809" Type="http://schemas.openxmlformats.org/officeDocument/2006/relationships/hyperlink" Target="http://www.nigc.ir/Portal/Home/" TargetMode="External"/><Relationship Id="rId1201" Type="http://schemas.openxmlformats.org/officeDocument/2006/relationships/hyperlink" Target="https://pbs.twimg.com/media/DoD1Ed8VsAIN6Kv.jpg" TargetMode="External"/><Relationship Id="rId1439" Type="http://schemas.openxmlformats.org/officeDocument/2006/relationships/hyperlink" Target="https://telegram.me/HarfBeManBot?start=NTc2OTI1MTQx" TargetMode="External"/><Relationship Id="rId1646" Type="http://schemas.openxmlformats.org/officeDocument/2006/relationships/hyperlink" Target="http://aminkhs.com/" TargetMode="External"/><Relationship Id="rId1506" Type="http://schemas.openxmlformats.org/officeDocument/2006/relationships/hyperlink" Target="https://pbs.twimg.com/media/DoCSee_XkAAk5rN.jpg" TargetMode="External"/><Relationship Id="rId294" Type="http://schemas.openxmlformats.org/officeDocument/2006/relationships/hyperlink" Target="https://telegram.me/harfbzanbot?start=64rYVv" TargetMode="External"/><Relationship Id="rId154" Type="http://schemas.openxmlformats.org/officeDocument/2006/relationships/hyperlink" Target="http://tn.ai/1839401" TargetMode="External"/><Relationship Id="rId361" Type="http://schemas.openxmlformats.org/officeDocument/2006/relationships/hyperlink" Target="http://instagram.com/meysammbagheri" TargetMode="External"/><Relationship Id="rId599" Type="http://schemas.openxmlformats.org/officeDocument/2006/relationships/hyperlink" Target="https://pbs.twimg.com/media/DoG84w8XUAA_Wsa.jpg" TargetMode="External"/><Relationship Id="rId459" Type="http://schemas.openxmlformats.org/officeDocument/2006/relationships/hyperlink" Target="https://pbs.twimg.com/media/DoHtFHGXkAAZ9J-.jpg" TargetMode="External"/><Relationship Id="rId666" Type="http://schemas.openxmlformats.org/officeDocument/2006/relationships/hyperlink" Target="http://theworldofjudo.com/" TargetMode="External"/><Relationship Id="rId873" Type="http://schemas.openxmlformats.org/officeDocument/2006/relationships/hyperlink" Target="https://pbs.twimg.com/media/DoF4FVYWkAA8FNg.jpg" TargetMode="External"/><Relationship Id="rId1089" Type="http://schemas.openxmlformats.org/officeDocument/2006/relationships/hyperlink" Target="https://pbs.twimg.com/media/DoE5O4UXUAA2QtU.jpg" TargetMode="External"/><Relationship Id="rId1296" Type="http://schemas.openxmlformats.org/officeDocument/2006/relationships/hyperlink" Target="https://telegram.me/harfbzanbot?start=bKW5EK3" TargetMode="External"/><Relationship Id="rId221" Type="http://schemas.openxmlformats.org/officeDocument/2006/relationships/hyperlink" Target="http://worldinsport.com/profile/Meysam/" TargetMode="External"/><Relationship Id="rId319" Type="http://schemas.openxmlformats.org/officeDocument/2006/relationships/hyperlink" Target="https://pbs.twimg.com/media/DoIdZA6U0AAelf_.jpg" TargetMode="External"/><Relationship Id="rId526" Type="http://schemas.openxmlformats.org/officeDocument/2006/relationships/hyperlink" Target="http://iran-varzeshi.com/" TargetMode="External"/><Relationship Id="rId1156" Type="http://schemas.openxmlformats.org/officeDocument/2006/relationships/hyperlink" Target="https://twitter.com/PerspolisFCIran/status/1045149916308402176" TargetMode="External"/><Relationship Id="rId1363" Type="http://schemas.openxmlformats.org/officeDocument/2006/relationships/hyperlink" Target="https://pbs.twimg.com/media/DoCbpeWXsAAh5jX.jpg" TargetMode="External"/><Relationship Id="rId733" Type="http://schemas.openxmlformats.org/officeDocument/2006/relationships/hyperlink" Target="https://t.me/joinchat/Fvy98RCuzFeRsEed6Ssf2g" TargetMode="External"/><Relationship Id="rId940" Type="http://schemas.openxmlformats.org/officeDocument/2006/relationships/hyperlink" Target="https://pbs.twimg.com/media/DoFoCAnXUAA-BVW.jpg" TargetMode="External"/><Relationship Id="rId1016" Type="http://schemas.openxmlformats.org/officeDocument/2006/relationships/hyperlink" Target="http://about.me/mrkavousi" TargetMode="External"/><Relationship Id="rId1570" Type="http://schemas.openxmlformats.org/officeDocument/2006/relationships/hyperlink" Target="https://pbs.twimg.com/media/DoCKw2WWsAAlI9P.jpg" TargetMode="External"/><Relationship Id="rId1668" Type="http://schemas.openxmlformats.org/officeDocument/2006/relationships/hyperlink" Target="https://pbs.twimg.com/media/DoByMRFUcAAzUkV.jpg" TargetMode="External"/><Relationship Id="rId165" Type="http://schemas.openxmlformats.org/officeDocument/2006/relationships/hyperlink" Target="https://pbs.twimg.com/media/DoL9s6zXsAAusbV.jpg" TargetMode="External"/><Relationship Id="rId372" Type="http://schemas.openxmlformats.org/officeDocument/2006/relationships/hyperlink" Target="https://pbs.twimg.com/media/DoIMIgMVAAAl47U.jpg" TargetMode="External"/><Relationship Id="rId677" Type="http://schemas.openxmlformats.org/officeDocument/2006/relationships/hyperlink" Target="https://pbs.twimg.com/media/DoGsSvkXcAAA2Oi.jpg" TargetMode="External"/><Relationship Id="rId800" Type="http://schemas.openxmlformats.org/officeDocument/2006/relationships/hyperlink" Target="http://www.fcesteghlal.ir/" TargetMode="External"/><Relationship Id="rId1223" Type="http://schemas.openxmlformats.org/officeDocument/2006/relationships/hyperlink" Target="http://telegram.me/perspolis_twitt" TargetMode="External"/><Relationship Id="rId1430" Type="http://schemas.openxmlformats.org/officeDocument/2006/relationships/hyperlink" Target="https://pbs.twimg.com/media/DoCbpeWXsAAh5jX.jpg" TargetMode="External"/><Relationship Id="rId1528" Type="http://schemas.openxmlformats.org/officeDocument/2006/relationships/hyperlink" Target="https://pbs.twimg.com/media/DoCDaMhWsAASQax.jpg" TargetMode="External"/><Relationship Id="rId232" Type="http://schemas.openxmlformats.org/officeDocument/2006/relationships/hyperlink" Target="https://pbs.twimg.com/media/DoKye-YXgAIg_Kt.jpg" TargetMode="External"/><Relationship Id="rId884" Type="http://schemas.openxmlformats.org/officeDocument/2006/relationships/hyperlink" Target="https://pbs.twimg.com/media/DoF1Dv9W0AAm8-0.jpg" TargetMode="External"/><Relationship Id="rId27" Type="http://schemas.openxmlformats.org/officeDocument/2006/relationships/hyperlink" Target="https://kayhan.london/fa/?p=131481" TargetMode="External"/><Relationship Id="rId537" Type="http://schemas.openxmlformats.org/officeDocument/2006/relationships/hyperlink" Target="https://pbs.twimg.com/media/DoHX_PAUwAA07fN.jpg" TargetMode="External"/><Relationship Id="rId744" Type="http://schemas.openxmlformats.org/officeDocument/2006/relationships/hyperlink" Target="http://www.bbcpersian.com/sport" TargetMode="External"/><Relationship Id="rId951" Type="http://schemas.openxmlformats.org/officeDocument/2006/relationships/hyperlink" Target="https://pbs.twimg.com/media/DoFj0ByU4AE-H8H.jpg" TargetMode="External"/><Relationship Id="rId1167" Type="http://schemas.openxmlformats.org/officeDocument/2006/relationships/hyperlink" Target="http://fc-perspolis.com/" TargetMode="External"/><Relationship Id="rId1374" Type="http://schemas.openxmlformats.org/officeDocument/2006/relationships/hyperlink" Target="https://pbs.twimg.com/media/DoAj5aoXUAE7cI0.jpg" TargetMode="External"/><Relationship Id="rId1581" Type="http://schemas.openxmlformats.org/officeDocument/2006/relationships/hyperlink" Target="https://pbs.twimg.com/media/DoCGmrAXUAUuGWy.jpg" TargetMode="External"/><Relationship Id="rId1679" Type="http://schemas.openxmlformats.org/officeDocument/2006/relationships/hyperlink" Target="https://telegram.me/HarfBeManBot?start=NjQ4NTE0MDc" TargetMode="External"/><Relationship Id="rId80" Type="http://schemas.openxmlformats.org/officeDocument/2006/relationships/hyperlink" Target="https://pbs.twimg.com/media/DoPOh8TXoAA2I2N.jpg" TargetMode="External"/><Relationship Id="rId176" Type="http://schemas.openxmlformats.org/officeDocument/2006/relationships/hyperlink" Target="http://www.irbitpal.com/" TargetMode="External"/><Relationship Id="rId383" Type="http://schemas.openxmlformats.org/officeDocument/2006/relationships/hyperlink" Target="https://twitter.com/MMLe0/status/1043506276515360769" TargetMode="External"/><Relationship Id="rId590" Type="http://schemas.openxmlformats.org/officeDocument/2006/relationships/hyperlink" Target="https://www.linkedin.com/in/arastuq" TargetMode="External"/><Relationship Id="rId604" Type="http://schemas.openxmlformats.org/officeDocument/2006/relationships/hyperlink" Target="https://telegram.me/harfbzanbot?start=RbzW5p" TargetMode="External"/><Relationship Id="rId811" Type="http://schemas.openxmlformats.org/officeDocument/2006/relationships/hyperlink" Target="https://pbs.twimg.com/media/DoGFlGlXkAogQo0.jpg" TargetMode="External"/><Relationship Id="rId1027" Type="http://schemas.openxmlformats.org/officeDocument/2006/relationships/hyperlink" Target="https://pbs.twimg.com/media/DoFP2FpXgAAr5Fc.jpg" TargetMode="External"/><Relationship Id="rId1234" Type="http://schemas.openxmlformats.org/officeDocument/2006/relationships/hyperlink" Target="https://pbs.twimg.com/media/DoApY0YWkAEE6U9.jpg" TargetMode="External"/><Relationship Id="rId1441" Type="http://schemas.openxmlformats.org/officeDocument/2006/relationships/hyperlink" Target="http://werg.ir/" TargetMode="External"/><Relationship Id="rId243" Type="http://schemas.openxmlformats.org/officeDocument/2006/relationships/hyperlink" Target="https://twitter.com/masoudasadi67/status/1045403571733364737" TargetMode="External"/><Relationship Id="rId450" Type="http://schemas.openxmlformats.org/officeDocument/2006/relationships/hyperlink" Target="https://pbs.twimg.com/media/DoHuroOV4AEY9U6.jpg" TargetMode="External"/><Relationship Id="rId688" Type="http://schemas.openxmlformats.org/officeDocument/2006/relationships/hyperlink" Target="https://twitter.com/meghdad_ghavami/status/1045303572051759104" TargetMode="External"/><Relationship Id="rId895" Type="http://schemas.openxmlformats.org/officeDocument/2006/relationships/hyperlink" Target="https://pbs.twimg.com/media/DoFyodiXcAAFMv9.jpg" TargetMode="External"/><Relationship Id="rId909" Type="http://schemas.openxmlformats.org/officeDocument/2006/relationships/hyperlink" Target="http://www.ayakhabar.ir/" TargetMode="External"/><Relationship Id="rId1080" Type="http://schemas.openxmlformats.org/officeDocument/2006/relationships/hyperlink" Target="https://pbs.twimg.com/media/DoE-I2sUUAAJJ0h.jpg" TargetMode="External"/><Relationship Id="rId1301" Type="http://schemas.openxmlformats.org/officeDocument/2006/relationships/hyperlink" Target="https://pbs.twimg.com/media/DoCbpeWXsAAh5jX.jpg" TargetMode="External"/><Relationship Id="rId1539" Type="http://schemas.openxmlformats.org/officeDocument/2006/relationships/hyperlink" Target="https://twitter.com/zahrachakhmaghi/status/1044933271782592513" TargetMode="External"/><Relationship Id="rId38" Type="http://schemas.openxmlformats.org/officeDocument/2006/relationships/hyperlink" Target="https://telegram.me/harfbzanbot?start=PY4Y1P" TargetMode="External"/><Relationship Id="rId103" Type="http://schemas.openxmlformats.org/officeDocument/2006/relationships/hyperlink" Target="https://instagram.com/zadmehrofficial" TargetMode="External"/><Relationship Id="rId310" Type="http://schemas.openxmlformats.org/officeDocument/2006/relationships/hyperlink" Target="https://pbs.twimg.com/media/DoIgoNlXcAAIdt0.jpg" TargetMode="External"/><Relationship Id="rId548" Type="http://schemas.openxmlformats.org/officeDocument/2006/relationships/hyperlink" Target="https://www.instagram.com/hamed_moftakhar_hoseini" TargetMode="External"/><Relationship Id="rId755" Type="http://schemas.openxmlformats.org/officeDocument/2006/relationships/hyperlink" Target="https://pbs.twimg.com/media/DoGb-NNXcAAxMW_.jpg" TargetMode="External"/><Relationship Id="rId962" Type="http://schemas.openxmlformats.org/officeDocument/2006/relationships/hyperlink" Target="https://pbs.twimg.com/media/DoFgmxiXoAANHYt.jpg" TargetMode="External"/><Relationship Id="rId1178" Type="http://schemas.openxmlformats.org/officeDocument/2006/relationships/hyperlink" Target="https://pbs.twimg.com/media/DoEIeVAXcAE1bRx.jpg" TargetMode="External"/><Relationship Id="rId1385" Type="http://schemas.openxmlformats.org/officeDocument/2006/relationships/hyperlink" Target="http://allo0osh.wordpress.com/" TargetMode="External"/><Relationship Id="rId1592" Type="http://schemas.openxmlformats.org/officeDocument/2006/relationships/hyperlink" Target="http://t.me/narcotic_music" TargetMode="External"/><Relationship Id="rId1606" Type="http://schemas.openxmlformats.org/officeDocument/2006/relationships/hyperlink" Target="https://telegram.me/harfbzanbot?start=4GD8072" TargetMode="External"/><Relationship Id="rId91" Type="http://schemas.openxmlformats.org/officeDocument/2006/relationships/hyperlink" Target="https://pbs.twimg.com/media/DoOFYRvXoAAo2ED.jpg" TargetMode="External"/><Relationship Id="rId187" Type="http://schemas.openxmlformats.org/officeDocument/2006/relationships/hyperlink" Target="https://pbs.twimg.com/media/DoLaMCfXkAAYtrS.jpg" TargetMode="External"/><Relationship Id="rId394" Type="http://schemas.openxmlformats.org/officeDocument/2006/relationships/hyperlink" Target="https://pbs.twimg.com/media/DoHdfvnW0AAAdX-.jpg" TargetMode="External"/><Relationship Id="rId408" Type="http://schemas.openxmlformats.org/officeDocument/2006/relationships/hyperlink" Target="http://bakhtare-emruz.com/2734/" TargetMode="External"/><Relationship Id="rId615" Type="http://schemas.openxmlformats.org/officeDocument/2006/relationships/hyperlink" Target="https://pbs.twimg.com/media/DoG7jxMWsAI2Enb.jpg" TargetMode="External"/><Relationship Id="rId822" Type="http://schemas.openxmlformats.org/officeDocument/2006/relationships/hyperlink" Target="https://telegram.me/harfbzanbot?start=BjXW1LP" TargetMode="External"/><Relationship Id="rId1038" Type="http://schemas.openxmlformats.org/officeDocument/2006/relationships/hyperlink" Target="https://pbs.twimg.com/media/DoFNdHLXsAASQmY.jpg" TargetMode="External"/><Relationship Id="rId1245" Type="http://schemas.openxmlformats.org/officeDocument/2006/relationships/hyperlink" Target="https://telegram.me/harfbzanbot?start=n6elg3R" TargetMode="External"/><Relationship Id="rId1452" Type="http://schemas.openxmlformats.org/officeDocument/2006/relationships/hyperlink" Target="http://www.yjc.ir/" TargetMode="External"/><Relationship Id="rId254" Type="http://schemas.openxmlformats.org/officeDocument/2006/relationships/hyperlink" Target="https://pbs.twimg.com/media/DoKd9KHXsAAFKnF.jpg" TargetMode="External"/><Relationship Id="rId699" Type="http://schemas.openxmlformats.org/officeDocument/2006/relationships/hyperlink" Target="http://instagram.com/meghdad.ghavami" TargetMode="External"/><Relationship Id="rId1091" Type="http://schemas.openxmlformats.org/officeDocument/2006/relationships/hyperlink" Target="https://pbs.twimg.com/media/DoE4u28W0AAnx8c.jpg" TargetMode="External"/><Relationship Id="rId1105" Type="http://schemas.openxmlformats.org/officeDocument/2006/relationships/hyperlink" Target="https://pbs.twimg.com/media/DoEbUMxXoAAxuit.jpg" TargetMode="External"/><Relationship Id="rId1312" Type="http://schemas.openxmlformats.org/officeDocument/2006/relationships/hyperlink" Target="https://pbs.twimg.com/media/DoDJFBRXsAEax33.jpg" TargetMode="External"/><Relationship Id="rId49" Type="http://schemas.openxmlformats.org/officeDocument/2006/relationships/hyperlink" Target="https://sport.shafaqna.com/FA/221847/" TargetMode="External"/><Relationship Id="rId114" Type="http://schemas.openxmlformats.org/officeDocument/2006/relationships/hyperlink" Target="http://pic.twitter.com/Yquae3q9ps" TargetMode="External"/><Relationship Id="rId461" Type="http://schemas.openxmlformats.org/officeDocument/2006/relationships/hyperlink" Target="https://pbs.twimg.com/media/DoHs4grXkAMU4aT.jpg" TargetMode="External"/><Relationship Id="rId559" Type="http://schemas.openxmlformats.org/officeDocument/2006/relationships/hyperlink" Target="https://telegram.me/HarfBeManBot?start=NDQwMjI4MzQ1" TargetMode="External"/><Relationship Id="rId766" Type="http://schemas.openxmlformats.org/officeDocument/2006/relationships/hyperlink" Target="https://twitter.com/Nona_esteghlali/status/1022761180912394241" TargetMode="External"/><Relationship Id="rId1189" Type="http://schemas.openxmlformats.org/officeDocument/2006/relationships/hyperlink" Target="https://pbs.twimg.com/media/DoAj5aoXUAE7cI0.jpg" TargetMode="External"/><Relationship Id="rId1396" Type="http://schemas.openxmlformats.org/officeDocument/2006/relationships/hyperlink" Target="https://pbs.twimg.com/media/DoCbpeWXsAAh5jX.jpg" TargetMode="External"/><Relationship Id="rId1617" Type="http://schemas.openxmlformats.org/officeDocument/2006/relationships/hyperlink" Target="https://pbs.twimg.com/media/DoCAcpyXgAIuTQg.jpg" TargetMode="External"/><Relationship Id="rId198" Type="http://schemas.openxmlformats.org/officeDocument/2006/relationships/hyperlink" Target="https://pbs.twimg.com/media/DoLL7PpWkAAmkJx.jpg" TargetMode="External"/><Relationship Id="rId321" Type="http://schemas.openxmlformats.org/officeDocument/2006/relationships/hyperlink" Target="http://www.aliandramyar.com/" TargetMode="External"/><Relationship Id="rId419" Type="http://schemas.openxmlformats.org/officeDocument/2006/relationships/hyperlink" Target="https://twitter.com/azarijahromi/status/1045360375917674498" TargetMode="External"/><Relationship Id="rId626" Type="http://schemas.openxmlformats.org/officeDocument/2006/relationships/hyperlink" Target="https://telegram.me/fakhaar" TargetMode="External"/><Relationship Id="rId973" Type="http://schemas.openxmlformats.org/officeDocument/2006/relationships/hyperlink" Target="https://telegram.me/Sara_mosavi" TargetMode="External"/><Relationship Id="rId1049" Type="http://schemas.openxmlformats.org/officeDocument/2006/relationships/hyperlink" Target="http://pic.twitter.com/Ale0r1IAEH" TargetMode="External"/><Relationship Id="rId1256" Type="http://schemas.openxmlformats.org/officeDocument/2006/relationships/hyperlink" Target="https://t.me/MSarkeshikian" TargetMode="External"/><Relationship Id="rId833" Type="http://schemas.openxmlformats.org/officeDocument/2006/relationships/hyperlink" Target="https://pbs.twimg.com/media/DoGCZsHXgAAggcF.jpg" TargetMode="External"/><Relationship Id="rId1116" Type="http://schemas.openxmlformats.org/officeDocument/2006/relationships/hyperlink" Target="https://pbs.twimg.com/media/DoDsnnLXUAAIETn.jpg" TargetMode="External"/><Relationship Id="rId1463" Type="http://schemas.openxmlformats.org/officeDocument/2006/relationships/hyperlink" Target="http://www.facebook.com/iranteamfootball" TargetMode="External"/><Relationship Id="rId1670" Type="http://schemas.openxmlformats.org/officeDocument/2006/relationships/hyperlink" Target="https://pbs.twimg.com/media/DoByMRFUcAAzUkV.jpg" TargetMode="External"/><Relationship Id="rId265" Type="http://schemas.openxmlformats.org/officeDocument/2006/relationships/hyperlink" Target="http://goo.gl/5KtgUZ" TargetMode="External"/><Relationship Id="rId472" Type="http://schemas.openxmlformats.org/officeDocument/2006/relationships/hyperlink" Target="https://t.me/neveshtehayemahnaz" TargetMode="External"/><Relationship Id="rId900" Type="http://schemas.openxmlformats.org/officeDocument/2006/relationships/hyperlink" Target="https://pbs.twimg.com/media/DoFxuuSWsAAFdLx.jpg" TargetMode="External"/><Relationship Id="rId1323" Type="http://schemas.openxmlformats.org/officeDocument/2006/relationships/hyperlink" Target="https://twitter.com/nasazegaram7/status/1045042419924897795" TargetMode="External"/><Relationship Id="rId1530" Type="http://schemas.openxmlformats.org/officeDocument/2006/relationships/hyperlink" Target="https://pbs.twimg.com/media/DoBV1xgU0AAeqZ7.jpg" TargetMode="External"/><Relationship Id="rId1628" Type="http://schemas.openxmlformats.org/officeDocument/2006/relationships/hyperlink" Target="https://pbs.twimg.com/media/DoBXnuCX0AAC4zj.jpg" TargetMode="External"/><Relationship Id="rId125" Type="http://schemas.openxmlformats.org/officeDocument/2006/relationships/hyperlink" Target="https://pbs.twimg.com/media/DoMqy6NUUAA-ykN.jpg" TargetMode="External"/><Relationship Id="rId332" Type="http://schemas.openxmlformats.org/officeDocument/2006/relationships/hyperlink" Target="https://pbs.twimg.com/media/DoIY2n9VsAAluDI.jpg" TargetMode="External"/><Relationship Id="rId777" Type="http://schemas.openxmlformats.org/officeDocument/2006/relationships/hyperlink" Target="https://pbs.twimg.com/media/DoGP3WxXUAI49H5.jpg" TargetMode="External"/><Relationship Id="rId984" Type="http://schemas.openxmlformats.org/officeDocument/2006/relationships/hyperlink" Target="https://twitter.com/Mas0udii/status/1022848109519532032" TargetMode="External"/><Relationship Id="rId637" Type="http://schemas.openxmlformats.org/officeDocument/2006/relationships/hyperlink" Target="http://instagram.com/behnam_allami" TargetMode="External"/><Relationship Id="rId844" Type="http://schemas.openxmlformats.org/officeDocument/2006/relationships/hyperlink" Target="https://pbs.twimg.com/media/DoGBZBcX0AA8Vpq.jpg" TargetMode="External"/><Relationship Id="rId1267" Type="http://schemas.openxmlformats.org/officeDocument/2006/relationships/hyperlink" Target="https://pbs.twimg.com/media/DoBasQtXgAAckG9.jpg" TargetMode="External"/><Relationship Id="rId1474" Type="http://schemas.openxmlformats.org/officeDocument/2006/relationships/hyperlink" Target="http://pic.twitter.com/TR8JFj8cGH" TargetMode="External"/><Relationship Id="rId1681" Type="http://schemas.openxmlformats.org/officeDocument/2006/relationships/hyperlink" Target="https://pbs.twimg.com/media/DoBasQtXgAAckG9.jpg" TargetMode="External"/><Relationship Id="rId276" Type="http://schemas.openxmlformats.org/officeDocument/2006/relationships/hyperlink" Target="https://twitter.com/ma_aminy/status/1045316547424718849" TargetMode="External"/><Relationship Id="rId483" Type="http://schemas.openxmlformats.org/officeDocument/2006/relationships/hyperlink" Target="https://pbs.twimg.com/media/DoHp2_XU0AAdQnq.jpg" TargetMode="External"/><Relationship Id="rId690" Type="http://schemas.openxmlformats.org/officeDocument/2006/relationships/hyperlink" Target="https://pbs.twimg.com/media/DoGq7RoU0AIr1vx.jpg" TargetMode="External"/><Relationship Id="rId704" Type="http://schemas.openxmlformats.org/officeDocument/2006/relationships/hyperlink" Target="https://twitter.com/kaidiamin" TargetMode="External"/><Relationship Id="rId911" Type="http://schemas.openxmlformats.org/officeDocument/2006/relationships/hyperlink" Target="https://metrica.ir/site/content/559" TargetMode="External"/><Relationship Id="rId1127" Type="http://schemas.openxmlformats.org/officeDocument/2006/relationships/hyperlink" Target="https://telegram.me/harfbzanbot?start=n6elg3R" TargetMode="External"/><Relationship Id="rId1334" Type="http://schemas.openxmlformats.org/officeDocument/2006/relationships/hyperlink" Target="https://telegram.me/harfbzanbot?start=jJXRq1V" TargetMode="External"/><Relationship Id="rId1541" Type="http://schemas.openxmlformats.org/officeDocument/2006/relationships/hyperlink" Target="https://pbs.twimg.com/media/DoCOb7zXUAMsAEx.jpg" TargetMode="External"/><Relationship Id="rId40" Type="http://schemas.openxmlformats.org/officeDocument/2006/relationships/hyperlink" Target="http://www.yjc.ir/" TargetMode="External"/><Relationship Id="rId136" Type="http://schemas.openxmlformats.org/officeDocument/2006/relationships/hyperlink" Target="https://pbs.twimg.com/media/DoMc2AIVAAA3PeB.jpg" TargetMode="External"/><Relationship Id="rId343" Type="http://schemas.openxmlformats.org/officeDocument/2006/relationships/hyperlink" Target="https://t.me/afratarh" TargetMode="External"/><Relationship Id="rId550" Type="http://schemas.openxmlformats.org/officeDocument/2006/relationships/hyperlink" Target="http://www.facebook.com/iranteamfootball" TargetMode="External"/><Relationship Id="rId788" Type="http://schemas.openxmlformats.org/officeDocument/2006/relationships/hyperlink" Target="https://pbs.twimg.com/media/DoGOwB3XgAYmJPo.jpg" TargetMode="External"/><Relationship Id="rId995" Type="http://schemas.openxmlformats.org/officeDocument/2006/relationships/hyperlink" Target="http://zoomit.ir/" TargetMode="External"/><Relationship Id="rId1180" Type="http://schemas.openxmlformats.org/officeDocument/2006/relationships/hyperlink" Target="https://pbs.twimg.com/media/DoEQNq1XcAA58pT.jpg" TargetMode="External"/><Relationship Id="rId1401" Type="http://schemas.openxmlformats.org/officeDocument/2006/relationships/hyperlink" Target="https://pbs.twimg.com/media/DoCz_IJXoAAWZyt.jpg" TargetMode="External"/><Relationship Id="rId1639" Type="http://schemas.openxmlformats.org/officeDocument/2006/relationships/hyperlink" Target="https://instagram.com/zadmehrofficial" TargetMode="External"/><Relationship Id="rId203" Type="http://schemas.openxmlformats.org/officeDocument/2006/relationships/hyperlink" Target="https://pbs.twimg.com/media/DoLLucdXUAAsTQk.jpg" TargetMode="External"/><Relationship Id="rId648" Type="http://schemas.openxmlformats.org/officeDocument/2006/relationships/hyperlink" Target="https://pbs.twimg.com/media/DoG5dAJXkAcs6M3.jpg" TargetMode="External"/><Relationship Id="rId855" Type="http://schemas.openxmlformats.org/officeDocument/2006/relationships/hyperlink" Target="https://www.instagram.com/alirezadarvishgholami" TargetMode="External"/><Relationship Id="rId1040" Type="http://schemas.openxmlformats.org/officeDocument/2006/relationships/hyperlink" Target="https://pbs.twimg.com/media/DoFMm0RXkAIA5M1.jpg" TargetMode="External"/><Relationship Id="rId1278" Type="http://schemas.openxmlformats.org/officeDocument/2006/relationships/hyperlink" Target="https://pbs.twimg.com/media/DoDQmPyXkAED17X.jpg" TargetMode="External"/><Relationship Id="rId1485" Type="http://schemas.openxmlformats.org/officeDocument/2006/relationships/hyperlink" Target="https://pbs.twimg.com/media/DoCXDGVUUAAJzHG.jpg" TargetMode="External"/><Relationship Id="rId287" Type="http://schemas.openxmlformats.org/officeDocument/2006/relationships/hyperlink" Target="http://almahdyoon.org/" TargetMode="External"/><Relationship Id="rId410" Type="http://schemas.openxmlformats.org/officeDocument/2006/relationships/hyperlink" Target="https://www.varzesh3.com/news/1557010/%DA%AF%D8%B2%D8%A7%D8%B1%D8%B4-%D8%A8%D8%A7%D8%B2%DB%8C-%D8%A7%D8%B3%D8%AA%D9%82%D9%84%D8%A7%D9%84-%D9%88-%D9%BE%D8%B1%D8%B3%D9%BE%D9%88%D9%84%DB%8C%D8%B3-%D8%AA%D8%A7%D8%B1%DB%8C%D8%AE-1397-7-5" TargetMode="External"/><Relationship Id="rId494" Type="http://schemas.openxmlformats.org/officeDocument/2006/relationships/hyperlink" Target="https://pbs.twimg.com/media/DoHkCNuX0AAAhFh.jpg" TargetMode="External"/><Relationship Id="rId508" Type="http://schemas.openxmlformats.org/officeDocument/2006/relationships/hyperlink" Target="http://90tv.ir/" TargetMode="External"/><Relationship Id="rId715" Type="http://schemas.openxmlformats.org/officeDocument/2006/relationships/hyperlink" Target="http://piroozidaily.ir/" TargetMode="External"/><Relationship Id="rId922" Type="http://schemas.openxmlformats.org/officeDocument/2006/relationships/hyperlink" Target="http://t.me/ill3gals" TargetMode="External"/><Relationship Id="rId1138" Type="http://schemas.openxmlformats.org/officeDocument/2006/relationships/hyperlink" Target="https://www.instagram.com/roshnall/" TargetMode="External"/><Relationship Id="rId1345" Type="http://schemas.openxmlformats.org/officeDocument/2006/relationships/hyperlink" Target="http://pic.twitter.com/1RHEVnT1t5" TargetMode="External"/><Relationship Id="rId1552" Type="http://schemas.openxmlformats.org/officeDocument/2006/relationships/hyperlink" Target="https://pbs.twimg.com/media/DoCTAYPXoAEdz5T.jpg" TargetMode="External"/><Relationship Id="rId147" Type="http://schemas.openxmlformats.org/officeDocument/2006/relationships/hyperlink" Target="http://pic.twitter.com/cEoKBTEmG2" TargetMode="External"/><Relationship Id="rId354" Type="http://schemas.openxmlformats.org/officeDocument/2006/relationships/hyperlink" Target="https://pbs.twimg.com/media/DoISy5IWsAINIOK.jpg" TargetMode="External"/><Relationship Id="rId799" Type="http://schemas.openxmlformats.org/officeDocument/2006/relationships/hyperlink" Target="https://pbs.twimg.com/media/DoGMlSlXkAA1sMM.jpg" TargetMode="External"/><Relationship Id="rId1191" Type="http://schemas.openxmlformats.org/officeDocument/2006/relationships/hyperlink" Target="http://exportedwolf.blogspot.com/" TargetMode="External"/><Relationship Id="rId1205" Type="http://schemas.openxmlformats.org/officeDocument/2006/relationships/hyperlink" Target="https://www.instagram.com/world_stock/?hl=en" TargetMode="External"/><Relationship Id="rId51" Type="http://schemas.openxmlformats.org/officeDocument/2006/relationships/hyperlink" Target="https://ift.tt/2OqQyHq" TargetMode="External"/><Relationship Id="rId561" Type="http://schemas.openxmlformats.org/officeDocument/2006/relationships/hyperlink" Target="http://instagram.com/nimaashoori" TargetMode="External"/><Relationship Id="rId659" Type="http://schemas.openxmlformats.org/officeDocument/2006/relationships/hyperlink" Target="https://telegram.me/harfbzanbot?start=oddEK8Y" TargetMode="External"/><Relationship Id="rId866" Type="http://schemas.openxmlformats.org/officeDocument/2006/relationships/hyperlink" Target="http://joorchin.co/" TargetMode="External"/><Relationship Id="rId1289" Type="http://schemas.openxmlformats.org/officeDocument/2006/relationships/hyperlink" Target="https://t.me/afratarh" TargetMode="External"/><Relationship Id="rId1412" Type="http://schemas.openxmlformats.org/officeDocument/2006/relationships/hyperlink" Target="https://pbs.twimg.com/media/DoCbpeWXsAAh5jX.jpg" TargetMode="External"/><Relationship Id="rId1496" Type="http://schemas.openxmlformats.org/officeDocument/2006/relationships/hyperlink" Target="https://pbs.twimg.com/media/DoCSee_XkAAk5rN.jpg" TargetMode="External"/><Relationship Id="rId214" Type="http://schemas.openxmlformats.org/officeDocument/2006/relationships/hyperlink" Target="https://pbs.twimg.com/media/DoLA_dvXoAAB3Bx.jpg" TargetMode="External"/><Relationship Id="rId298" Type="http://schemas.openxmlformats.org/officeDocument/2006/relationships/hyperlink" Target="http://almahdyoon.co/" TargetMode="External"/><Relationship Id="rId421" Type="http://schemas.openxmlformats.org/officeDocument/2006/relationships/hyperlink" Target="http://pic.twitter.com/X9mHnGif2j" TargetMode="External"/><Relationship Id="rId519" Type="http://schemas.openxmlformats.org/officeDocument/2006/relationships/hyperlink" Target="http://www.fourmind.co/" TargetMode="External"/><Relationship Id="rId1051" Type="http://schemas.openxmlformats.org/officeDocument/2006/relationships/hyperlink" Target="http://pic.twitter.com/VkZzxidEaF" TargetMode="External"/><Relationship Id="rId1149" Type="http://schemas.openxmlformats.org/officeDocument/2006/relationships/hyperlink" Target="https://twitter.com/PerspolisFCIran/status/1045149916308402176" TargetMode="External"/><Relationship Id="rId1356" Type="http://schemas.openxmlformats.org/officeDocument/2006/relationships/hyperlink" Target="https://pbs.twimg.com/media/DoBXnuCX0AAC4zj.jpg" TargetMode="External"/><Relationship Id="rId158" Type="http://schemas.openxmlformats.org/officeDocument/2006/relationships/hyperlink" Target="https://telegram.me/harfbzanbot?start=PY4Y1P" TargetMode="External"/><Relationship Id="rId726" Type="http://schemas.openxmlformats.org/officeDocument/2006/relationships/hyperlink" Target="http://makhmalin.blogfa.com/" TargetMode="External"/><Relationship Id="rId933" Type="http://schemas.openxmlformats.org/officeDocument/2006/relationships/hyperlink" Target="https://t.me/harfbemanbot?start=MjU5MDg2OQ" TargetMode="External"/><Relationship Id="rId1009" Type="http://schemas.openxmlformats.org/officeDocument/2006/relationships/hyperlink" Target="https://pbs.twimg.com/media/DoFV6KaVsAAkVRL.jpg" TargetMode="External"/><Relationship Id="rId1563" Type="http://schemas.openxmlformats.org/officeDocument/2006/relationships/hyperlink" Target="https://pbs.twimg.com/media/DoApY0YWkAEE6U9.jpg" TargetMode="External"/><Relationship Id="rId62" Type="http://schemas.openxmlformats.org/officeDocument/2006/relationships/hyperlink" Target="https://ift.tt/2Iqvewe" TargetMode="External"/><Relationship Id="rId365" Type="http://schemas.openxmlformats.org/officeDocument/2006/relationships/hyperlink" Target="http://bit.ly/2spGvnO" TargetMode="External"/><Relationship Id="rId572" Type="http://schemas.openxmlformats.org/officeDocument/2006/relationships/hyperlink" Target="http://ponisha.ir/" TargetMode="External"/><Relationship Id="rId1216" Type="http://schemas.openxmlformats.org/officeDocument/2006/relationships/hyperlink" Target="https://pbs.twimg.com/media/DoAj5aoXUAE7cI0.jpg" TargetMode="External"/><Relationship Id="rId1423" Type="http://schemas.openxmlformats.org/officeDocument/2006/relationships/hyperlink" Target="https://arsenal.ir/" TargetMode="External"/><Relationship Id="rId1630" Type="http://schemas.openxmlformats.org/officeDocument/2006/relationships/hyperlink" Target="https://pbs.twimg.com/media/DoB7VukXkAAjKqg.jpg" TargetMode="External"/><Relationship Id="rId225" Type="http://schemas.openxmlformats.org/officeDocument/2006/relationships/hyperlink" Target="http://pic.twitter.com/vMhySdYAQJ" TargetMode="External"/><Relationship Id="rId432" Type="http://schemas.openxmlformats.org/officeDocument/2006/relationships/hyperlink" Target="https://telegram.me/HarfBeManBot?start=MjU2MDcxMzIz" TargetMode="External"/><Relationship Id="rId877" Type="http://schemas.openxmlformats.org/officeDocument/2006/relationships/hyperlink" Target="https://pbs.twimg.com/media/DoF3gMVXcAUTBwa.jpg" TargetMode="External"/><Relationship Id="rId1062" Type="http://schemas.openxmlformats.org/officeDocument/2006/relationships/hyperlink" Target="http://pic.twitter.com/ptlO4JhsaZ" TargetMode="External"/><Relationship Id="rId737" Type="http://schemas.openxmlformats.org/officeDocument/2006/relationships/hyperlink" Target="http://pic.twitter.com/LWohv05lWS" TargetMode="External"/><Relationship Id="rId944" Type="http://schemas.openxmlformats.org/officeDocument/2006/relationships/hyperlink" Target="http://ghanoondaily.ir/" TargetMode="External"/><Relationship Id="rId1367" Type="http://schemas.openxmlformats.org/officeDocument/2006/relationships/hyperlink" Target="https://t.me/joinchat/AAAAAEmUSaDV7CQyTp27qA" TargetMode="External"/><Relationship Id="rId1574" Type="http://schemas.openxmlformats.org/officeDocument/2006/relationships/hyperlink" Target="https://pbs.twimg.com/media/DoAiTqbXgAAjwT7.jpg" TargetMode="External"/><Relationship Id="rId73" Type="http://schemas.openxmlformats.org/officeDocument/2006/relationships/hyperlink" Target="https://pbs.twimg.com/media/DoPiiT3W0AAPgeT.jpg" TargetMode="External"/><Relationship Id="rId169" Type="http://schemas.openxmlformats.org/officeDocument/2006/relationships/hyperlink" Target="http://bit.ly/2rWrMlI" TargetMode="External"/><Relationship Id="rId376" Type="http://schemas.openxmlformats.org/officeDocument/2006/relationships/hyperlink" Target="https://twitter.com/Pire_Moqan/status/1045409447240069120" TargetMode="External"/><Relationship Id="rId583" Type="http://schemas.openxmlformats.org/officeDocument/2006/relationships/hyperlink" Target="https://makanmehrpouya.com/" TargetMode="External"/><Relationship Id="rId790" Type="http://schemas.openxmlformats.org/officeDocument/2006/relationships/hyperlink" Target="https://pbs.twimg.com/media/DoGOR0xXkAAJ24D.jpg" TargetMode="External"/><Relationship Id="rId804" Type="http://schemas.openxmlformats.org/officeDocument/2006/relationships/hyperlink" Target="https://telegram.me/HarfBeManBot?start=MjU0NzI1Nzc2" TargetMode="External"/><Relationship Id="rId1227" Type="http://schemas.openxmlformats.org/officeDocument/2006/relationships/hyperlink" Target="https://pbs.twimg.com/media/DoCbpeWXsAAh5jX.jpg" TargetMode="External"/><Relationship Id="rId1434" Type="http://schemas.openxmlformats.org/officeDocument/2006/relationships/hyperlink" Target="https://pbs.twimg.com/media/DoCo4aAW0AUAbYf.jpg" TargetMode="External"/><Relationship Id="rId1641" Type="http://schemas.openxmlformats.org/officeDocument/2006/relationships/hyperlink" Target="https://pbs.twimg.com/media/DoBsZHPW0AA6pxn.jpg" TargetMode="External"/><Relationship Id="rId4" Type="http://schemas.openxmlformats.org/officeDocument/2006/relationships/hyperlink" Target="https://www.instagram.com/Elahe_Rastegari/" TargetMode="External"/><Relationship Id="rId236" Type="http://schemas.openxmlformats.org/officeDocument/2006/relationships/hyperlink" Target="http://pic.twitter.com/PO8qR0iD7O" TargetMode="External"/><Relationship Id="rId443" Type="http://schemas.openxmlformats.org/officeDocument/2006/relationships/hyperlink" Target="http://pic.twitter.com/9FyTHEEKvt" TargetMode="External"/><Relationship Id="rId650" Type="http://schemas.openxmlformats.org/officeDocument/2006/relationships/hyperlink" Target="https://pbs.twimg.com/media/DoG5cA8XUAEnGD7.jpg" TargetMode="External"/><Relationship Id="rId888" Type="http://schemas.openxmlformats.org/officeDocument/2006/relationships/hyperlink" Target="https://pbs.twimg.com/media/DoF0PVeXoAACA_-.jpg" TargetMode="External"/><Relationship Id="rId1073" Type="http://schemas.openxmlformats.org/officeDocument/2006/relationships/hyperlink" Target="http://www.fcesteghlal.ir/" TargetMode="External"/><Relationship Id="rId1280" Type="http://schemas.openxmlformats.org/officeDocument/2006/relationships/hyperlink" Target="https://pbs.twimg.com/media/DoDHmdCUcAAiJWf.jpg" TargetMode="External"/><Relationship Id="rId1501" Type="http://schemas.openxmlformats.org/officeDocument/2006/relationships/hyperlink" Target="https://pbs.twimg.com/media/DoAT2n3W0AIVSpy.jpg" TargetMode="External"/><Relationship Id="rId303" Type="http://schemas.openxmlformats.org/officeDocument/2006/relationships/hyperlink" Target="https://twitter.com/ninash_tala/status/1045353160880123905" TargetMode="External"/><Relationship Id="rId748" Type="http://schemas.openxmlformats.org/officeDocument/2006/relationships/hyperlink" Target="http://www.yjc.ir/" TargetMode="External"/><Relationship Id="rId955" Type="http://schemas.openxmlformats.org/officeDocument/2006/relationships/hyperlink" Target="http://piroozidaily.ir/" TargetMode="External"/><Relationship Id="rId1140" Type="http://schemas.openxmlformats.org/officeDocument/2006/relationships/hyperlink" Target="https://pbs.twimg.com/media/DoDGbX1WkAAbRTQ.jpg" TargetMode="External"/><Relationship Id="rId1378" Type="http://schemas.openxmlformats.org/officeDocument/2006/relationships/hyperlink" Target="https://pbs.twimg.com/media/DoAj5aoXUAE7cI0.jpg" TargetMode="External"/><Relationship Id="rId1585" Type="http://schemas.openxmlformats.org/officeDocument/2006/relationships/hyperlink" Target="http://harfbeman.com/@arameesh123" TargetMode="External"/><Relationship Id="rId84" Type="http://schemas.openxmlformats.org/officeDocument/2006/relationships/hyperlink" Target="http://mag.mynewsbase.com/" TargetMode="External"/><Relationship Id="rId387" Type="http://schemas.openxmlformats.org/officeDocument/2006/relationships/hyperlink" Target="https://twitter.com/AlsaddSC/status/1045394935074164737" TargetMode="External"/><Relationship Id="rId510" Type="http://schemas.openxmlformats.org/officeDocument/2006/relationships/hyperlink" Target="http://pic.twitter.com/MbuyhdL7vT" TargetMode="External"/><Relationship Id="rId594" Type="http://schemas.openxmlformats.org/officeDocument/2006/relationships/hyperlink" Target="http://t.me/iNashenas_Bot?start=363141814" TargetMode="External"/><Relationship Id="rId608" Type="http://schemas.openxmlformats.org/officeDocument/2006/relationships/hyperlink" Target="http://tender.com/" TargetMode="External"/><Relationship Id="rId815" Type="http://schemas.openxmlformats.org/officeDocument/2006/relationships/hyperlink" Target="https://pbs.twimg.com/media/DoGFtiwXsAAl68L.jpg" TargetMode="External"/><Relationship Id="rId1238" Type="http://schemas.openxmlformats.org/officeDocument/2006/relationships/hyperlink" Target="http://facebook.com/babakghannad" TargetMode="External"/><Relationship Id="rId1445" Type="http://schemas.openxmlformats.org/officeDocument/2006/relationships/hyperlink" Target="https://pbs.twimg.com/media/DoCoXDHXUAA_f6T.jpg" TargetMode="External"/><Relationship Id="rId1652" Type="http://schemas.openxmlformats.org/officeDocument/2006/relationships/hyperlink" Target="https://pbs.twimg.com/media/DoAUDiwXcAACZsm.jpg" TargetMode="External"/><Relationship Id="rId247" Type="http://schemas.openxmlformats.org/officeDocument/2006/relationships/hyperlink" Target="http://yon.ir/l1nVJ" TargetMode="External"/><Relationship Id="rId899" Type="http://schemas.openxmlformats.org/officeDocument/2006/relationships/hyperlink" Target="http://www.telewebion.com/live/tv3" TargetMode="External"/><Relationship Id="rId1000" Type="http://schemas.openxmlformats.org/officeDocument/2006/relationships/hyperlink" Target="https://telegram.me/harfbzanbot?start=vRRLVqL" TargetMode="External"/><Relationship Id="rId1084" Type="http://schemas.openxmlformats.org/officeDocument/2006/relationships/hyperlink" Target="https://pbs.twimg.com/media/DoEeTw8WsAMkJCQ.jpg" TargetMode="External"/><Relationship Id="rId1305" Type="http://schemas.openxmlformats.org/officeDocument/2006/relationships/hyperlink" Target="https://pbs.twimg.com/media/Dn9s5pZXUAAAlHs.jpg" TargetMode="External"/><Relationship Id="rId107" Type="http://schemas.openxmlformats.org/officeDocument/2006/relationships/hyperlink" Target="https://pbs.twimg.com/media/DoNObpUXsAExQa3.jpg" TargetMode="External"/><Relationship Id="rId454" Type="http://schemas.openxmlformats.org/officeDocument/2006/relationships/hyperlink" Target="https://pbs.twimg.com/media/DoHuS_SV4AA1NqP.jpg" TargetMode="External"/><Relationship Id="rId661" Type="http://schemas.openxmlformats.org/officeDocument/2006/relationships/hyperlink" Target="https://pbs.twimg.com/media/DoGubmyXoAAA6Q8.jpg" TargetMode="External"/><Relationship Id="rId759" Type="http://schemas.openxmlformats.org/officeDocument/2006/relationships/hyperlink" Target="https://pbs.twimg.com/media/DoGbhLkUUAAHj2q.jpg" TargetMode="External"/><Relationship Id="rId966" Type="http://schemas.openxmlformats.org/officeDocument/2006/relationships/hyperlink" Target="https://pbs.twimg.com/media/DoFfYRcXsAEU_UT.jpg" TargetMode="External"/><Relationship Id="rId1291" Type="http://schemas.openxmlformats.org/officeDocument/2006/relationships/hyperlink" Target="https://pbs.twimg.com/media/DoCbpeWXsAAh5jX.jpg" TargetMode="External"/><Relationship Id="rId1389" Type="http://schemas.openxmlformats.org/officeDocument/2006/relationships/hyperlink" Target="https://pbs.twimg.com/media/DoC1_1vXsAEjX4J.jpg" TargetMode="External"/><Relationship Id="rId1512" Type="http://schemas.openxmlformats.org/officeDocument/2006/relationships/hyperlink" Target="https://pbs.twimg.com/media/DoBasQtXgAAckG9.jpg" TargetMode="External"/><Relationship Id="rId1596" Type="http://schemas.openxmlformats.org/officeDocument/2006/relationships/hyperlink" Target="http://instagram.com/emad.mirheli" TargetMode="External"/><Relationship Id="rId11" Type="http://schemas.openxmlformats.org/officeDocument/2006/relationships/hyperlink" Target="https://www.instagram.com/Elahe_Rastegari/" TargetMode="External"/><Relationship Id="rId314" Type="http://schemas.openxmlformats.org/officeDocument/2006/relationships/hyperlink" Target="https://pbs.twimg.com/media/DoIeZZNW0AEGmAA.jpg" TargetMode="External"/><Relationship Id="rId398" Type="http://schemas.openxmlformats.org/officeDocument/2006/relationships/hyperlink" Target="https://pbs.twimg.com/media/DoH9Z0yUYAA8rkr.jpg" TargetMode="External"/><Relationship Id="rId521" Type="http://schemas.openxmlformats.org/officeDocument/2006/relationships/hyperlink" Target="http://zoomit.ir/" TargetMode="External"/><Relationship Id="rId619" Type="http://schemas.openxmlformats.org/officeDocument/2006/relationships/hyperlink" Target="https://pbs.twimg.com/media/DoG6jAtUwAARSuq.jpg" TargetMode="External"/><Relationship Id="rId1151" Type="http://schemas.openxmlformats.org/officeDocument/2006/relationships/hyperlink" Target="https://pbs.twimg.com/media/DoBV1xgU0AAeqZ7.jpg" TargetMode="External"/><Relationship Id="rId1249" Type="http://schemas.openxmlformats.org/officeDocument/2006/relationships/hyperlink" Target="https://pbs.twimg.com/media/DoCSee_XkAAk5rN.jpg" TargetMode="External"/><Relationship Id="rId95" Type="http://schemas.openxmlformats.org/officeDocument/2006/relationships/hyperlink" Target="https://pbs.twimg.com/media/DoN3Yt2U0AEwyot.jpg" TargetMode="External"/><Relationship Id="rId160" Type="http://schemas.openxmlformats.org/officeDocument/2006/relationships/hyperlink" Target="https://t.me/hesamkhorasani" TargetMode="External"/><Relationship Id="rId826" Type="http://schemas.openxmlformats.org/officeDocument/2006/relationships/hyperlink" Target="https://pbs.twimg.com/media/DoGEkljX0AALFVH.jpg" TargetMode="External"/><Relationship Id="rId1011" Type="http://schemas.openxmlformats.org/officeDocument/2006/relationships/hyperlink" Target="https://pbs.twimg.com/media/DoFT8JWXkAEV5Nr.jpg" TargetMode="External"/><Relationship Id="rId1109" Type="http://schemas.openxmlformats.org/officeDocument/2006/relationships/hyperlink" Target="https://pbs.twimg.com/media/DoEIeVAXcAE1bRx.jpg" TargetMode="External"/><Relationship Id="rId1456" Type="http://schemas.openxmlformats.org/officeDocument/2006/relationships/hyperlink" Target="https://t.me/joinchat/AAAAAEmUSaDV7CQyTp27qA" TargetMode="External"/><Relationship Id="rId1663" Type="http://schemas.openxmlformats.org/officeDocument/2006/relationships/hyperlink" Target="http://t.me/jokemoke" TargetMode="External"/><Relationship Id="rId258" Type="http://schemas.openxmlformats.org/officeDocument/2006/relationships/hyperlink" Target="https://pbs.twimg.com/media/DoKdXHHX0AAJHsc.jpg" TargetMode="External"/><Relationship Id="rId465" Type="http://schemas.openxmlformats.org/officeDocument/2006/relationships/hyperlink" Target="https://pbs.twimg.com/media/DoHsSKDXsAEbgeC.jpg" TargetMode="External"/><Relationship Id="rId672" Type="http://schemas.openxmlformats.org/officeDocument/2006/relationships/hyperlink" Target="https://www.instagram.com/heidarabdh/" TargetMode="External"/><Relationship Id="rId1095" Type="http://schemas.openxmlformats.org/officeDocument/2006/relationships/hyperlink" Target="https://twitter.com/PerspolisFCIran/status/1045149916308402176" TargetMode="External"/><Relationship Id="rId1316" Type="http://schemas.openxmlformats.org/officeDocument/2006/relationships/hyperlink" Target="https://telegram.me/harfbzanbot?start=ApzW5xz" TargetMode="External"/><Relationship Id="rId1523" Type="http://schemas.openxmlformats.org/officeDocument/2006/relationships/hyperlink" Target="https://telegram.me/harfbzanbot?start=XlBByvl" TargetMode="External"/><Relationship Id="rId22" Type="http://schemas.openxmlformats.org/officeDocument/2006/relationships/hyperlink" Target="http://www.facebook.com/Siasat.Zadegan?ref=tn_tinyman" TargetMode="External"/><Relationship Id="rId118" Type="http://schemas.openxmlformats.org/officeDocument/2006/relationships/hyperlink" Target="https://telegram.me/harfbzanbot?start=J5nz0J" TargetMode="External"/><Relationship Id="rId325" Type="http://schemas.openxmlformats.org/officeDocument/2006/relationships/hyperlink" Target="https://pbs.twimg.com/media/DoIcu0CWsAEIuy4.jpg" TargetMode="External"/><Relationship Id="rId532" Type="http://schemas.openxmlformats.org/officeDocument/2006/relationships/hyperlink" Target="https://pbs.twimg.com/media/DoHYa4KWkAUeC51.jpg" TargetMode="External"/><Relationship Id="rId977" Type="http://schemas.openxmlformats.org/officeDocument/2006/relationships/hyperlink" Target="https://telegram.me/dar2delbot?start=send_pAWj0z" TargetMode="External"/><Relationship Id="rId1162" Type="http://schemas.openxmlformats.org/officeDocument/2006/relationships/hyperlink" Target="https://pbs.twimg.com/media/DoEIeVAXcAE1bRx.jpg" TargetMode="External"/><Relationship Id="rId171" Type="http://schemas.openxmlformats.org/officeDocument/2006/relationships/hyperlink" Target="https://t.me/BiChatBot?start=sc-692534725" TargetMode="External"/><Relationship Id="rId837" Type="http://schemas.openxmlformats.org/officeDocument/2006/relationships/hyperlink" Target="https://pbs.twimg.com/media/DoGCDHJW0AA56Wy.jpg" TargetMode="External"/><Relationship Id="rId1022" Type="http://schemas.openxmlformats.org/officeDocument/2006/relationships/hyperlink" Target="https://pbs.twimg.com/media/DoFTvAsXUAA-u2A.jpg" TargetMode="External"/><Relationship Id="rId1467" Type="http://schemas.openxmlformats.org/officeDocument/2006/relationships/hyperlink" Target="https://twitter.com/alibazgosha2/status/1044577850052018176" TargetMode="External"/><Relationship Id="rId1674" Type="http://schemas.openxmlformats.org/officeDocument/2006/relationships/hyperlink" Target="https://pbs.twimg.com/media/DoBcykpXoAEEzYT.jpg" TargetMode="External"/><Relationship Id="rId269" Type="http://schemas.openxmlformats.org/officeDocument/2006/relationships/hyperlink" Target="http://instagram.com/abolfazl_b_313" TargetMode="External"/><Relationship Id="rId476" Type="http://schemas.openxmlformats.org/officeDocument/2006/relationships/hyperlink" Target="https://pbs.twimg.com/media/DoHqgPoXUAEy78o.jpg" TargetMode="External"/><Relationship Id="rId683" Type="http://schemas.openxmlformats.org/officeDocument/2006/relationships/hyperlink" Target="https://pbs.twimg.com/media/DoGsE8IWsAAMM6d.jpg" TargetMode="External"/><Relationship Id="rId890" Type="http://schemas.openxmlformats.org/officeDocument/2006/relationships/hyperlink" Target="https://pbs.twimg.com/media/DoFz10yXoAAcrOS.jpg" TargetMode="External"/><Relationship Id="rId904" Type="http://schemas.openxmlformats.org/officeDocument/2006/relationships/hyperlink" Target="http://pic.twitter.com/r83MN0AXhJ" TargetMode="External"/><Relationship Id="rId1327" Type="http://schemas.openxmlformats.org/officeDocument/2006/relationships/hyperlink" Target="https://pbs.twimg.com/media/Dn_mPLKXkAAHlxk.jpg" TargetMode="External"/><Relationship Id="rId1534" Type="http://schemas.openxmlformats.org/officeDocument/2006/relationships/hyperlink" Target="https://pbs.twimg.com/media/DoCV7H0XsAALxi9.jpg" TargetMode="External"/><Relationship Id="rId33" Type="http://schemas.openxmlformats.org/officeDocument/2006/relationships/hyperlink" Target="http://pic.twitter.com/7ZGeFqmQFg" TargetMode="External"/><Relationship Id="rId129" Type="http://schemas.openxmlformats.org/officeDocument/2006/relationships/hyperlink" Target="https://pbs.twimg.com/media/DoMlh6-WkAAUyHe.jpg" TargetMode="External"/><Relationship Id="rId336" Type="http://schemas.openxmlformats.org/officeDocument/2006/relationships/hyperlink" Target="https://pbs.twimg.com/media/DoIVrNnXoAMQ-i5.jpg" TargetMode="External"/><Relationship Id="rId543" Type="http://schemas.openxmlformats.org/officeDocument/2006/relationships/hyperlink" Target="http://www.newhomegroup.ir/" TargetMode="External"/><Relationship Id="rId988" Type="http://schemas.openxmlformats.org/officeDocument/2006/relationships/hyperlink" Target="http://www.fcesteghlal.ir/" TargetMode="External"/><Relationship Id="rId1173" Type="http://schemas.openxmlformats.org/officeDocument/2006/relationships/hyperlink" Target="http://www.kosar3d.ir/" TargetMode="External"/><Relationship Id="rId1380" Type="http://schemas.openxmlformats.org/officeDocument/2006/relationships/hyperlink" Target="https://pbs.twimg.com/media/DoCbpeWXsAAh5jX.jpg" TargetMode="External"/><Relationship Id="rId1601" Type="http://schemas.openxmlformats.org/officeDocument/2006/relationships/hyperlink" Target="https://pbs.twimg.com/media/DoCGrpCWkAAmU-0.jpg" TargetMode="External"/><Relationship Id="rId182" Type="http://schemas.openxmlformats.org/officeDocument/2006/relationships/hyperlink" Target="https://pbs.twimg.com/media/DoLhAONXUAgl732.jpg" TargetMode="External"/><Relationship Id="rId403" Type="http://schemas.openxmlformats.org/officeDocument/2006/relationships/hyperlink" Target="https://pbs.twimg.com/media/DoHeg9TV4AEsPf5.jpg" TargetMode="External"/><Relationship Id="rId750" Type="http://schemas.openxmlformats.org/officeDocument/2006/relationships/hyperlink" Target="https://www.instagram.com/hamed_moftakhar_hoseini" TargetMode="External"/><Relationship Id="rId848" Type="http://schemas.openxmlformats.org/officeDocument/2006/relationships/hyperlink" Target="https://twitter.com/yaghma_fashkham/status/1045251220095610881" TargetMode="External"/><Relationship Id="rId1033" Type="http://schemas.openxmlformats.org/officeDocument/2006/relationships/hyperlink" Target="https://pbs.twimg.com/media/DoFOqXIXkAE5RVX.jpg" TargetMode="External"/><Relationship Id="rId1478" Type="http://schemas.openxmlformats.org/officeDocument/2006/relationships/hyperlink" Target="https://pbs.twimg.com/media/DoApY0YWkAEE6U9.jpg" TargetMode="External"/><Relationship Id="rId487" Type="http://schemas.openxmlformats.org/officeDocument/2006/relationships/hyperlink" Target="https://instagram.com/_u/muhammad.bagher.fa/" TargetMode="External"/><Relationship Id="rId610" Type="http://schemas.openxmlformats.org/officeDocument/2006/relationships/hyperlink" Target="http://mathisnotusefulforidiots.com/" TargetMode="External"/><Relationship Id="rId694" Type="http://schemas.openxmlformats.org/officeDocument/2006/relationships/hyperlink" Target="https://pbs.twimg.com/media/DoGqh7BWsAIdCle.jpg" TargetMode="External"/><Relationship Id="rId708" Type="http://schemas.openxmlformats.org/officeDocument/2006/relationships/hyperlink" Target="https://twitter.com/Leila100ri/status/1045004902571880448" TargetMode="External"/><Relationship Id="rId915" Type="http://schemas.openxmlformats.org/officeDocument/2006/relationships/hyperlink" Target="https://pbs.twimg.com/media/DoFtuweXsAE-Mfw.jpg" TargetMode="External"/><Relationship Id="rId1240" Type="http://schemas.openxmlformats.org/officeDocument/2006/relationships/hyperlink" Target="https://www.instagram.com/sogand_keramati013/" TargetMode="External"/><Relationship Id="rId1338" Type="http://schemas.openxmlformats.org/officeDocument/2006/relationships/hyperlink" Target="https://pbs.twimg.com/media/DoCbpeWXsAAh5jX.jpg" TargetMode="External"/><Relationship Id="rId1545" Type="http://schemas.openxmlformats.org/officeDocument/2006/relationships/hyperlink" Target="https://pbs.twimg.com/media/Dn2QHMnXsAAqYpK.jpg" TargetMode="External"/><Relationship Id="rId347" Type="http://schemas.openxmlformats.org/officeDocument/2006/relationships/hyperlink" Target="http://almahdyoon.org/" TargetMode="External"/><Relationship Id="rId999" Type="http://schemas.openxmlformats.org/officeDocument/2006/relationships/hyperlink" Target="http://www.instagram.com/mahsajasbi" TargetMode="External"/><Relationship Id="rId1100" Type="http://schemas.openxmlformats.org/officeDocument/2006/relationships/hyperlink" Target="http://www.titreazad.ir/" TargetMode="External"/><Relationship Id="rId1184" Type="http://schemas.openxmlformats.org/officeDocument/2006/relationships/hyperlink" Target="https://pbs.twimg.com/media/DoEIeVAXcAE1bRx.jpg" TargetMode="External"/><Relationship Id="rId1405" Type="http://schemas.openxmlformats.org/officeDocument/2006/relationships/hyperlink" Target="http://sharghdaily.ir/" TargetMode="External"/><Relationship Id="rId44" Type="http://schemas.openxmlformats.org/officeDocument/2006/relationships/hyperlink" Target="https://pbs.twimg.com/media/DoQ3nGfUwAEr3z7.jpg" TargetMode="External"/><Relationship Id="rId554" Type="http://schemas.openxmlformats.org/officeDocument/2006/relationships/hyperlink" Target="https://pbs.twimg.com/media/DoHW9thU0AIGLSz.jpg" TargetMode="External"/><Relationship Id="rId761" Type="http://schemas.openxmlformats.org/officeDocument/2006/relationships/hyperlink" Target="https://www.instagram.com/hadiyazdani61/" TargetMode="External"/><Relationship Id="rId859" Type="http://schemas.openxmlformats.org/officeDocument/2006/relationships/hyperlink" Target="http://www.telecomnews.ir/" TargetMode="External"/><Relationship Id="rId1391" Type="http://schemas.openxmlformats.org/officeDocument/2006/relationships/hyperlink" Target="https://pbs.twimg.com/media/DoC1QM2XUAAZP4M.jpg" TargetMode="External"/><Relationship Id="rId1489" Type="http://schemas.openxmlformats.org/officeDocument/2006/relationships/hyperlink" Target="https://pbs.twimg.com/media/DoAj5aoXUAE7cI0.jpg" TargetMode="External"/><Relationship Id="rId1612" Type="http://schemas.openxmlformats.org/officeDocument/2006/relationships/hyperlink" Target="http://t.me/Tanasoli" TargetMode="External"/><Relationship Id="rId193" Type="http://schemas.openxmlformats.org/officeDocument/2006/relationships/hyperlink" Target="http://pic.twitter.com/5oG6ns0yz5" TargetMode="External"/><Relationship Id="rId207" Type="http://schemas.openxmlformats.org/officeDocument/2006/relationships/hyperlink" Target="http://www.mizanonline.ir/sports" TargetMode="External"/><Relationship Id="rId414" Type="http://schemas.openxmlformats.org/officeDocument/2006/relationships/hyperlink" Target="https://t.me/Ehsangmz" TargetMode="External"/><Relationship Id="rId498" Type="http://schemas.openxmlformats.org/officeDocument/2006/relationships/hyperlink" Target="https://t.me/joinchat/BpSlMT5R7F71d3BeP13Ekg" TargetMode="External"/><Relationship Id="rId621" Type="http://schemas.openxmlformats.org/officeDocument/2006/relationships/hyperlink" Target="https://pbs.twimg.com/media/DoG62PPXsAAMa0u.jpg" TargetMode="External"/><Relationship Id="rId1044" Type="http://schemas.openxmlformats.org/officeDocument/2006/relationships/hyperlink" Target="https://pbs.twimg.com/media/DoFLZTiWkAAdQph.jpg" TargetMode="External"/><Relationship Id="rId1251" Type="http://schemas.openxmlformats.org/officeDocument/2006/relationships/hyperlink" Target="https://pbs.twimg.com/media/DoDVn8pXcAApvhp.jpg" TargetMode="External"/><Relationship Id="rId1349" Type="http://schemas.openxmlformats.org/officeDocument/2006/relationships/hyperlink" Target="https://pbs.twimg.com/media/DoBYVfiWkAIuURR.jpg" TargetMode="External"/><Relationship Id="rId260" Type="http://schemas.openxmlformats.org/officeDocument/2006/relationships/hyperlink" Target="https://pbs.twimg.com/media/DoKdHYYXoAAsAVY.jpg" TargetMode="External"/><Relationship Id="rId719" Type="http://schemas.openxmlformats.org/officeDocument/2006/relationships/hyperlink" Target="http://www.iranintl.com/" TargetMode="External"/><Relationship Id="rId926" Type="http://schemas.openxmlformats.org/officeDocument/2006/relationships/hyperlink" Target="https://twitter.com/perspolisfciran/status/1045149916308402176" TargetMode="External"/><Relationship Id="rId1111" Type="http://schemas.openxmlformats.org/officeDocument/2006/relationships/hyperlink" Target="https://pbs.twimg.com/media/DoD9NQrW0AAfEYi.jpg" TargetMode="External"/><Relationship Id="rId1556" Type="http://schemas.openxmlformats.org/officeDocument/2006/relationships/hyperlink" Target="https://pbs.twimg.com/media/DoCTAYPXoAEdz5T.jpg" TargetMode="External"/><Relationship Id="rId55" Type="http://schemas.openxmlformats.org/officeDocument/2006/relationships/hyperlink" Target="https://pbs.twimg.com/media/DoQaFqdXUAE_xSo.jpg" TargetMode="External"/><Relationship Id="rId120" Type="http://schemas.openxmlformats.org/officeDocument/2006/relationships/hyperlink" Target="https://twitter.com/tipo_soltan/status/1045389610333990912" TargetMode="External"/><Relationship Id="rId358" Type="http://schemas.openxmlformats.org/officeDocument/2006/relationships/hyperlink" Target="http://goo.gl/5KtgUZ" TargetMode="External"/><Relationship Id="rId565" Type="http://schemas.openxmlformats.org/officeDocument/2006/relationships/hyperlink" Target="http://p.tispun.com/" TargetMode="External"/><Relationship Id="rId772" Type="http://schemas.openxmlformats.org/officeDocument/2006/relationships/hyperlink" Target="http://instagram.com/rasoul_shahriari" TargetMode="External"/><Relationship Id="rId1195" Type="http://schemas.openxmlformats.org/officeDocument/2006/relationships/hyperlink" Target="http://pic.twitter.com/fyHRWZDg0w" TargetMode="External"/><Relationship Id="rId1209" Type="http://schemas.openxmlformats.org/officeDocument/2006/relationships/hyperlink" Target="http://line.me/ti/p/~1365amirali" TargetMode="External"/><Relationship Id="rId1416" Type="http://schemas.openxmlformats.org/officeDocument/2006/relationships/hyperlink" Target="http://aparat.com/aghahesam" TargetMode="External"/><Relationship Id="rId1623" Type="http://schemas.openxmlformats.org/officeDocument/2006/relationships/hyperlink" Target="https://pbs.twimg.com/media/DoBasQtXgAAckG9.jpg" TargetMode="External"/><Relationship Id="rId218" Type="http://schemas.openxmlformats.org/officeDocument/2006/relationships/hyperlink" Target="https://pbs.twimg.com/media/DoK9lbUXgAAfgOU.jpg" TargetMode="External"/><Relationship Id="rId425" Type="http://schemas.openxmlformats.org/officeDocument/2006/relationships/hyperlink" Target="https://t.me/joinchat/Iy8a8FJD3LVYg1mNPzlnyA" TargetMode="External"/><Relationship Id="rId632" Type="http://schemas.openxmlformats.org/officeDocument/2006/relationships/hyperlink" Target="https://pbs.twimg.com/media/DoG4VF-XgAA-p__.jpg" TargetMode="External"/><Relationship Id="rId1055" Type="http://schemas.openxmlformats.org/officeDocument/2006/relationships/hyperlink" Target="http://arsenal.ir/" TargetMode="External"/><Relationship Id="rId1262" Type="http://schemas.openxmlformats.org/officeDocument/2006/relationships/hyperlink" Target="http://pic.twitter.com/0RzAdwIWHg" TargetMode="External"/><Relationship Id="rId271" Type="http://schemas.openxmlformats.org/officeDocument/2006/relationships/hyperlink" Target="https://instagram.com/mostaghiss/" TargetMode="External"/><Relationship Id="rId937" Type="http://schemas.openxmlformats.org/officeDocument/2006/relationships/hyperlink" Target="http://bit.ly/2OTvBlk" TargetMode="External"/><Relationship Id="rId1122" Type="http://schemas.openxmlformats.org/officeDocument/2006/relationships/hyperlink" Target="https://pbs.twimg.com/media/DoDccnYXgAAr1xs.jpg" TargetMode="External"/><Relationship Id="rId1567" Type="http://schemas.openxmlformats.org/officeDocument/2006/relationships/hyperlink" Target="https://telegram.me/HarfBeManBot?start=MjU4MzE1MDIx" TargetMode="External"/><Relationship Id="rId66" Type="http://schemas.openxmlformats.org/officeDocument/2006/relationships/hyperlink" Target="https://t.me/RadioOffside" TargetMode="External"/><Relationship Id="rId131" Type="http://schemas.openxmlformats.org/officeDocument/2006/relationships/hyperlink" Target="https://pbs.twimg.com/media/DoMkjK6XkAAszYT.jpg" TargetMode="External"/><Relationship Id="rId369" Type="http://schemas.openxmlformats.org/officeDocument/2006/relationships/hyperlink" Target="https://pbs.twimg.com/media/DoINvwXVsAAbXNa.jpg" TargetMode="External"/><Relationship Id="rId576" Type="http://schemas.openxmlformats.org/officeDocument/2006/relationships/hyperlink" Target="https://www.instagram.com/mohammadnosoohi_esf/" TargetMode="External"/><Relationship Id="rId783" Type="http://schemas.openxmlformats.org/officeDocument/2006/relationships/hyperlink" Target="https://pbs.twimg.com/media/DoGPMUqXoAIEyha.jpg" TargetMode="External"/><Relationship Id="rId990" Type="http://schemas.openxmlformats.org/officeDocument/2006/relationships/hyperlink" Target="https://pbs.twimg.com/media/DoFYxMAWsAAsipc.jpg" TargetMode="External"/><Relationship Id="rId1427" Type="http://schemas.openxmlformats.org/officeDocument/2006/relationships/hyperlink" Target="https://pbs.twimg.com/media/DoAUpF6X0AApGBZ.jpg" TargetMode="External"/><Relationship Id="rId1634" Type="http://schemas.openxmlformats.org/officeDocument/2006/relationships/hyperlink" Target="http://goo.gl/fmkv92" TargetMode="External"/><Relationship Id="rId229" Type="http://schemas.openxmlformats.org/officeDocument/2006/relationships/hyperlink" Target="http://ebrahimirad.com/" TargetMode="External"/><Relationship Id="rId436" Type="http://schemas.openxmlformats.org/officeDocument/2006/relationships/hyperlink" Target="https://pbs.twimg.com/media/DoHx9iTWkAMvOEx.jpg" TargetMode="External"/><Relationship Id="rId643" Type="http://schemas.openxmlformats.org/officeDocument/2006/relationships/hyperlink" Target="https://www.instagram.com/morteza_ghassemi/" TargetMode="External"/><Relationship Id="rId1066" Type="http://schemas.openxmlformats.org/officeDocument/2006/relationships/hyperlink" Target="https://pbs.twimg.com/media/DoFD-GuWkAAxPbC.jpg" TargetMode="External"/><Relationship Id="rId1273" Type="http://schemas.openxmlformats.org/officeDocument/2006/relationships/hyperlink" Target="http://shima.sh/" TargetMode="External"/><Relationship Id="rId1480" Type="http://schemas.openxmlformats.org/officeDocument/2006/relationships/hyperlink" Target="https://telegram.me/harfbzanbot?start=XlBByvl" TargetMode="External"/><Relationship Id="rId850" Type="http://schemas.openxmlformats.org/officeDocument/2006/relationships/hyperlink" Target="http://t.me/jalaledin" TargetMode="External"/><Relationship Id="rId948" Type="http://schemas.openxmlformats.org/officeDocument/2006/relationships/hyperlink" Target="https://pbs.twimg.com/media/DoFlXxtUcAAH74V.jpg" TargetMode="External"/><Relationship Id="rId1133" Type="http://schemas.openxmlformats.org/officeDocument/2006/relationships/hyperlink" Target="http://pic.twitter.com/Jfk9biAkno" TargetMode="External"/><Relationship Id="rId1578" Type="http://schemas.openxmlformats.org/officeDocument/2006/relationships/hyperlink" Target="https://pbs.twimg.com/media/DoCMd-CWkAIFCIq.jpg" TargetMode="External"/><Relationship Id="rId77" Type="http://schemas.openxmlformats.org/officeDocument/2006/relationships/hyperlink" Target="http://nasrnews.ir/" TargetMode="External"/><Relationship Id="rId282" Type="http://schemas.openxmlformats.org/officeDocument/2006/relationships/hyperlink" Target="http://t.me/PmUnkwonBot?start=u_ZLONGP" TargetMode="External"/><Relationship Id="rId503" Type="http://schemas.openxmlformats.org/officeDocument/2006/relationships/hyperlink" Target="https://pbs.twimg.com/media/DoHkCNuX0AAAhFh.jpg" TargetMode="External"/><Relationship Id="rId587" Type="http://schemas.openxmlformats.org/officeDocument/2006/relationships/hyperlink" Target="http://hamed.es/" TargetMode="External"/><Relationship Id="rId710" Type="http://schemas.openxmlformats.org/officeDocument/2006/relationships/hyperlink" Target="http://www.zananemrooz.com/" TargetMode="External"/><Relationship Id="rId808" Type="http://schemas.openxmlformats.org/officeDocument/2006/relationships/hyperlink" Target="https://telegram.me/HarfBeManBot?start=ODE4OTYzODA" TargetMode="External"/><Relationship Id="rId1340" Type="http://schemas.openxmlformats.org/officeDocument/2006/relationships/hyperlink" Target="https://telegram.me/harfbzanbot?start=qy7jabV" TargetMode="External"/><Relationship Id="rId1438" Type="http://schemas.openxmlformats.org/officeDocument/2006/relationships/hyperlink" Target="https://khodnevissblog.wordpress.com/" TargetMode="External"/><Relationship Id="rId1645" Type="http://schemas.openxmlformats.org/officeDocument/2006/relationships/hyperlink" Target="https://pbs.twimg.com/media/DoBasQtXgAAckG9.jpg" TargetMode="External"/><Relationship Id="rId8" Type="http://schemas.openxmlformats.org/officeDocument/2006/relationships/hyperlink" Target="https://www.instagram.com/Elahe_Rastegari" TargetMode="External"/><Relationship Id="rId142" Type="http://schemas.openxmlformats.org/officeDocument/2006/relationships/hyperlink" Target="http://daarvh.blogfa.com/" TargetMode="External"/><Relationship Id="rId447" Type="http://schemas.openxmlformats.org/officeDocument/2006/relationships/hyperlink" Target="http://instagram.com/roohollah.zam" TargetMode="External"/><Relationship Id="rId794" Type="http://schemas.openxmlformats.org/officeDocument/2006/relationships/hyperlink" Target="https://pbs.twimg.com/media/DoGNY0zXUAI62T0.jpg" TargetMode="External"/><Relationship Id="rId1077" Type="http://schemas.openxmlformats.org/officeDocument/2006/relationships/hyperlink" Target="https://twitter.com/shafaeieisa/status/1045183405971959808" TargetMode="External"/><Relationship Id="rId1200" Type="http://schemas.openxmlformats.org/officeDocument/2006/relationships/hyperlink" Target="https://pbs.twimg.com/media/DoD1Ed8VsAIN6Kv.jpg" TargetMode="External"/><Relationship Id="rId654" Type="http://schemas.openxmlformats.org/officeDocument/2006/relationships/hyperlink" Target="http://instagram.com/rahim_grkz" TargetMode="External"/><Relationship Id="rId861" Type="http://schemas.openxmlformats.org/officeDocument/2006/relationships/hyperlink" Target="https://telegram.me/joinchat/AAAAAEC2PWOlpFop1f17Bw" TargetMode="External"/><Relationship Id="rId959" Type="http://schemas.openxmlformats.org/officeDocument/2006/relationships/hyperlink" Target="https://pbs.twimg.com/media/DoFiDtTXoAAO8kR.jpg" TargetMode="External"/><Relationship Id="rId1284" Type="http://schemas.openxmlformats.org/officeDocument/2006/relationships/hyperlink" Target="https://pbs.twimg.com/media/DoC5lBuWkAITmOF.jpg" TargetMode="External"/><Relationship Id="rId1491" Type="http://schemas.openxmlformats.org/officeDocument/2006/relationships/hyperlink" Target="http://pic.twitter.com/TR8JFj8cGH" TargetMode="External"/><Relationship Id="rId1505" Type="http://schemas.openxmlformats.org/officeDocument/2006/relationships/hyperlink" Target="https://pbs.twimg.com/media/DoCTAYPXoAEdz5T.jpg" TargetMode="External"/><Relationship Id="rId1589" Type="http://schemas.openxmlformats.org/officeDocument/2006/relationships/hyperlink" Target="https://pbs.twimg.com/media/DoCDaMhWsAASQax.jpg" TargetMode="External"/><Relationship Id="rId293" Type="http://schemas.openxmlformats.org/officeDocument/2006/relationships/hyperlink" Target="http://almahdyoon.org/" TargetMode="External"/><Relationship Id="rId307" Type="http://schemas.openxmlformats.org/officeDocument/2006/relationships/hyperlink" Target="http://www.afagh14.com/" TargetMode="External"/><Relationship Id="rId514" Type="http://schemas.openxmlformats.org/officeDocument/2006/relationships/hyperlink" Target="https://pbs.twimg.com/media/DoHjP5WUYAAk24V.jpg" TargetMode="External"/><Relationship Id="rId721" Type="http://schemas.openxmlformats.org/officeDocument/2006/relationships/hyperlink" Target="http://pic.twitter.com/xASrxMxEb3" TargetMode="External"/><Relationship Id="rId1144" Type="http://schemas.openxmlformats.org/officeDocument/2006/relationships/hyperlink" Target="https://pbs.twimg.com/media/DoDLz6ZX0AsEolJ.jpg" TargetMode="External"/><Relationship Id="rId1351" Type="http://schemas.openxmlformats.org/officeDocument/2006/relationships/hyperlink" Target="https://pbs.twimg.com/media/DoC-lVfXcAMq0PC.jpg" TargetMode="External"/><Relationship Id="rId1449" Type="http://schemas.openxmlformats.org/officeDocument/2006/relationships/hyperlink" Target="http://daarvh.blogfa.com/" TargetMode="External"/><Relationship Id="rId88" Type="http://schemas.openxmlformats.org/officeDocument/2006/relationships/hyperlink" Target="https://twitter.com/BMogadm/status/1045696018086588416" TargetMode="External"/><Relationship Id="rId153" Type="http://schemas.openxmlformats.org/officeDocument/2006/relationships/hyperlink" Target="https://twitter.com/HosseinMahini/status/1045612742600806401" TargetMode="External"/><Relationship Id="rId360" Type="http://schemas.openxmlformats.org/officeDocument/2006/relationships/hyperlink" Target="http://pic.twitter.com/vzNt75d6Uy" TargetMode="External"/><Relationship Id="rId598" Type="http://schemas.openxmlformats.org/officeDocument/2006/relationships/hyperlink" Target="http://calcioiraniano.altervista.org/" TargetMode="External"/><Relationship Id="rId819" Type="http://schemas.openxmlformats.org/officeDocument/2006/relationships/hyperlink" Target="https://pbs.twimg.com/media/DoGFRokX0AA1lPR.jpg" TargetMode="External"/><Relationship Id="rId1004" Type="http://schemas.openxmlformats.org/officeDocument/2006/relationships/hyperlink" Target="http://instagram.com/hosein_sheykhian" TargetMode="External"/><Relationship Id="rId1211" Type="http://schemas.openxmlformats.org/officeDocument/2006/relationships/hyperlink" Target="https://pbs.twimg.com/media/DoDbfnmWkAEwVtv.jpg" TargetMode="External"/><Relationship Id="rId1656" Type="http://schemas.openxmlformats.org/officeDocument/2006/relationships/hyperlink" Target="https://pbs.twimg.com/media/DoB0MF-XsAAhu-G.jpg" TargetMode="External"/><Relationship Id="rId220" Type="http://schemas.openxmlformats.org/officeDocument/2006/relationships/hyperlink" Target="http://pic.twitter.com/4KZUpPvQNn" TargetMode="External"/><Relationship Id="rId458" Type="http://schemas.openxmlformats.org/officeDocument/2006/relationships/hyperlink" Target="http://hashtagban.com/" TargetMode="External"/><Relationship Id="rId665" Type="http://schemas.openxmlformats.org/officeDocument/2006/relationships/hyperlink" Target="http://telewebion.com/" TargetMode="External"/><Relationship Id="rId872" Type="http://schemas.openxmlformats.org/officeDocument/2006/relationships/hyperlink" Target="http://ostadkar.pro/" TargetMode="External"/><Relationship Id="rId1088" Type="http://schemas.openxmlformats.org/officeDocument/2006/relationships/hyperlink" Target="http://t.me/meysammottei" TargetMode="External"/><Relationship Id="rId1295" Type="http://schemas.openxmlformats.org/officeDocument/2006/relationships/hyperlink" Target="https://pbs.twimg.com/media/DoApY0YWkAEE6U9.jpg" TargetMode="External"/><Relationship Id="rId1309" Type="http://schemas.openxmlformats.org/officeDocument/2006/relationships/hyperlink" Target="https://telegram.me/harfbzanbot?start=yMy45W" TargetMode="External"/><Relationship Id="rId1516" Type="http://schemas.openxmlformats.org/officeDocument/2006/relationships/hyperlink" Target="https://pbs.twimg.com/media/DoB1a8jXkAA2bs_.jpg" TargetMode="External"/><Relationship Id="rId15" Type="http://schemas.openxmlformats.org/officeDocument/2006/relationships/hyperlink" Target="http://instagram.com/mehdiroozkhosh" TargetMode="External"/><Relationship Id="rId318" Type="http://schemas.openxmlformats.org/officeDocument/2006/relationships/hyperlink" Target="http://goo.gl/zWtRRx" TargetMode="External"/><Relationship Id="rId525" Type="http://schemas.openxmlformats.org/officeDocument/2006/relationships/hyperlink" Target="http://pic.twitter.com/snJrjDbQeK" TargetMode="External"/><Relationship Id="rId732" Type="http://schemas.openxmlformats.org/officeDocument/2006/relationships/hyperlink" Target="https://pbs.twimg.com/media/DoGe3npXgAE-LFf.jpg" TargetMode="External"/><Relationship Id="rId1155" Type="http://schemas.openxmlformats.org/officeDocument/2006/relationships/hyperlink" Target="https://twitter.com/PerspolisFCIran/status/1045149916308402176" TargetMode="External"/><Relationship Id="rId1362" Type="http://schemas.openxmlformats.org/officeDocument/2006/relationships/hyperlink" Target="https://pbs.twimg.com/media/DoAj5aoXUAE7cI0.jpg" TargetMode="External"/><Relationship Id="rId99" Type="http://schemas.openxmlformats.org/officeDocument/2006/relationships/hyperlink" Target="https://telegram.me/harfbzanbot?start=rv7pa8E" TargetMode="External"/><Relationship Id="rId164" Type="http://schemas.openxmlformats.org/officeDocument/2006/relationships/hyperlink" Target="http://goo.gl/5KtgUZ" TargetMode="External"/><Relationship Id="rId371" Type="http://schemas.openxmlformats.org/officeDocument/2006/relationships/hyperlink" Target="http://www.instagram.com/alisharifzade_" TargetMode="External"/><Relationship Id="rId1015" Type="http://schemas.openxmlformats.org/officeDocument/2006/relationships/hyperlink" Target="https://pbs.twimg.com/media/DoFULTnXoAAtp2V.jpg" TargetMode="External"/><Relationship Id="rId1222" Type="http://schemas.openxmlformats.org/officeDocument/2006/relationships/hyperlink" Target="https://pbs.twimg.com/media/DoCbpeWXsAAh5jX.jpg" TargetMode="External"/><Relationship Id="rId1667" Type="http://schemas.openxmlformats.org/officeDocument/2006/relationships/hyperlink" Target="http://t.me/jokemoke" TargetMode="External"/><Relationship Id="rId469" Type="http://schemas.openxmlformats.org/officeDocument/2006/relationships/hyperlink" Target="https://www.instagram.com/sajadsafari60/" TargetMode="External"/><Relationship Id="rId676" Type="http://schemas.openxmlformats.org/officeDocument/2006/relationships/hyperlink" Target="https://pbs.twimg.com/media/DoGpA3XXcAIyKNm.jpg" TargetMode="External"/><Relationship Id="rId883" Type="http://schemas.openxmlformats.org/officeDocument/2006/relationships/hyperlink" Target="https://twitter.com/SadeghNikoo/status/1045239802080239616" TargetMode="External"/><Relationship Id="rId1099" Type="http://schemas.openxmlformats.org/officeDocument/2006/relationships/hyperlink" Target="http://www.radiopopcorn.de/" TargetMode="External"/><Relationship Id="rId1527" Type="http://schemas.openxmlformats.org/officeDocument/2006/relationships/hyperlink" Target="https://telegram.me/harfbzanbot?start=oddEK8Y" TargetMode="External"/><Relationship Id="rId26" Type="http://schemas.openxmlformats.org/officeDocument/2006/relationships/hyperlink" Target="https://t.me/maan_n" TargetMode="External"/><Relationship Id="rId231" Type="http://schemas.openxmlformats.org/officeDocument/2006/relationships/hyperlink" Target="https://pbs.twimg.com/media/DoG4VF-XgAA-p__.jpg" TargetMode="External"/><Relationship Id="rId329" Type="http://schemas.openxmlformats.org/officeDocument/2006/relationships/hyperlink" Target="https://t.me/HarfBeManBot?start=NDMxNDM2MDIx" TargetMode="External"/><Relationship Id="rId536" Type="http://schemas.openxmlformats.org/officeDocument/2006/relationships/hyperlink" Target="https://favstar.fm/users/bohluol" TargetMode="External"/><Relationship Id="rId1166" Type="http://schemas.openxmlformats.org/officeDocument/2006/relationships/hyperlink" Target="https://pbs.twimg.com/media/DoEeTw8WsAMkJCQ.jpg" TargetMode="External"/><Relationship Id="rId1373" Type="http://schemas.openxmlformats.org/officeDocument/2006/relationships/hyperlink" Target="https://pbs.twimg.com/media/DXTPCOpXcAIZQi_.jpg" TargetMode="External"/><Relationship Id="rId175" Type="http://schemas.openxmlformats.org/officeDocument/2006/relationships/hyperlink" Target="https://pbs.twimg.com/media/DoL3wUiXoAAmMG6.jpg" TargetMode="External"/><Relationship Id="rId743" Type="http://schemas.openxmlformats.org/officeDocument/2006/relationships/hyperlink" Target="https://pbs.twimg.com/media/DoGdPZVW0AAomXN.jpg" TargetMode="External"/><Relationship Id="rId950" Type="http://schemas.openxmlformats.org/officeDocument/2006/relationships/hyperlink" Target="https://pbs.twimg.com/media/DoFj2MXXgAECCYA.jpg" TargetMode="External"/><Relationship Id="rId1026" Type="http://schemas.openxmlformats.org/officeDocument/2006/relationships/hyperlink" Target="https://t.me/xHarfBot?start=76972005" TargetMode="External"/><Relationship Id="rId1580" Type="http://schemas.openxmlformats.org/officeDocument/2006/relationships/hyperlink" Target="https://pbs.twimg.com/media/DoCGmrAXUAUuGWy.jpg" TargetMode="External"/><Relationship Id="rId1678" Type="http://schemas.openxmlformats.org/officeDocument/2006/relationships/hyperlink" Target="https://pbs.twimg.com/media/DoBcykpXoAEEzYT.jpg" TargetMode="External"/><Relationship Id="rId382" Type="http://schemas.openxmlformats.org/officeDocument/2006/relationships/hyperlink" Target="http://emam.com/" TargetMode="External"/><Relationship Id="rId603" Type="http://schemas.openxmlformats.org/officeDocument/2006/relationships/hyperlink" Target="http://tender.com/" TargetMode="External"/><Relationship Id="rId687" Type="http://schemas.openxmlformats.org/officeDocument/2006/relationships/hyperlink" Target="https://pbs.twimg.com/media/DoGrmJuXgAAvwiB.jpg" TargetMode="External"/><Relationship Id="rId810" Type="http://schemas.openxmlformats.org/officeDocument/2006/relationships/hyperlink" Target="https://instagram.com/milanak_blog" TargetMode="External"/><Relationship Id="rId908" Type="http://schemas.openxmlformats.org/officeDocument/2006/relationships/hyperlink" Target="http://instagram.com/abolfazl_b_313" TargetMode="External"/><Relationship Id="rId1233" Type="http://schemas.openxmlformats.org/officeDocument/2006/relationships/hyperlink" Target="https://soundcloud.com/PVRSAROLEX" TargetMode="External"/><Relationship Id="rId1440" Type="http://schemas.openxmlformats.org/officeDocument/2006/relationships/hyperlink" Target="https://pbs.twimg.com/media/DoClclbWkAIgZwT.jpg" TargetMode="External"/><Relationship Id="rId1538" Type="http://schemas.openxmlformats.org/officeDocument/2006/relationships/hyperlink" Target="https://pbs.twimg.com/media/DoCSee_XkAAk5rN.jpg" TargetMode="External"/><Relationship Id="rId242" Type="http://schemas.openxmlformats.org/officeDocument/2006/relationships/hyperlink" Target="https://pbs.twimg.com/media/DoKrNS5WkAUX9FC.jpg" TargetMode="External"/><Relationship Id="rId894" Type="http://schemas.openxmlformats.org/officeDocument/2006/relationships/hyperlink" Target="https://pbs.twimg.com/media/DoFys1SUYAE4nxr.jpg" TargetMode="External"/><Relationship Id="rId1177" Type="http://schemas.openxmlformats.org/officeDocument/2006/relationships/hyperlink" Target="http://instagr.am/Farzininjast" TargetMode="External"/><Relationship Id="rId1300" Type="http://schemas.openxmlformats.org/officeDocument/2006/relationships/hyperlink" Target="http://linux-zone.org/" TargetMode="External"/><Relationship Id="rId37" Type="http://schemas.openxmlformats.org/officeDocument/2006/relationships/hyperlink" Target="https://pbs.twimg.com/media/DoRBbZvWsAAKvXD.jpg" TargetMode="External"/><Relationship Id="rId102" Type="http://schemas.openxmlformats.org/officeDocument/2006/relationships/hyperlink" Target="https://pbs.twimg.com/media/DoNc9qNXcAEzcWo.jpg" TargetMode="External"/><Relationship Id="rId547" Type="http://schemas.openxmlformats.org/officeDocument/2006/relationships/hyperlink" Target="http://www.fcesteghlal.ir/" TargetMode="External"/><Relationship Id="rId754" Type="http://schemas.openxmlformats.org/officeDocument/2006/relationships/hyperlink" Target="https://pbs.twimg.com/media/DoGcAFAXgAI6Qmx.jpg" TargetMode="External"/><Relationship Id="rId961" Type="http://schemas.openxmlformats.org/officeDocument/2006/relationships/hyperlink" Target="https://t.me/ArmanMehriOfficial" TargetMode="External"/><Relationship Id="rId1384" Type="http://schemas.openxmlformats.org/officeDocument/2006/relationships/hyperlink" Target="https://pbs.twimg.com/media/DoC1_1vXsAEjX4J.jpg" TargetMode="External"/><Relationship Id="rId1591" Type="http://schemas.openxmlformats.org/officeDocument/2006/relationships/hyperlink" Target="https://pbs.twimg.com/media/DoCGmrAXUAUuGWy.jpg" TargetMode="External"/><Relationship Id="rId1605" Type="http://schemas.openxmlformats.org/officeDocument/2006/relationships/hyperlink" Target="http://www.instagram.com/amirrrajabi" TargetMode="External"/><Relationship Id="rId90" Type="http://schemas.openxmlformats.org/officeDocument/2006/relationships/hyperlink" Target="http://instagram.com/sirbehnamofficial" TargetMode="External"/><Relationship Id="rId186" Type="http://schemas.openxmlformats.org/officeDocument/2006/relationships/hyperlink" Target="https://t.me/maan_n" TargetMode="External"/><Relationship Id="rId393" Type="http://schemas.openxmlformats.org/officeDocument/2006/relationships/hyperlink" Target="https://twitter.com/azarijahromi/status/1045360375917674498" TargetMode="External"/><Relationship Id="rId407" Type="http://schemas.openxmlformats.org/officeDocument/2006/relationships/hyperlink" Target="https://pbs.twimg.com/media/DoH6lt9X0AEADfi.jpg" TargetMode="External"/><Relationship Id="rId614" Type="http://schemas.openxmlformats.org/officeDocument/2006/relationships/hyperlink" Target="https://www.sazinco.ir/" TargetMode="External"/><Relationship Id="rId821" Type="http://schemas.openxmlformats.org/officeDocument/2006/relationships/hyperlink" Target="https://pbs.twimg.com/media/DoGE4pQXgAA6E_e.jpg" TargetMode="External"/><Relationship Id="rId1037" Type="http://schemas.openxmlformats.org/officeDocument/2006/relationships/hyperlink" Target="https://www.instagram.com/pr.davood/" TargetMode="External"/><Relationship Id="rId1244" Type="http://schemas.openxmlformats.org/officeDocument/2006/relationships/hyperlink" Target="https://pbs.twimg.com/media/DoDbfnmWkAEwVtv.jpg" TargetMode="External"/><Relationship Id="rId1451" Type="http://schemas.openxmlformats.org/officeDocument/2006/relationships/hyperlink" Target="https://pbs.twimg.com/media/DoCoXDHXUAA_f6T.jpg" TargetMode="External"/><Relationship Id="rId253" Type="http://schemas.openxmlformats.org/officeDocument/2006/relationships/hyperlink" Target="http://instagram.com/khalilihastam" TargetMode="External"/><Relationship Id="rId460" Type="http://schemas.openxmlformats.org/officeDocument/2006/relationships/hyperlink" Target="http://phhtc.ir/" TargetMode="External"/><Relationship Id="rId698" Type="http://schemas.openxmlformats.org/officeDocument/2006/relationships/hyperlink" Target="https://twitter.com/shakilamonfared/status/1045279594310504450" TargetMode="External"/><Relationship Id="rId919" Type="http://schemas.openxmlformats.org/officeDocument/2006/relationships/hyperlink" Target="http://pic.twitter.com/f9c8hv7lij" TargetMode="External"/><Relationship Id="rId1090" Type="http://schemas.openxmlformats.org/officeDocument/2006/relationships/hyperlink" Target="http://www.piping24.ir/" TargetMode="External"/><Relationship Id="rId1104" Type="http://schemas.openxmlformats.org/officeDocument/2006/relationships/hyperlink" Target="https://pbs.twimg.com/media/DoEdDQMXUAAkffj.jpg" TargetMode="External"/><Relationship Id="rId1311" Type="http://schemas.openxmlformats.org/officeDocument/2006/relationships/hyperlink" Target="http://pic.twitter.com/0RzAdwIWHg" TargetMode="External"/><Relationship Id="rId1549" Type="http://schemas.openxmlformats.org/officeDocument/2006/relationships/hyperlink" Target="https://pbs.twimg.com/media/DoCDaMhWsAASQax.jpg" TargetMode="External"/><Relationship Id="rId48" Type="http://schemas.openxmlformats.org/officeDocument/2006/relationships/hyperlink" Target="https://pbs.twimg.com/media/DoQoGqDU8AADkFA.jpg" TargetMode="External"/><Relationship Id="rId113" Type="http://schemas.openxmlformats.org/officeDocument/2006/relationships/hyperlink" Target="https://twitter.com/Hdsqt68/status/1034498841394012161" TargetMode="External"/><Relationship Id="rId320" Type="http://schemas.openxmlformats.org/officeDocument/2006/relationships/hyperlink" Target="http://almahdyoon.org/" TargetMode="External"/><Relationship Id="rId558" Type="http://schemas.openxmlformats.org/officeDocument/2006/relationships/hyperlink" Target="http://www.fcesteghlal.ir/" TargetMode="External"/><Relationship Id="rId765" Type="http://schemas.openxmlformats.org/officeDocument/2006/relationships/hyperlink" Target="https://www.filtershekanha.com/" TargetMode="External"/><Relationship Id="rId972" Type="http://schemas.openxmlformats.org/officeDocument/2006/relationships/hyperlink" Target="https://pbs.twimg.com/media/DoFeaKJUUAEse1D.jpg" TargetMode="External"/><Relationship Id="rId1188" Type="http://schemas.openxmlformats.org/officeDocument/2006/relationships/hyperlink" Target="https://pbs.twimg.com/media/DoAj5aoXUAE7cI0.jpg" TargetMode="External"/><Relationship Id="rId1395" Type="http://schemas.openxmlformats.org/officeDocument/2006/relationships/hyperlink" Target="http://www.hadimoradi.me/" TargetMode="External"/><Relationship Id="rId1409" Type="http://schemas.openxmlformats.org/officeDocument/2006/relationships/hyperlink" Target="http://t.me/RadioMostaqel" TargetMode="External"/><Relationship Id="rId1616" Type="http://schemas.openxmlformats.org/officeDocument/2006/relationships/hyperlink" Target="https://pbs.twimg.com/media/DoAeB5AXoAAdn9I.jpg" TargetMode="External"/><Relationship Id="rId197" Type="http://schemas.openxmlformats.org/officeDocument/2006/relationships/hyperlink" Target="http://us.blastingnews.com/editorial-staff/mhedi-mahmoudi/" TargetMode="External"/><Relationship Id="rId418" Type="http://schemas.openxmlformats.org/officeDocument/2006/relationships/hyperlink" Target="http://instagram.com/archiggram" TargetMode="External"/><Relationship Id="rId625" Type="http://schemas.openxmlformats.org/officeDocument/2006/relationships/hyperlink" Target="http://pic.twitter.com/67AE1RjUMt" TargetMode="External"/><Relationship Id="rId832" Type="http://schemas.openxmlformats.org/officeDocument/2006/relationships/hyperlink" Target="https://pbs.twimg.com/media/DoGClzyXkAIQ25E.jpg" TargetMode="External"/><Relationship Id="rId1048" Type="http://schemas.openxmlformats.org/officeDocument/2006/relationships/hyperlink" Target="https://about.me/molina9415" TargetMode="External"/><Relationship Id="rId1255" Type="http://schemas.openxmlformats.org/officeDocument/2006/relationships/hyperlink" Target="https://twitter.com/KohnavardTanha/status/1045069485462487040" TargetMode="External"/><Relationship Id="rId1462" Type="http://schemas.openxmlformats.org/officeDocument/2006/relationships/hyperlink" Target="https://pbs.twimg.com/media/DoClnvQXoAEi1C2.jpg" TargetMode="External"/><Relationship Id="rId264" Type="http://schemas.openxmlformats.org/officeDocument/2006/relationships/hyperlink" Target="https://khabar-fouri.com/" TargetMode="External"/><Relationship Id="rId471" Type="http://schemas.openxmlformats.org/officeDocument/2006/relationships/hyperlink" Target="https://www.instagram.com/mahnaz.pakdel/" TargetMode="External"/><Relationship Id="rId1115" Type="http://schemas.openxmlformats.org/officeDocument/2006/relationships/hyperlink" Target="http://line.me/ti/p/~1365amirali" TargetMode="External"/><Relationship Id="rId1322" Type="http://schemas.openxmlformats.org/officeDocument/2006/relationships/hyperlink" Target="https://pbs.twimg.com/media/DoAj5aoXUAE7cI0.jpg" TargetMode="External"/><Relationship Id="rId59" Type="http://schemas.openxmlformats.org/officeDocument/2006/relationships/hyperlink" Target="http://www.ibena.ir/news/91902/" TargetMode="External"/><Relationship Id="rId124" Type="http://schemas.openxmlformats.org/officeDocument/2006/relationships/hyperlink" Target="https://pbs.twimg.com/media/DoKzuf9XsAAv7ea.jpg" TargetMode="External"/><Relationship Id="rId569" Type="http://schemas.openxmlformats.org/officeDocument/2006/relationships/hyperlink" Target="http://www.fcesteghlal.ir/" TargetMode="External"/><Relationship Id="rId776" Type="http://schemas.openxmlformats.org/officeDocument/2006/relationships/hyperlink" Target="http://chekhabar.net/" TargetMode="External"/><Relationship Id="rId983" Type="http://schemas.openxmlformats.org/officeDocument/2006/relationships/hyperlink" Target="https://telegram.me/harfbzanbot?start=negEND" TargetMode="External"/><Relationship Id="rId1199" Type="http://schemas.openxmlformats.org/officeDocument/2006/relationships/hyperlink" Target="https://pbs.twimg.com/media/DoAj5aoXUAE7cI0.jpg" TargetMode="External"/><Relationship Id="rId1627" Type="http://schemas.openxmlformats.org/officeDocument/2006/relationships/hyperlink" Target="https://pbs.twimg.com/media/DoB8GstW0AA871s.jpg" TargetMode="External"/><Relationship Id="rId331" Type="http://schemas.openxmlformats.org/officeDocument/2006/relationships/hyperlink" Target="https://pbs.twimg.com/media/DoIaAdmUYAAfGsT.jpg" TargetMode="External"/><Relationship Id="rId429" Type="http://schemas.openxmlformats.org/officeDocument/2006/relationships/hyperlink" Target="https://pbs.twimg.com/media/DoH0t8uXUAAE7D5.jpg" TargetMode="External"/><Relationship Id="rId636" Type="http://schemas.openxmlformats.org/officeDocument/2006/relationships/hyperlink" Target="https://pbs.twimg.com/media/DoG6FHeXUAUFR-A.jpg" TargetMode="External"/><Relationship Id="rId1059" Type="http://schemas.openxmlformats.org/officeDocument/2006/relationships/hyperlink" Target="https://t.me/iNashenas_Bot?start=181919277" TargetMode="External"/><Relationship Id="rId1266" Type="http://schemas.openxmlformats.org/officeDocument/2006/relationships/hyperlink" Target="https://pbs.twimg.com/media/DoCbpeWXsAAh5jX.jpg" TargetMode="External"/><Relationship Id="rId1473" Type="http://schemas.openxmlformats.org/officeDocument/2006/relationships/hyperlink" Target="https://khodnevissblog.wordpress.com/" TargetMode="External"/><Relationship Id="rId843" Type="http://schemas.openxmlformats.org/officeDocument/2006/relationships/hyperlink" Target="https://telegram.me/harfbzanbot?start=odamKPr" TargetMode="External"/><Relationship Id="rId1126" Type="http://schemas.openxmlformats.org/officeDocument/2006/relationships/hyperlink" Target="https://pbs.twimg.com/media/DoDbfnmWkAEwVtv.jpg" TargetMode="External"/><Relationship Id="rId1680" Type="http://schemas.openxmlformats.org/officeDocument/2006/relationships/hyperlink" Target="https://pbs.twimg.com/media/DoBasQtXgAAckG9.jpg" TargetMode="External"/><Relationship Id="rId275" Type="http://schemas.openxmlformats.org/officeDocument/2006/relationships/hyperlink" Target="https://t.me/maan_n" TargetMode="External"/><Relationship Id="rId482" Type="http://schemas.openxmlformats.org/officeDocument/2006/relationships/hyperlink" Target="http://instagram.com/babifrown" TargetMode="External"/><Relationship Id="rId703" Type="http://schemas.openxmlformats.org/officeDocument/2006/relationships/hyperlink" Target="https://pbs.twimg.com/media/DoGpZThVsAA5Mn4.jpg" TargetMode="External"/><Relationship Id="rId910" Type="http://schemas.openxmlformats.org/officeDocument/2006/relationships/hyperlink" Target="http://danizandi.ir/" TargetMode="External"/><Relationship Id="rId1333" Type="http://schemas.openxmlformats.org/officeDocument/2006/relationships/hyperlink" Target="http://www.e5150.mihanblog.com/" TargetMode="External"/><Relationship Id="rId1540" Type="http://schemas.openxmlformats.org/officeDocument/2006/relationships/hyperlink" Target="http://piroozidaily.ir/" TargetMode="External"/><Relationship Id="rId1638" Type="http://schemas.openxmlformats.org/officeDocument/2006/relationships/hyperlink" Target="https://pbs.twimg.com/media/DoB6CUcUYAAEhmC.jpg" TargetMode="External"/><Relationship Id="rId135" Type="http://schemas.openxmlformats.org/officeDocument/2006/relationships/hyperlink" Target="https://pbs.twimg.com/media/DoMeJfHXcAAidDx.jpg" TargetMode="External"/><Relationship Id="rId342" Type="http://schemas.openxmlformats.org/officeDocument/2006/relationships/hyperlink" Target="https://pbs.twimg.com/media/DoIU0LlUUAEZcsr.jpg" TargetMode="External"/><Relationship Id="rId787" Type="http://schemas.openxmlformats.org/officeDocument/2006/relationships/hyperlink" Target="http://instagram.com/mehdiroozkhosh" TargetMode="External"/><Relationship Id="rId994" Type="http://schemas.openxmlformats.org/officeDocument/2006/relationships/hyperlink" Target="https://pbs.twimg.com/media/DoFYfu5WsAIjVtp.jpg" TargetMode="External"/><Relationship Id="rId1400" Type="http://schemas.openxmlformats.org/officeDocument/2006/relationships/hyperlink" Target="https://pbs.twimg.com/media/DoCbpeWXsAAh5jX.jpg" TargetMode="External"/><Relationship Id="rId202" Type="http://schemas.openxmlformats.org/officeDocument/2006/relationships/hyperlink" Target="https://pbs.twimg.com/media/DoLL14SX0AA-SAN.jpg" TargetMode="External"/><Relationship Id="rId647" Type="http://schemas.openxmlformats.org/officeDocument/2006/relationships/hyperlink" Target="https://pbs.twimg.com/media/DoG5d98XkAgY0Mc.jpg" TargetMode="External"/><Relationship Id="rId854" Type="http://schemas.openxmlformats.org/officeDocument/2006/relationships/hyperlink" Target="https://pbs.twimg.com/media/DoF_kfMWkAARSx5.jpg" TargetMode="External"/><Relationship Id="rId1277" Type="http://schemas.openxmlformats.org/officeDocument/2006/relationships/hyperlink" Target="https://pbs.twimg.com/media/DoAUpF6X0AApGBZ.jpg" TargetMode="External"/><Relationship Id="rId1484" Type="http://schemas.openxmlformats.org/officeDocument/2006/relationships/hyperlink" Target="https://telegram.me/HarfBeManBot?start=NzY4MzcyNjI" TargetMode="External"/><Relationship Id="rId286" Type="http://schemas.openxmlformats.org/officeDocument/2006/relationships/hyperlink" Target="https://pbs.twimg.com/media/DoI3yHNXoAE5u0d.jpg" TargetMode="External"/><Relationship Id="rId493" Type="http://schemas.openxmlformats.org/officeDocument/2006/relationships/hyperlink" Target="https://twitter.com/Ghahhar/status/1045367338126790657" TargetMode="External"/><Relationship Id="rId507" Type="http://schemas.openxmlformats.org/officeDocument/2006/relationships/hyperlink" Target="http://www.90tv.ir/news/485389/" TargetMode="External"/><Relationship Id="rId714" Type="http://schemas.openxmlformats.org/officeDocument/2006/relationships/hyperlink" Target="https://pbs.twimg.com/media/DoGg5yDW0AEh2pG.jpg" TargetMode="External"/><Relationship Id="rId921" Type="http://schemas.openxmlformats.org/officeDocument/2006/relationships/hyperlink" Target="https://www.lunato.net/" TargetMode="External"/><Relationship Id="rId1137" Type="http://schemas.openxmlformats.org/officeDocument/2006/relationships/hyperlink" Target="https://t.me/afratarh" TargetMode="External"/><Relationship Id="rId1344" Type="http://schemas.openxmlformats.org/officeDocument/2006/relationships/hyperlink" Target="https://telegram.me/HarfBeManBot?start=MzUyMjkwNjQ5" TargetMode="External"/><Relationship Id="rId1551" Type="http://schemas.openxmlformats.org/officeDocument/2006/relationships/hyperlink" Target="https://pbs.twimg.com/media/DoCSee_XkAAk5rN.jpg" TargetMode="External"/><Relationship Id="rId50" Type="http://schemas.openxmlformats.org/officeDocument/2006/relationships/hyperlink" Target="https://pbs.twimg.com/media/DoQgds_XgAApYp4.jpg" TargetMode="External"/><Relationship Id="rId146" Type="http://schemas.openxmlformats.org/officeDocument/2006/relationships/hyperlink" Target="https://www.instagram.com/m.a.ahmadi97/" TargetMode="External"/><Relationship Id="rId353" Type="http://schemas.openxmlformats.org/officeDocument/2006/relationships/hyperlink" Target="http://goo.gl/zWtRRx" TargetMode="External"/><Relationship Id="rId560" Type="http://schemas.openxmlformats.org/officeDocument/2006/relationships/hyperlink" Target="https://pbs.twimg.com/media/DoHWtxUWsAAaFR3.jpg" TargetMode="External"/><Relationship Id="rId798" Type="http://schemas.openxmlformats.org/officeDocument/2006/relationships/hyperlink" Target="https://t.me/shawerane" TargetMode="External"/><Relationship Id="rId1190" Type="http://schemas.openxmlformats.org/officeDocument/2006/relationships/hyperlink" Target="https://pbs.twimg.com/media/DoBasQtXgAAckG9.jpg" TargetMode="External"/><Relationship Id="rId1204" Type="http://schemas.openxmlformats.org/officeDocument/2006/relationships/hyperlink" Target="https://pbs.twimg.com/media/DoDwpLcX0AAReM6.jpg" TargetMode="External"/><Relationship Id="rId1411" Type="http://schemas.openxmlformats.org/officeDocument/2006/relationships/hyperlink" Target="https://pbs.twimg.com/media/DoCbpeWXsAAh5jX.jpg" TargetMode="External"/><Relationship Id="rId1649" Type="http://schemas.openxmlformats.org/officeDocument/2006/relationships/hyperlink" Target="https://telegram.me/dar2delbot?start=send_pAWj0z" TargetMode="External"/><Relationship Id="rId213" Type="http://schemas.openxmlformats.org/officeDocument/2006/relationships/hyperlink" Target="https://pbs.twimg.com/media/DoLBqDqW0AIrLy3.jpg" TargetMode="External"/><Relationship Id="rId420" Type="http://schemas.openxmlformats.org/officeDocument/2006/relationships/hyperlink" Target="https://pbs.twimg.com/media/DoHdfvnW0AAAdX-.jpg" TargetMode="External"/><Relationship Id="rId658" Type="http://schemas.openxmlformats.org/officeDocument/2006/relationships/hyperlink" Target="https://pbs.twimg.com/media/DoGuqByXUAMJ6_l.jpg" TargetMode="External"/><Relationship Id="rId865" Type="http://schemas.openxmlformats.org/officeDocument/2006/relationships/hyperlink" Target="https://pbs.twimg.com/media/DoF9wq8X0AAnpS6.jpg" TargetMode="External"/><Relationship Id="rId1050" Type="http://schemas.openxmlformats.org/officeDocument/2006/relationships/hyperlink" Target="https://t.me/Nashenastel_bot?start=u618187226" TargetMode="External"/><Relationship Id="rId1288" Type="http://schemas.openxmlformats.org/officeDocument/2006/relationships/hyperlink" Target="https://pbs.twimg.com/media/DoCTAYPXoAEdz5T.jpg" TargetMode="External"/><Relationship Id="rId1495" Type="http://schemas.openxmlformats.org/officeDocument/2006/relationships/hyperlink" Target="http://isport.ir/fa/posts/naseri" TargetMode="External"/><Relationship Id="rId1509" Type="http://schemas.openxmlformats.org/officeDocument/2006/relationships/hyperlink" Target="https://t.me/BiChatBot?start=sc-460648560" TargetMode="External"/><Relationship Id="rId297" Type="http://schemas.openxmlformats.org/officeDocument/2006/relationships/hyperlink" Target="http://almahdyoon.co/" TargetMode="External"/><Relationship Id="rId518" Type="http://schemas.openxmlformats.org/officeDocument/2006/relationships/hyperlink" Target="https://t.me/saeidnajafiasli" TargetMode="External"/><Relationship Id="rId725" Type="http://schemas.openxmlformats.org/officeDocument/2006/relationships/hyperlink" Target="http://www.facebook.com/ali.ghayed" TargetMode="External"/><Relationship Id="rId932" Type="http://schemas.openxmlformats.org/officeDocument/2006/relationships/hyperlink" Target="https://twitter.com/__JohnTaylor__/status/1045211961103912960" TargetMode="External"/><Relationship Id="rId1148" Type="http://schemas.openxmlformats.org/officeDocument/2006/relationships/hyperlink" Target="http://pic.twitter.com/0RzAdwIWHg" TargetMode="External"/><Relationship Id="rId1355" Type="http://schemas.openxmlformats.org/officeDocument/2006/relationships/hyperlink" Target="http://t.me/hicch" TargetMode="External"/><Relationship Id="rId1562" Type="http://schemas.openxmlformats.org/officeDocument/2006/relationships/hyperlink" Target="https://telegram.me/HarfBeManBot?start=NzY4MzcyNjI" TargetMode="External"/><Relationship Id="rId157" Type="http://schemas.openxmlformats.org/officeDocument/2006/relationships/hyperlink" Target="http://pic.twitter.com/jLzjlcDwII" TargetMode="External"/><Relationship Id="rId364" Type="http://schemas.openxmlformats.org/officeDocument/2006/relationships/hyperlink" Target="https://pbs.twimg.com/media/DoIPzG2VAAAOO6-.jpg" TargetMode="External"/><Relationship Id="rId1008" Type="http://schemas.openxmlformats.org/officeDocument/2006/relationships/hyperlink" Target="http://www.rezapahlavi.org/" TargetMode="External"/><Relationship Id="rId1215" Type="http://schemas.openxmlformats.org/officeDocument/2006/relationships/hyperlink" Target="http://ipresta.ir/" TargetMode="External"/><Relationship Id="rId1422" Type="http://schemas.openxmlformats.org/officeDocument/2006/relationships/hyperlink" Target="https://telegram.me/harfbzanbot?start=oddEK8Y" TargetMode="External"/><Relationship Id="rId61" Type="http://schemas.openxmlformats.org/officeDocument/2006/relationships/hyperlink" Target="https://telegram.me/harfbzanbot?start=XlBByvl" TargetMode="External"/><Relationship Id="rId571" Type="http://schemas.openxmlformats.org/officeDocument/2006/relationships/hyperlink" Target="https://twitter.com/AfsharMahnaz/status/1045310485657251840" TargetMode="External"/><Relationship Id="rId669" Type="http://schemas.openxmlformats.org/officeDocument/2006/relationships/hyperlink" Target="http://pic.twitter.com/O8cy5s6guT" TargetMode="External"/><Relationship Id="rId876" Type="http://schemas.openxmlformats.org/officeDocument/2006/relationships/hyperlink" Target="http://pic.twitter.com/VaGhbfNNg1" TargetMode="External"/><Relationship Id="rId1299" Type="http://schemas.openxmlformats.org/officeDocument/2006/relationships/hyperlink" Target="https://pbs.twimg.com/media/DoDLz6ZX0AsEolJ.jpg" TargetMode="External"/><Relationship Id="rId19" Type="http://schemas.openxmlformats.org/officeDocument/2006/relationships/hyperlink" Target="https://t.me/maan_n" TargetMode="External"/><Relationship Id="rId224" Type="http://schemas.openxmlformats.org/officeDocument/2006/relationships/hyperlink" Target="http://pic.twitter.com/h38hQnZxr7" TargetMode="External"/><Relationship Id="rId431" Type="http://schemas.openxmlformats.org/officeDocument/2006/relationships/hyperlink" Target="https://www.instagram.com/fateme.zivari/" TargetMode="External"/><Relationship Id="rId529" Type="http://schemas.openxmlformats.org/officeDocument/2006/relationships/hyperlink" Target="https://pbs.twimg.com/media/DoHiGtJUcAYbNd8.jpg" TargetMode="External"/><Relationship Id="rId736" Type="http://schemas.openxmlformats.org/officeDocument/2006/relationships/hyperlink" Target="https://twitter.com/Cnemalover/status/1045090194578440193" TargetMode="External"/><Relationship Id="rId1061" Type="http://schemas.openxmlformats.org/officeDocument/2006/relationships/hyperlink" Target="https://www.nima.today/" TargetMode="External"/><Relationship Id="rId1159" Type="http://schemas.openxmlformats.org/officeDocument/2006/relationships/hyperlink" Target="https://pbs.twimg.com/media/DoEplXtWsAAgLbR.jpg" TargetMode="External"/><Relationship Id="rId1366" Type="http://schemas.openxmlformats.org/officeDocument/2006/relationships/hyperlink" Target="http://www.instagram.com/osro8_7" TargetMode="External"/><Relationship Id="rId168" Type="http://schemas.openxmlformats.org/officeDocument/2006/relationships/hyperlink" Target="http://bit.ly/2rWrMlI" TargetMode="External"/><Relationship Id="rId943" Type="http://schemas.openxmlformats.org/officeDocument/2006/relationships/hyperlink" Target="http://bankvarzesh.com/" TargetMode="External"/><Relationship Id="rId1019" Type="http://schemas.openxmlformats.org/officeDocument/2006/relationships/hyperlink" Target="https://pbs.twimg.com/media/DoFULTnXoAAtp2V.jpg" TargetMode="External"/><Relationship Id="rId1573" Type="http://schemas.openxmlformats.org/officeDocument/2006/relationships/hyperlink" Target="https://telegram.me/HarfBeManBot?start=MjEwMzU1MDI2" TargetMode="External"/><Relationship Id="rId72" Type="http://schemas.openxmlformats.org/officeDocument/2006/relationships/hyperlink" Target="https://pbs.twimg.com/media/DoPklcgXcAEOgwv.jpg" TargetMode="External"/><Relationship Id="rId375" Type="http://schemas.openxmlformats.org/officeDocument/2006/relationships/hyperlink" Target="https://pbs.twimg.com/media/DoILL8KU4AE-0jJ.jpg" TargetMode="External"/><Relationship Id="rId582" Type="http://schemas.openxmlformats.org/officeDocument/2006/relationships/hyperlink" Target="https://facebook.com/officialaliashini" TargetMode="External"/><Relationship Id="rId803" Type="http://schemas.openxmlformats.org/officeDocument/2006/relationships/hyperlink" Target="http://iran-varzeshi.com/" TargetMode="External"/><Relationship Id="rId1226" Type="http://schemas.openxmlformats.org/officeDocument/2006/relationships/hyperlink" Target="https://pbs.twimg.com/media/DoCtwJJUcAAhTcs.jpg" TargetMode="External"/><Relationship Id="rId1433" Type="http://schemas.openxmlformats.org/officeDocument/2006/relationships/hyperlink" Target="http://half-space.blogspot.com/" TargetMode="External"/><Relationship Id="rId1640" Type="http://schemas.openxmlformats.org/officeDocument/2006/relationships/hyperlink" Target="https://pbs.twimg.com/media/DoBsZHPW0AA6pxn.jpg" TargetMode="External"/><Relationship Id="rId3" Type="http://schemas.openxmlformats.org/officeDocument/2006/relationships/hyperlink" Target="https://www.instagram.com/Elahe_Rastegari" TargetMode="External"/><Relationship Id="rId235" Type="http://schemas.openxmlformats.org/officeDocument/2006/relationships/hyperlink" Target="https://pbs.twimg.com/media/DoKv3UpXkAA_tt8.jpg" TargetMode="External"/><Relationship Id="rId442" Type="http://schemas.openxmlformats.org/officeDocument/2006/relationships/hyperlink" Target="https://twitter.com/nona_esteghlali/status/1045375320768106497" TargetMode="External"/><Relationship Id="rId887" Type="http://schemas.openxmlformats.org/officeDocument/2006/relationships/hyperlink" Target="https://pbs.twimg.com/media/DoF0Yy9XoAAyHUO.jpg" TargetMode="External"/><Relationship Id="rId1072" Type="http://schemas.openxmlformats.org/officeDocument/2006/relationships/hyperlink" Target="https://pbs.twimg.com/media/DoE_9NIXcAAwVNP.jpg" TargetMode="External"/><Relationship Id="rId1500" Type="http://schemas.openxmlformats.org/officeDocument/2006/relationships/hyperlink" Target="https://pbs.twimg.com/media/DoCSee_XkAAk5rN.jpg" TargetMode="External"/><Relationship Id="rId302" Type="http://schemas.openxmlformats.org/officeDocument/2006/relationships/hyperlink" Target="https://twitter.com/behzad_talebi/status/1044330900023070720" TargetMode="External"/><Relationship Id="rId747" Type="http://schemas.openxmlformats.org/officeDocument/2006/relationships/hyperlink" Target="http://www.yjc.ir/" TargetMode="External"/><Relationship Id="rId954" Type="http://schemas.openxmlformats.org/officeDocument/2006/relationships/hyperlink" Target="https://pbs.twimg.com/media/DoFjBfgXkAAl7LQ.jpg" TargetMode="External"/><Relationship Id="rId1377" Type="http://schemas.openxmlformats.org/officeDocument/2006/relationships/hyperlink" Target="https://pbs.twimg.com/media/DoC2zmYXsAARlzp.jpg" TargetMode="External"/><Relationship Id="rId1584" Type="http://schemas.openxmlformats.org/officeDocument/2006/relationships/hyperlink" Target="https://pbs.twimg.com/media/DoCDaMhWsAASQax.jpg" TargetMode="External"/><Relationship Id="rId83" Type="http://schemas.openxmlformats.org/officeDocument/2006/relationships/hyperlink" Target="https://pbs.twimg.com/media/DoO-fJ3X0AArcJw.jpg" TargetMode="External"/><Relationship Id="rId179" Type="http://schemas.openxmlformats.org/officeDocument/2006/relationships/hyperlink" Target="http://www.tasnimnews.com/" TargetMode="External"/><Relationship Id="rId386" Type="http://schemas.openxmlformats.org/officeDocument/2006/relationships/hyperlink" Target="http://www.ardavanart.com/" TargetMode="External"/><Relationship Id="rId593" Type="http://schemas.openxmlformats.org/officeDocument/2006/relationships/hyperlink" Target="http://tender.com/" TargetMode="External"/><Relationship Id="rId607" Type="http://schemas.openxmlformats.org/officeDocument/2006/relationships/hyperlink" Target="https://telegram.me/HarfBeManBot?start=MjkyMjcxNDM4" TargetMode="External"/><Relationship Id="rId814" Type="http://schemas.openxmlformats.org/officeDocument/2006/relationships/hyperlink" Target="https://pbs.twimg.com/media/DoGFvSxWsAEBjsm.jpg" TargetMode="External"/><Relationship Id="rId1237" Type="http://schemas.openxmlformats.org/officeDocument/2006/relationships/hyperlink" Target="https://pbs.twimg.com/media/DoDccnYXgAAr1xs.jpg" TargetMode="External"/><Relationship Id="rId1444" Type="http://schemas.openxmlformats.org/officeDocument/2006/relationships/hyperlink" Target="http://www.instagram.com/amirhossein676" TargetMode="External"/><Relationship Id="rId1651" Type="http://schemas.openxmlformats.org/officeDocument/2006/relationships/hyperlink" Target="http://paradism.org/" TargetMode="External"/><Relationship Id="rId246" Type="http://schemas.openxmlformats.org/officeDocument/2006/relationships/hyperlink" Target="http://t.me/meysam_moussavy" TargetMode="External"/><Relationship Id="rId453" Type="http://schemas.openxmlformats.org/officeDocument/2006/relationships/hyperlink" Target="http://t.me/jokemoke" TargetMode="External"/><Relationship Id="rId660" Type="http://schemas.openxmlformats.org/officeDocument/2006/relationships/hyperlink" Target="https://t.me/amirhoseinmosalla" TargetMode="External"/><Relationship Id="rId898" Type="http://schemas.openxmlformats.org/officeDocument/2006/relationships/hyperlink" Target="https://pbs.twimg.com/media/DoFyONCWsAEUS6O.jpg" TargetMode="External"/><Relationship Id="rId1083" Type="http://schemas.openxmlformats.org/officeDocument/2006/relationships/hyperlink" Target="https://twitter.com/perspolisfciran/status/1045149916308402176" TargetMode="External"/><Relationship Id="rId1290" Type="http://schemas.openxmlformats.org/officeDocument/2006/relationships/hyperlink" Target="https://pbs.twimg.com/media/DoDLz6ZX0AsEolJ.jpg" TargetMode="External"/><Relationship Id="rId1304" Type="http://schemas.openxmlformats.org/officeDocument/2006/relationships/hyperlink" Target="https://pbs.twimg.com/media/DoCbpeWXsAAh5jX.jpg" TargetMode="External"/><Relationship Id="rId1511" Type="http://schemas.openxmlformats.org/officeDocument/2006/relationships/hyperlink" Target="https://pbs.twimg.com/media/DoCMd-CWkAIFCIq.jpg" TargetMode="External"/><Relationship Id="rId106" Type="http://schemas.openxmlformats.org/officeDocument/2006/relationships/hyperlink" Target="https://pbs.twimg.com/media/DoNVlG9W0AEoblq.jpg" TargetMode="External"/><Relationship Id="rId313" Type="http://schemas.openxmlformats.org/officeDocument/2006/relationships/hyperlink" Target="https://bestfarsi.com/" TargetMode="External"/><Relationship Id="rId758" Type="http://schemas.openxmlformats.org/officeDocument/2006/relationships/hyperlink" Target="https://telegram.me/harfbemanbot?start=MTQ4OTYxMTIy" TargetMode="External"/><Relationship Id="rId965" Type="http://schemas.openxmlformats.org/officeDocument/2006/relationships/hyperlink" Target="https://pbs.twimg.com/media/DoFfdTGXUAAbgCA.jpg" TargetMode="External"/><Relationship Id="rId1150" Type="http://schemas.openxmlformats.org/officeDocument/2006/relationships/hyperlink" Target="https://pbs.twimg.com/media/DoEwrubXUAYH91b.jpg" TargetMode="External"/><Relationship Id="rId1388" Type="http://schemas.openxmlformats.org/officeDocument/2006/relationships/hyperlink" Target="http://t.me/jokemoke" TargetMode="External"/><Relationship Id="rId1595" Type="http://schemas.openxmlformats.org/officeDocument/2006/relationships/hyperlink" Target="https://twitter.com/alirrezazzz/status/1041769066158022656" TargetMode="External"/><Relationship Id="rId1609" Type="http://schemas.openxmlformats.org/officeDocument/2006/relationships/hyperlink" Target="http://meftah.ir/" TargetMode="External"/><Relationship Id="rId10" Type="http://schemas.openxmlformats.org/officeDocument/2006/relationships/hyperlink" Target="https://www.instagram.com/Elahe_Rastegari/" TargetMode="External"/><Relationship Id="rId94" Type="http://schemas.openxmlformats.org/officeDocument/2006/relationships/hyperlink" Target="http://instagram.com/mehran_______________________" TargetMode="External"/><Relationship Id="rId397" Type="http://schemas.openxmlformats.org/officeDocument/2006/relationships/hyperlink" Target="https://about.me/aghdassi" TargetMode="External"/><Relationship Id="rId520" Type="http://schemas.openxmlformats.org/officeDocument/2006/relationships/hyperlink" Target="http://bornanews.ir/" TargetMode="External"/><Relationship Id="rId618" Type="http://schemas.openxmlformats.org/officeDocument/2006/relationships/hyperlink" Target="http://linkedin.com/in/seyed-ali-bathaei-b861a4166" TargetMode="External"/><Relationship Id="rId825" Type="http://schemas.openxmlformats.org/officeDocument/2006/relationships/hyperlink" Target="http://www.ghanoondaily.ir/" TargetMode="External"/><Relationship Id="rId1248" Type="http://schemas.openxmlformats.org/officeDocument/2006/relationships/hyperlink" Target="https://twitter.com/KohnavardTanha/status/1045069485462487040" TargetMode="External"/><Relationship Id="rId1455" Type="http://schemas.openxmlformats.org/officeDocument/2006/relationships/hyperlink" Target="http://calcioiraniano.altervista.org/" TargetMode="External"/><Relationship Id="rId1662" Type="http://schemas.openxmlformats.org/officeDocument/2006/relationships/hyperlink" Target="https://pbs.twimg.com/media/DoAUDiwXcAACZsm.jpg" TargetMode="External"/><Relationship Id="rId257" Type="http://schemas.openxmlformats.org/officeDocument/2006/relationships/hyperlink" Target="https://khabar-fouri.com/" TargetMode="External"/><Relationship Id="rId464" Type="http://schemas.openxmlformats.org/officeDocument/2006/relationships/hyperlink" Target="http://piroozidaily.ir/" TargetMode="External"/><Relationship Id="rId1010" Type="http://schemas.openxmlformats.org/officeDocument/2006/relationships/hyperlink" Target="https://www.instagram.com/khodayar_saeedvaziri" TargetMode="External"/><Relationship Id="rId1094" Type="http://schemas.openxmlformats.org/officeDocument/2006/relationships/hyperlink" Target="https://pbs.twimg.com/media/DoErC1lV4AArWiT.jpg" TargetMode="External"/><Relationship Id="rId1108" Type="http://schemas.openxmlformats.org/officeDocument/2006/relationships/hyperlink" Target="https://pbs.twimg.com/media/DoEMpw0UUAAMg47.jpg" TargetMode="External"/><Relationship Id="rId1315" Type="http://schemas.openxmlformats.org/officeDocument/2006/relationships/hyperlink" Target="https://pbs.twimg.com/media/DoAeB5AXoAAdn9I.jpg" TargetMode="External"/><Relationship Id="rId117" Type="http://schemas.openxmlformats.org/officeDocument/2006/relationships/hyperlink" Target="https://pbs.twimg.com/media/DoM6thOWsAAwwsH.jpg" TargetMode="External"/><Relationship Id="rId671" Type="http://schemas.openxmlformats.org/officeDocument/2006/relationships/hyperlink" Target="https://twitter.com/baranesaeid/status/951812251966738433" TargetMode="External"/><Relationship Id="rId769" Type="http://schemas.openxmlformats.org/officeDocument/2006/relationships/hyperlink" Target="https://hra-news.org/" TargetMode="External"/><Relationship Id="rId976" Type="http://schemas.openxmlformats.org/officeDocument/2006/relationships/hyperlink" Target="https://pbs.twimg.com/media/DoFa3AwWkAAVtVt.jpg" TargetMode="External"/><Relationship Id="rId1399" Type="http://schemas.openxmlformats.org/officeDocument/2006/relationships/hyperlink" Target="https://pbs.twimg.com/media/DoCzeweW0AAXt6Q.jpg" TargetMode="External"/><Relationship Id="rId324" Type="http://schemas.openxmlformats.org/officeDocument/2006/relationships/hyperlink" Target="http://almahdyoon.org/" TargetMode="External"/><Relationship Id="rId531" Type="http://schemas.openxmlformats.org/officeDocument/2006/relationships/hyperlink" Target="https://pbs.twimg.com/media/DoHiBw-XoAAvcbN.jpg" TargetMode="External"/><Relationship Id="rId629" Type="http://schemas.openxmlformats.org/officeDocument/2006/relationships/hyperlink" Target="http://www.translateworld.ir/" TargetMode="External"/><Relationship Id="rId1161" Type="http://schemas.openxmlformats.org/officeDocument/2006/relationships/hyperlink" Target="http://www.titreazad.ir/" TargetMode="External"/><Relationship Id="rId1259" Type="http://schemas.openxmlformats.org/officeDocument/2006/relationships/hyperlink" Target="https://pbs.twimg.com/media/DoAUpF6X0AApGBZ.jpg" TargetMode="External"/><Relationship Id="rId1466" Type="http://schemas.openxmlformats.org/officeDocument/2006/relationships/hyperlink" Target="https://pbs.twimg.com/media/DoBbh20XcAEadvR.jpg" TargetMode="External"/><Relationship Id="rId836" Type="http://schemas.openxmlformats.org/officeDocument/2006/relationships/hyperlink" Target="https://pbs.twimg.com/media/DoGCLPxW0AAmWJD.jpg" TargetMode="External"/><Relationship Id="rId1021" Type="http://schemas.openxmlformats.org/officeDocument/2006/relationships/hyperlink" Target="https://pbs.twimg.com/media/DoFT7cYW0AALWen.jpg" TargetMode="External"/><Relationship Id="rId1119" Type="http://schemas.openxmlformats.org/officeDocument/2006/relationships/hyperlink" Target="https://telegram.me/harfbemanbot?start=MTAxODQ2Mzkz" TargetMode="External"/><Relationship Id="rId1673" Type="http://schemas.openxmlformats.org/officeDocument/2006/relationships/hyperlink" Target="https://t.me/Foot_twitte" TargetMode="External"/><Relationship Id="rId903" Type="http://schemas.openxmlformats.org/officeDocument/2006/relationships/hyperlink" Target="http://pic.twitter.com/zPQFEpwCG4" TargetMode="External"/><Relationship Id="rId1326" Type="http://schemas.openxmlformats.org/officeDocument/2006/relationships/hyperlink" Target="https://www.instagram.com/haem313/" TargetMode="External"/><Relationship Id="rId1533" Type="http://schemas.openxmlformats.org/officeDocument/2006/relationships/hyperlink" Target="https://twitter.com/alirrezazzz/status/1041769066158022656" TargetMode="External"/><Relationship Id="rId32" Type="http://schemas.openxmlformats.org/officeDocument/2006/relationships/hyperlink" Target="https://twitter.com/ASRomaEN/status/1046039806214643713" TargetMode="External"/><Relationship Id="rId1600" Type="http://schemas.openxmlformats.org/officeDocument/2006/relationships/hyperlink" Target="http://fc-perspolis.com/" TargetMode="External"/><Relationship Id="rId181" Type="http://schemas.openxmlformats.org/officeDocument/2006/relationships/hyperlink" Target="https://twitter.com/a__l__iii/status/1045635649418727424" TargetMode="External"/><Relationship Id="rId279" Type="http://schemas.openxmlformats.org/officeDocument/2006/relationships/hyperlink" Target="https://pbs.twimg.com/media/DoJsHn9XgAAsvs0.jpg" TargetMode="External"/><Relationship Id="rId486" Type="http://schemas.openxmlformats.org/officeDocument/2006/relationships/hyperlink" Target="http://defarnarm.blog.ir/" TargetMode="External"/><Relationship Id="rId693" Type="http://schemas.openxmlformats.org/officeDocument/2006/relationships/hyperlink" Target="http://www.bbcpersian.com/sport" TargetMode="External"/><Relationship Id="rId139" Type="http://schemas.openxmlformats.org/officeDocument/2006/relationships/hyperlink" Target="http://www.yjc.ir/" TargetMode="External"/><Relationship Id="rId346" Type="http://schemas.openxmlformats.org/officeDocument/2006/relationships/hyperlink" Target="https://pbs.twimg.com/media/DoIThPvWkAEBMDG.jpg" TargetMode="External"/><Relationship Id="rId553" Type="http://schemas.openxmlformats.org/officeDocument/2006/relationships/hyperlink" Target="http://telegram.me/HarfBeManBot?start=NDgzMTY1NjE2" TargetMode="External"/><Relationship Id="rId760" Type="http://schemas.openxmlformats.org/officeDocument/2006/relationships/hyperlink" Target="https://pbs.twimg.com/media/DoGbD1-XoAEnccN.jpg" TargetMode="External"/><Relationship Id="rId998" Type="http://schemas.openxmlformats.org/officeDocument/2006/relationships/hyperlink" Target="https://pbs.twimg.com/media/DoFXjCpWkAAmvkz.jpg" TargetMode="External"/><Relationship Id="rId1183" Type="http://schemas.openxmlformats.org/officeDocument/2006/relationships/hyperlink" Target="https://pbs.twimg.com/media/DoEJYeRXsAA5dzB.jpg" TargetMode="External"/><Relationship Id="rId1390" Type="http://schemas.openxmlformats.org/officeDocument/2006/relationships/hyperlink" Target="http://instagram.com/cafe.pasio" TargetMode="External"/><Relationship Id="rId206" Type="http://schemas.openxmlformats.org/officeDocument/2006/relationships/hyperlink" Target="https://pbs.twimg.com/media/DoLKALbXkAEP1MS.jpg" TargetMode="External"/><Relationship Id="rId413" Type="http://schemas.openxmlformats.org/officeDocument/2006/relationships/hyperlink" Target="https://pbs.twimg.com/media/DoHdfvnW0AAAdX-.jpg" TargetMode="External"/><Relationship Id="rId858" Type="http://schemas.openxmlformats.org/officeDocument/2006/relationships/hyperlink" Target="https://telegram.me/harfbzanbot?start=oddEK8Y" TargetMode="External"/><Relationship Id="rId1043" Type="http://schemas.openxmlformats.org/officeDocument/2006/relationships/hyperlink" Target="https://instagram.com/mahdifalsafi" TargetMode="External"/><Relationship Id="rId1488" Type="http://schemas.openxmlformats.org/officeDocument/2006/relationships/hyperlink" Target="https://pbs.twimg.com/media/DoBNSCDW0AAD3t8.jpg" TargetMode="External"/><Relationship Id="rId620" Type="http://schemas.openxmlformats.org/officeDocument/2006/relationships/hyperlink" Target="https://telegram.me/HarfBeManBot?start=OTg3ODkzMjg" TargetMode="External"/><Relationship Id="rId718" Type="http://schemas.openxmlformats.org/officeDocument/2006/relationships/hyperlink" Target="http://www.zananemrooz.com/" TargetMode="External"/><Relationship Id="rId925" Type="http://schemas.openxmlformats.org/officeDocument/2006/relationships/hyperlink" Target="http://www.tasnimnews.com/" TargetMode="External"/><Relationship Id="rId1250" Type="http://schemas.openxmlformats.org/officeDocument/2006/relationships/hyperlink" Target="https://pbs.twimg.com/media/DoDHmdCUcAAiJWf.jpg" TargetMode="External"/><Relationship Id="rId1348" Type="http://schemas.openxmlformats.org/officeDocument/2006/relationships/hyperlink" Target="http://pic.twitter.com/y3j4uQLEiW" TargetMode="External"/><Relationship Id="rId1555" Type="http://schemas.openxmlformats.org/officeDocument/2006/relationships/hyperlink" Target="https://pbs.twimg.com/media/DoCTAYPXoAEdz5T.jpg" TargetMode="External"/><Relationship Id="rId1110" Type="http://schemas.openxmlformats.org/officeDocument/2006/relationships/hyperlink" Target="http://www.al-ain.com/" TargetMode="External"/><Relationship Id="rId1208" Type="http://schemas.openxmlformats.org/officeDocument/2006/relationships/hyperlink" Target="https://telegram.me/harfbzanbot?start=Y8yrP2M" TargetMode="External"/><Relationship Id="rId1415" Type="http://schemas.openxmlformats.org/officeDocument/2006/relationships/hyperlink" Target="http://daarvh.blogfa.com/" TargetMode="External"/><Relationship Id="rId54" Type="http://schemas.openxmlformats.org/officeDocument/2006/relationships/hyperlink" Target="https://www.instagram.com/esnzare/" TargetMode="External"/><Relationship Id="rId1622" Type="http://schemas.openxmlformats.org/officeDocument/2006/relationships/hyperlink" Target="http://www.mizanonline.com/fa/photo" TargetMode="External"/><Relationship Id="rId270" Type="http://schemas.openxmlformats.org/officeDocument/2006/relationships/hyperlink" Target="http://etemadonline.com/" TargetMode="External"/><Relationship Id="rId130" Type="http://schemas.openxmlformats.org/officeDocument/2006/relationships/hyperlink" Target="http://piroozidaily.ir/" TargetMode="External"/><Relationship Id="rId368" Type="http://schemas.openxmlformats.org/officeDocument/2006/relationships/hyperlink" Target="https://pbs.twimg.com/media/DoIOPWvVAAAnLxs.jpg" TargetMode="External"/><Relationship Id="rId575" Type="http://schemas.openxmlformats.org/officeDocument/2006/relationships/hyperlink" Target="http://www.facebook.com/iranteamfootball" TargetMode="External"/><Relationship Id="rId782" Type="http://schemas.openxmlformats.org/officeDocument/2006/relationships/hyperlink" Target="http://pic.twitter.com/FC9B0OSDG3" TargetMode="External"/><Relationship Id="rId228" Type="http://schemas.openxmlformats.org/officeDocument/2006/relationships/hyperlink" Target="http://obscura.ir/" TargetMode="External"/><Relationship Id="rId435" Type="http://schemas.openxmlformats.org/officeDocument/2006/relationships/hyperlink" Target="https://t.me/be_haminsadegi" TargetMode="External"/><Relationship Id="rId642" Type="http://schemas.openxmlformats.org/officeDocument/2006/relationships/hyperlink" Target="https://pbs.twimg.com/media/DoG5jzqXcAEsjXr.jpg" TargetMode="External"/><Relationship Id="rId1065" Type="http://schemas.openxmlformats.org/officeDocument/2006/relationships/hyperlink" Target="http://www.ayakhabar.ir/" TargetMode="External"/><Relationship Id="rId1272" Type="http://schemas.openxmlformats.org/officeDocument/2006/relationships/hyperlink" Target="https://instagram.com/cyber802s" TargetMode="External"/><Relationship Id="rId502" Type="http://schemas.openxmlformats.org/officeDocument/2006/relationships/hyperlink" Target="http://mohammad-karimi.ir/" TargetMode="External"/><Relationship Id="rId947" Type="http://schemas.openxmlformats.org/officeDocument/2006/relationships/hyperlink" Target="https://t.me/HarfBeManBot?start=MTI5MDEzMDU4" TargetMode="External"/><Relationship Id="rId1132" Type="http://schemas.openxmlformats.org/officeDocument/2006/relationships/hyperlink" Target="https://pbs.twimg.com/media/DoDVn8pXcAApvhp.jpg" TargetMode="External"/><Relationship Id="rId1577" Type="http://schemas.openxmlformats.org/officeDocument/2006/relationships/hyperlink" Target="http://pic.twitter.com/UHetGfVTLi" TargetMode="External"/><Relationship Id="rId76" Type="http://schemas.openxmlformats.org/officeDocument/2006/relationships/hyperlink" Target="http://www.fcesteghlal.ir/" TargetMode="External"/><Relationship Id="rId807" Type="http://schemas.openxmlformats.org/officeDocument/2006/relationships/hyperlink" Target="https://pbs.twimg.com/media/DoGKo5DV4AEkiXQ.jpg" TargetMode="External"/><Relationship Id="rId1437" Type="http://schemas.openxmlformats.org/officeDocument/2006/relationships/hyperlink" Target="http://t.me/jokemoke" TargetMode="External"/><Relationship Id="rId1644" Type="http://schemas.openxmlformats.org/officeDocument/2006/relationships/hyperlink" Target="http://iran-varzeshi.com/" TargetMode="External"/><Relationship Id="rId1504" Type="http://schemas.openxmlformats.org/officeDocument/2006/relationships/hyperlink" Target="https://pbs.twimg.com/media/DoCbpeWXsAAh5jX.jpg" TargetMode="External"/><Relationship Id="rId292" Type="http://schemas.openxmlformats.org/officeDocument/2006/relationships/hyperlink" Target="http://almahdyoon.org/" TargetMode="External"/><Relationship Id="rId597" Type="http://schemas.openxmlformats.org/officeDocument/2006/relationships/hyperlink" Target="https://favstar.fm/users/bohluol" TargetMode="External"/><Relationship Id="rId152" Type="http://schemas.openxmlformats.org/officeDocument/2006/relationships/hyperlink" Target="http://www.jamejamonline.ir/" TargetMode="External"/><Relationship Id="rId457" Type="http://schemas.openxmlformats.org/officeDocument/2006/relationships/hyperlink" Target="https://pbs.twimg.com/media/DoHtkStXgAYrOLf.jpg" TargetMode="External"/><Relationship Id="rId1087" Type="http://schemas.openxmlformats.org/officeDocument/2006/relationships/hyperlink" Target="https://t.me/xHarfBot?start=320587206" TargetMode="External"/><Relationship Id="rId1294" Type="http://schemas.openxmlformats.org/officeDocument/2006/relationships/hyperlink" Target="https://pbs.twimg.com/media/DoDLz6ZX0AsEolJ.jpg" TargetMode="External"/><Relationship Id="rId664" Type="http://schemas.openxmlformats.org/officeDocument/2006/relationships/hyperlink" Target="http://www.telewebion.com/episode/1897785" TargetMode="External"/><Relationship Id="rId871" Type="http://schemas.openxmlformats.org/officeDocument/2006/relationships/hyperlink" Target="http://pic.twitter.com/QVQUxMArRR" TargetMode="External"/><Relationship Id="rId969" Type="http://schemas.openxmlformats.org/officeDocument/2006/relationships/hyperlink" Target="https://twitter.com/niloofarghadiri/status/1045000174047842304" TargetMode="External"/><Relationship Id="rId1599" Type="http://schemas.openxmlformats.org/officeDocument/2006/relationships/hyperlink" Target="https://pbs.twimg.com/media/DoCDaMhWsAASQax.jpg" TargetMode="External"/><Relationship Id="rId317" Type="http://schemas.openxmlformats.org/officeDocument/2006/relationships/hyperlink" Target="http://instagram.com/hamed_sh80" TargetMode="External"/><Relationship Id="rId524" Type="http://schemas.openxmlformats.org/officeDocument/2006/relationships/hyperlink" Target="https://pbs.twimg.com/media/DoHiQaJU0AI5mw-.jpg" TargetMode="External"/><Relationship Id="rId731" Type="http://schemas.openxmlformats.org/officeDocument/2006/relationships/hyperlink" Target="https://t.me/HarfBeManBot?start=OTEwMTExMzM" TargetMode="External"/><Relationship Id="rId1154" Type="http://schemas.openxmlformats.org/officeDocument/2006/relationships/hyperlink" Target="https://pbs.twimg.com/media/DoErC1lV4AArWiT.jpg" TargetMode="External"/><Relationship Id="rId1361" Type="http://schemas.openxmlformats.org/officeDocument/2006/relationships/hyperlink" Target="https://pbs.twimg.com/media/DoCbpeWXsAAh5jX.jpg" TargetMode="External"/><Relationship Id="rId1459" Type="http://schemas.openxmlformats.org/officeDocument/2006/relationships/hyperlink" Target="https://pbs.twimg.com/media/DoBYVfiWkAIuURR.jpg" TargetMode="External"/><Relationship Id="rId98" Type="http://schemas.openxmlformats.org/officeDocument/2006/relationships/hyperlink" Target="http://pic.twitter.com/X0s11m9dYn" TargetMode="External"/><Relationship Id="rId829" Type="http://schemas.openxmlformats.org/officeDocument/2006/relationships/hyperlink" Target="http://radiozamaneh.com/" TargetMode="External"/><Relationship Id="rId1014" Type="http://schemas.openxmlformats.org/officeDocument/2006/relationships/hyperlink" Target="https://twitter.com/piroozinews/status/1045209238463815680" TargetMode="External"/><Relationship Id="rId1221" Type="http://schemas.openxmlformats.org/officeDocument/2006/relationships/hyperlink" Target="https://pbs.twimg.com/media/DoCbpeWXsAAh5jX.jpg" TargetMode="External"/><Relationship Id="rId1666" Type="http://schemas.openxmlformats.org/officeDocument/2006/relationships/hyperlink" Target="https://pbs.twimg.com/media/Dn93_o1WkAA6_1-.jpg" TargetMode="External"/><Relationship Id="rId1319" Type="http://schemas.openxmlformats.org/officeDocument/2006/relationships/hyperlink" Target="http://daarvh.blogfa.com/" TargetMode="External"/><Relationship Id="rId1526" Type="http://schemas.openxmlformats.org/officeDocument/2006/relationships/hyperlink" Target="https://pbs.twimg.com/media/DoCSee_XkAAk5rN.jpg" TargetMode="External"/><Relationship Id="rId25" Type="http://schemas.openxmlformats.org/officeDocument/2006/relationships/hyperlink" Target="https://pbs.twimg.com/media/DoRdtw0WkAI6AE2.jpg" TargetMode="External"/><Relationship Id="rId174" Type="http://schemas.openxmlformats.org/officeDocument/2006/relationships/hyperlink" Target="https://pbs.twimg.com/media/DoL6zhJXcAAk-Ok.jpg" TargetMode="External"/><Relationship Id="rId381" Type="http://schemas.openxmlformats.org/officeDocument/2006/relationships/hyperlink" Target="https://pbs.twimg.com/media/DoIGVniXoAArM5o.jpg" TargetMode="External"/><Relationship Id="rId241" Type="http://schemas.openxmlformats.org/officeDocument/2006/relationships/hyperlink" Target="https://virgool.io/@MahdiOmrani" TargetMode="External"/><Relationship Id="rId479" Type="http://schemas.openxmlformats.org/officeDocument/2006/relationships/hyperlink" Target="http://www.mizanonline.com/fa/photo" TargetMode="External"/><Relationship Id="rId686" Type="http://schemas.openxmlformats.org/officeDocument/2006/relationships/hyperlink" Target="http://www.mizanonline.ir/sports" TargetMode="External"/><Relationship Id="rId893" Type="http://schemas.openxmlformats.org/officeDocument/2006/relationships/hyperlink" Target="http://instagram.com/matinazizi16" TargetMode="External"/><Relationship Id="rId339" Type="http://schemas.openxmlformats.org/officeDocument/2006/relationships/hyperlink" Target="http://www.realmadrid.com/" TargetMode="External"/><Relationship Id="rId546" Type="http://schemas.openxmlformats.org/officeDocument/2006/relationships/hyperlink" Target="http://www.newhomegroup.ir/" TargetMode="External"/><Relationship Id="rId753" Type="http://schemas.openxmlformats.org/officeDocument/2006/relationships/hyperlink" Target="https://pbs.twimg.com/media/DoGcVTvW0AEXS5h.jpg" TargetMode="External"/><Relationship Id="rId1176" Type="http://schemas.openxmlformats.org/officeDocument/2006/relationships/hyperlink" Target="https://pbs.twimg.com/media/DoDGsw0X0AABfWY.jpg" TargetMode="External"/><Relationship Id="rId1383" Type="http://schemas.openxmlformats.org/officeDocument/2006/relationships/hyperlink" Target="http://t.me/jokemoke" TargetMode="External"/><Relationship Id="rId101" Type="http://schemas.openxmlformats.org/officeDocument/2006/relationships/hyperlink" Target="http://instagram.com/archiggram" TargetMode="External"/><Relationship Id="rId406" Type="http://schemas.openxmlformats.org/officeDocument/2006/relationships/hyperlink" Target="https://pbs.twimg.com/media/DoH7uGgXcAAHY5R.jpg" TargetMode="External"/><Relationship Id="rId960" Type="http://schemas.openxmlformats.org/officeDocument/2006/relationships/hyperlink" Target="http://pic.twitter.com/NvgY0ZPDe1" TargetMode="External"/><Relationship Id="rId1036" Type="http://schemas.openxmlformats.org/officeDocument/2006/relationships/hyperlink" Target="https://pbs.twimg.com/media/DoFN8baXUAAf5w-.jpg" TargetMode="External"/><Relationship Id="rId1243" Type="http://schemas.openxmlformats.org/officeDocument/2006/relationships/hyperlink" Target="https://telegram.me/harfbzanbot?start=vZnE8Yv" TargetMode="External"/><Relationship Id="rId1590" Type="http://schemas.openxmlformats.org/officeDocument/2006/relationships/hyperlink" Target="https://telegram.me/harfbzanbot?start=XlBByvl" TargetMode="External"/><Relationship Id="rId613" Type="http://schemas.openxmlformats.org/officeDocument/2006/relationships/hyperlink" Target="https://pbs.twimg.com/media/DoG7r1xW0AAYuDQ.jpg" TargetMode="External"/><Relationship Id="rId820" Type="http://schemas.openxmlformats.org/officeDocument/2006/relationships/hyperlink" Target="http://telegram.me/hossein_2212" TargetMode="External"/><Relationship Id="rId918" Type="http://schemas.openxmlformats.org/officeDocument/2006/relationships/hyperlink" Target="https://www.instagram.com/alirezadarvishgholami" TargetMode="External"/><Relationship Id="rId1450" Type="http://schemas.openxmlformats.org/officeDocument/2006/relationships/hyperlink" Target="https://pbs.twimg.com/media/DoCovzvXUAM3VlS.jpg" TargetMode="External"/><Relationship Id="rId1548" Type="http://schemas.openxmlformats.org/officeDocument/2006/relationships/hyperlink" Target="http://t.me/qazaalfm" TargetMode="External"/><Relationship Id="rId1103" Type="http://schemas.openxmlformats.org/officeDocument/2006/relationships/hyperlink" Target="http://fc-perspolis.com/" TargetMode="External"/><Relationship Id="rId1310" Type="http://schemas.openxmlformats.org/officeDocument/2006/relationships/hyperlink" Target="http://telegram.me/majid_org" TargetMode="External"/><Relationship Id="rId1408" Type="http://schemas.openxmlformats.org/officeDocument/2006/relationships/hyperlink" Target="https://pbs.twimg.com/media/DoCs5hPXoAIHtkl.jpg" TargetMode="External"/><Relationship Id="rId47" Type="http://schemas.openxmlformats.org/officeDocument/2006/relationships/hyperlink" Target="https://telegram.me/harfbemanbot?start=MTM3MDk0MjAy" TargetMode="External"/><Relationship Id="rId1615" Type="http://schemas.openxmlformats.org/officeDocument/2006/relationships/hyperlink" Target="https://pbs.twimg.com/media/DoAcS2jWsAA7iul.jpg" TargetMode="External"/><Relationship Id="rId196" Type="http://schemas.openxmlformats.org/officeDocument/2006/relationships/hyperlink" Target="http://pic.twitter.com/12BU3BZWBC" TargetMode="External"/><Relationship Id="rId263" Type="http://schemas.openxmlformats.org/officeDocument/2006/relationships/hyperlink" Target="https://khabar-fouri.com/" TargetMode="External"/><Relationship Id="rId470" Type="http://schemas.openxmlformats.org/officeDocument/2006/relationships/hyperlink" Target="https://pbs.twimg.com/media/DoHroJwU8AAk_Ds.jpg" TargetMode="External"/><Relationship Id="rId123" Type="http://schemas.openxmlformats.org/officeDocument/2006/relationships/hyperlink" Target="https://twitter.com/sina77rezaei/status/1045595708290674688" TargetMode="External"/><Relationship Id="rId330" Type="http://schemas.openxmlformats.org/officeDocument/2006/relationships/hyperlink" Target="https://pbs.twimg.com/media/DoIadAfVsAAVBsB.jpg" TargetMode="External"/><Relationship Id="rId568" Type="http://schemas.openxmlformats.org/officeDocument/2006/relationships/hyperlink" Target="http://pahlevanihamed.tumblr.com/" TargetMode="External"/><Relationship Id="rId775" Type="http://schemas.openxmlformats.org/officeDocument/2006/relationships/hyperlink" Target="https://pbs.twimg.com/media/DoGQ0fwXsAAAkao.jpg" TargetMode="External"/><Relationship Id="rId982" Type="http://schemas.openxmlformats.org/officeDocument/2006/relationships/hyperlink" Target="https://youtu.be/wWgCHaLmfnI" TargetMode="External"/><Relationship Id="rId1198" Type="http://schemas.openxmlformats.org/officeDocument/2006/relationships/hyperlink" Target="https://pbs.twimg.com/media/DnxDuvCWkAAqshx.jpg" TargetMode="External"/><Relationship Id="rId428" Type="http://schemas.openxmlformats.org/officeDocument/2006/relationships/hyperlink" Target="http://daarvh.blogfa.com/" TargetMode="External"/><Relationship Id="rId635" Type="http://schemas.openxmlformats.org/officeDocument/2006/relationships/hyperlink" Target="https://instagram.com/ilarimaa/" TargetMode="External"/><Relationship Id="rId842" Type="http://schemas.openxmlformats.org/officeDocument/2006/relationships/hyperlink" Target="https://pbs.twimg.com/media/DoGBXBjWkAE3kbK.jpg" TargetMode="External"/><Relationship Id="rId1058" Type="http://schemas.openxmlformats.org/officeDocument/2006/relationships/hyperlink" Target="https://instagram.com/mahdifalsafi" TargetMode="External"/><Relationship Id="rId1265" Type="http://schemas.openxmlformats.org/officeDocument/2006/relationships/hyperlink" Target="https://pbs.twimg.com/media/DoBasQtXgAAckG9.jpg" TargetMode="External"/><Relationship Id="rId1472" Type="http://schemas.openxmlformats.org/officeDocument/2006/relationships/hyperlink" Target="https://pbs.twimg.com/media/DoCkEWdXkAEIcYz.jpg" TargetMode="External"/><Relationship Id="rId702" Type="http://schemas.openxmlformats.org/officeDocument/2006/relationships/hyperlink" Target="http://venusmardasi.blogfa.com/" TargetMode="External"/><Relationship Id="rId1125" Type="http://schemas.openxmlformats.org/officeDocument/2006/relationships/hyperlink" Target="https://telegram.me/harfbzanbot?start=vZnE8Yv" TargetMode="External"/><Relationship Id="rId1332" Type="http://schemas.openxmlformats.org/officeDocument/2006/relationships/hyperlink" Target="https://pbs.twimg.com/media/DoCbpeWXsAAh5jX.jpg" TargetMode="External"/><Relationship Id="rId69" Type="http://schemas.openxmlformats.org/officeDocument/2006/relationships/hyperlink" Target="http://www.tasnimnews.com/" TargetMode="External"/><Relationship Id="rId1637" Type="http://schemas.openxmlformats.org/officeDocument/2006/relationships/hyperlink" Target="https://telegram.me/harfbzanbot?start=qEV5ezR" TargetMode="External"/><Relationship Id="rId285" Type="http://schemas.openxmlformats.org/officeDocument/2006/relationships/hyperlink" Target="https://telegram.me/HarfBeManBot?start=MjQyNDAyMDA4" TargetMode="External"/><Relationship Id="rId492" Type="http://schemas.openxmlformats.org/officeDocument/2006/relationships/hyperlink" Target="https://pbs.twimg.com/media/DoHlZN1XcAA3nX3.jpg" TargetMode="External"/><Relationship Id="rId797" Type="http://schemas.openxmlformats.org/officeDocument/2006/relationships/hyperlink" Target="https://telegram.me/harfbzanbot?start=X0gPJj5" TargetMode="External"/><Relationship Id="rId145" Type="http://schemas.openxmlformats.org/officeDocument/2006/relationships/hyperlink" Target="https://pbs.twimg.com/media/DoMQ_xGU4AA9vdt.jpg" TargetMode="External"/><Relationship Id="rId352" Type="http://schemas.openxmlformats.org/officeDocument/2006/relationships/hyperlink" Target="https://telegram.me/harfbzanbot?start=LLXvyjb" TargetMode="External"/><Relationship Id="rId1287" Type="http://schemas.openxmlformats.org/officeDocument/2006/relationships/hyperlink" Target="https://pbs.twimg.com/media/DoDGbX1WkAAbRTQ.jpg" TargetMode="External"/><Relationship Id="rId212" Type="http://schemas.openxmlformats.org/officeDocument/2006/relationships/hyperlink" Target="https://twitter.com/HosseinMahini/status/1045612742600806401" TargetMode="External"/><Relationship Id="rId657" Type="http://schemas.openxmlformats.org/officeDocument/2006/relationships/hyperlink" Target="https://www.instagram.com/alisharei97" TargetMode="External"/><Relationship Id="rId864" Type="http://schemas.openxmlformats.org/officeDocument/2006/relationships/hyperlink" Target="http://www.tasnimnews.com/" TargetMode="External"/><Relationship Id="rId1494" Type="http://schemas.openxmlformats.org/officeDocument/2006/relationships/hyperlink" Target="https://pbs.twimg.com/media/DoBasQtXgAAckG9.jpg" TargetMode="External"/><Relationship Id="rId517" Type="http://schemas.openxmlformats.org/officeDocument/2006/relationships/hyperlink" Target="https://pbs.twimg.com/media/DoG4VF-XgAA-p__.jpg" TargetMode="External"/><Relationship Id="rId724" Type="http://schemas.openxmlformats.org/officeDocument/2006/relationships/hyperlink" Target="http://www.cgie.org.ir/" TargetMode="External"/><Relationship Id="rId931" Type="http://schemas.openxmlformats.org/officeDocument/2006/relationships/hyperlink" Target="http://t.me/hicch" TargetMode="External"/><Relationship Id="rId1147" Type="http://schemas.openxmlformats.org/officeDocument/2006/relationships/hyperlink" Target="https://pbs.twimg.com/media/DoDccnYXgAAr1xs.jpg" TargetMode="External"/><Relationship Id="rId1354" Type="http://schemas.openxmlformats.org/officeDocument/2006/relationships/hyperlink" Target="https://pbs.twimg.com/media/DoC-lVfXcAMq0PC.jpg" TargetMode="External"/><Relationship Id="rId1561" Type="http://schemas.openxmlformats.org/officeDocument/2006/relationships/hyperlink" Target="https://pbs.twimg.com/media/DoCDaMhWsAASQax.jpg" TargetMode="External"/><Relationship Id="rId60" Type="http://schemas.openxmlformats.org/officeDocument/2006/relationships/hyperlink" Target="http://www.ibena.ir/" TargetMode="External"/><Relationship Id="rId1007" Type="http://schemas.openxmlformats.org/officeDocument/2006/relationships/hyperlink" Target="https://pbs.twimg.com/media/DoFT8JWXkAEV5Nr.jpg" TargetMode="External"/><Relationship Id="rId1214" Type="http://schemas.openxmlformats.org/officeDocument/2006/relationships/hyperlink" Target="https://twitter.com/Roozarooznews/status/1044867653557473280" TargetMode="External"/><Relationship Id="rId1421" Type="http://schemas.openxmlformats.org/officeDocument/2006/relationships/hyperlink" Target="https://pbs.twimg.com/media/DoCo4aAW0AUAbYf.jpg" TargetMode="External"/><Relationship Id="rId1659" Type="http://schemas.openxmlformats.org/officeDocument/2006/relationships/hyperlink" Target="https://pbs.twimg.com/media/DoB0CsFW0AEf_8D.jpg" TargetMode="External"/><Relationship Id="rId1519" Type="http://schemas.openxmlformats.org/officeDocument/2006/relationships/hyperlink" Target="https://twitter.com/missAzarakhsh/status/1045002616084803585" TargetMode="External"/><Relationship Id="rId18" Type="http://schemas.openxmlformats.org/officeDocument/2006/relationships/hyperlink" Target="https://khodnevissblog.wordpress.com/" TargetMode="External"/><Relationship Id="rId167" Type="http://schemas.openxmlformats.org/officeDocument/2006/relationships/hyperlink" Target="http://goo.gl/5KtgUZ" TargetMode="External"/><Relationship Id="rId374" Type="http://schemas.openxmlformats.org/officeDocument/2006/relationships/hyperlink" Target="https://pbs.twimg.com/media/DoIL3BRU0AAuNUv.jpg" TargetMode="External"/><Relationship Id="rId581" Type="http://schemas.openxmlformats.org/officeDocument/2006/relationships/hyperlink" Target="http://calcioiraniano.altervista.org/" TargetMode="External"/><Relationship Id="rId234" Type="http://schemas.openxmlformats.org/officeDocument/2006/relationships/hyperlink" Target="https://pbs.twimg.com/media/DoKx7tRX0AAE0JG.jpg" TargetMode="External"/><Relationship Id="rId679" Type="http://schemas.openxmlformats.org/officeDocument/2006/relationships/hyperlink" Target="http://pic.twitter.com/FJJE1JigCv" TargetMode="External"/><Relationship Id="rId886" Type="http://schemas.openxmlformats.org/officeDocument/2006/relationships/hyperlink" Target="https://pbs.twimg.com/media/DoF0jepWsAAGQnn.jpg" TargetMode="External"/><Relationship Id="rId2" Type="http://schemas.openxmlformats.org/officeDocument/2006/relationships/hyperlink" Target="https://pbs.twimg.com/media/DoSUDrIXgAAJL25.jpg" TargetMode="External"/><Relationship Id="rId441" Type="http://schemas.openxmlformats.org/officeDocument/2006/relationships/hyperlink" Target="http://www.trtpersian.com/" TargetMode="External"/><Relationship Id="rId539" Type="http://schemas.openxmlformats.org/officeDocument/2006/relationships/hyperlink" Target="https://pbs.twimg.com/media/DoHX7ibXkAAuCyC.jpg" TargetMode="External"/><Relationship Id="rId746" Type="http://schemas.openxmlformats.org/officeDocument/2006/relationships/hyperlink" Target="https://pbs.twimg.com/media/DoGdNLnXUAA78W5.jpg" TargetMode="External"/><Relationship Id="rId1071" Type="http://schemas.openxmlformats.org/officeDocument/2006/relationships/hyperlink" Target="https://telegram.me/HarfBeManBot?start=MTA1NTE1Njg0" TargetMode="External"/><Relationship Id="rId1169" Type="http://schemas.openxmlformats.org/officeDocument/2006/relationships/hyperlink" Target="https://telegram.me/harfbzanbot?start=VLVXKlM" TargetMode="External"/><Relationship Id="rId1376" Type="http://schemas.openxmlformats.org/officeDocument/2006/relationships/hyperlink" Target="https://pbs.twimg.com/media/DoC3G0gXcAENnPJ.jpg" TargetMode="External"/><Relationship Id="rId1583" Type="http://schemas.openxmlformats.org/officeDocument/2006/relationships/hyperlink" Target="https://pbs.twimg.com/media/DoCKw2WWsAAlI9P.jpg" TargetMode="External"/><Relationship Id="rId301" Type="http://schemas.openxmlformats.org/officeDocument/2006/relationships/hyperlink" Target="https://telegram.me/harfbemanbot?start=OTIxMzQyNDM" TargetMode="External"/><Relationship Id="rId953" Type="http://schemas.openxmlformats.org/officeDocument/2006/relationships/hyperlink" Target="http://t.me/boxemotions" TargetMode="External"/><Relationship Id="rId1029" Type="http://schemas.openxmlformats.org/officeDocument/2006/relationships/hyperlink" Target="https://pbs.twimg.com/media/DoFO5VsW0AAB1Om.jpg" TargetMode="External"/><Relationship Id="rId1236" Type="http://schemas.openxmlformats.org/officeDocument/2006/relationships/hyperlink" Target="https://www.instagram.com/sogand_keramati013/" TargetMode="External"/><Relationship Id="rId82" Type="http://schemas.openxmlformats.org/officeDocument/2006/relationships/hyperlink" Target="http://mag.mynewsbase.com/index.php/opinion-editorial/item/143-ahwaz-attack-zarif-mogherini" TargetMode="External"/><Relationship Id="rId606" Type="http://schemas.openxmlformats.org/officeDocument/2006/relationships/hyperlink" Target="https://pbs.twimg.com/media/DaL7iQpVwAIFtu_.jpg" TargetMode="External"/><Relationship Id="rId813" Type="http://schemas.openxmlformats.org/officeDocument/2006/relationships/hyperlink" Target="http://telegram.me/hossein_2212" TargetMode="External"/><Relationship Id="rId1443" Type="http://schemas.openxmlformats.org/officeDocument/2006/relationships/hyperlink" Target="https://pbs.twimg.com/media/DoClclbWkAIgZwT.jpg" TargetMode="External"/><Relationship Id="rId1650" Type="http://schemas.openxmlformats.org/officeDocument/2006/relationships/hyperlink" Target="https://pbs.twimg.com/media/DoB1CE-UUAEQ5KX.jpg" TargetMode="External"/><Relationship Id="rId1303" Type="http://schemas.openxmlformats.org/officeDocument/2006/relationships/hyperlink" Target="http://pic.twitter.com/1RHEVnT1t5" TargetMode="External"/><Relationship Id="rId1510" Type="http://schemas.openxmlformats.org/officeDocument/2006/relationships/hyperlink" Target="http://instagram.com/leila100ri" TargetMode="External"/><Relationship Id="rId1608" Type="http://schemas.openxmlformats.org/officeDocument/2006/relationships/hyperlink" Target="https://t.me/BiChatBot?start=sc-465335224" TargetMode="External"/><Relationship Id="rId189" Type="http://schemas.openxmlformats.org/officeDocument/2006/relationships/hyperlink" Target="https://www.instagram.com/p/BoQ9mF8HXht/?utm_source=ig_share_sheet&amp;igshid=z977cfjr7x3p" TargetMode="External"/><Relationship Id="rId396" Type="http://schemas.openxmlformats.org/officeDocument/2006/relationships/hyperlink" Target="https://pbs.twimg.com/media/DoH9bXmXkAAYybx.jpg" TargetMode="External"/><Relationship Id="rId256" Type="http://schemas.openxmlformats.org/officeDocument/2006/relationships/hyperlink" Target="https://pbs.twimg.com/media/DoKd8I1X0AAG2pp.jpg" TargetMode="External"/><Relationship Id="rId463" Type="http://schemas.openxmlformats.org/officeDocument/2006/relationships/hyperlink" Target="https://twitter.com/PerspolisFCIran/status/1045364008381898753" TargetMode="External"/><Relationship Id="rId670" Type="http://schemas.openxmlformats.org/officeDocument/2006/relationships/hyperlink" Target="http://telegram.me/hossein_2212" TargetMode="External"/><Relationship Id="rId1093" Type="http://schemas.openxmlformats.org/officeDocument/2006/relationships/hyperlink" Target="https://twitter.com/ranarahimpour/status/1045003794059350022" TargetMode="External"/><Relationship Id="rId116" Type="http://schemas.openxmlformats.org/officeDocument/2006/relationships/hyperlink" Target="http://www.mizanonline.ir/sports" TargetMode="External"/><Relationship Id="rId323" Type="http://schemas.openxmlformats.org/officeDocument/2006/relationships/hyperlink" Target="https://pbs.twimg.com/media/DoIdAntXUAEP8Gt.jpg" TargetMode="External"/><Relationship Id="rId530" Type="http://schemas.openxmlformats.org/officeDocument/2006/relationships/hyperlink" Target="http://www.sobhemahallat.ir/" TargetMode="External"/><Relationship Id="rId768" Type="http://schemas.openxmlformats.org/officeDocument/2006/relationships/hyperlink" Target="https://pbs.twimg.com/media/DoGTCZcXsAECRn4.jpg" TargetMode="External"/><Relationship Id="rId975" Type="http://schemas.openxmlformats.org/officeDocument/2006/relationships/hyperlink" Target="http://varzesh3.com/" TargetMode="External"/><Relationship Id="rId1160" Type="http://schemas.openxmlformats.org/officeDocument/2006/relationships/hyperlink" Target="http://www.radiopopcorn.de/" TargetMode="External"/><Relationship Id="rId1398" Type="http://schemas.openxmlformats.org/officeDocument/2006/relationships/hyperlink" Target="https://pbs.twimg.com/media/DoC0hhwWsAA9232.jpg" TargetMode="External"/><Relationship Id="rId628" Type="http://schemas.openxmlformats.org/officeDocument/2006/relationships/hyperlink" Target="https://telegram.me/harfbemanbot?start=OTQxODUzMzM" TargetMode="External"/><Relationship Id="rId835" Type="http://schemas.openxmlformats.org/officeDocument/2006/relationships/hyperlink" Target="https://pbs.twimg.com/media/DoGCP2lX0AAJ4Wo.jpg" TargetMode="External"/><Relationship Id="rId1258" Type="http://schemas.openxmlformats.org/officeDocument/2006/relationships/hyperlink" Target="http://pic.twitter.com/9PSIIyvogz" TargetMode="External"/><Relationship Id="rId1465" Type="http://schemas.openxmlformats.org/officeDocument/2006/relationships/hyperlink" Target="https://pbs.twimg.com/media/DoClclbWkAIgZwT.jpg" TargetMode="External"/><Relationship Id="rId1672" Type="http://schemas.openxmlformats.org/officeDocument/2006/relationships/hyperlink" Target="https://pbs.twimg.com/media/DoAeB5AXoAAdn9I.jpg" TargetMode="External"/><Relationship Id="rId1020" Type="http://schemas.openxmlformats.org/officeDocument/2006/relationships/hyperlink" Target="http://piroozidaily.ir/" TargetMode="External"/><Relationship Id="rId1118" Type="http://schemas.openxmlformats.org/officeDocument/2006/relationships/hyperlink" Target="http://pic.twitter.com/6okkR36cQt" TargetMode="External"/><Relationship Id="rId1325" Type="http://schemas.openxmlformats.org/officeDocument/2006/relationships/hyperlink" Target="https://pbs.twimg.com/media/DoC1QM2XUAAZP4M.jpg" TargetMode="External"/><Relationship Id="rId1532" Type="http://schemas.openxmlformats.org/officeDocument/2006/relationships/hyperlink" Target="https://pbs.twimg.com/media/DoBXnuCX0AAC4zj.jpg" TargetMode="External"/><Relationship Id="rId902" Type="http://schemas.openxmlformats.org/officeDocument/2006/relationships/hyperlink" Target="https://twitter.com/oofski/status/1045239338798370816/video/1" TargetMode="External"/><Relationship Id="rId31" Type="http://schemas.openxmlformats.org/officeDocument/2006/relationships/hyperlink" Target="https://t.me/RadioOffside" TargetMode="External"/><Relationship Id="rId180" Type="http://schemas.openxmlformats.org/officeDocument/2006/relationships/hyperlink" Target="https://www.instagram.com/alitabatabaei14" TargetMode="External"/><Relationship Id="rId278" Type="http://schemas.openxmlformats.org/officeDocument/2006/relationships/hyperlink" Target="http://www.pode.ir/" TargetMode="External"/><Relationship Id="rId485" Type="http://schemas.openxmlformats.org/officeDocument/2006/relationships/hyperlink" Target="http://www.newhomegroup.ir/" TargetMode="External"/><Relationship Id="rId692" Type="http://schemas.openxmlformats.org/officeDocument/2006/relationships/hyperlink" Target="https://pbs.twimg.com/media/DoGq0g0WsAEO8tA.jpg" TargetMode="External"/><Relationship Id="rId138" Type="http://schemas.openxmlformats.org/officeDocument/2006/relationships/hyperlink" Target="http://pic.twitter.com/DoevrTWkUk" TargetMode="External"/><Relationship Id="rId345" Type="http://schemas.openxmlformats.org/officeDocument/2006/relationships/hyperlink" Target="http://goo.gl/zWtRRx" TargetMode="External"/><Relationship Id="rId552" Type="http://schemas.openxmlformats.org/officeDocument/2006/relationships/hyperlink" Target="https://pbs.twimg.com/media/DoHW_HLW0AAPsH8.jpg" TargetMode="External"/><Relationship Id="rId997" Type="http://schemas.openxmlformats.org/officeDocument/2006/relationships/hyperlink" Target="http://sarmashghnews.com/" TargetMode="External"/><Relationship Id="rId1182" Type="http://schemas.openxmlformats.org/officeDocument/2006/relationships/hyperlink" Target="https://pbs.twimg.com/media/DoEMpw0UUAAMg47.jpg" TargetMode="External"/><Relationship Id="rId205" Type="http://schemas.openxmlformats.org/officeDocument/2006/relationships/hyperlink" Target="http://instagram.com/mehdiroozkhosh" TargetMode="External"/><Relationship Id="rId412" Type="http://schemas.openxmlformats.org/officeDocument/2006/relationships/hyperlink" Target="https://twitter.com/azarijahromi/status/1045360375917674498" TargetMode="External"/><Relationship Id="rId857" Type="http://schemas.openxmlformats.org/officeDocument/2006/relationships/hyperlink" Target="https://pbs.twimg.com/media/DoF_hCyXUAACY-h.jpg" TargetMode="External"/><Relationship Id="rId1042" Type="http://schemas.openxmlformats.org/officeDocument/2006/relationships/hyperlink" Target="https://twitter.com/shafaeieisa/status/1045183405971959808" TargetMode="External"/><Relationship Id="rId1487" Type="http://schemas.openxmlformats.org/officeDocument/2006/relationships/hyperlink" Target="http://pic.twitter.com/TR8JFj8cGH" TargetMode="External"/><Relationship Id="rId717" Type="http://schemas.openxmlformats.org/officeDocument/2006/relationships/hyperlink" Target="https://telegram.me/HarfBeManBot?start=NDQwMjI4MzQ1" TargetMode="External"/><Relationship Id="rId924" Type="http://schemas.openxmlformats.org/officeDocument/2006/relationships/hyperlink" Target="https://pbs.twimg.com/media/DoFsncwU4AEoPUY.jpg" TargetMode="External"/><Relationship Id="rId1347" Type="http://schemas.openxmlformats.org/officeDocument/2006/relationships/hyperlink" Target="https://telegram.me/harfbzanbot?start=nBnaBoM" TargetMode="External"/><Relationship Id="rId1554" Type="http://schemas.openxmlformats.org/officeDocument/2006/relationships/hyperlink" Target="https://pbs.twimg.com/media/DoCSee_XkAAk5rN.jpg" TargetMode="External"/><Relationship Id="rId53" Type="http://schemas.openxmlformats.org/officeDocument/2006/relationships/hyperlink" Target="https://pbs.twimg.com/media/DoQda69X0AAC-5S.jpg" TargetMode="External"/><Relationship Id="rId1207" Type="http://schemas.openxmlformats.org/officeDocument/2006/relationships/hyperlink" Target="http://sharghdaily.ir/" TargetMode="External"/><Relationship Id="rId1414" Type="http://schemas.openxmlformats.org/officeDocument/2006/relationships/hyperlink" Target="https://pbs.twimg.com/media/DoCx_xsXsAAit8f.jpg" TargetMode="External"/><Relationship Id="rId1621" Type="http://schemas.openxmlformats.org/officeDocument/2006/relationships/hyperlink" Target="https://pbs.twimg.com/media/DoB-cp-WsAA-5Ko.jpg" TargetMode="External"/><Relationship Id="rId367" Type="http://schemas.openxmlformats.org/officeDocument/2006/relationships/hyperlink" Target="https://pbs.twimg.com/media/DoIOU7IXgAI2H-j.jpg" TargetMode="External"/><Relationship Id="rId574" Type="http://schemas.openxmlformats.org/officeDocument/2006/relationships/hyperlink" Target="http://1pezeshk.com/" TargetMode="External"/><Relationship Id="rId227" Type="http://schemas.openxmlformats.org/officeDocument/2006/relationships/hyperlink" Target="https://pbs.twimg.com/media/DoK12XsWkAAnjjg.jpg" TargetMode="External"/><Relationship Id="rId781" Type="http://schemas.openxmlformats.org/officeDocument/2006/relationships/hyperlink" Target="http://www.telegram.me/amir_texts" TargetMode="External"/><Relationship Id="rId879" Type="http://schemas.openxmlformats.org/officeDocument/2006/relationships/hyperlink" Target="https://pbs.twimg.com/media/DoF3EiaVAAAhqqp.jpg" TargetMode="External"/><Relationship Id="rId434" Type="http://schemas.openxmlformats.org/officeDocument/2006/relationships/hyperlink" Target="http://lahijweb.com/" TargetMode="External"/><Relationship Id="rId641" Type="http://schemas.openxmlformats.org/officeDocument/2006/relationships/hyperlink" Target="http://pic.twitter.com/K0vbHVUROH" TargetMode="External"/><Relationship Id="rId739" Type="http://schemas.openxmlformats.org/officeDocument/2006/relationships/hyperlink" Target="https://pbs.twimg.com/media/DoGdGmCXkAAte6c.jpg" TargetMode="External"/><Relationship Id="rId1064" Type="http://schemas.openxmlformats.org/officeDocument/2006/relationships/hyperlink" Target="https://pbs.twimg.com/media/DoFFvhxWkAAPPIo.jpg" TargetMode="External"/><Relationship Id="rId1271" Type="http://schemas.openxmlformats.org/officeDocument/2006/relationships/hyperlink" Target="https://pbs.twimg.com/media/DoAUpF6X0AApGBZ.jpg" TargetMode="External"/><Relationship Id="rId1369" Type="http://schemas.openxmlformats.org/officeDocument/2006/relationships/hyperlink" Target="https://pbs.twimg.com/media/Dn4rdfmUUAAgUJQ.jpg" TargetMode="External"/><Relationship Id="rId1576" Type="http://schemas.openxmlformats.org/officeDocument/2006/relationships/hyperlink" Target="https://pbs.twimg.com/media/DoCDaMhWsAASQax.jpg" TargetMode="External"/><Relationship Id="rId501" Type="http://schemas.openxmlformats.org/officeDocument/2006/relationships/hyperlink" Target="http://varzesh3.com/" TargetMode="External"/><Relationship Id="rId946" Type="http://schemas.openxmlformats.org/officeDocument/2006/relationships/hyperlink" Target="http://bankvarzesh.com/" TargetMode="External"/><Relationship Id="rId1131" Type="http://schemas.openxmlformats.org/officeDocument/2006/relationships/hyperlink" Target="https://pbs.twimg.com/media/DoDU-hVWsAIpak9.jpg" TargetMode="External"/><Relationship Id="rId1229" Type="http://schemas.openxmlformats.org/officeDocument/2006/relationships/hyperlink" Target="https://twitter.com/Roozarooznews/status/1044867653557473280" TargetMode="External"/><Relationship Id="rId75" Type="http://schemas.openxmlformats.org/officeDocument/2006/relationships/hyperlink" Target="https://pbs.twimg.com/media/DoPepZZWsAEjB7g.jpg" TargetMode="External"/><Relationship Id="rId806" Type="http://schemas.openxmlformats.org/officeDocument/2006/relationships/hyperlink" Target="https://pbs.twimg.com/media/DoGLSzZXsAAaqq_.jpg" TargetMode="External"/><Relationship Id="rId1436" Type="http://schemas.openxmlformats.org/officeDocument/2006/relationships/hyperlink" Target="http://aparat.com/aghahesam" TargetMode="External"/><Relationship Id="rId1643" Type="http://schemas.openxmlformats.org/officeDocument/2006/relationships/hyperlink" Target="https://pbs.twimg.com/media/DoB2lVTXoAA9jOV.jpg" TargetMode="External"/><Relationship Id="rId1503" Type="http://schemas.openxmlformats.org/officeDocument/2006/relationships/hyperlink" Target="https://pbs.twimg.com/media/DoCSee_XkAAk5rN.jpg" TargetMode="External"/><Relationship Id="rId291" Type="http://schemas.openxmlformats.org/officeDocument/2006/relationships/hyperlink" Target="http://almahdyoon.org/" TargetMode="External"/><Relationship Id="rId151" Type="http://schemas.openxmlformats.org/officeDocument/2006/relationships/hyperlink" Target="http://jjo.ir/ieqhgnyj" TargetMode="External"/><Relationship Id="rId389" Type="http://schemas.openxmlformats.org/officeDocument/2006/relationships/hyperlink" Target="http://facebook.com/farazan" TargetMode="External"/><Relationship Id="rId596" Type="http://schemas.openxmlformats.org/officeDocument/2006/relationships/hyperlink" Target="http://t.me/the_divane" TargetMode="External"/><Relationship Id="rId249" Type="http://schemas.openxmlformats.org/officeDocument/2006/relationships/hyperlink" Target="https://pbs.twimg.com/media/DoKl9M5X0AAo2NH.jpg" TargetMode="External"/><Relationship Id="rId456" Type="http://schemas.openxmlformats.org/officeDocument/2006/relationships/hyperlink" Target="https://hashtagban.com/" TargetMode="External"/><Relationship Id="rId663" Type="http://schemas.openxmlformats.org/officeDocument/2006/relationships/hyperlink" Target="http://blog.wonderfulme.eu/" TargetMode="External"/><Relationship Id="rId870" Type="http://schemas.openxmlformats.org/officeDocument/2006/relationships/hyperlink" Target="http://favstar.fm/users/r33zaa" TargetMode="External"/><Relationship Id="rId1086" Type="http://schemas.openxmlformats.org/officeDocument/2006/relationships/hyperlink" Target="https://pbs.twimg.com/media/DoE7JDfWkAAQ8fJ.jpg" TargetMode="External"/><Relationship Id="rId1293" Type="http://schemas.openxmlformats.org/officeDocument/2006/relationships/hyperlink" Target="http://pic.twitter.com/nA6yG1EBQ3" TargetMode="External"/><Relationship Id="rId109" Type="http://schemas.openxmlformats.org/officeDocument/2006/relationships/hyperlink" Target="https://pbs.twimg.com/media/DoNLa1_X0AASh9L.jpg" TargetMode="External"/><Relationship Id="rId316" Type="http://schemas.openxmlformats.org/officeDocument/2006/relationships/hyperlink" Target="https://pbs.twimg.com/media/DoIeEGzWsAEga24.jpg" TargetMode="External"/><Relationship Id="rId523" Type="http://schemas.openxmlformats.org/officeDocument/2006/relationships/hyperlink" Target="https://www.linkedin.com/in/farazfatemimoghaddam/" TargetMode="External"/><Relationship Id="rId968" Type="http://schemas.openxmlformats.org/officeDocument/2006/relationships/hyperlink" Target="https://pbs.twimg.com/media/DoFfBq7XUAA9u6A.jpg" TargetMode="External"/><Relationship Id="rId1153" Type="http://schemas.openxmlformats.org/officeDocument/2006/relationships/hyperlink" Target="https://pbs.twimg.com/media/DoD1Ed8VsAIN6Kv.jpg" TargetMode="External"/><Relationship Id="rId1598" Type="http://schemas.openxmlformats.org/officeDocument/2006/relationships/hyperlink" Target="https://telegram.me/harfbzanbot?start=4GD8072" TargetMode="External"/><Relationship Id="rId97" Type="http://schemas.openxmlformats.org/officeDocument/2006/relationships/hyperlink" Target="http://pic.twitter.com/gooVOwrJPW" TargetMode="External"/><Relationship Id="rId730" Type="http://schemas.openxmlformats.org/officeDocument/2006/relationships/hyperlink" Target="http://t.me/BManBguBot?start=5b6b301f92019" TargetMode="External"/><Relationship Id="rId828" Type="http://schemas.openxmlformats.org/officeDocument/2006/relationships/hyperlink" Target="https://pbs.twimg.com/media/DoGEpxWW0AA6mGh.jpg" TargetMode="External"/><Relationship Id="rId1013" Type="http://schemas.openxmlformats.org/officeDocument/2006/relationships/hyperlink" Target="http://axprint.com/app" TargetMode="External"/><Relationship Id="rId1360" Type="http://schemas.openxmlformats.org/officeDocument/2006/relationships/hyperlink" Target="https://pbs.twimg.com/media/DoAj5aoXUAE7cI0.jpg" TargetMode="External"/><Relationship Id="rId1458" Type="http://schemas.openxmlformats.org/officeDocument/2006/relationships/hyperlink" Target="https://pbs.twimg.com/media/DoClclbWkAIgZwT.jpg" TargetMode="External"/><Relationship Id="rId1665" Type="http://schemas.openxmlformats.org/officeDocument/2006/relationships/hyperlink" Target="https://pbs.twimg.com/media/DoBzDZIXsAAcOEE.jpg" TargetMode="External"/><Relationship Id="rId1220" Type="http://schemas.openxmlformats.org/officeDocument/2006/relationships/hyperlink" Target="http://www.islamshia.org/" TargetMode="External"/><Relationship Id="rId1318" Type="http://schemas.openxmlformats.org/officeDocument/2006/relationships/hyperlink" Target="https://pbs.twimg.com/media/DoAj5aoXUAE7cI0.jpg" TargetMode="External"/><Relationship Id="rId1525" Type="http://schemas.openxmlformats.org/officeDocument/2006/relationships/hyperlink" Target="https://telegram.me/HarfBeManBot?start=OTY4ODkzNDQ" TargetMode="External"/><Relationship Id="rId24" Type="http://schemas.openxmlformats.org/officeDocument/2006/relationships/hyperlink" Target="http://calcioiraniano.altervista.org/" TargetMode="External"/><Relationship Id="rId173" Type="http://schemas.openxmlformats.org/officeDocument/2006/relationships/hyperlink" Target="https://pbs.twimg.com/media/DoL77mGXUAAmpy2.jpg" TargetMode="External"/><Relationship Id="rId380" Type="http://schemas.openxmlformats.org/officeDocument/2006/relationships/hyperlink" Target="http://almahdyoon.co/" TargetMode="External"/><Relationship Id="rId240" Type="http://schemas.openxmlformats.org/officeDocument/2006/relationships/hyperlink" Target="https://twitter.com/MahdiOmrani/status/1041695875440025600" TargetMode="External"/><Relationship Id="rId478" Type="http://schemas.openxmlformats.org/officeDocument/2006/relationships/hyperlink" Target="http://pic.twitter.com/ZEgStA5beK" TargetMode="External"/><Relationship Id="rId685" Type="http://schemas.openxmlformats.org/officeDocument/2006/relationships/hyperlink" Target="https://pbs.twimg.com/media/DoGrl-YXkAARj0a.jpg" TargetMode="External"/><Relationship Id="rId892" Type="http://schemas.openxmlformats.org/officeDocument/2006/relationships/hyperlink" Target="http://pic.twitter.com/9INiRUXH4o" TargetMode="External"/><Relationship Id="rId100" Type="http://schemas.openxmlformats.org/officeDocument/2006/relationships/hyperlink" Target="https://pbs.twimg.com/media/DoNgIVkXsAAm97g.jpg" TargetMode="External"/><Relationship Id="rId338" Type="http://schemas.openxmlformats.org/officeDocument/2006/relationships/hyperlink" Target="http://pic.twitter.com/yvJcTlRHrq" TargetMode="External"/><Relationship Id="rId545" Type="http://schemas.openxmlformats.org/officeDocument/2006/relationships/hyperlink" Target="https://www.instagram.com/mamehrara/" TargetMode="External"/><Relationship Id="rId752" Type="http://schemas.openxmlformats.org/officeDocument/2006/relationships/hyperlink" Target="https://telegram.me/HarfBeManBot?start=OTg3ODkzMjg" TargetMode="External"/><Relationship Id="rId1175" Type="http://schemas.openxmlformats.org/officeDocument/2006/relationships/hyperlink" Target="https://alnu3ami.sarahah.com/" TargetMode="External"/><Relationship Id="rId1382" Type="http://schemas.openxmlformats.org/officeDocument/2006/relationships/hyperlink" Target="https://pbs.twimg.com/media/DoBV1xgU0AAeqZ7.jpg" TargetMode="External"/><Relationship Id="rId405" Type="http://schemas.openxmlformats.org/officeDocument/2006/relationships/hyperlink" Target="https://pbs.twimg.com/media/DoHW9thU0AIGLSz.jpg" TargetMode="External"/><Relationship Id="rId612" Type="http://schemas.openxmlformats.org/officeDocument/2006/relationships/hyperlink" Target="https://t.me/ITSecurityWorld" TargetMode="External"/><Relationship Id="rId1035" Type="http://schemas.openxmlformats.org/officeDocument/2006/relationships/hyperlink" Target="https://twitter.com/golabiist/status/1045201891813216256" TargetMode="External"/><Relationship Id="rId1242" Type="http://schemas.openxmlformats.org/officeDocument/2006/relationships/hyperlink" Target="https://pbs.twimg.com/media/DoCbpeWXsAAh5jX.jpg" TargetMode="External"/><Relationship Id="rId917" Type="http://schemas.openxmlformats.org/officeDocument/2006/relationships/hyperlink" Target="https://pbs.twimg.com/media/DoFteZPXcAYp15X.jpg" TargetMode="External"/><Relationship Id="rId1102" Type="http://schemas.openxmlformats.org/officeDocument/2006/relationships/hyperlink" Target="https://pbs.twimg.com/media/DoEeTw8WsAMkJCQ.jpg" TargetMode="External"/><Relationship Id="rId1547" Type="http://schemas.openxmlformats.org/officeDocument/2006/relationships/hyperlink" Target="https://telegram.me/harfbzanbot?start=4GD8072" TargetMode="External"/><Relationship Id="rId46" Type="http://schemas.openxmlformats.org/officeDocument/2006/relationships/hyperlink" Target="https://pbs.twimg.com/media/DoQ22E2VYAAweVO.jpg" TargetMode="External"/><Relationship Id="rId1407" Type="http://schemas.openxmlformats.org/officeDocument/2006/relationships/hyperlink" Target="https://t.me/amitanha" TargetMode="External"/><Relationship Id="rId1614" Type="http://schemas.openxmlformats.org/officeDocument/2006/relationships/hyperlink" Target="https://www.instagram.com/tahamajidii/" TargetMode="External"/><Relationship Id="rId195" Type="http://schemas.openxmlformats.org/officeDocument/2006/relationships/hyperlink" Target="https://t.me/Babak_Daryabak" TargetMode="External"/><Relationship Id="rId262" Type="http://schemas.openxmlformats.org/officeDocument/2006/relationships/hyperlink" Target="https://khabar-fouri.com/" TargetMode="External"/><Relationship Id="rId567" Type="http://schemas.openxmlformats.org/officeDocument/2006/relationships/hyperlink" Target="https://pbs.twimg.com/media/DoHKmaWXsAAWEDD.jpg" TargetMode="External"/><Relationship Id="rId1197" Type="http://schemas.openxmlformats.org/officeDocument/2006/relationships/hyperlink" Target="https://pbs.twimg.com/media/DoATmi3XUAEwAFm.jpg" TargetMode="External"/><Relationship Id="rId122" Type="http://schemas.openxmlformats.org/officeDocument/2006/relationships/hyperlink" Target="https://pbs.twimg.com/media/DoMtytEXkAAoxYx.jpg" TargetMode="External"/><Relationship Id="rId774" Type="http://schemas.openxmlformats.org/officeDocument/2006/relationships/hyperlink" Target="http://zardpress.wordpress.com/" TargetMode="External"/><Relationship Id="rId981" Type="http://schemas.openxmlformats.org/officeDocument/2006/relationships/hyperlink" Target="https://pbs.twimg.com/media/DoFaKZVWsAA3ADP.jpg" TargetMode="External"/><Relationship Id="rId1057" Type="http://schemas.openxmlformats.org/officeDocument/2006/relationships/hyperlink" Target="https://pbs.twimg.com/media/DoFI9y1XUAA6pxt.jpg" TargetMode="External"/><Relationship Id="rId427" Type="http://schemas.openxmlformats.org/officeDocument/2006/relationships/hyperlink" Target="https://pbs.twimg.com/media/DoH2U0FXsAAknYE.jpg" TargetMode="External"/><Relationship Id="rId634" Type="http://schemas.openxmlformats.org/officeDocument/2006/relationships/hyperlink" Target="https://fa.wikipedia.org/wiki/%D8%B9%D9%84%DB%8C_%D8%B9%D8%A8%D8%AF%D9%87" TargetMode="External"/><Relationship Id="rId841" Type="http://schemas.openxmlformats.org/officeDocument/2006/relationships/hyperlink" Target="https://pbs.twimg.com/media/DoGBnizXgAAmgz4.jpg" TargetMode="External"/><Relationship Id="rId1264" Type="http://schemas.openxmlformats.org/officeDocument/2006/relationships/hyperlink" Target="http://pic.twitter.com/Jfk9biAkno" TargetMode="External"/><Relationship Id="rId1471" Type="http://schemas.openxmlformats.org/officeDocument/2006/relationships/hyperlink" Target="http://pic.twitter.com/TR8JFj8cGH" TargetMode="External"/><Relationship Id="rId1569" Type="http://schemas.openxmlformats.org/officeDocument/2006/relationships/hyperlink" Target="https://telegram.me/harfbzanbot?start=XlBByvl" TargetMode="External"/><Relationship Id="rId701" Type="http://schemas.openxmlformats.org/officeDocument/2006/relationships/hyperlink" Target="http://pic.twitter.com/HoF0ww8nvx" TargetMode="External"/><Relationship Id="rId939" Type="http://schemas.openxmlformats.org/officeDocument/2006/relationships/hyperlink" Target="http://arvancloud.com/" TargetMode="External"/><Relationship Id="rId1124" Type="http://schemas.openxmlformats.org/officeDocument/2006/relationships/hyperlink" Target="https://instagram.com/babakghannad/" TargetMode="External"/><Relationship Id="rId1331" Type="http://schemas.openxmlformats.org/officeDocument/2006/relationships/hyperlink" Target="https://telegram.me/HarfBeManBot?start=MTIxMTg4Mzk5" TargetMode="External"/><Relationship Id="rId68" Type="http://schemas.openxmlformats.org/officeDocument/2006/relationships/hyperlink" Target="https://pbs.twimg.com/media/DoP5M7iV4AAlwcN.jpg" TargetMode="External"/><Relationship Id="rId1429" Type="http://schemas.openxmlformats.org/officeDocument/2006/relationships/hyperlink" Target="https://pbs.twimg.com/media/DoCbpeWXsAAh5jX.jpg" TargetMode="External"/><Relationship Id="rId1636" Type="http://schemas.openxmlformats.org/officeDocument/2006/relationships/hyperlink" Target="http://www.mizanonline.com/fa/photo" TargetMode="External"/><Relationship Id="rId284" Type="http://schemas.openxmlformats.org/officeDocument/2006/relationships/hyperlink" Target="https://pbs.twimg.com/media/DoI7v65WsAAqKOq.jpg" TargetMode="External"/><Relationship Id="rId491" Type="http://schemas.openxmlformats.org/officeDocument/2006/relationships/hyperlink" Target="http://soheil.fa/" TargetMode="External"/><Relationship Id="rId144" Type="http://schemas.openxmlformats.org/officeDocument/2006/relationships/hyperlink" Target="http://www.farsnews.com/" TargetMode="External"/><Relationship Id="rId589" Type="http://schemas.openxmlformats.org/officeDocument/2006/relationships/hyperlink" Target="http://ameer.ir/" TargetMode="External"/><Relationship Id="rId796" Type="http://schemas.openxmlformats.org/officeDocument/2006/relationships/hyperlink" Target="https://pbs.twimg.com/media/DoGMzOWXUAANojB.jpg" TargetMode="External"/><Relationship Id="rId351" Type="http://schemas.openxmlformats.org/officeDocument/2006/relationships/hyperlink" Target="http://almahdyoon.org/" TargetMode="External"/><Relationship Id="rId449" Type="http://schemas.openxmlformats.org/officeDocument/2006/relationships/hyperlink" Target="https://pbs.twimg.com/media/DoHuzoMVsAAFHox.jpg" TargetMode="External"/><Relationship Id="rId656" Type="http://schemas.openxmlformats.org/officeDocument/2006/relationships/hyperlink" Target="http://sharghdaily.ir/" TargetMode="External"/><Relationship Id="rId863" Type="http://schemas.openxmlformats.org/officeDocument/2006/relationships/hyperlink" Target="https://pbs.twimg.com/media/DoF90SlUUAEL8s-.jpg" TargetMode="External"/><Relationship Id="rId1079" Type="http://schemas.openxmlformats.org/officeDocument/2006/relationships/hyperlink" Target="http://www.jamejamonline.ir/" TargetMode="External"/><Relationship Id="rId1286" Type="http://schemas.openxmlformats.org/officeDocument/2006/relationships/hyperlink" Target="https://twitter.com/_Zahra72_/status/1045053458037051392" TargetMode="External"/><Relationship Id="rId1493" Type="http://schemas.openxmlformats.org/officeDocument/2006/relationships/hyperlink" Target="https://www.instagram.com/paroosi_sho" TargetMode="External"/><Relationship Id="rId211" Type="http://schemas.openxmlformats.org/officeDocument/2006/relationships/hyperlink" Target="https://instagram.com/mzf13" TargetMode="External"/><Relationship Id="rId309" Type="http://schemas.openxmlformats.org/officeDocument/2006/relationships/hyperlink" Target="http://pic.twitter.com/NnoTnU8GRl" TargetMode="External"/><Relationship Id="rId516" Type="http://schemas.openxmlformats.org/officeDocument/2006/relationships/hyperlink" Target="https://twitter.com/AbdolrezaDavari/status/1045319276545085441" TargetMode="External"/><Relationship Id="rId1146" Type="http://schemas.openxmlformats.org/officeDocument/2006/relationships/hyperlink" Target="http://english.sina.com/index.html" TargetMode="External"/><Relationship Id="rId723" Type="http://schemas.openxmlformats.org/officeDocument/2006/relationships/hyperlink" Target="http://telegram.me/aminassadi" TargetMode="External"/><Relationship Id="rId930" Type="http://schemas.openxmlformats.org/officeDocument/2006/relationships/hyperlink" Target="http://pic.twitter.com/k5ux8ojrAA" TargetMode="External"/><Relationship Id="rId1006" Type="http://schemas.openxmlformats.org/officeDocument/2006/relationships/hyperlink" Target="https://twitter.com/ImperialGrdIR/status/1045210733900951553" TargetMode="External"/><Relationship Id="rId1353" Type="http://schemas.openxmlformats.org/officeDocument/2006/relationships/hyperlink" Target="https://t.me/ALIJAZAYERI82" TargetMode="External"/><Relationship Id="rId1560" Type="http://schemas.openxmlformats.org/officeDocument/2006/relationships/hyperlink" Target="https://pbs.twimg.com/media/DoCTAYPXoAEdz5T.jpg" TargetMode="External"/><Relationship Id="rId1658" Type="http://schemas.openxmlformats.org/officeDocument/2006/relationships/hyperlink" Target="https://pbs.twimg.com/media/DoAUpF6X0AApGBZ.jpg" TargetMode="External"/><Relationship Id="rId1213" Type="http://schemas.openxmlformats.org/officeDocument/2006/relationships/hyperlink" Target="http://www.khabarvarzeshi.com/" TargetMode="External"/><Relationship Id="rId1420" Type="http://schemas.openxmlformats.org/officeDocument/2006/relationships/hyperlink" Target="https://pbs.twimg.com/media/DoCbpeWXsAAh5jX.jpg" TargetMode="External"/><Relationship Id="rId1518" Type="http://schemas.openxmlformats.org/officeDocument/2006/relationships/hyperlink" Target="https://pbs.twimg.com/media/DoCSee_XkAAk5rN.jpg" TargetMode="External"/><Relationship Id="rId17" Type="http://schemas.openxmlformats.org/officeDocument/2006/relationships/hyperlink" Target="http://piroozidaily.ir/" TargetMode="External"/><Relationship Id="rId166" Type="http://schemas.openxmlformats.org/officeDocument/2006/relationships/hyperlink" Target="http://goo.gl/5KtgUZ" TargetMode="External"/><Relationship Id="rId373" Type="http://schemas.openxmlformats.org/officeDocument/2006/relationships/hyperlink" Target="https://sport.shafaqna.com/FA/221545/" TargetMode="External"/><Relationship Id="rId580" Type="http://schemas.openxmlformats.org/officeDocument/2006/relationships/hyperlink" Target="http://t.me/the_divane" TargetMode="External"/><Relationship Id="rId1" Type="http://schemas.openxmlformats.org/officeDocument/2006/relationships/hyperlink" Target="http://telegram.me/masoud_bazmara" TargetMode="External"/><Relationship Id="rId233" Type="http://schemas.openxmlformats.org/officeDocument/2006/relationships/hyperlink" Target="http://www.bbcpersian.com/sport" TargetMode="External"/><Relationship Id="rId440" Type="http://schemas.openxmlformats.org/officeDocument/2006/relationships/hyperlink" Target="http://www.trt.net.tr/persian/wrzsh/2018/09/27/bzy-prspwlys-w-stqll-bdwn-gl-pyn-yft-1058139" TargetMode="External"/><Relationship Id="rId678" Type="http://schemas.openxmlformats.org/officeDocument/2006/relationships/hyperlink" Target="https://www.linkedin.com/in/arastuq" TargetMode="External"/><Relationship Id="rId885" Type="http://schemas.openxmlformats.org/officeDocument/2006/relationships/hyperlink" Target="https://pbs.twimg.com/media/DoF0z0eXUAY4sBW.jpg" TargetMode="External"/><Relationship Id="rId1070" Type="http://schemas.openxmlformats.org/officeDocument/2006/relationships/hyperlink" Target="https://telegram.me/HarfBeManBot?start=NjE0Mjk0MTY5" TargetMode="External"/><Relationship Id="rId300" Type="http://schemas.openxmlformats.org/officeDocument/2006/relationships/hyperlink" Target="http://almahdyoon.co/" TargetMode="External"/><Relationship Id="rId538" Type="http://schemas.openxmlformats.org/officeDocument/2006/relationships/hyperlink" Target="http://www.fcesteghlal.ir/" TargetMode="External"/><Relationship Id="rId745" Type="http://schemas.openxmlformats.org/officeDocument/2006/relationships/hyperlink" Target="http://github.com/msudgh" TargetMode="External"/><Relationship Id="rId952" Type="http://schemas.openxmlformats.org/officeDocument/2006/relationships/hyperlink" Target="https://pbs.twimg.com/media/DoFjc20W0AAAdIg.jpg" TargetMode="External"/><Relationship Id="rId1168" Type="http://schemas.openxmlformats.org/officeDocument/2006/relationships/hyperlink" Target="https://pbs.twimg.com/media/DoEdDQMXUAAkffj.jpg" TargetMode="External"/><Relationship Id="rId1375" Type="http://schemas.openxmlformats.org/officeDocument/2006/relationships/hyperlink" Target="https://telegram.me/HarfBeManBot?start=NDg5NDA1OTA4" TargetMode="External"/><Relationship Id="rId1582" Type="http://schemas.openxmlformats.org/officeDocument/2006/relationships/hyperlink" Target="https://pbs.twimg.com/media/DoCKw2WWsAAlI9P.jpg" TargetMode="External"/><Relationship Id="rId81" Type="http://schemas.openxmlformats.org/officeDocument/2006/relationships/hyperlink" Target="https://pbs.twimg.com/media/DoPOSdIXcAATZFt.jpg" TargetMode="External"/><Relationship Id="rId605" Type="http://schemas.openxmlformats.org/officeDocument/2006/relationships/hyperlink" Target="https://twitter.com/majidazarpey/status/982624460074246144?s=19" TargetMode="External"/><Relationship Id="rId812" Type="http://schemas.openxmlformats.org/officeDocument/2006/relationships/hyperlink" Target="http://about.me/sinahal" TargetMode="External"/><Relationship Id="rId1028" Type="http://schemas.openxmlformats.org/officeDocument/2006/relationships/hyperlink" Target="https://khodnevissblog.wordpress.com/" TargetMode="External"/><Relationship Id="rId1235" Type="http://schemas.openxmlformats.org/officeDocument/2006/relationships/hyperlink" Target="https://t.me/Tell4Me_bot?start=604146637" TargetMode="External"/><Relationship Id="rId1442" Type="http://schemas.openxmlformats.org/officeDocument/2006/relationships/hyperlink" Target="https://pbs.twimg.com/media/DoCpPmiWsAALarX.jpg" TargetMode="External"/><Relationship Id="rId1302" Type="http://schemas.openxmlformats.org/officeDocument/2006/relationships/hyperlink" Target="https://pbs.twimg.com/media/DoCbpeWXsAAh5jX.jpg" TargetMode="External"/><Relationship Id="rId39" Type="http://schemas.openxmlformats.org/officeDocument/2006/relationships/hyperlink" Target="https://pbs.twimg.com/media/DoQ-yEmXcAIKNWo.jpg" TargetMode="External"/><Relationship Id="rId1607" Type="http://schemas.openxmlformats.org/officeDocument/2006/relationships/hyperlink" Target="http://pic.twitter.com/1RHEVnT1t5" TargetMode="External"/><Relationship Id="rId188" Type="http://schemas.openxmlformats.org/officeDocument/2006/relationships/hyperlink" Target="https://www.facebook.com/bakterixaan/" TargetMode="External"/><Relationship Id="rId395" Type="http://schemas.openxmlformats.org/officeDocument/2006/relationships/hyperlink" Target="https://pbs.twimg.com/media/DoH9cewXgAEO00N.jpg" TargetMode="External"/><Relationship Id="rId255" Type="http://schemas.openxmlformats.org/officeDocument/2006/relationships/hyperlink" Target="https://khabar-fouri.com/" TargetMode="External"/><Relationship Id="rId462" Type="http://schemas.openxmlformats.org/officeDocument/2006/relationships/hyperlink" Target="http://phhtc.ir/" TargetMode="External"/><Relationship Id="rId1092" Type="http://schemas.openxmlformats.org/officeDocument/2006/relationships/hyperlink" Target="https://pbs.twimg.com/media/DoEwrubXUAYH91b.jpg" TargetMode="External"/><Relationship Id="rId1397" Type="http://schemas.openxmlformats.org/officeDocument/2006/relationships/hyperlink" Target="https://pbs.twimg.com/media/DoCbpeWXsAAh5jX.jpg" TargetMode="External"/><Relationship Id="rId115" Type="http://schemas.openxmlformats.org/officeDocument/2006/relationships/hyperlink" Target="https://pbs.twimg.com/media/DoM7Q6-XgAEC1mU.jpg" TargetMode="External"/><Relationship Id="rId322" Type="http://schemas.openxmlformats.org/officeDocument/2006/relationships/hyperlink" Target="http://goo.gl/zWtRRx" TargetMode="External"/><Relationship Id="rId767" Type="http://schemas.openxmlformats.org/officeDocument/2006/relationships/hyperlink" Target="https://pbs.twimg.com/media/DjGT3IrVAAEClxa.jpg" TargetMode="External"/><Relationship Id="rId974" Type="http://schemas.openxmlformats.org/officeDocument/2006/relationships/hyperlink" Target="https://pbs.twimg.com/media/DoFbpHnWsAA4owh.jpg" TargetMode="External"/><Relationship Id="rId627" Type="http://schemas.openxmlformats.org/officeDocument/2006/relationships/hyperlink" Target="https://twitter.com/ma_aminy/status/1045316547424718849" TargetMode="External"/><Relationship Id="rId834" Type="http://schemas.openxmlformats.org/officeDocument/2006/relationships/hyperlink" Target="http://p.tispun.com/" TargetMode="External"/><Relationship Id="rId1257" Type="http://schemas.openxmlformats.org/officeDocument/2006/relationships/hyperlink" Target="https://twitter.com/aaarhaaam/status/1045071535298543616" TargetMode="External"/><Relationship Id="rId1464" Type="http://schemas.openxmlformats.org/officeDocument/2006/relationships/hyperlink" Target="https://pbs.twimg.com/media/DoClclbWkAIgZwT.jpg" TargetMode="External"/><Relationship Id="rId1671" Type="http://schemas.openxmlformats.org/officeDocument/2006/relationships/hyperlink" Target="http://www.yjc.ir/" TargetMode="External"/><Relationship Id="rId901" Type="http://schemas.openxmlformats.org/officeDocument/2006/relationships/hyperlink" Target="http://telewebion.com/" TargetMode="External"/><Relationship Id="rId1117" Type="http://schemas.openxmlformats.org/officeDocument/2006/relationships/hyperlink" Target="http://www.khabarvarzeshi.com/" TargetMode="External"/><Relationship Id="rId1324" Type="http://schemas.openxmlformats.org/officeDocument/2006/relationships/hyperlink" Target="https://pbs.twimg.com/media/DoC1QM2XUAAZP4M.jpg" TargetMode="External"/><Relationship Id="rId1531" Type="http://schemas.openxmlformats.org/officeDocument/2006/relationships/hyperlink" Target="https://twitter.com/alirrezazzz/status/1041769066158022656" TargetMode="External"/><Relationship Id="rId30" Type="http://schemas.openxmlformats.org/officeDocument/2006/relationships/hyperlink" Target="http://pic.twitter.com/46PJiZlfTr" TargetMode="External"/><Relationship Id="rId1629" Type="http://schemas.openxmlformats.org/officeDocument/2006/relationships/hyperlink" Target="http://fc-perspolis.com/" TargetMode="External"/><Relationship Id="rId277" Type="http://schemas.openxmlformats.org/officeDocument/2006/relationships/hyperlink" Target="http://instagram.com/enghelabi.b" TargetMode="External"/><Relationship Id="rId484" Type="http://schemas.openxmlformats.org/officeDocument/2006/relationships/hyperlink" Target="http://instagram.com/hamed_sh80" TargetMode="External"/><Relationship Id="rId137" Type="http://schemas.openxmlformats.org/officeDocument/2006/relationships/hyperlink" Target="http://sharghdaily.ir/" TargetMode="External"/><Relationship Id="rId344" Type="http://schemas.openxmlformats.org/officeDocument/2006/relationships/hyperlink" Target="https://telegram.me/HarfBeManBot?start=MTAwODgzNzAy" TargetMode="External"/><Relationship Id="rId691" Type="http://schemas.openxmlformats.org/officeDocument/2006/relationships/hyperlink" Target="https://pbs.twimg.com/media/DoGq3oPXgAA6fLZ.jpg" TargetMode="External"/><Relationship Id="rId789" Type="http://schemas.openxmlformats.org/officeDocument/2006/relationships/hyperlink" Target="http://www.bbcpersian.com/sport" TargetMode="External"/><Relationship Id="rId996" Type="http://schemas.openxmlformats.org/officeDocument/2006/relationships/hyperlink" Target="https://www.instagram.com/panjereh_cafe/" TargetMode="External"/><Relationship Id="rId551" Type="http://schemas.openxmlformats.org/officeDocument/2006/relationships/hyperlink" Target="http://instagram.com/hvafa1983" TargetMode="External"/><Relationship Id="rId649" Type="http://schemas.openxmlformats.org/officeDocument/2006/relationships/hyperlink" Target="http://instagram.com/kamranbaranji" TargetMode="External"/><Relationship Id="rId856" Type="http://schemas.openxmlformats.org/officeDocument/2006/relationships/hyperlink" Target="https://dalghakirani.blogspot.co.uk/" TargetMode="External"/><Relationship Id="rId1181" Type="http://schemas.openxmlformats.org/officeDocument/2006/relationships/hyperlink" Target="https://pbs.twimg.com/media/DoCbpeWXsAAh5jX.jpg" TargetMode="External"/><Relationship Id="rId1279" Type="http://schemas.openxmlformats.org/officeDocument/2006/relationships/hyperlink" Target="https://pbs.twimg.com/media/DoDQCQJW0AAyvyJ.jpg" TargetMode="External"/><Relationship Id="rId1486" Type="http://schemas.openxmlformats.org/officeDocument/2006/relationships/hyperlink" Target="http://www.aftabeyazd.ir/" TargetMode="External"/><Relationship Id="rId204" Type="http://schemas.openxmlformats.org/officeDocument/2006/relationships/hyperlink" Target="http://zoomit.ir/" TargetMode="External"/><Relationship Id="rId411" Type="http://schemas.openxmlformats.org/officeDocument/2006/relationships/hyperlink" Target="http://www.facebook.com/iranteamfootball" TargetMode="External"/><Relationship Id="rId509" Type="http://schemas.openxmlformats.org/officeDocument/2006/relationships/hyperlink" Target="http://mohammad-karimi.ir/" TargetMode="External"/><Relationship Id="rId1041" Type="http://schemas.openxmlformats.org/officeDocument/2006/relationships/hyperlink" Target="https://pbs.twimg.com/media/DoFMhFHVsAAQvmA.jpg" TargetMode="External"/><Relationship Id="rId1139" Type="http://schemas.openxmlformats.org/officeDocument/2006/relationships/hyperlink" Target="https://twitter.com/_Zahra72_/status/1045053458037051392" TargetMode="External"/><Relationship Id="rId1346" Type="http://schemas.openxmlformats.org/officeDocument/2006/relationships/hyperlink" Target="https://telegram.me/harfbzanbot?start=qy7jabV" TargetMode="External"/><Relationship Id="rId716" Type="http://schemas.openxmlformats.org/officeDocument/2006/relationships/hyperlink" Target="https://pbs.twimg.com/media/DoGgOqxU0AMJ-_Z.jpg" TargetMode="External"/><Relationship Id="rId923" Type="http://schemas.openxmlformats.org/officeDocument/2006/relationships/hyperlink" Target="http://t.me/arefsmart/" TargetMode="External"/><Relationship Id="rId1553" Type="http://schemas.openxmlformats.org/officeDocument/2006/relationships/hyperlink" Target="https://telegram.me/harfbzanbot?start=4GD8072" TargetMode="External"/><Relationship Id="rId52" Type="http://schemas.openxmlformats.org/officeDocument/2006/relationships/hyperlink" Target="http://www.fcesteghlalclub.ir/" TargetMode="External"/><Relationship Id="rId1206" Type="http://schemas.openxmlformats.org/officeDocument/2006/relationships/hyperlink" Target="https://pbs.twimg.com/media/DoDsnnLXUAAIETn.jpg" TargetMode="External"/><Relationship Id="rId1413" Type="http://schemas.openxmlformats.org/officeDocument/2006/relationships/hyperlink" Target="https://pbs.twimg.com/media/DoCbpeWXsAAh5jX.jpg" TargetMode="External"/><Relationship Id="rId1620" Type="http://schemas.openxmlformats.org/officeDocument/2006/relationships/hyperlink" Target="http://goo.gl/GWDzZF" TargetMode="External"/><Relationship Id="rId299" Type="http://schemas.openxmlformats.org/officeDocument/2006/relationships/hyperlink" Target="https://pbs.twimg.com/media/DoIrNSYU4AAk0cT.jpg" TargetMode="External"/><Relationship Id="rId159" Type="http://schemas.openxmlformats.org/officeDocument/2006/relationships/hyperlink" Target="https://www.isna.ir/news/97070302072/%D8%B4%DA%A9%D8%A7%DB%8C%D8%AA-%D9%86%D9%85%D8%A7%DB%8C%D9%86%D8%AF%DA%AF%D8%A7%D9%86-%D9%85%D8%AC%D9%84%D8%B3-%D8%B9%D9%84%DB%8C%D9%87-%DB%8C%DA%A9-%D9%BE%D8%B1%D8%B3%D9%BE%D9%88%D9%84%DB%8C%D8%B3%DB%8C" TargetMode="External"/><Relationship Id="rId366" Type="http://schemas.openxmlformats.org/officeDocument/2006/relationships/hyperlink" Target="https://pbs.twimg.com/media/DoIPWArXoAAOiWS.jpg" TargetMode="External"/><Relationship Id="rId573" Type="http://schemas.openxmlformats.org/officeDocument/2006/relationships/hyperlink" Target="http://calcioiraniano.altervista.org/" TargetMode="External"/><Relationship Id="rId780" Type="http://schemas.openxmlformats.org/officeDocument/2006/relationships/hyperlink" Target="https://pbs.twimg.com/media/DoGPvHLW0AANNou.jpg" TargetMode="External"/><Relationship Id="rId226" Type="http://schemas.openxmlformats.org/officeDocument/2006/relationships/hyperlink" Target="http://pic.twitter.com/zz6yQcsRc6" TargetMode="External"/><Relationship Id="rId433" Type="http://schemas.openxmlformats.org/officeDocument/2006/relationships/hyperlink" Target="https://pbs.twimg.com/media/DoHzIbYX0AAYpFF.jpg" TargetMode="External"/><Relationship Id="rId878" Type="http://schemas.openxmlformats.org/officeDocument/2006/relationships/hyperlink" Target="http://www.fcesteghlal.ir/" TargetMode="External"/><Relationship Id="rId1063" Type="http://schemas.openxmlformats.org/officeDocument/2006/relationships/hyperlink" Target="https://t.me/RadioOffside" TargetMode="External"/><Relationship Id="rId1270" Type="http://schemas.openxmlformats.org/officeDocument/2006/relationships/hyperlink" Target="https://pbs.twimg.com/media/DoDHmdCUcAAiJWf.jpg" TargetMode="External"/><Relationship Id="rId640" Type="http://schemas.openxmlformats.org/officeDocument/2006/relationships/hyperlink" Target="http://instagram.com/miladeyz" TargetMode="External"/><Relationship Id="rId738" Type="http://schemas.openxmlformats.org/officeDocument/2006/relationships/hyperlink" Target="https://pbs.twimg.com/media/DoGeCvpW0AIdgiI.jpg" TargetMode="External"/><Relationship Id="rId945" Type="http://schemas.openxmlformats.org/officeDocument/2006/relationships/hyperlink" Target="http://t.me/boxemotions" TargetMode="External"/><Relationship Id="rId1368" Type="http://schemas.openxmlformats.org/officeDocument/2006/relationships/hyperlink" Target="https://instagram.com/cafeark?utm_source=ig_profile_share&amp;igshid=1vqv2g3f5814w" TargetMode="External"/><Relationship Id="rId1575" Type="http://schemas.openxmlformats.org/officeDocument/2006/relationships/hyperlink" Target="https://pbs.twimg.com/media/DoApY0YWkAEE6U9.jpg" TargetMode="External"/><Relationship Id="rId74" Type="http://schemas.openxmlformats.org/officeDocument/2006/relationships/hyperlink" Target="http://piroozidaily.ir/" TargetMode="External"/><Relationship Id="rId500" Type="http://schemas.openxmlformats.org/officeDocument/2006/relationships/hyperlink" Target="https://pbs.twimg.com/media/DoHkcm9XkAEn4mv.jpg" TargetMode="External"/><Relationship Id="rId805" Type="http://schemas.openxmlformats.org/officeDocument/2006/relationships/hyperlink" Target="https://twitter.com/talkhdash/status/1045269117022994432" TargetMode="External"/><Relationship Id="rId1130" Type="http://schemas.openxmlformats.org/officeDocument/2006/relationships/hyperlink" Target="https://twitter.com/KohnavardTanha/status/1045069485462487040" TargetMode="External"/><Relationship Id="rId1228" Type="http://schemas.openxmlformats.org/officeDocument/2006/relationships/hyperlink" Target="http://shima.sh/" TargetMode="External"/><Relationship Id="rId1435" Type="http://schemas.openxmlformats.org/officeDocument/2006/relationships/hyperlink" Target="https://telegram.me/HarfBeManBot?start=NzY4MzcyNjI" TargetMode="External"/><Relationship Id="rId1642" Type="http://schemas.openxmlformats.org/officeDocument/2006/relationships/hyperlink" Target="https://pbs.twimg.com/media/DoByMRFUcAAzUkV.jpg" TargetMode="External"/><Relationship Id="rId1502" Type="http://schemas.openxmlformats.org/officeDocument/2006/relationships/hyperlink" Target="https://pbs.twimg.com/media/DoCGrpCWkAAmU-0.jpg" TargetMode="External"/><Relationship Id="rId290" Type="http://schemas.openxmlformats.org/officeDocument/2006/relationships/hyperlink" Target="https://t.me/trenditter" TargetMode="External"/><Relationship Id="rId388" Type="http://schemas.openxmlformats.org/officeDocument/2006/relationships/hyperlink" Target="https://pbs.twimg.com/media/DoH_-EiUcAAu4Za.jpg" TargetMode="External"/><Relationship Id="rId150" Type="http://schemas.openxmlformats.org/officeDocument/2006/relationships/hyperlink" Target="https://instagram.com/babakghannad/" TargetMode="External"/><Relationship Id="rId595" Type="http://schemas.openxmlformats.org/officeDocument/2006/relationships/hyperlink" Target="https://www.instagram.com/jafar_usf/" TargetMode="External"/><Relationship Id="rId248" Type="http://schemas.openxmlformats.org/officeDocument/2006/relationships/hyperlink" Target="https://pbs.twimg.com/media/DoKmkidWsAAt4oQ.jpg" TargetMode="External"/><Relationship Id="rId455" Type="http://schemas.openxmlformats.org/officeDocument/2006/relationships/hyperlink" Target="https://pbs.twimg.com/media/DoHuDp8X0AAJKkO.jpg" TargetMode="External"/><Relationship Id="rId662" Type="http://schemas.openxmlformats.org/officeDocument/2006/relationships/hyperlink" Target="https://twitter.com/sarasansiro2001/status/1045272186859245575" TargetMode="External"/><Relationship Id="rId1085" Type="http://schemas.openxmlformats.org/officeDocument/2006/relationships/hyperlink" Target="http://instagram.com/mohmd.h.vahedi" TargetMode="External"/><Relationship Id="rId1292" Type="http://schemas.openxmlformats.org/officeDocument/2006/relationships/hyperlink" Target="https://pbs.twimg.com/media/DoApY0YWkAEE6U9.jpg" TargetMode="External"/><Relationship Id="rId108" Type="http://schemas.openxmlformats.org/officeDocument/2006/relationships/hyperlink" Target="https://twitter.com/HosseinMahini/status/1045612742600806401" TargetMode="External"/><Relationship Id="rId315" Type="http://schemas.openxmlformats.org/officeDocument/2006/relationships/hyperlink" Target="http://iran-varzeshi.com/" TargetMode="External"/><Relationship Id="rId522" Type="http://schemas.openxmlformats.org/officeDocument/2006/relationships/hyperlink" Target="https://pbs.twimg.com/media/DoHifvjUUAACqRP.jpg" TargetMode="External"/><Relationship Id="rId967" Type="http://schemas.openxmlformats.org/officeDocument/2006/relationships/hyperlink" Target="https://pbs.twimg.com/media/DoFfWw9XUAAcOzM.jpg" TargetMode="External"/><Relationship Id="rId1152" Type="http://schemas.openxmlformats.org/officeDocument/2006/relationships/hyperlink" Target="https://twitter.com/ranarahimpour/status/1045003794059350022" TargetMode="External"/><Relationship Id="rId1597" Type="http://schemas.openxmlformats.org/officeDocument/2006/relationships/hyperlink" Target="https://pbs.twimg.com/media/DjBnDL4XsAA1wOP.jpg" TargetMode="External"/><Relationship Id="rId96" Type="http://schemas.openxmlformats.org/officeDocument/2006/relationships/hyperlink" Target="http://instagram.com/footballrooz" TargetMode="External"/><Relationship Id="rId827" Type="http://schemas.openxmlformats.org/officeDocument/2006/relationships/hyperlink" Target="https://www.radiozamaneh.com/413694" TargetMode="External"/><Relationship Id="rId1012" Type="http://schemas.openxmlformats.org/officeDocument/2006/relationships/hyperlink" Target="http://www.rezapahlavi.org/" TargetMode="External"/><Relationship Id="rId1457" Type="http://schemas.openxmlformats.org/officeDocument/2006/relationships/hyperlink" Target="https://t.me/DorostNevisiOfficial" TargetMode="External"/><Relationship Id="rId1664" Type="http://schemas.openxmlformats.org/officeDocument/2006/relationships/hyperlink" Target="https://sport.shafaqna.com/FA/221222/" TargetMode="External"/><Relationship Id="rId1317" Type="http://schemas.openxmlformats.org/officeDocument/2006/relationships/hyperlink" Target="http://telegram.me/parsatavakolii" TargetMode="External"/><Relationship Id="rId1524" Type="http://schemas.openxmlformats.org/officeDocument/2006/relationships/hyperlink" Target="https://pbs.twimg.com/media/DoCSee_XkAAk5rN.jpg" TargetMode="External"/><Relationship Id="rId23" Type="http://schemas.openxmlformats.org/officeDocument/2006/relationships/hyperlink" Target="https://calcioiraniano.altervista.org/esteghlal-persepolis-0-0-botte-rabbia-delusione/" TargetMode="External"/><Relationship Id="rId172" Type="http://schemas.openxmlformats.org/officeDocument/2006/relationships/hyperlink" Target="https://pbs.twimg.com/media/DoL8YTDXUAEDett.jpg" TargetMode="External"/><Relationship Id="rId477" Type="http://schemas.openxmlformats.org/officeDocument/2006/relationships/hyperlink" Target="http://goo.gl/m2bf9G" TargetMode="External"/><Relationship Id="rId684" Type="http://schemas.openxmlformats.org/officeDocument/2006/relationships/hyperlink" Target="https://pbs.twimg.com/media/DoGsA5UXoAApL4f.jpg" TargetMode="External"/><Relationship Id="rId337" Type="http://schemas.openxmlformats.org/officeDocument/2006/relationships/hyperlink" Target="https://telegram.me/HarfBeManBot?start=NjQ5ODM1ODc2" TargetMode="External"/><Relationship Id="rId891" Type="http://schemas.openxmlformats.org/officeDocument/2006/relationships/hyperlink" Target="http://blog.wonderfulme.eu/" TargetMode="External"/><Relationship Id="rId989" Type="http://schemas.openxmlformats.org/officeDocument/2006/relationships/hyperlink" Target="https://www.youtube.com/channel/UC6IHWIyYckeu04J9yOPl_vA" TargetMode="External"/><Relationship Id="rId544" Type="http://schemas.openxmlformats.org/officeDocument/2006/relationships/hyperlink" Target="https://www.facebook.com/farzane.ebrahimzade" TargetMode="External"/><Relationship Id="rId751" Type="http://schemas.openxmlformats.org/officeDocument/2006/relationships/hyperlink" Target="http://etemaadonline.ir/" TargetMode="External"/><Relationship Id="rId849" Type="http://schemas.openxmlformats.org/officeDocument/2006/relationships/hyperlink" Target="https://pbs.twimg.com/media/DoF6bm7XsAA_f8G.jpg" TargetMode="External"/><Relationship Id="rId1174" Type="http://schemas.openxmlformats.org/officeDocument/2006/relationships/hyperlink" Target="https://pbs.twimg.com/media/DoEIeVAXcAE1bRx.jpg" TargetMode="External"/><Relationship Id="rId1381" Type="http://schemas.openxmlformats.org/officeDocument/2006/relationships/hyperlink" Target="https://pbs.twimg.com/media/DoCbpeWXsAAh5jX.jpg" TargetMode="External"/><Relationship Id="rId1479" Type="http://schemas.openxmlformats.org/officeDocument/2006/relationships/hyperlink" Target="https://pbs.twimg.com/media/DoBbh20XcAEadvR.jpg" TargetMode="External"/><Relationship Id="rId404" Type="http://schemas.openxmlformats.org/officeDocument/2006/relationships/hyperlink" Target="https://twitter.com/ehsan_rastgar/status/1045352952398057472" TargetMode="External"/><Relationship Id="rId611" Type="http://schemas.openxmlformats.org/officeDocument/2006/relationships/hyperlink" Target="https://pbs.twimg.com/media/DoG7ylCW0AAghgw.jpg" TargetMode="External"/><Relationship Id="rId1034" Type="http://schemas.openxmlformats.org/officeDocument/2006/relationships/hyperlink" Target="http://www.yjc.ir/" TargetMode="External"/><Relationship Id="rId1241" Type="http://schemas.openxmlformats.org/officeDocument/2006/relationships/hyperlink" Target="http://instagram.com/mohammadamin_talati" TargetMode="External"/><Relationship Id="rId1339" Type="http://schemas.openxmlformats.org/officeDocument/2006/relationships/hyperlink" Target="http://www.09112201135.ir/" TargetMode="External"/><Relationship Id="rId709" Type="http://schemas.openxmlformats.org/officeDocument/2006/relationships/hyperlink" Target="https://telegram.me/dar2delbot?start=send_gv31rYl" TargetMode="External"/><Relationship Id="rId916" Type="http://schemas.openxmlformats.org/officeDocument/2006/relationships/hyperlink" Target="https://www.instagram.com/alirezadarvishgholami" TargetMode="External"/><Relationship Id="rId1101" Type="http://schemas.openxmlformats.org/officeDocument/2006/relationships/hyperlink" Target="https://twitter.com/sarrafsaeed/status/1044660383074652161" TargetMode="External"/><Relationship Id="rId1546" Type="http://schemas.openxmlformats.org/officeDocument/2006/relationships/hyperlink" Target="https://pbs.twimg.com/media/DoCSee_XkAAk5rN.jpg" TargetMode="External"/><Relationship Id="rId45" Type="http://schemas.openxmlformats.org/officeDocument/2006/relationships/hyperlink" Target="http://www.tasnimnews.com/" TargetMode="External"/><Relationship Id="rId1406" Type="http://schemas.openxmlformats.org/officeDocument/2006/relationships/hyperlink" Target="https://pbs.twimg.com/media/DoCsn3pX0AYfKOI.jpg" TargetMode="External"/><Relationship Id="rId1613" Type="http://schemas.openxmlformats.org/officeDocument/2006/relationships/hyperlink" Target="https://pbs.twimg.com/media/DoBsZHPW0AA6pxn.jpg" TargetMode="External"/><Relationship Id="rId194" Type="http://schemas.openxmlformats.org/officeDocument/2006/relationships/hyperlink" Target="https://pbs.twimg.com/media/DoLPH35UYAAsoug.jpg" TargetMode="External"/><Relationship Id="rId261" Type="http://schemas.openxmlformats.org/officeDocument/2006/relationships/hyperlink" Target="https://khabar-fouri.com/" TargetMode="External"/><Relationship Id="rId499" Type="http://schemas.openxmlformats.org/officeDocument/2006/relationships/hyperlink" Target="https://pbs.twimg.com/media/DoHklxgUcAAWT2i.jpg" TargetMode="External"/><Relationship Id="rId359" Type="http://schemas.openxmlformats.org/officeDocument/2006/relationships/hyperlink" Target="https://t.me/BChatBot?start=sc-286011119" TargetMode="External"/><Relationship Id="rId566" Type="http://schemas.openxmlformats.org/officeDocument/2006/relationships/hyperlink" Target="http://www.facebook.com/iranteamfootball" TargetMode="External"/><Relationship Id="rId773" Type="http://schemas.openxmlformats.org/officeDocument/2006/relationships/hyperlink" Target="https://pbs.twimg.com/media/DoGRSNIXkAAPVN-.jpg" TargetMode="External"/><Relationship Id="rId1196" Type="http://schemas.openxmlformats.org/officeDocument/2006/relationships/hyperlink" Target="https://pbs.twimg.com/media/DoD9NQrW0AAfEYi.jpg" TargetMode="External"/><Relationship Id="rId121" Type="http://schemas.openxmlformats.org/officeDocument/2006/relationships/hyperlink" Target="https://pbs.twimg.com/media/DoH4TGMUcAA9zXB.jpg" TargetMode="External"/><Relationship Id="rId219" Type="http://schemas.openxmlformats.org/officeDocument/2006/relationships/hyperlink" Target="https://pbs.twimg.com/media/DoK891bWkAUNKmQ.jpg" TargetMode="External"/><Relationship Id="rId426" Type="http://schemas.openxmlformats.org/officeDocument/2006/relationships/hyperlink" Target="https://t.me/joinchat/Iy8a8FJD3LVYg1mNPzlnyA" TargetMode="External"/><Relationship Id="rId633" Type="http://schemas.openxmlformats.org/officeDocument/2006/relationships/hyperlink" Target="https://pbs.twimg.com/media/DoG6O9UXoAIIi3C.jpg" TargetMode="External"/><Relationship Id="rId980" Type="http://schemas.openxmlformats.org/officeDocument/2006/relationships/hyperlink" Target="https://pbs.twimg.com/media/DoFaXkMXoAAFtFF.jpg" TargetMode="External"/><Relationship Id="rId1056" Type="http://schemas.openxmlformats.org/officeDocument/2006/relationships/hyperlink" Target="https://pbs.twimg.com/media/DoFIqQuWsAAYjY4.jpg" TargetMode="External"/><Relationship Id="rId1263" Type="http://schemas.openxmlformats.org/officeDocument/2006/relationships/hyperlink" Target="https://pbs.twimg.com/media/DoDVn8pXcAApvhp.jpg" TargetMode="External"/><Relationship Id="rId840" Type="http://schemas.openxmlformats.org/officeDocument/2006/relationships/hyperlink" Target="https://telegram.me/harfbzanbot?start=qb7G7N" TargetMode="External"/><Relationship Id="rId938" Type="http://schemas.openxmlformats.org/officeDocument/2006/relationships/hyperlink" Target="https://pbs.twimg.com/media/DoFojRJWkAAa5aV.jpg" TargetMode="External"/><Relationship Id="rId1470" Type="http://schemas.openxmlformats.org/officeDocument/2006/relationships/hyperlink" Target="http://pic.twitter.com/TR8JFj8cGH" TargetMode="External"/><Relationship Id="rId1568" Type="http://schemas.openxmlformats.org/officeDocument/2006/relationships/hyperlink" Target="https://pbs.twimg.com/media/DoCSee_XkAAk5rN.jpg" TargetMode="External"/><Relationship Id="rId67" Type="http://schemas.openxmlformats.org/officeDocument/2006/relationships/hyperlink" Target="http://tn.ai/1839752" TargetMode="External"/><Relationship Id="rId700" Type="http://schemas.openxmlformats.org/officeDocument/2006/relationships/hyperlink" Target="http://www.fcesteghlal.ir/" TargetMode="External"/><Relationship Id="rId1123" Type="http://schemas.openxmlformats.org/officeDocument/2006/relationships/hyperlink" Target="http://facebook.com/babakghannad" TargetMode="External"/><Relationship Id="rId1330" Type="http://schemas.openxmlformats.org/officeDocument/2006/relationships/hyperlink" Target="https://pbs.twimg.com/media/DoCbpeWXsAAh5jX.jpg" TargetMode="External"/><Relationship Id="rId1428" Type="http://schemas.openxmlformats.org/officeDocument/2006/relationships/hyperlink" Target="http://instagram.com/alireza._.97" TargetMode="External"/><Relationship Id="rId1635" Type="http://schemas.openxmlformats.org/officeDocument/2006/relationships/hyperlink" Target="https://pbs.twimg.com/media/DoB6bd0XoAA5Coj.jpg" TargetMode="External"/><Relationship Id="rId283" Type="http://schemas.openxmlformats.org/officeDocument/2006/relationships/hyperlink" Target="https://pbs.twimg.com/media/DoJGjYXVsAAkCUh.jpg" TargetMode="External"/><Relationship Id="rId490" Type="http://schemas.openxmlformats.org/officeDocument/2006/relationships/hyperlink" Target="https://pbs.twimg.com/media/DoHleBCU4AAa6Gg.jpg" TargetMode="External"/><Relationship Id="rId143" Type="http://schemas.openxmlformats.org/officeDocument/2006/relationships/hyperlink" Target="http://pic.twitter.com/h8R82sfnxM" TargetMode="External"/><Relationship Id="rId350" Type="http://schemas.openxmlformats.org/officeDocument/2006/relationships/hyperlink" Target="https://pbs.twimg.com/media/DoITHFJXsAElycn.jpg" TargetMode="External"/><Relationship Id="rId588" Type="http://schemas.openxmlformats.org/officeDocument/2006/relationships/hyperlink" Target="http://freemind.ir/" TargetMode="External"/><Relationship Id="rId795" Type="http://schemas.openxmlformats.org/officeDocument/2006/relationships/hyperlink" Target="http://www.mizanonline.ir/sports" TargetMode="External"/><Relationship Id="rId9" Type="http://schemas.openxmlformats.org/officeDocument/2006/relationships/hyperlink" Target="https://www.instagram.com/Elahe_Rastegari/" TargetMode="External"/><Relationship Id="rId210" Type="http://schemas.openxmlformats.org/officeDocument/2006/relationships/hyperlink" Target="https://pbs.twimg.com/media/DoIRkkSVsAAslFq.jpg" TargetMode="External"/><Relationship Id="rId448" Type="http://schemas.openxmlformats.org/officeDocument/2006/relationships/hyperlink" Target="http://pic.twitter.com/IEchejfJzZ" TargetMode="External"/><Relationship Id="rId655" Type="http://schemas.openxmlformats.org/officeDocument/2006/relationships/hyperlink" Target="https://pbs.twimg.com/media/DoGvIYKWsAElG2X.jpg" TargetMode="External"/><Relationship Id="rId862" Type="http://schemas.openxmlformats.org/officeDocument/2006/relationships/hyperlink" Target="https://t.me/HarfBeManBot?start=MTI5MDEzMDU4" TargetMode="External"/><Relationship Id="rId1078" Type="http://schemas.openxmlformats.org/officeDocument/2006/relationships/hyperlink" Target="https://pbs.twimg.com/media/DoE-ePxXcAEjuft.jpg" TargetMode="External"/><Relationship Id="rId1285" Type="http://schemas.openxmlformats.org/officeDocument/2006/relationships/hyperlink" Target="https://www.instagram.com/roshnall/" TargetMode="External"/><Relationship Id="rId1492" Type="http://schemas.openxmlformats.org/officeDocument/2006/relationships/hyperlink" Target="https://telegram.me/harfbzanbot?start=XlBByvl" TargetMode="External"/><Relationship Id="rId308" Type="http://schemas.openxmlformats.org/officeDocument/2006/relationships/hyperlink" Target="https://twitter.com/simayazaditv/status/1033044779192512517" TargetMode="External"/><Relationship Id="rId515" Type="http://schemas.openxmlformats.org/officeDocument/2006/relationships/hyperlink" Target="http://www.ghanoondaily.ir/" TargetMode="External"/><Relationship Id="rId722" Type="http://schemas.openxmlformats.org/officeDocument/2006/relationships/hyperlink" Target="http://ghanoondaily.ir/" TargetMode="External"/><Relationship Id="rId1145" Type="http://schemas.openxmlformats.org/officeDocument/2006/relationships/hyperlink" Target="https://pbs.twimg.com/media/DoAUDiwXcAACZsm.jpg" TargetMode="External"/><Relationship Id="rId1352" Type="http://schemas.openxmlformats.org/officeDocument/2006/relationships/hyperlink" Target="https://pbs.twimg.com/media/DoBasQtXgAAckG9.jpg" TargetMode="External"/><Relationship Id="rId89" Type="http://schemas.openxmlformats.org/officeDocument/2006/relationships/hyperlink" Target="https://pbs.twimg.com/media/DoOJTOqXUAYsVoZ.jpg" TargetMode="External"/><Relationship Id="rId1005" Type="http://schemas.openxmlformats.org/officeDocument/2006/relationships/hyperlink" Target="https://www.instagram.com/jafar_usf/" TargetMode="External"/><Relationship Id="rId1212" Type="http://schemas.openxmlformats.org/officeDocument/2006/relationships/hyperlink" Target="https://pbs.twimg.com/media/DoDsnnLXUAAIETn.jpg" TargetMode="External"/><Relationship Id="rId1657" Type="http://schemas.openxmlformats.org/officeDocument/2006/relationships/hyperlink" Target="https://telegram.me/HarfBeManBot?start=MTg5NjYxNTQ4" TargetMode="External"/><Relationship Id="rId1517" Type="http://schemas.openxmlformats.org/officeDocument/2006/relationships/hyperlink" Target="https://pbs.twimg.com/media/DoAUpF6X0AApGBZ.jpg" TargetMode="External"/><Relationship Id="rId16" Type="http://schemas.openxmlformats.org/officeDocument/2006/relationships/hyperlink" Target="https://pbs.twimg.com/media/DoSJrtLXoAA3WAa.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3023"/>
  <sheetViews>
    <sheetView tabSelected="1" workbookViewId="0">
      <pane ySplit="1" topLeftCell="A2995" activePane="bottomLeft" state="frozen"/>
      <selection pane="bottomLeft" activeCell="C3010" sqref="C3010"/>
    </sheetView>
  </sheetViews>
  <sheetFormatPr defaultColWidth="14.453125" defaultRowHeight="15.75" customHeight="1"/>
  <cols>
    <col min="1" max="1" width="15.26953125" style="1" customWidth="1"/>
    <col min="2" max="2" width="14.453125" style="1"/>
    <col min="3" max="3" width="16.26953125" style="1" customWidth="1"/>
    <col min="4" max="4" width="41.54296875" style="1" customWidth="1"/>
    <col min="5" max="5" width="17.7265625" style="1" customWidth="1"/>
    <col min="6" max="9" width="16.08984375" style="1" customWidth="1"/>
    <col min="10" max="14" width="11.08984375" style="1" customWidth="1"/>
    <col min="15" max="15" width="14.453125" style="1"/>
    <col min="16" max="16" width="34.26953125" style="1" customWidth="1"/>
    <col min="17" max="17" width="19.7265625" style="1" customWidth="1"/>
    <col min="18" max="19" width="12" style="1" customWidth="1"/>
    <col min="20" max="16384" width="14.453125" style="1"/>
  </cols>
  <sheetData>
    <row r="1" spans="1:19" ht="29.25" customHeight="1">
      <c r="A1" s="16" t="s">
        <v>8138</v>
      </c>
      <c r="B1" s="14" t="s">
        <v>8137</v>
      </c>
      <c r="C1" s="14" t="s">
        <v>8136</v>
      </c>
      <c r="D1" s="15" t="s">
        <v>8135</v>
      </c>
      <c r="E1" s="14" t="s">
        <v>8134</v>
      </c>
      <c r="F1" s="14" t="s">
        <v>8133</v>
      </c>
      <c r="G1" s="14" t="s">
        <v>8132</v>
      </c>
      <c r="H1" s="14" t="s">
        <v>8125</v>
      </c>
      <c r="I1" s="14" t="s">
        <v>8131</v>
      </c>
      <c r="J1" s="14" t="s">
        <v>8130</v>
      </c>
      <c r="K1" s="14" t="s">
        <v>8129</v>
      </c>
      <c r="L1" s="14" t="s">
        <v>8128</v>
      </c>
      <c r="M1" s="14" t="s">
        <v>8127</v>
      </c>
      <c r="N1" s="14" t="s">
        <v>8126</v>
      </c>
      <c r="O1" s="14" t="s">
        <v>8125</v>
      </c>
      <c r="P1" s="15" t="s">
        <v>8124</v>
      </c>
      <c r="Q1" s="14" t="s">
        <v>8123</v>
      </c>
      <c r="R1" s="14" t="s">
        <v>8122</v>
      </c>
      <c r="S1" s="14" t="s">
        <v>8121</v>
      </c>
    </row>
    <row r="2" spans="1:19" ht="20">
      <c r="A2" s="8">
        <v>43372.970138888893</v>
      </c>
      <c r="B2" s="11" t="str">
        <f>HYPERLINK("https://twitter.com/masoud_bazmara","@masoud_bazmara")</f>
        <v>@masoud_bazmara</v>
      </c>
      <c r="C2" s="6" t="s">
        <v>8120</v>
      </c>
      <c r="D2" s="5" t="s">
        <v>8119</v>
      </c>
      <c r="E2" s="9" t="str">
        <f>HYPERLINK("https://twitter.com/masoud_bazmara/status/1046124203655790592","1046124203655790592")</f>
        <v>1046124203655790592</v>
      </c>
      <c r="F2" s="4"/>
      <c r="G2" s="4"/>
      <c r="H2" s="4"/>
      <c r="I2" s="10" t="str">
        <f>HYPERLINK("http://twitter.com/download/android","Twitter for Android")</f>
        <v>Twitter for Android</v>
      </c>
      <c r="J2" s="2">
        <v>443</v>
      </c>
      <c r="K2" s="2">
        <v>281</v>
      </c>
      <c r="L2" s="2">
        <v>1</v>
      </c>
      <c r="M2" s="2"/>
      <c r="N2" s="8">
        <v>41876.107905092591</v>
      </c>
      <c r="O2" s="4" t="s">
        <v>1592</v>
      </c>
      <c r="P2" s="3" t="s">
        <v>8118</v>
      </c>
      <c r="Q2" s="10" t="s">
        <v>8117</v>
      </c>
      <c r="R2" s="4"/>
      <c r="S2" s="9" t="str">
        <f>HYPERLINK("https://pbs.twimg.com/profile_images/1038290734271614976/sVt4v19P.jpg","View")</f>
        <v>View</v>
      </c>
    </row>
    <row r="3" spans="1:19" ht="20">
      <c r="A3" s="8">
        <v>43372.9690625</v>
      </c>
      <c r="B3" s="11" t="str">
        <f>HYPERLINK("https://twitter.com/ManMeysam","@ManMeysam")</f>
        <v>@ManMeysam</v>
      </c>
      <c r="C3" s="6" t="s">
        <v>472</v>
      </c>
      <c r="D3" s="5" t="s">
        <v>8116</v>
      </c>
      <c r="E3" s="9" t="str">
        <f>HYPERLINK("https://twitter.com/ManMeysam/status/1046123811572264960","1046123811572264960")</f>
        <v>1046123811572264960</v>
      </c>
      <c r="F3" s="4"/>
      <c r="G3" s="10" t="s">
        <v>8115</v>
      </c>
      <c r="H3" s="4"/>
      <c r="I3" s="10" t="str">
        <f>HYPERLINK("http://twitter.com/download/android","Twitter for Android")</f>
        <v>Twitter for Android</v>
      </c>
      <c r="J3" s="2">
        <v>740</v>
      </c>
      <c r="K3" s="2">
        <v>88</v>
      </c>
      <c r="L3" s="2">
        <v>2</v>
      </c>
      <c r="M3" s="2"/>
      <c r="N3" s="8">
        <v>43080.934756944444</v>
      </c>
      <c r="O3" s="4"/>
      <c r="P3" s="3" t="s">
        <v>470</v>
      </c>
      <c r="Q3" s="4"/>
      <c r="R3" s="4"/>
      <c r="S3" s="9" t="str">
        <f>HYPERLINK("https://pbs.twimg.com/profile_images/990240817024589824/h1PmTrjf.jpg","View")</f>
        <v>View</v>
      </c>
    </row>
    <row r="4" spans="1:19" ht="30">
      <c r="A4" s="8">
        <v>43372.966863425929</v>
      </c>
      <c r="B4" s="11" t="str">
        <f>HYPERLINK("https://twitter.com/AmooTooraj","@AmooTooraj")</f>
        <v>@AmooTooraj</v>
      </c>
      <c r="C4" s="6" t="s">
        <v>2800</v>
      </c>
      <c r="D4" s="5" t="s">
        <v>8114</v>
      </c>
      <c r="E4" s="9" t="str">
        <f>HYPERLINK("https://twitter.com/AmooTooraj/status/1046123014931304449","1046123014931304449")</f>
        <v>1046123014931304449</v>
      </c>
      <c r="F4" s="4"/>
      <c r="G4" s="4"/>
      <c r="H4" s="4"/>
      <c r="I4" s="10" t="str">
        <f>HYPERLINK("http://twitter.com/download/android","Twitter for Android")</f>
        <v>Twitter for Android</v>
      </c>
      <c r="J4" s="2">
        <v>38</v>
      </c>
      <c r="K4" s="2">
        <v>112</v>
      </c>
      <c r="L4" s="2">
        <v>0</v>
      </c>
      <c r="M4" s="2"/>
      <c r="N4" s="8">
        <v>43241.842083333337</v>
      </c>
      <c r="O4" s="4" t="s">
        <v>10</v>
      </c>
      <c r="P4" s="3" t="s">
        <v>2798</v>
      </c>
      <c r="Q4" s="4"/>
      <c r="R4" s="4"/>
      <c r="S4" s="9" t="str">
        <f>HYPERLINK("https://pbs.twimg.com/profile_images/1040857103391514624/tuS3R6FX.jpg","View")</f>
        <v>View</v>
      </c>
    </row>
    <row r="5" spans="1:19" ht="40">
      <c r="A5" s="8">
        <v>43372.964039351849</v>
      </c>
      <c r="B5" s="11" t="str">
        <f>HYPERLINK("https://twitter.com/Elahe_Rastegari","@Elahe_Rastegari")</f>
        <v>@Elahe_Rastegari</v>
      </c>
      <c r="C5" s="6" t="s">
        <v>8107</v>
      </c>
      <c r="D5" s="5" t="s">
        <v>8113</v>
      </c>
      <c r="E5" s="9" t="str">
        <f>HYPERLINK("https://twitter.com/Elahe_Rastegari/status/1046121992896827393","1046121992896827393")</f>
        <v>1046121992896827393</v>
      </c>
      <c r="F5" s="10" t="s">
        <v>8105</v>
      </c>
      <c r="G5" s="4"/>
      <c r="H5" s="4"/>
      <c r="I5" s="10" t="str">
        <f>HYPERLINK("http://twitter.com","Twitter Web Client")</f>
        <v>Twitter Web Client</v>
      </c>
      <c r="J5" s="2">
        <v>2</v>
      </c>
      <c r="K5" s="2">
        <v>9</v>
      </c>
      <c r="L5" s="2">
        <v>0</v>
      </c>
      <c r="M5" s="2"/>
      <c r="N5" s="8">
        <v>43372.94594907407</v>
      </c>
      <c r="O5" s="10" t="s">
        <v>8104</v>
      </c>
      <c r="P5" s="12" t="s">
        <v>8104</v>
      </c>
      <c r="Q5" s="10" t="s">
        <v>8104</v>
      </c>
      <c r="R5" s="4"/>
      <c r="S5" s="9" t="str">
        <f>HYPERLINK("https://pbs.twimg.com/profile_images/1046119882218229760/ha8lGUxL.jpg","View")</f>
        <v>View</v>
      </c>
    </row>
    <row r="6" spans="1:19" ht="30">
      <c r="A6" s="8">
        <v>43372.96157407407</v>
      </c>
      <c r="B6" s="11" t="str">
        <f>HYPERLINK("https://twitter.com/AttariRadjaa","@AttariRadjaa")</f>
        <v>@AttariRadjaa</v>
      </c>
      <c r="C6" s="6" t="s">
        <v>8112</v>
      </c>
      <c r="D6" s="5" t="s">
        <v>8111</v>
      </c>
      <c r="E6" s="9" t="str">
        <f>HYPERLINK("https://twitter.com/AttariRadjaa/status/1046121096859275265","1046121096859275265")</f>
        <v>1046121096859275265</v>
      </c>
      <c r="F6" s="4"/>
      <c r="G6" s="10" t="s">
        <v>8110</v>
      </c>
      <c r="H6" s="4"/>
      <c r="I6" s="10" t="str">
        <f>HYPERLINK("http://twitter.com/download/iphone","Twitter for iPhone")</f>
        <v>Twitter for iPhone</v>
      </c>
      <c r="J6" s="2">
        <v>16</v>
      </c>
      <c r="K6" s="2">
        <v>154</v>
      </c>
      <c r="L6" s="2">
        <v>0</v>
      </c>
      <c r="M6" s="2"/>
      <c r="N6" s="8">
        <v>42773.70612268518</v>
      </c>
      <c r="O6" s="4" t="s">
        <v>8109</v>
      </c>
      <c r="P6" s="3" t="s">
        <v>8108</v>
      </c>
      <c r="Q6" s="4"/>
      <c r="R6" s="4"/>
      <c r="S6" s="9" t="str">
        <f>HYPERLINK("https://pbs.twimg.com/profile_images/1045844340701089793/4GWzVi7D.jpg","View")</f>
        <v>View</v>
      </c>
    </row>
    <row r="7" spans="1:19" ht="12.5">
      <c r="A7" s="8">
        <v>43372.961261574077</v>
      </c>
      <c r="B7" s="11" t="str">
        <f>HYPERLINK("https://twitter.com/Elahe_Rastegari","@Elahe_Rastegari")</f>
        <v>@Elahe_Rastegari</v>
      </c>
      <c r="C7" s="6" t="s">
        <v>8107</v>
      </c>
      <c r="D7" s="5" t="s">
        <v>8106</v>
      </c>
      <c r="E7" s="9" t="str">
        <f>HYPERLINK("https://twitter.com/Elahe_Rastegari/status/1046120984674291712","1046120984674291712")</f>
        <v>1046120984674291712</v>
      </c>
      <c r="F7" s="10" t="s">
        <v>8105</v>
      </c>
      <c r="G7" s="4"/>
      <c r="H7" s="4"/>
      <c r="I7" s="10" t="str">
        <f>HYPERLINK("http://twitter.com","Twitter Web Client")</f>
        <v>Twitter Web Client</v>
      </c>
      <c r="J7" s="2">
        <v>2</v>
      </c>
      <c r="K7" s="2">
        <v>9</v>
      </c>
      <c r="L7" s="2">
        <v>0</v>
      </c>
      <c r="M7" s="2"/>
      <c r="N7" s="8">
        <v>43372.94594907407</v>
      </c>
      <c r="O7" s="10" t="s">
        <v>8104</v>
      </c>
      <c r="P7" s="12" t="s">
        <v>8104</v>
      </c>
      <c r="Q7" s="10" t="s">
        <v>8104</v>
      </c>
      <c r="R7" s="4"/>
      <c r="S7" s="9" t="str">
        <f>HYPERLINK("https://pbs.twimg.com/profile_images/1046119882218229760/ha8lGUxL.jpg","View")</f>
        <v>View</v>
      </c>
    </row>
    <row r="8" spans="1:19" ht="30">
      <c r="A8" s="8">
        <v>43372.959976851853</v>
      </c>
      <c r="B8" s="11" t="str">
        <f>HYPERLINK("https://twitter.com/Fatima_H_M_R","@Fatima_H_M_R")</f>
        <v>@Fatima_H_M_R</v>
      </c>
      <c r="C8" s="6" t="s">
        <v>2593</v>
      </c>
      <c r="D8" s="5" t="s">
        <v>8103</v>
      </c>
      <c r="E8" s="9" t="str">
        <f>HYPERLINK("https://twitter.com/Fatima_H_M_R/status/1046120518238314496","1046120518238314496")</f>
        <v>1046120518238314496</v>
      </c>
      <c r="F8" s="4"/>
      <c r="G8" s="4"/>
      <c r="H8" s="4"/>
      <c r="I8" s="10" t="str">
        <f>HYPERLINK("http://twitter.com/download/android","Twitter for Android")</f>
        <v>Twitter for Android</v>
      </c>
      <c r="J8" s="2">
        <v>907</v>
      </c>
      <c r="K8" s="2">
        <v>894</v>
      </c>
      <c r="L8" s="2">
        <v>2</v>
      </c>
      <c r="M8" s="2"/>
      <c r="N8" s="8">
        <v>42905.393495370372</v>
      </c>
      <c r="O8" s="4"/>
      <c r="P8" s="3" t="s">
        <v>8102</v>
      </c>
      <c r="Q8" s="10" t="s">
        <v>2590</v>
      </c>
      <c r="R8" s="4"/>
      <c r="S8" s="9" t="str">
        <f>HYPERLINK("https://pbs.twimg.com/profile_images/1044316159699443712/gonRpZ45.jpg","View")</f>
        <v>View</v>
      </c>
    </row>
    <row r="9" spans="1:19" ht="30">
      <c r="A9" s="8">
        <v>43372.958541666667</v>
      </c>
      <c r="B9" s="11" t="str">
        <f>HYPERLINK("https://twitter.com/sadra_ka","@sadra_ka")</f>
        <v>@sadra_ka</v>
      </c>
      <c r="C9" s="6" t="s">
        <v>2575</v>
      </c>
      <c r="D9" s="5" t="s">
        <v>8101</v>
      </c>
      <c r="E9" s="9" t="str">
        <f>HYPERLINK("https://twitter.com/sadra_ka/status/1046120001281904640","1046120001281904640")</f>
        <v>1046120001281904640</v>
      </c>
      <c r="F9" s="4"/>
      <c r="G9" s="4"/>
      <c r="H9" s="4"/>
      <c r="I9" s="10" t="str">
        <f>HYPERLINK("http://twitter.com/download/android","Twitter for Android")</f>
        <v>Twitter for Android</v>
      </c>
      <c r="J9" s="2">
        <v>868</v>
      </c>
      <c r="K9" s="2">
        <v>612</v>
      </c>
      <c r="L9" s="2">
        <v>4</v>
      </c>
      <c r="M9" s="2"/>
      <c r="N9" s="8">
        <v>42862.646620370375</v>
      </c>
      <c r="O9" s="4" t="s">
        <v>200</v>
      </c>
      <c r="P9" s="3" t="s">
        <v>2573</v>
      </c>
      <c r="Q9" s="4"/>
      <c r="R9" s="4"/>
      <c r="S9" s="9" t="str">
        <f>HYPERLINK("https://pbs.twimg.com/profile_images/1042864912979161090/2vfpIBgD.jpg","View")</f>
        <v>View</v>
      </c>
    </row>
    <row r="10" spans="1:19" ht="20">
      <c r="A10" s="8">
        <v>43372.95385416667</v>
      </c>
      <c r="B10" s="11" t="str">
        <f>HYPERLINK("https://twitter.com/Vandadmilani","@Vandadmilani")</f>
        <v>@Vandadmilani</v>
      </c>
      <c r="C10" s="6" t="s">
        <v>8100</v>
      </c>
      <c r="D10" s="5" t="s">
        <v>8099</v>
      </c>
      <c r="E10" s="9" t="str">
        <f>HYPERLINK("https://twitter.com/Vandadmilani/status/1046118300168671232","1046118300168671232")</f>
        <v>1046118300168671232</v>
      </c>
      <c r="F10" s="4"/>
      <c r="G10" s="4"/>
      <c r="H10" s="4"/>
      <c r="I10" s="10" t="str">
        <f>HYPERLINK("http://twitter.com/download/android","Twitter for Android")</f>
        <v>Twitter for Android</v>
      </c>
      <c r="J10" s="2">
        <v>65</v>
      </c>
      <c r="K10" s="2">
        <v>310</v>
      </c>
      <c r="L10" s="2">
        <v>0</v>
      </c>
      <c r="M10" s="2"/>
      <c r="N10" s="8">
        <v>41343.957395833335</v>
      </c>
      <c r="O10" s="4" t="s">
        <v>72</v>
      </c>
      <c r="P10" s="3" t="s">
        <v>8098</v>
      </c>
      <c r="Q10" s="4"/>
      <c r="R10" s="4"/>
      <c r="S10" s="9" t="str">
        <f>HYPERLINK("https://pbs.twimg.com/profile_images/951083941171261441/jJTgky9k.jpg","View")</f>
        <v>View</v>
      </c>
    </row>
    <row r="11" spans="1:19" ht="20">
      <c r="A11" s="8">
        <v>43372.953217592592</v>
      </c>
      <c r="B11" s="11" t="str">
        <f>HYPERLINK("https://twitter.com/m_tavakoli99","@m_tavakoli99")</f>
        <v>@m_tavakoli99</v>
      </c>
      <c r="C11" s="6" t="s">
        <v>8097</v>
      </c>
      <c r="D11" s="5" t="s">
        <v>8096</v>
      </c>
      <c r="E11" s="9" t="str">
        <f>HYPERLINK("https://twitter.com/m_tavakoli99/status/1046118071700795393","1046118071700795393")</f>
        <v>1046118071700795393</v>
      </c>
      <c r="F11" s="4"/>
      <c r="G11" s="4"/>
      <c r="H11" s="4"/>
      <c r="I11" s="10" t="str">
        <f>HYPERLINK("http://twitter.com/download/android","Twitter for Android")</f>
        <v>Twitter for Android</v>
      </c>
      <c r="J11" s="2">
        <v>18</v>
      </c>
      <c r="K11" s="2">
        <v>20</v>
      </c>
      <c r="L11" s="2">
        <v>0</v>
      </c>
      <c r="M11" s="2"/>
      <c r="N11" s="8">
        <v>42201.482673611114</v>
      </c>
      <c r="O11" s="4" t="s">
        <v>8095</v>
      </c>
      <c r="P11" s="3" t="s">
        <v>8094</v>
      </c>
      <c r="Q11" s="4"/>
      <c r="R11" s="4"/>
      <c r="S11" s="9" t="str">
        <f>HYPERLINK("https://pbs.twimg.com/profile_images/1018205757156839424/hybV7b6u.jpg","View")</f>
        <v>View</v>
      </c>
    </row>
    <row r="12" spans="1:19" ht="20">
      <c r="A12" s="8">
        <v>43372.946134259255</v>
      </c>
      <c r="B12" s="11" t="str">
        <f>HYPERLINK("https://twitter.com/mortezaa_m","@mortezaa_m")</f>
        <v>@mortezaa_m</v>
      </c>
      <c r="C12" s="6" t="s">
        <v>6929</v>
      </c>
      <c r="D12" s="5" t="s">
        <v>8093</v>
      </c>
      <c r="E12" s="9" t="str">
        <f>HYPERLINK("https://twitter.com/mortezaa_m/status/1046115502056198144","1046115502056198144")</f>
        <v>1046115502056198144</v>
      </c>
      <c r="F12" s="10" t="s">
        <v>8092</v>
      </c>
      <c r="G12" s="10" t="s">
        <v>8091</v>
      </c>
      <c r="H12" s="4"/>
      <c r="I12" s="10" t="str">
        <f>HYPERLINK("http://twitter.com/download/iphone","Twitter for iPhone")</f>
        <v>Twitter for iPhone</v>
      </c>
      <c r="J12" s="2">
        <v>1063</v>
      </c>
      <c r="K12" s="2">
        <v>904</v>
      </c>
      <c r="L12" s="2">
        <v>7</v>
      </c>
      <c r="M12" s="2"/>
      <c r="N12" s="8">
        <v>40007.004386574074</v>
      </c>
      <c r="O12" s="4" t="s">
        <v>72</v>
      </c>
      <c r="P12" s="3" t="s">
        <v>6927</v>
      </c>
      <c r="Q12" s="4"/>
      <c r="R12" s="4"/>
      <c r="S12" s="9" t="str">
        <f>HYPERLINK("https://pbs.twimg.com/profile_images/1043375975982084097/OILAHNFq.jpg","View")</f>
        <v>View</v>
      </c>
    </row>
    <row r="13" spans="1:19" ht="20">
      <c r="A13" s="8">
        <v>43372.945798611108</v>
      </c>
      <c r="B13" s="11" t="str">
        <f>HYPERLINK("https://twitter.com/alizadeh_76","@alizadeh_76")</f>
        <v>@alizadeh_76</v>
      </c>
      <c r="C13" s="6" t="s">
        <v>8090</v>
      </c>
      <c r="D13" s="5" t="s">
        <v>8089</v>
      </c>
      <c r="E13" s="9" t="str">
        <f>HYPERLINK("https://twitter.com/alizadeh_76/status/1046115382539550722","1046115382539550722")</f>
        <v>1046115382539550722</v>
      </c>
      <c r="F13" s="4"/>
      <c r="G13" s="4"/>
      <c r="H13" s="4"/>
      <c r="I13" s="10" t="str">
        <f>HYPERLINK("http://twitter.com/download/android","Twitter for Android")</f>
        <v>Twitter for Android</v>
      </c>
      <c r="J13" s="2">
        <v>15</v>
      </c>
      <c r="K13" s="2">
        <v>23</v>
      </c>
      <c r="L13" s="2">
        <v>0</v>
      </c>
      <c r="M13" s="2"/>
      <c r="N13" s="8">
        <v>43371.569907407407</v>
      </c>
      <c r="O13" s="4"/>
      <c r="P13" s="3" t="s">
        <v>8088</v>
      </c>
      <c r="Q13" s="4"/>
      <c r="R13" s="4"/>
      <c r="S13" s="9" t="str">
        <f>HYPERLINK("https://pbs.twimg.com/profile_images/1045617885090107394/Qs4jqjrh.jpg","View")</f>
        <v>View</v>
      </c>
    </row>
    <row r="14" spans="1:19" ht="30">
      <c r="A14" s="8">
        <v>43372.945381944446</v>
      </c>
      <c r="B14" s="11" t="str">
        <f>HYPERLINK("https://twitter.com/arious","@arious")</f>
        <v>@arious</v>
      </c>
      <c r="C14" s="6" t="s">
        <v>8087</v>
      </c>
      <c r="D14" s="5" t="s">
        <v>8086</v>
      </c>
      <c r="E14" s="9" t="str">
        <f>HYPERLINK("https://twitter.com/arious/status/1046115231183884288","1046115231183884288")</f>
        <v>1046115231183884288</v>
      </c>
      <c r="F14" s="4"/>
      <c r="G14" s="4"/>
      <c r="H14" s="4"/>
      <c r="I14" s="10" t="str">
        <f>HYPERLINK("http://twitter.com/download/android","Twitter for Android")</f>
        <v>Twitter for Android</v>
      </c>
      <c r="J14" s="2">
        <v>696</v>
      </c>
      <c r="K14" s="2">
        <v>166</v>
      </c>
      <c r="L14" s="2">
        <v>6</v>
      </c>
      <c r="M14" s="2"/>
      <c r="N14" s="8">
        <v>39838.815138888887</v>
      </c>
      <c r="O14" s="4"/>
      <c r="P14" s="3"/>
      <c r="Q14" s="4"/>
      <c r="R14" s="4"/>
      <c r="S14" s="9" t="str">
        <f>HYPERLINK("https://pbs.twimg.com/profile_images/935053179808559104/YRDgyISr.jpg","View")</f>
        <v>View</v>
      </c>
    </row>
    <row r="15" spans="1:19" ht="40">
      <c r="A15" s="8">
        <v>43372.942326388889</v>
      </c>
      <c r="B15" s="11" t="str">
        <f>HYPERLINK("https://twitter.com/kheng7496","@kheng7496")</f>
        <v>@kheng7496</v>
      </c>
      <c r="C15" s="6" t="s">
        <v>3307</v>
      </c>
      <c r="D15" s="5" t="s">
        <v>8085</v>
      </c>
      <c r="E15" s="9" t="str">
        <f>HYPERLINK("https://twitter.com/kheng7496/status/1046114124407746560","1046114124407746560")</f>
        <v>1046114124407746560</v>
      </c>
      <c r="F15" s="4"/>
      <c r="G15" s="4"/>
      <c r="H15" s="4"/>
      <c r="I15" s="10" t="str">
        <f>HYPERLINK("http://twitter.com/download/android","Twitter for Android")</f>
        <v>Twitter for Android</v>
      </c>
      <c r="J15" s="2">
        <v>67</v>
      </c>
      <c r="K15" s="2">
        <v>80</v>
      </c>
      <c r="L15" s="2">
        <v>0</v>
      </c>
      <c r="M15" s="2"/>
      <c r="N15" s="8">
        <v>43357.926168981481</v>
      </c>
      <c r="O15" s="4" t="s">
        <v>10</v>
      </c>
      <c r="P15" s="3" t="s">
        <v>8084</v>
      </c>
      <c r="Q15" s="4"/>
      <c r="R15" s="4"/>
      <c r="S15" s="9" t="str">
        <f>HYPERLINK("https://pbs.twimg.com/profile_images/1043191325976403968/jqFx0GlA.jpg","View")</f>
        <v>View</v>
      </c>
    </row>
    <row r="16" spans="1:19" ht="30">
      <c r="A16" s="8">
        <v>43372.942164351851</v>
      </c>
      <c r="B16" s="11" t="str">
        <f>HYPERLINK("https://twitter.com/mehdiroozkhosh","@mehdiroozkhosh")</f>
        <v>@mehdiroozkhosh</v>
      </c>
      <c r="C16" s="6" t="s">
        <v>4232</v>
      </c>
      <c r="D16" s="5" t="s">
        <v>8083</v>
      </c>
      <c r="E16" s="9" t="str">
        <f>HYPERLINK("https://twitter.com/mehdiroozkhosh/status/1046114065725173760","1046114065725173760")</f>
        <v>1046114065725173760</v>
      </c>
      <c r="F16" s="4"/>
      <c r="G16" s="4"/>
      <c r="H16" s="4"/>
      <c r="I16" s="10" t="str">
        <f>HYPERLINK("http://twitter.com/download/iphone","Twitter for iPhone")</f>
        <v>Twitter for iPhone</v>
      </c>
      <c r="J16" s="2">
        <v>968</v>
      </c>
      <c r="K16" s="2">
        <v>532</v>
      </c>
      <c r="L16" s="2">
        <v>5</v>
      </c>
      <c r="M16" s="2"/>
      <c r="N16" s="8">
        <v>42557.650474537033</v>
      </c>
      <c r="O16" s="4" t="s">
        <v>10</v>
      </c>
      <c r="P16" s="3" t="s">
        <v>4229</v>
      </c>
      <c r="Q16" s="10" t="s">
        <v>4228</v>
      </c>
      <c r="R16" s="4"/>
      <c r="S16" s="9" t="str">
        <f>HYPERLINK("https://pbs.twimg.com/profile_images/1044640161986957313/c2sBRJBj.jpg","View")</f>
        <v>View</v>
      </c>
    </row>
    <row r="17" spans="1:19" ht="20">
      <c r="A17" s="8">
        <v>43372.937789351854</v>
      </c>
      <c r="B17" s="11" t="str">
        <f>HYPERLINK("https://twitter.com/alajmi_hamid","@alajmi_hamid")</f>
        <v>@alajmi_hamid</v>
      </c>
      <c r="C17" s="6" t="s">
        <v>8082</v>
      </c>
      <c r="D17" s="5" t="s">
        <v>8081</v>
      </c>
      <c r="E17" s="9" t="str">
        <f>HYPERLINK("https://twitter.com/alajmi_hamid/status/1046112479590457344","1046112479590457344")</f>
        <v>1046112479590457344</v>
      </c>
      <c r="F17" s="4"/>
      <c r="G17" s="4"/>
      <c r="H17" s="4"/>
      <c r="I17" s="10" t="str">
        <f>HYPERLINK("http://twitter.com/download/iphone","Twitter for iPhone")</f>
        <v>Twitter for iPhone</v>
      </c>
      <c r="J17" s="2">
        <v>146</v>
      </c>
      <c r="K17" s="2">
        <v>160</v>
      </c>
      <c r="L17" s="2">
        <v>0</v>
      </c>
      <c r="M17" s="2"/>
      <c r="N17" s="8">
        <v>42848.011192129634</v>
      </c>
      <c r="O17" s="4"/>
      <c r="P17" s="3" t="s">
        <v>8080</v>
      </c>
      <c r="Q17" s="4"/>
      <c r="R17" s="4"/>
      <c r="S17" s="9" t="str">
        <f>HYPERLINK("https://pbs.twimg.com/profile_images/942102666125217793/sOzRf1sE.jpg","View")</f>
        <v>View</v>
      </c>
    </row>
    <row r="18" spans="1:19" ht="30">
      <c r="A18" s="8">
        <v>43372.937650462962</v>
      </c>
      <c r="B18" s="11" t="str">
        <f>HYPERLINK("https://twitter.com/piroozinews","@piroozinews")</f>
        <v>@piroozinews</v>
      </c>
      <c r="C18" s="6" t="s">
        <v>764</v>
      </c>
      <c r="D18" s="5" t="s">
        <v>8079</v>
      </c>
      <c r="E18" s="9" t="str">
        <f>HYPERLINK("https://twitter.com/piroozinews/status/1046112427090366465","1046112427090366465")</f>
        <v>1046112427090366465</v>
      </c>
      <c r="F18" s="4"/>
      <c r="G18" s="10" t="s">
        <v>8078</v>
      </c>
      <c r="H18" s="4"/>
      <c r="I18" s="10" t="str">
        <f>HYPERLINK("http://twitter.com/download/android","Twitter for Android")</f>
        <v>Twitter for Android</v>
      </c>
      <c r="J18" s="2">
        <v>28754</v>
      </c>
      <c r="K18" s="2">
        <v>31</v>
      </c>
      <c r="L18" s="2">
        <v>246</v>
      </c>
      <c r="M18" s="2"/>
      <c r="N18" s="8">
        <v>42343.636840277773</v>
      </c>
      <c r="O18" s="4" t="s">
        <v>762</v>
      </c>
      <c r="P18" s="3" t="s">
        <v>761</v>
      </c>
      <c r="Q18" s="10" t="s">
        <v>760</v>
      </c>
      <c r="R18" s="4"/>
      <c r="S18" s="9" t="str">
        <f>HYPERLINK("https://pbs.twimg.com/profile_images/1014483613310570497/0eFAC3lV.jpg","View")</f>
        <v>View</v>
      </c>
    </row>
    <row r="19" spans="1:19" ht="20">
      <c r="A19" s="8">
        <v>43372.93482638889</v>
      </c>
      <c r="B19" s="11" t="str">
        <f>HYPERLINK("https://twitter.com/MoSada18","@MoSada18")</f>
        <v>@MoSada18</v>
      </c>
      <c r="C19" s="6" t="s">
        <v>8077</v>
      </c>
      <c r="D19" s="5" t="s">
        <v>8076</v>
      </c>
      <c r="E19" s="9" t="str">
        <f>HYPERLINK("https://twitter.com/MoSada18/status/1046111404611325952","1046111404611325952")</f>
        <v>1046111404611325952</v>
      </c>
      <c r="F19" s="4"/>
      <c r="G19" s="4"/>
      <c r="H19" s="4"/>
      <c r="I19" s="10" t="str">
        <f>HYPERLINK("http://twitter.com/download/android","Twitter for Android")</f>
        <v>Twitter for Android</v>
      </c>
      <c r="J19" s="2">
        <v>35</v>
      </c>
      <c r="K19" s="2">
        <v>81</v>
      </c>
      <c r="L19" s="2">
        <v>0</v>
      </c>
      <c r="M19" s="2"/>
      <c r="N19" s="8">
        <v>43289.175659722227</v>
      </c>
      <c r="O19" s="4" t="s">
        <v>8075</v>
      </c>
      <c r="P19" s="3" t="s">
        <v>8074</v>
      </c>
      <c r="Q19" s="4"/>
      <c r="R19" s="4"/>
      <c r="S19" s="9" t="str">
        <f>HYPERLINK("https://pbs.twimg.com/profile_images/1016058482196385792/ZVt9LlHR.jpg","View")</f>
        <v>View</v>
      </c>
    </row>
    <row r="20" spans="1:19" ht="12.5">
      <c r="A20" s="8">
        <v>43372.927175925928</v>
      </c>
      <c r="B20" s="11" t="str">
        <f>HYPERLINK("https://twitter.com/Tobot007","@Tobot007")</f>
        <v>@Tobot007</v>
      </c>
      <c r="C20" s="6" t="s">
        <v>7933</v>
      </c>
      <c r="D20" s="5" t="s">
        <v>8073</v>
      </c>
      <c r="E20" s="9" t="str">
        <f>HYPERLINK("https://twitter.com/Tobot007/status/1046108633707282432","1046108633707282432")</f>
        <v>1046108633707282432</v>
      </c>
      <c r="F20" s="4"/>
      <c r="G20" s="4"/>
      <c r="H20" s="4"/>
      <c r="I20" s="10" t="str">
        <f>HYPERLINK("http://twitter.com","Twitter Web Client")</f>
        <v>Twitter Web Client</v>
      </c>
      <c r="J20" s="2">
        <v>1386</v>
      </c>
      <c r="K20" s="2">
        <v>235</v>
      </c>
      <c r="L20" s="2">
        <v>9</v>
      </c>
      <c r="M20" s="2"/>
      <c r="N20" s="8">
        <v>42625.771516203706</v>
      </c>
      <c r="O20" s="4"/>
      <c r="P20" s="3" t="s">
        <v>7930</v>
      </c>
      <c r="Q20" s="4"/>
      <c r="R20" s="4"/>
      <c r="S20" s="9" t="str">
        <f>HYPERLINK("https://pbs.twimg.com/profile_images/936280984688963584/-2zA3Zeh.jpg","View")</f>
        <v>View</v>
      </c>
    </row>
    <row r="21" spans="1:19" ht="40">
      <c r="A21" s="8">
        <v>43372.925208333334</v>
      </c>
      <c r="B21" s="11" t="str">
        <f>HYPERLINK("https://twitter.com/mrjilaei","@mrjilaei")</f>
        <v>@mrjilaei</v>
      </c>
      <c r="C21" s="6" t="s">
        <v>7292</v>
      </c>
      <c r="D21" s="5" t="s">
        <v>8072</v>
      </c>
      <c r="E21" s="9" t="str">
        <f>HYPERLINK("https://twitter.com/mrjilaei/status/1046107919627014144","1046107919627014144")</f>
        <v>1046107919627014144</v>
      </c>
      <c r="F21" s="4"/>
      <c r="G21" s="4"/>
      <c r="H21" s="4"/>
      <c r="I21" s="10" t="str">
        <f>HYPERLINK("http://twitter.com/download/android","Twitter for Android")</f>
        <v>Twitter for Android</v>
      </c>
      <c r="J21" s="2">
        <v>121</v>
      </c>
      <c r="K21" s="2">
        <v>105</v>
      </c>
      <c r="L21" s="2">
        <v>0</v>
      </c>
      <c r="M21" s="2"/>
      <c r="N21" s="8">
        <v>42509.823657407411</v>
      </c>
      <c r="O21" s="4"/>
      <c r="P21" s="3" t="s">
        <v>7290</v>
      </c>
      <c r="Q21" s="4"/>
      <c r="R21" s="4"/>
      <c r="S21" s="9" t="str">
        <f>HYPERLINK("https://pbs.twimg.com/profile_images/959837761988644864/PJ_fXcpE.jpg","View")</f>
        <v>View</v>
      </c>
    </row>
    <row r="22" spans="1:19" ht="12.5">
      <c r="A22" s="8">
        <v>43372.922407407408</v>
      </c>
      <c r="B22" s="11" t="str">
        <f>HYPERLINK("https://twitter.com/Siyadeadstrange","@Siyadeadstrange")</f>
        <v>@Siyadeadstrange</v>
      </c>
      <c r="C22" s="6" t="s">
        <v>8071</v>
      </c>
      <c r="D22" s="5" t="s">
        <v>8070</v>
      </c>
      <c r="E22" s="9" t="str">
        <f>HYPERLINK("https://twitter.com/Siyadeadstrange/status/1046106903066152961","1046106903066152961")</f>
        <v>1046106903066152961</v>
      </c>
      <c r="F22" s="4"/>
      <c r="G22" s="4"/>
      <c r="H22" s="4"/>
      <c r="I22" s="10" t="str">
        <f>HYPERLINK("http://twitter.com/download/android","Twitter for Android")</f>
        <v>Twitter for Android</v>
      </c>
      <c r="J22" s="2">
        <v>550</v>
      </c>
      <c r="K22" s="2">
        <v>538</v>
      </c>
      <c r="L22" s="2">
        <v>2</v>
      </c>
      <c r="M22" s="2"/>
      <c r="N22" s="8">
        <v>43072.495717592596</v>
      </c>
      <c r="O22" s="4"/>
      <c r="P22" s="3" t="s">
        <v>8069</v>
      </c>
      <c r="Q22" s="4"/>
      <c r="R22" s="4"/>
      <c r="S22" s="9" t="str">
        <f>HYPERLINK("https://pbs.twimg.com/profile_images/1011847786860556289/i8Z9uWMV.jpg","View")</f>
        <v>View</v>
      </c>
    </row>
    <row r="23" spans="1:19" ht="20">
      <c r="A23" s="8">
        <v>43372.901087962964</v>
      </c>
      <c r="B23" s="11" t="str">
        <f>HYPERLINK("https://twitter.com/KhodNeviss","@KhodNeviss")</f>
        <v>@KhodNeviss</v>
      </c>
      <c r="C23" s="6" t="s">
        <v>987</v>
      </c>
      <c r="D23" s="5" t="s">
        <v>8068</v>
      </c>
      <c r="E23" s="9" t="str">
        <f>HYPERLINK("https://twitter.com/KhodNeviss/status/1046099179020439554","1046099179020439554")</f>
        <v>1046099179020439554</v>
      </c>
      <c r="F23" s="4"/>
      <c r="G23" s="4"/>
      <c r="H23" s="4"/>
      <c r="I23" s="10" t="str">
        <f>HYPERLINK("http://twitter.com/download/android","Twitter for Android")</f>
        <v>Twitter for Android</v>
      </c>
      <c r="J23" s="2">
        <v>5040</v>
      </c>
      <c r="K23" s="2">
        <v>296</v>
      </c>
      <c r="L23" s="2">
        <v>53</v>
      </c>
      <c r="M23" s="2"/>
      <c r="N23" s="8">
        <v>40795.913888888885</v>
      </c>
      <c r="O23" s="4" t="s">
        <v>985</v>
      </c>
      <c r="P23" s="3" t="s">
        <v>984</v>
      </c>
      <c r="Q23" s="10" t="s">
        <v>983</v>
      </c>
      <c r="R23" s="4"/>
      <c r="S23" s="9" t="str">
        <f>HYPERLINK("https://pbs.twimg.com/profile_images/1039387795570216962/6LEe-sRU.jpg","View")</f>
        <v>View</v>
      </c>
    </row>
    <row r="24" spans="1:19" ht="40">
      <c r="A24" s="8">
        <v>43372.900543981479</v>
      </c>
      <c r="B24" s="11" t="str">
        <f>HYPERLINK("https://twitter.com/patenonkel_","@patenonkel_")</f>
        <v>@patenonkel_</v>
      </c>
      <c r="C24" s="6" t="s">
        <v>879</v>
      </c>
      <c r="D24" s="5" t="s">
        <v>8067</v>
      </c>
      <c r="E24" s="9" t="str">
        <f>HYPERLINK("https://twitter.com/patenonkel_/status/1046098980785000448","1046098980785000448")</f>
        <v>1046098980785000448</v>
      </c>
      <c r="F24" s="4"/>
      <c r="G24" s="4"/>
      <c r="H24" s="4"/>
      <c r="I24" s="10" t="str">
        <f>HYPERLINK("http://twitter.com/download/android","Twitter for Android")</f>
        <v>Twitter for Android</v>
      </c>
      <c r="J24" s="2">
        <v>410</v>
      </c>
      <c r="K24" s="2">
        <v>412</v>
      </c>
      <c r="L24" s="2">
        <v>1</v>
      </c>
      <c r="M24" s="2"/>
      <c r="N24" s="8">
        <v>39984.743252314816</v>
      </c>
      <c r="O24" s="4" t="s">
        <v>72</v>
      </c>
      <c r="P24" s="3" t="s">
        <v>877</v>
      </c>
      <c r="Q24" s="4"/>
      <c r="R24" s="4"/>
      <c r="S24" s="9" t="str">
        <f>HYPERLINK("https://pbs.twimg.com/profile_images/1035802817573863427/19cO4HSJ.jpg","View")</f>
        <v>View</v>
      </c>
    </row>
    <row r="25" spans="1:19" ht="40">
      <c r="A25" s="8">
        <v>43372.86855324074</v>
      </c>
      <c r="B25" s="11" t="str">
        <f>HYPERLINK("https://twitter.com/Meysam_Royasaz","@Meysam_Royasaz")</f>
        <v>@Meysam_Royasaz</v>
      </c>
      <c r="C25" s="6" t="s">
        <v>7195</v>
      </c>
      <c r="D25" s="5" t="s">
        <v>8066</v>
      </c>
      <c r="E25" s="9" t="str">
        <f>HYPERLINK("https://twitter.com/Meysam_Royasaz/status/1046087390610124800","1046087390610124800")</f>
        <v>1046087390610124800</v>
      </c>
      <c r="F25" s="4"/>
      <c r="G25" s="4"/>
      <c r="H25" s="4"/>
      <c r="I25" s="10" t="str">
        <f>HYPERLINK("http://twitter.com/download/iphone","Twitter for iPhone")</f>
        <v>Twitter for iPhone</v>
      </c>
      <c r="J25" s="2">
        <v>2181</v>
      </c>
      <c r="K25" s="2">
        <v>965</v>
      </c>
      <c r="L25" s="2">
        <v>51</v>
      </c>
      <c r="M25" s="2"/>
      <c r="N25" s="8">
        <v>41018.740624999999</v>
      </c>
      <c r="O25" s="4"/>
      <c r="P25" s="3" t="s">
        <v>7193</v>
      </c>
      <c r="Q25" s="10" t="s">
        <v>7192</v>
      </c>
      <c r="R25" s="4"/>
      <c r="S25" s="9" t="str">
        <f>HYPERLINK("https://pbs.twimg.com/profile_images/984339408454389762/384lf5YV.jpg","View")</f>
        <v>View</v>
      </c>
    </row>
    <row r="26" spans="1:19" ht="20">
      <c r="A26" s="8">
        <v>43372.867511574077</v>
      </c>
      <c r="B26" s="11" t="str">
        <f>HYPERLINK("https://twitter.com/sattari141","@sattari141")</f>
        <v>@sattari141</v>
      </c>
      <c r="C26" s="6" t="s">
        <v>8065</v>
      </c>
      <c r="D26" s="5" t="s">
        <v>8064</v>
      </c>
      <c r="E26" s="9" t="str">
        <f>HYPERLINK("https://twitter.com/sattari141/status/1046087012246269952","1046087012246269952")</f>
        <v>1046087012246269952</v>
      </c>
      <c r="F26" s="4"/>
      <c r="G26" s="4"/>
      <c r="H26" s="4"/>
      <c r="I26" s="10" t="str">
        <f>HYPERLINK("http://twitter.com/download/android","Twitter for Android")</f>
        <v>Twitter for Android</v>
      </c>
      <c r="J26" s="2">
        <v>118</v>
      </c>
      <c r="K26" s="2">
        <v>164</v>
      </c>
      <c r="L26" s="2">
        <v>0</v>
      </c>
      <c r="M26" s="2"/>
      <c r="N26" s="8">
        <v>43307.12222222222</v>
      </c>
      <c r="O26" s="4" t="s">
        <v>8063</v>
      </c>
      <c r="P26" s="3" t="s">
        <v>8062</v>
      </c>
      <c r="Q26" s="10" t="s">
        <v>8061</v>
      </c>
      <c r="R26" s="4"/>
      <c r="S26" s="9" t="str">
        <f>HYPERLINK("https://pbs.twimg.com/profile_images/1022249086672674817/bOImk_Je.jpg","View")</f>
        <v>View</v>
      </c>
    </row>
    <row r="27" spans="1:19" ht="30">
      <c r="A27" s="8">
        <v>43372.860543981486</v>
      </c>
      <c r="B27" s="11" t="str">
        <f>HYPERLINK("https://twitter.com/aideenmot1359","@aideenmot1359")</f>
        <v>@aideenmot1359</v>
      </c>
      <c r="C27" s="6" t="s">
        <v>1791</v>
      </c>
      <c r="D27" s="5" t="s">
        <v>8060</v>
      </c>
      <c r="E27" s="9" t="str">
        <f>HYPERLINK("https://twitter.com/aideenmot1359/status/1046084488382619648","1046084488382619648")</f>
        <v>1046084488382619648</v>
      </c>
      <c r="F27" s="4"/>
      <c r="G27" s="4"/>
      <c r="H27" s="4"/>
      <c r="I27" s="10" t="str">
        <f>HYPERLINK("http://twitter.com/download/iphone","Twitter for iPhone")</f>
        <v>Twitter for iPhone</v>
      </c>
      <c r="J27" s="2">
        <v>809</v>
      </c>
      <c r="K27" s="2">
        <v>1019</v>
      </c>
      <c r="L27" s="2">
        <v>1</v>
      </c>
      <c r="M27" s="2"/>
      <c r="N27" s="8">
        <v>42656.096099537041</v>
      </c>
      <c r="O27" s="4" t="s">
        <v>10</v>
      </c>
      <c r="P27" s="3" t="s">
        <v>1788</v>
      </c>
      <c r="Q27" s="4"/>
      <c r="R27" s="4"/>
      <c r="S27" s="9" t="str">
        <f>HYPERLINK("https://pbs.twimg.com/profile_images/1037809286179631106/sEtxbZ0Q.jpg","View")</f>
        <v>View</v>
      </c>
    </row>
    <row r="28" spans="1:19" ht="20">
      <c r="A28" s="8">
        <v>43372.844004629631</v>
      </c>
      <c r="B28" s="11" t="str">
        <f>HYPERLINK("https://twitter.com/aliadineh","@aliadineh")</f>
        <v>@aliadineh</v>
      </c>
      <c r="C28" s="6" t="s">
        <v>8059</v>
      </c>
      <c r="D28" s="5" t="s">
        <v>8058</v>
      </c>
      <c r="E28" s="9" t="str">
        <f>HYPERLINK("https://twitter.com/aliadineh/status/1046078493921021958","1046078493921021958")</f>
        <v>1046078493921021958</v>
      </c>
      <c r="F28" s="4"/>
      <c r="G28" s="4"/>
      <c r="H28" s="4"/>
      <c r="I28" s="10" t="str">
        <f>HYPERLINK("http://twitter.com/download/android","Twitter for Android")</f>
        <v>Twitter for Android</v>
      </c>
      <c r="J28" s="2">
        <v>553</v>
      </c>
      <c r="K28" s="2">
        <v>337</v>
      </c>
      <c r="L28" s="2">
        <v>4</v>
      </c>
      <c r="M28" s="2"/>
      <c r="N28" s="8">
        <v>39983.428923611107</v>
      </c>
      <c r="O28" s="4" t="s">
        <v>200</v>
      </c>
      <c r="P28" s="3" t="s">
        <v>8057</v>
      </c>
      <c r="Q28" s="4"/>
      <c r="R28" s="4"/>
      <c r="S28" s="9" t="str">
        <f>HYPERLINK("https://pbs.twimg.com/profile_images/1017052971937484800/cI97l1-p.jpg","View")</f>
        <v>View</v>
      </c>
    </row>
    <row r="29" spans="1:19" ht="30">
      <c r="A29" s="8">
        <v>43372.843472222223</v>
      </c>
      <c r="B29" s="11" t="str">
        <f>HYPERLINK("https://twitter.com/radiodelvazheh","@radiodelvazheh")</f>
        <v>@radiodelvazheh</v>
      </c>
      <c r="C29" s="6" t="s">
        <v>7554</v>
      </c>
      <c r="D29" s="5" t="s">
        <v>8056</v>
      </c>
      <c r="E29" s="9" t="str">
        <f>HYPERLINK("https://twitter.com/radiodelvazheh/status/1046078298051301377","1046078298051301377")</f>
        <v>1046078298051301377</v>
      </c>
      <c r="F29" s="4"/>
      <c r="G29" s="4"/>
      <c r="H29" s="4"/>
      <c r="I29" s="10" t="str">
        <f>HYPERLINK("http://twitter.com/download/android","Twitter for Android")</f>
        <v>Twitter for Android</v>
      </c>
      <c r="J29" s="2">
        <v>4132</v>
      </c>
      <c r="K29" s="2">
        <v>2639</v>
      </c>
      <c r="L29" s="2">
        <v>5</v>
      </c>
      <c r="M29" s="2"/>
      <c r="N29" s="8">
        <v>42688.331701388888</v>
      </c>
      <c r="O29" s="4" t="s">
        <v>7552</v>
      </c>
      <c r="P29" s="3" t="s">
        <v>7551</v>
      </c>
      <c r="Q29" s="4"/>
      <c r="R29" s="4"/>
      <c r="S29" s="9" t="str">
        <f>HYPERLINK("https://pbs.twimg.com/profile_images/1039816156406796288/9-zuWYum.jpg","View")</f>
        <v>View</v>
      </c>
    </row>
    <row r="30" spans="1:19" ht="30">
      <c r="A30" s="8">
        <v>43372.842511574076</v>
      </c>
      <c r="B30" s="11" t="str">
        <f>HYPERLINK("https://twitter.com/Majid_Mehrdana","@Majid_Mehrdana")</f>
        <v>@Majid_Mehrdana</v>
      </c>
      <c r="C30" s="6" t="s">
        <v>6590</v>
      </c>
      <c r="D30" s="5" t="s">
        <v>8055</v>
      </c>
      <c r="E30" s="9" t="str">
        <f>HYPERLINK("https://twitter.com/Majid_Mehrdana/status/1046077950251143169","1046077950251143169")</f>
        <v>1046077950251143169</v>
      </c>
      <c r="F30" s="4"/>
      <c r="G30" s="10" t="s">
        <v>8054</v>
      </c>
      <c r="H30" s="4"/>
      <c r="I30" s="10" t="str">
        <f>HYPERLINK("http://twitter.com","Twitter Web Client")</f>
        <v>Twitter Web Client</v>
      </c>
      <c r="J30" s="2">
        <v>164</v>
      </c>
      <c r="K30" s="2">
        <v>399</v>
      </c>
      <c r="L30" s="2">
        <v>0</v>
      </c>
      <c r="M30" s="2"/>
      <c r="N30" s="8">
        <v>42731.664988425924</v>
      </c>
      <c r="O30" s="4"/>
      <c r="P30" s="3" t="s">
        <v>6587</v>
      </c>
      <c r="Q30" s="4"/>
      <c r="R30" s="4"/>
      <c r="S30" s="9" t="str">
        <f>HYPERLINK("https://pbs.twimg.com/profile_images/813783095333834752/vVvySHIp.jpg","View")</f>
        <v>View</v>
      </c>
    </row>
    <row r="31" spans="1:19" ht="30">
      <c r="A31" s="8">
        <v>43372.831736111111</v>
      </c>
      <c r="B31" s="11" t="str">
        <f>HYPERLINK("https://twitter.com/herghool","@herghool")</f>
        <v>@herghool</v>
      </c>
      <c r="C31" s="6" t="s">
        <v>8053</v>
      </c>
      <c r="D31" s="5" t="s">
        <v>8052</v>
      </c>
      <c r="E31" s="9" t="str">
        <f>HYPERLINK("https://twitter.com/herghool/status/1046074045404499969","1046074045404499969")</f>
        <v>1046074045404499969</v>
      </c>
      <c r="F31" s="4"/>
      <c r="G31" s="4"/>
      <c r="H31" s="4"/>
      <c r="I31" s="10" t="str">
        <f>HYPERLINK("http://twitter.com/download/iphone","Twitter for iPhone")</f>
        <v>Twitter for iPhone</v>
      </c>
      <c r="J31" s="2">
        <v>88</v>
      </c>
      <c r="K31" s="2">
        <v>415</v>
      </c>
      <c r="L31" s="2">
        <v>0</v>
      </c>
      <c r="M31" s="2"/>
      <c r="N31" s="8">
        <v>41197.860254629632</v>
      </c>
      <c r="O31" s="4"/>
      <c r="P31" s="3" t="s">
        <v>8051</v>
      </c>
      <c r="Q31" s="4"/>
      <c r="R31" s="4"/>
      <c r="S31" s="9" t="str">
        <f>HYPERLINK("https://pbs.twimg.com/profile_images/1043947453119115270/ZeVEiFCv.jpg","View")</f>
        <v>View</v>
      </c>
    </row>
    <row r="32" spans="1:19" ht="40">
      <c r="A32" s="8">
        <v>43372.813043981485</v>
      </c>
      <c r="B32" s="11" t="str">
        <f>HYPERLINK("https://twitter.com/SiasatZadegan","@SiasatZadegan")</f>
        <v>@SiasatZadegan</v>
      </c>
      <c r="C32" s="6" t="s">
        <v>4337</v>
      </c>
      <c r="D32" s="5" t="s">
        <v>8050</v>
      </c>
      <c r="E32" s="9" t="str">
        <f>HYPERLINK("https://twitter.com/SiasatZadegan/status/1046067274837368834","1046067274837368834")</f>
        <v>1046067274837368834</v>
      </c>
      <c r="F32" s="4"/>
      <c r="G32" s="4"/>
      <c r="H32" s="4"/>
      <c r="I32" s="10" t="str">
        <f>HYPERLINK("http://twitter.com","Twitter Web Client")</f>
        <v>Twitter Web Client</v>
      </c>
      <c r="J32" s="2">
        <v>1700</v>
      </c>
      <c r="K32" s="2">
        <v>1194</v>
      </c>
      <c r="L32" s="2">
        <v>5</v>
      </c>
      <c r="M32" s="2"/>
      <c r="N32" s="8">
        <v>40878.299791666665</v>
      </c>
      <c r="O32" s="4" t="s">
        <v>1650</v>
      </c>
      <c r="P32" s="3" t="s">
        <v>4335</v>
      </c>
      <c r="Q32" s="10" t="s">
        <v>4334</v>
      </c>
      <c r="R32" s="4"/>
      <c r="S32" s="9" t="str">
        <f>HYPERLINK("https://pbs.twimg.com/profile_images/1011245422688526337/0J6hVbZu.jpg","View")</f>
        <v>View</v>
      </c>
    </row>
    <row r="33" spans="1:19" ht="20">
      <c r="A33" s="8">
        <v>43372.809189814812</v>
      </c>
      <c r="B33" s="11" t="str">
        <f>HYPERLINK("https://twitter.com/AliDaayi","@AliDaayi")</f>
        <v>@AliDaayi</v>
      </c>
      <c r="C33" s="6" t="s">
        <v>3577</v>
      </c>
      <c r="D33" s="5" t="s">
        <v>8049</v>
      </c>
      <c r="E33" s="9" t="str">
        <f>HYPERLINK("https://twitter.com/AliDaayi/status/1046065877572112384","1046065877572112384")</f>
        <v>1046065877572112384</v>
      </c>
      <c r="F33" s="4"/>
      <c r="G33" s="4"/>
      <c r="H33" s="4"/>
      <c r="I33" s="10" t="str">
        <f>HYPERLINK("http://twitter.com/download/android","Twitter for Android")</f>
        <v>Twitter for Android</v>
      </c>
      <c r="J33" s="2">
        <v>55</v>
      </c>
      <c r="K33" s="2">
        <v>190</v>
      </c>
      <c r="L33" s="2">
        <v>0</v>
      </c>
      <c r="M33" s="2"/>
      <c r="N33" s="8">
        <v>43368.643946759257</v>
      </c>
      <c r="O33" s="4" t="s">
        <v>3575</v>
      </c>
      <c r="P33" s="3" t="s">
        <v>8048</v>
      </c>
      <c r="Q33" s="4"/>
      <c r="R33" s="4"/>
      <c r="S33" s="9" t="str">
        <f>HYPERLINK("https://pbs.twimg.com/profile_images/1044565162685075459/uIcaDxJ-.jpg","View")</f>
        <v>View</v>
      </c>
    </row>
    <row r="34" spans="1:19" ht="40">
      <c r="A34" s="8">
        <v>43372.806446759263</v>
      </c>
      <c r="B34" s="11" t="str">
        <f>HYPERLINK("https://twitter.com/CalcioIraniano","@CalcioIraniano")</f>
        <v>@CalcioIraniano</v>
      </c>
      <c r="C34" s="6" t="s">
        <v>1078</v>
      </c>
      <c r="D34" s="5" t="s">
        <v>8047</v>
      </c>
      <c r="E34" s="9" t="str">
        <f>HYPERLINK("https://twitter.com/CalcioIraniano/status/1046064882045587462","1046064882045587462")</f>
        <v>1046064882045587462</v>
      </c>
      <c r="F34" s="10" t="s">
        <v>8046</v>
      </c>
      <c r="G34" s="4"/>
      <c r="H34" s="4"/>
      <c r="I34" s="10" t="str">
        <f>HYPERLINK("http://twitter.com","Twitter Web Client")</f>
        <v>Twitter Web Client</v>
      </c>
      <c r="J34" s="2">
        <v>99</v>
      </c>
      <c r="K34" s="2">
        <v>73</v>
      </c>
      <c r="L34" s="2">
        <v>2</v>
      </c>
      <c r="M34" s="2"/>
      <c r="N34" s="8">
        <v>42943.737407407403</v>
      </c>
      <c r="O34" s="4" t="s">
        <v>1075</v>
      </c>
      <c r="P34" s="3" t="s">
        <v>1074</v>
      </c>
      <c r="Q34" s="10" t="s">
        <v>1073</v>
      </c>
      <c r="R34" s="4"/>
      <c r="S34" s="9" t="str">
        <f>HYPERLINK("https://pbs.twimg.com/profile_images/890563384915243008/kZ2we3yk.jpg","View")</f>
        <v>View</v>
      </c>
    </row>
    <row r="35" spans="1:19" ht="30">
      <c r="A35" s="8">
        <v>43372.804293981477</v>
      </c>
      <c r="B35" s="11" t="str">
        <f>HYPERLINK("https://twitter.com/maryam_sarkhosh","@maryam_sarkhosh")</f>
        <v>@maryam_sarkhosh</v>
      </c>
      <c r="C35" s="6" t="s">
        <v>8045</v>
      </c>
      <c r="D35" s="5" t="s">
        <v>8044</v>
      </c>
      <c r="E35" s="9" t="str">
        <f>HYPERLINK("https://twitter.com/maryam_sarkhosh/status/1046064101628276738","1046064101628276738")</f>
        <v>1046064101628276738</v>
      </c>
      <c r="F35" s="4"/>
      <c r="G35" s="10" t="s">
        <v>8043</v>
      </c>
      <c r="H35" s="4"/>
      <c r="I35" s="10" t="str">
        <f>HYPERLINK("http://twitter.com/download/iphone","Twitter for iPhone")</f>
        <v>Twitter for iPhone</v>
      </c>
      <c r="J35" s="2">
        <v>117</v>
      </c>
      <c r="K35" s="2">
        <v>118</v>
      </c>
      <c r="L35" s="2">
        <v>0</v>
      </c>
      <c r="M35" s="2"/>
      <c r="N35" s="8">
        <v>42727.632627314815</v>
      </c>
      <c r="O35" s="4"/>
      <c r="P35" s="3" t="s">
        <v>8042</v>
      </c>
      <c r="Q35" s="4"/>
      <c r="R35" s="4"/>
      <c r="S35" s="9" t="str">
        <f>HYPERLINK("https://pbs.twimg.com/profile_images/878324536956993538/w_cc28Sn.jpg","View")</f>
        <v>View</v>
      </c>
    </row>
    <row r="36" spans="1:19" ht="20">
      <c r="A36" s="8">
        <v>43372.797743055555</v>
      </c>
      <c r="B36" s="11" t="str">
        <f>HYPERLINK("https://twitter.com/naghmehasadi3","@naghmehasadi3")</f>
        <v>@naghmehasadi3</v>
      </c>
      <c r="C36" s="6" t="s">
        <v>8041</v>
      </c>
      <c r="D36" s="5" t="s">
        <v>8040</v>
      </c>
      <c r="E36" s="9" t="str">
        <f>HYPERLINK("https://twitter.com/naghmehasadi3/status/1046061728809865217","1046061728809865217")</f>
        <v>1046061728809865217</v>
      </c>
      <c r="F36" s="4"/>
      <c r="G36" s="4"/>
      <c r="H36" s="4"/>
      <c r="I36" s="10" t="str">
        <f>HYPERLINK("http://twitter.com/download/android","Twitter for Android")</f>
        <v>Twitter for Android</v>
      </c>
      <c r="J36" s="2">
        <v>98</v>
      </c>
      <c r="K36" s="2">
        <v>46</v>
      </c>
      <c r="L36" s="2">
        <v>0</v>
      </c>
      <c r="M36" s="2"/>
      <c r="N36" s="8">
        <v>42281.807569444441</v>
      </c>
      <c r="O36" s="4" t="s">
        <v>8039</v>
      </c>
      <c r="P36" s="3" t="s">
        <v>8038</v>
      </c>
      <c r="Q36" s="4"/>
      <c r="R36" s="4"/>
      <c r="S36" s="9" t="str">
        <f>HYPERLINK("https://pbs.twimg.com/profile_images/1044602398725988352/p--chima.jpg","View")</f>
        <v>View</v>
      </c>
    </row>
    <row r="37" spans="1:19" ht="20">
      <c r="A37" s="8">
        <v>43372.786574074074</v>
      </c>
      <c r="B37" s="11" t="str">
        <f>HYPERLINK("https://twitter.com/Mas0udii","@Mas0udii")</f>
        <v>@Mas0udii</v>
      </c>
      <c r="C37" s="6" t="s">
        <v>3064</v>
      </c>
      <c r="D37" s="5" t="s">
        <v>8037</v>
      </c>
      <c r="E37" s="9" t="str">
        <f>HYPERLINK("https://twitter.com/Mas0udii/status/1046057681486843906","1046057681486843906")</f>
        <v>1046057681486843906</v>
      </c>
      <c r="F37" s="4"/>
      <c r="G37" s="4"/>
      <c r="H37" s="4"/>
      <c r="I37" s="10" t="str">
        <f>HYPERLINK("http://twitter.com","Twitter Web Client")</f>
        <v>Twitter Web Client</v>
      </c>
      <c r="J37" s="2">
        <v>2018</v>
      </c>
      <c r="K37" s="2">
        <v>2037</v>
      </c>
      <c r="L37" s="2">
        <v>5</v>
      </c>
      <c r="M37" s="2"/>
      <c r="N37" s="8">
        <v>41398.998831018514</v>
      </c>
      <c r="O37" s="4" t="s">
        <v>3061</v>
      </c>
      <c r="P37" s="3" t="s">
        <v>3060</v>
      </c>
      <c r="Q37" s="4"/>
      <c r="R37" s="4"/>
      <c r="S37" s="9" t="str">
        <f>HYPERLINK("https://pbs.twimg.com/profile_images/1033411265723596805/Rq8BGa4k.jpg","View")</f>
        <v>View</v>
      </c>
    </row>
    <row r="38" spans="1:19" ht="40">
      <c r="A38" s="8">
        <v>43372.776608796295</v>
      </c>
      <c r="B38" s="11" t="str">
        <f>HYPERLINK("https://twitter.com/Meysam_Royasaz","@Meysam_Royasaz")</f>
        <v>@Meysam_Royasaz</v>
      </c>
      <c r="C38" s="6" t="s">
        <v>7195</v>
      </c>
      <c r="D38" s="5" t="s">
        <v>8036</v>
      </c>
      <c r="E38" s="9" t="str">
        <f>HYPERLINK("https://twitter.com/Meysam_Royasaz/status/1046054067867439104","1046054067867439104")</f>
        <v>1046054067867439104</v>
      </c>
      <c r="F38" s="4"/>
      <c r="G38" s="4"/>
      <c r="H38" s="4"/>
      <c r="I38" s="10" t="str">
        <f>HYPERLINK("http://twitter.com/download/iphone","Twitter for iPhone")</f>
        <v>Twitter for iPhone</v>
      </c>
      <c r="J38" s="2">
        <v>2179</v>
      </c>
      <c r="K38" s="2">
        <v>964</v>
      </c>
      <c r="L38" s="2">
        <v>51</v>
      </c>
      <c r="M38" s="2"/>
      <c r="N38" s="8">
        <v>41018.740624999999</v>
      </c>
      <c r="O38" s="4"/>
      <c r="P38" s="3" t="s">
        <v>7193</v>
      </c>
      <c r="Q38" s="10" t="s">
        <v>7192</v>
      </c>
      <c r="R38" s="4"/>
      <c r="S38" s="9" t="str">
        <f>HYPERLINK("https://pbs.twimg.com/profile_images/984339408454389762/384lf5YV.jpg","View")</f>
        <v>View</v>
      </c>
    </row>
    <row r="39" spans="1:19" ht="40">
      <c r="A39" s="8">
        <v>43372.773101851853</v>
      </c>
      <c r="B39" s="11" t="str">
        <f>HYPERLINK("https://twitter.com/KayhanLondon","@KayhanLondon")</f>
        <v>@KayhanLondon</v>
      </c>
      <c r="C39" s="6" t="s">
        <v>8035</v>
      </c>
      <c r="D39" s="5" t="s">
        <v>8034</v>
      </c>
      <c r="E39" s="9" t="str">
        <f>HYPERLINK("https://twitter.com/KayhanLondon/status/1046052798335463425","1046052798335463425")</f>
        <v>1046052798335463425</v>
      </c>
      <c r="F39" s="10" t="s">
        <v>8033</v>
      </c>
      <c r="G39" s="10" t="s">
        <v>8032</v>
      </c>
      <c r="H39" s="4"/>
      <c r="I39" s="10" t="str">
        <f>HYPERLINK("http://twitter.com","Twitter Web Client")</f>
        <v>Twitter Web Client</v>
      </c>
      <c r="J39" s="2">
        <v>4810</v>
      </c>
      <c r="K39" s="2">
        <v>16</v>
      </c>
      <c r="L39" s="2">
        <v>42</v>
      </c>
      <c r="M39" s="2" t="s">
        <v>1701</v>
      </c>
      <c r="N39" s="8">
        <v>41705.996006944442</v>
      </c>
      <c r="O39" s="4"/>
      <c r="P39" s="3" t="s">
        <v>8031</v>
      </c>
      <c r="Q39" s="10" t="s">
        <v>8030</v>
      </c>
      <c r="R39" s="4"/>
      <c r="S39" s="9" t="str">
        <f>HYPERLINK("https://pbs.twimg.com/profile_images/610911311845724160/f9_nLw2V.jpg","View")</f>
        <v>View</v>
      </c>
    </row>
    <row r="40" spans="1:19" ht="12.5">
      <c r="A40" s="8">
        <v>43372.77306712963</v>
      </c>
      <c r="B40" s="11" t="str">
        <f>HYPERLINK("https://twitter.com/mertezaa","@mertezaa")</f>
        <v>@mertezaa</v>
      </c>
      <c r="C40" s="6" t="s">
        <v>8029</v>
      </c>
      <c r="D40" s="5" t="s">
        <v>8028</v>
      </c>
      <c r="E40" s="9" t="str">
        <f>HYPERLINK("https://twitter.com/mertezaa/status/1046052786952187905","1046052786952187905")</f>
        <v>1046052786952187905</v>
      </c>
      <c r="F40" s="4"/>
      <c r="G40" s="10" t="s">
        <v>8027</v>
      </c>
      <c r="H40" s="4"/>
      <c r="I40" s="10" t="str">
        <f>HYPERLINK("http://twitter.com/download/android","Twitter for Android")</f>
        <v>Twitter for Android</v>
      </c>
      <c r="J40" s="2">
        <v>0</v>
      </c>
      <c r="K40" s="2">
        <v>24</v>
      </c>
      <c r="L40" s="2">
        <v>0</v>
      </c>
      <c r="M40" s="2"/>
      <c r="N40" s="8">
        <v>43372.74763888889</v>
      </c>
      <c r="O40" s="4" t="s">
        <v>414</v>
      </c>
      <c r="P40" s="3" t="s">
        <v>8026</v>
      </c>
      <c r="Q40" s="4"/>
      <c r="R40" s="4"/>
      <c r="S40" s="9" t="str">
        <f>HYPERLINK("https://pbs.twimg.com/profile_images/1046048548796739602/eqrtCnB_.jpg","View")</f>
        <v>View</v>
      </c>
    </row>
    <row r="41" spans="1:19" ht="30">
      <c r="A41" s="8">
        <v>43372.77070601852</v>
      </c>
      <c r="B41" s="11" t="str">
        <f>HYPERLINK("https://twitter.com/Arj91856643","@Arj91856643")</f>
        <v>@Arj91856643</v>
      </c>
      <c r="C41" s="6" t="s">
        <v>8025</v>
      </c>
      <c r="D41" s="5" t="s">
        <v>8024</v>
      </c>
      <c r="E41" s="9" t="str">
        <f>HYPERLINK("https://twitter.com/Arj91856643/status/1046051929019879425","1046051929019879425")</f>
        <v>1046051929019879425</v>
      </c>
      <c r="F41" s="4"/>
      <c r="G41" s="4"/>
      <c r="H41" s="4"/>
      <c r="I41" s="10" t="str">
        <f>HYPERLINK("http://twitter.com/download/android","Twitter for Android")</f>
        <v>Twitter for Android</v>
      </c>
      <c r="J41" s="2">
        <v>0</v>
      </c>
      <c r="K41" s="2">
        <v>22</v>
      </c>
      <c r="L41" s="2">
        <v>0</v>
      </c>
      <c r="M41" s="2"/>
      <c r="N41" s="8">
        <v>43357.847025462965</v>
      </c>
      <c r="O41" s="4"/>
      <c r="P41" s="3"/>
      <c r="Q41" s="4"/>
      <c r="R41" s="4"/>
      <c r="S41" s="2" t="s">
        <v>259</v>
      </c>
    </row>
    <row r="42" spans="1:19" ht="20">
      <c r="A42" s="8">
        <v>43372.751307870371</v>
      </c>
      <c r="B42" s="11" t="str">
        <f>HYPERLINK("https://twitter.com/RadioOffside","@RadioOffside")</f>
        <v>@RadioOffside</v>
      </c>
      <c r="C42" s="6" t="s">
        <v>2645</v>
      </c>
      <c r="D42" s="5" t="s">
        <v>8023</v>
      </c>
      <c r="E42" s="9" t="str">
        <f>HYPERLINK("https://twitter.com/RadioOffside/status/1046044901983621130","1046044901983621130")</f>
        <v>1046044901983621130</v>
      </c>
      <c r="F42" s="4"/>
      <c r="G42" s="4"/>
      <c r="H42" s="4"/>
      <c r="I42" s="10" t="str">
        <f>HYPERLINK("http://twitter.com/download/android","Twitter for Android")</f>
        <v>Twitter for Android</v>
      </c>
      <c r="J42" s="2">
        <v>304</v>
      </c>
      <c r="K42" s="2">
        <v>39</v>
      </c>
      <c r="L42" s="2">
        <v>10</v>
      </c>
      <c r="M42" s="2"/>
      <c r="N42" s="8">
        <v>43224.071261574078</v>
      </c>
      <c r="O42" s="4"/>
      <c r="P42" s="3" t="s">
        <v>2642</v>
      </c>
      <c r="Q42" s="10" t="s">
        <v>2641</v>
      </c>
      <c r="R42" s="4"/>
      <c r="S42" s="9" t="str">
        <f>HYPERLINK("https://pbs.twimg.com/profile_images/1045271738878185473/JBTK1D7J.jpg","View")</f>
        <v>View</v>
      </c>
    </row>
    <row r="43" spans="1:19" ht="40">
      <c r="A43" s="8">
        <v>43372.742986111116</v>
      </c>
      <c r="B43" s="11" t="str">
        <f>HYPERLINK("https://twitter.com/RadioOffside","@RadioOffside")</f>
        <v>@RadioOffside</v>
      </c>
      <c r="C43" s="6" t="s">
        <v>2645</v>
      </c>
      <c r="D43" s="5" t="s">
        <v>8022</v>
      </c>
      <c r="E43" s="9" t="str">
        <f>HYPERLINK("https://twitter.com/RadioOffside/status/1046041884907507713","1046041884907507713")</f>
        <v>1046041884907507713</v>
      </c>
      <c r="F43" s="10" t="s">
        <v>8021</v>
      </c>
      <c r="G43" s="10" t="s">
        <v>8020</v>
      </c>
      <c r="H43" s="4"/>
      <c r="I43" s="10" t="str">
        <f>HYPERLINK("http://twitter.com/download/android","Twitter for Android")</f>
        <v>Twitter for Android</v>
      </c>
      <c r="J43" s="2">
        <v>304</v>
      </c>
      <c r="K43" s="2">
        <v>39</v>
      </c>
      <c r="L43" s="2">
        <v>10</v>
      </c>
      <c r="M43" s="2"/>
      <c r="N43" s="8">
        <v>43224.071261574078</v>
      </c>
      <c r="O43" s="4"/>
      <c r="P43" s="3" t="s">
        <v>2642</v>
      </c>
      <c r="Q43" s="10" t="s">
        <v>2641</v>
      </c>
      <c r="R43" s="4"/>
      <c r="S43" s="9" t="str">
        <f>HYPERLINK("https://pbs.twimg.com/profile_images/1045271738878185473/JBTK1D7J.jpg","View")</f>
        <v>View</v>
      </c>
    </row>
    <row r="44" spans="1:19" ht="30">
      <c r="A44" s="8">
        <v>43372.740543981483</v>
      </c>
      <c r="B44" s="11" t="str">
        <f>HYPERLINK("https://twitter.com/mehdi_bayern","@mehdi_bayern")</f>
        <v>@mehdi_bayern</v>
      </c>
      <c r="C44" s="6" t="s">
        <v>8019</v>
      </c>
      <c r="D44" s="5" t="s">
        <v>8018</v>
      </c>
      <c r="E44" s="9" t="str">
        <f>HYPERLINK("https://twitter.com/mehdi_bayern/status/1046041001108885504","1046041001108885504")</f>
        <v>1046041001108885504</v>
      </c>
      <c r="F44" s="4"/>
      <c r="G44" s="4"/>
      <c r="H44" s="4"/>
      <c r="I44" s="10" t="str">
        <f>HYPERLINK("http://twitter.com/download/android","Twitter for Android")</f>
        <v>Twitter for Android</v>
      </c>
      <c r="J44" s="2">
        <v>130</v>
      </c>
      <c r="K44" s="2">
        <v>92</v>
      </c>
      <c r="L44" s="2">
        <v>0</v>
      </c>
      <c r="M44" s="2"/>
      <c r="N44" s="8">
        <v>41807.689062500001</v>
      </c>
      <c r="O44" s="4" t="s">
        <v>311</v>
      </c>
      <c r="P44" s="3" t="s">
        <v>8017</v>
      </c>
      <c r="Q44" s="4"/>
      <c r="R44" s="4"/>
      <c r="S44" s="9" t="str">
        <f>HYPERLINK("https://pbs.twimg.com/profile_images/1033821958633385985/nNA-trJ9.jpg","View")</f>
        <v>View</v>
      </c>
    </row>
    <row r="45" spans="1:19" ht="30">
      <c r="A45" s="8">
        <v>43372.736967592587</v>
      </c>
      <c r="B45" s="11" t="str">
        <f>HYPERLINK("https://twitter.com/manochman","@manochman")</f>
        <v>@manochman</v>
      </c>
      <c r="C45" s="6" t="s">
        <v>720</v>
      </c>
      <c r="D45" s="5" t="s">
        <v>4988</v>
      </c>
      <c r="E45" s="9" t="str">
        <f>HYPERLINK("https://twitter.com/manochman/status/1046039702174871554","1046039702174871554")</f>
        <v>1046039702174871554</v>
      </c>
      <c r="F45" s="4"/>
      <c r="G45" s="10" t="s">
        <v>8016</v>
      </c>
      <c r="H45" s="4"/>
      <c r="I45" s="10" t="str">
        <f>HYPERLINK("http://twitter.com/download/android","Twitter for Android")</f>
        <v>Twitter for Android</v>
      </c>
      <c r="J45" s="2">
        <v>212</v>
      </c>
      <c r="K45" s="2">
        <v>484</v>
      </c>
      <c r="L45" s="2">
        <v>0</v>
      </c>
      <c r="M45" s="2"/>
      <c r="N45" s="8">
        <v>40834.923796296294</v>
      </c>
      <c r="O45" s="4" t="s">
        <v>62</v>
      </c>
      <c r="P45" s="3" t="s">
        <v>719</v>
      </c>
      <c r="Q45" s="4"/>
      <c r="R45" s="4"/>
      <c r="S45" s="9" t="str">
        <f>HYPERLINK("https://pbs.twimg.com/profile_images/1044663541725376514/YrB5kUbi.jpg","View")</f>
        <v>View</v>
      </c>
    </row>
    <row r="46" spans="1:19" ht="30">
      <c r="A46" s="8">
        <v>43372.736770833333</v>
      </c>
      <c r="B46" s="11" t="str">
        <f>HYPERLINK("https://twitter.com/manochman","@manochman")</f>
        <v>@manochman</v>
      </c>
      <c r="C46" s="6" t="s">
        <v>720</v>
      </c>
      <c r="D46" s="5" t="s">
        <v>4988</v>
      </c>
      <c r="E46" s="9" t="str">
        <f>HYPERLINK("https://twitter.com/manochman/status/1046039633195421696","1046039633195421696")</f>
        <v>1046039633195421696</v>
      </c>
      <c r="F46" s="4"/>
      <c r="G46" s="10" t="s">
        <v>8015</v>
      </c>
      <c r="H46" s="4"/>
      <c r="I46" s="10" t="str">
        <f>HYPERLINK("http://twitter.com/download/android","Twitter for Android")</f>
        <v>Twitter for Android</v>
      </c>
      <c r="J46" s="2">
        <v>212</v>
      </c>
      <c r="K46" s="2">
        <v>484</v>
      </c>
      <c r="L46" s="2">
        <v>0</v>
      </c>
      <c r="M46" s="2"/>
      <c r="N46" s="8">
        <v>40834.923796296294</v>
      </c>
      <c r="O46" s="4" t="s">
        <v>62</v>
      </c>
      <c r="P46" s="3" t="s">
        <v>719</v>
      </c>
      <c r="Q46" s="4"/>
      <c r="R46" s="4"/>
      <c r="S46" s="9" t="str">
        <f>HYPERLINK("https://pbs.twimg.com/profile_images/1044663541725376514/YrB5kUbi.jpg","View")</f>
        <v>View</v>
      </c>
    </row>
    <row r="47" spans="1:19" ht="30">
      <c r="A47" s="8">
        <v>43372.734201388885</v>
      </c>
      <c r="B47" s="11" t="str">
        <f>HYPERLINK("https://twitter.com/ManMeysam","@ManMeysam")</f>
        <v>@ManMeysam</v>
      </c>
      <c r="C47" s="6" t="s">
        <v>472</v>
      </c>
      <c r="D47" s="5" t="s">
        <v>8014</v>
      </c>
      <c r="E47" s="9" t="str">
        <f>HYPERLINK("https://twitter.com/ManMeysam/status/1046038700877139968","1046038700877139968")</f>
        <v>1046038700877139968</v>
      </c>
      <c r="F47" s="4"/>
      <c r="G47" s="4"/>
      <c r="H47" s="4"/>
      <c r="I47" s="10" t="str">
        <f>HYPERLINK("http://twitter.com/download/android","Twitter for Android")</f>
        <v>Twitter for Android</v>
      </c>
      <c r="J47" s="2">
        <v>741</v>
      </c>
      <c r="K47" s="2">
        <v>88</v>
      </c>
      <c r="L47" s="2">
        <v>2</v>
      </c>
      <c r="M47" s="2"/>
      <c r="N47" s="8">
        <v>43080.934756944444</v>
      </c>
      <c r="O47" s="4"/>
      <c r="P47" s="3" t="s">
        <v>470</v>
      </c>
      <c r="Q47" s="4"/>
      <c r="R47" s="4"/>
      <c r="S47" s="9" t="str">
        <f>HYPERLINK("https://pbs.twimg.com/profile_images/990240817024589824/h1PmTrjf.jpg","View")</f>
        <v>View</v>
      </c>
    </row>
    <row r="48" spans="1:19" ht="40">
      <c r="A48" s="8">
        <v>43372.722962962958</v>
      </c>
      <c r="B48" s="11" t="str">
        <f>HYPERLINK("https://twitter.com/automatax","@automatax")</f>
        <v>@automatax</v>
      </c>
      <c r="C48" s="6" t="s">
        <v>8013</v>
      </c>
      <c r="D48" s="5" t="s">
        <v>8012</v>
      </c>
      <c r="E48" s="9" t="str">
        <f>HYPERLINK("https://twitter.com/automatax/status/1046034629537525760","1046034629537525760")</f>
        <v>1046034629537525760</v>
      </c>
      <c r="F48" s="4"/>
      <c r="G48" s="4"/>
      <c r="H48" s="4"/>
      <c r="I48" s="10" t="str">
        <f>HYPERLINK("http://twitter.com/download/iphone","Twitter for iPhone")</f>
        <v>Twitter for iPhone</v>
      </c>
      <c r="J48" s="2">
        <v>170</v>
      </c>
      <c r="K48" s="2">
        <v>85</v>
      </c>
      <c r="L48" s="2">
        <v>3</v>
      </c>
      <c r="M48" s="2"/>
      <c r="N48" s="8">
        <v>42737.804895833338</v>
      </c>
      <c r="O48" s="4" t="s">
        <v>8011</v>
      </c>
      <c r="P48" s="3" t="s">
        <v>8010</v>
      </c>
      <c r="Q48" s="4"/>
      <c r="R48" s="4"/>
      <c r="S48" s="9" t="str">
        <f>HYPERLINK("https://pbs.twimg.com/profile_images/1044010849055264768/lGZw6nYN.jpg","View")</f>
        <v>View</v>
      </c>
    </row>
    <row r="49" spans="1:19" ht="20">
      <c r="A49" s="8">
        <v>43372.7184375</v>
      </c>
      <c r="B49" s="11" t="str">
        <f>HYPERLINK("https://twitter.com/ExtratimeM","@ExtratimeM")</f>
        <v>@ExtratimeM</v>
      </c>
      <c r="C49" s="6" t="s">
        <v>8009</v>
      </c>
      <c r="D49" s="5" t="s">
        <v>8008</v>
      </c>
      <c r="E49" s="9" t="str">
        <f>HYPERLINK("https://twitter.com/ExtratimeM/status/1046032986943221760","1046032986943221760")</f>
        <v>1046032986943221760</v>
      </c>
      <c r="F49" s="4"/>
      <c r="G49" s="10" t="s">
        <v>8007</v>
      </c>
      <c r="H49" s="4"/>
      <c r="I49" s="10" t="str">
        <f>HYPERLINK("http://twitter.com/download/android","Twitter for Android")</f>
        <v>Twitter for Android</v>
      </c>
      <c r="J49" s="2">
        <v>0</v>
      </c>
      <c r="K49" s="2">
        <v>0</v>
      </c>
      <c r="L49" s="2">
        <v>0</v>
      </c>
      <c r="M49" s="2"/>
      <c r="N49" s="8">
        <v>43372.68368055555</v>
      </c>
      <c r="O49" s="4" t="s">
        <v>72</v>
      </c>
      <c r="P49" s="3" t="s">
        <v>8006</v>
      </c>
      <c r="Q49" s="4"/>
      <c r="R49" s="4"/>
      <c r="S49" s="9" t="str">
        <f>HYPERLINK("https://pbs.twimg.com/profile_images/1046024223687356417/nXxsra9-.jpg","View")</f>
        <v>View</v>
      </c>
    </row>
    <row r="50" spans="1:19" ht="30">
      <c r="A50" s="8">
        <v>43372.714687500003</v>
      </c>
      <c r="B50" s="11" t="str">
        <f>HYPERLINK("https://twitter.com/Hasanjuventin0","@Hasanjuventin0")</f>
        <v>@Hasanjuventin0</v>
      </c>
      <c r="C50" s="6" t="s">
        <v>7611</v>
      </c>
      <c r="D50" s="5" t="s">
        <v>8005</v>
      </c>
      <c r="E50" s="9" t="str">
        <f>HYPERLINK("https://twitter.com/Hasanjuventin0/status/1046031628546568194","1046031628546568194")</f>
        <v>1046031628546568194</v>
      </c>
      <c r="F50" s="4"/>
      <c r="G50" s="4"/>
      <c r="H50" s="4"/>
      <c r="I50" s="10" t="str">
        <f>HYPERLINK("http://twitter.com","Twitter Web Client")</f>
        <v>Twitter Web Client</v>
      </c>
      <c r="J50" s="2">
        <v>922</v>
      </c>
      <c r="K50" s="2">
        <v>347</v>
      </c>
      <c r="L50" s="2">
        <v>9</v>
      </c>
      <c r="M50" s="2"/>
      <c r="N50" s="8">
        <v>40548.643587962964</v>
      </c>
      <c r="O50" s="4" t="s">
        <v>7609</v>
      </c>
      <c r="P50" s="3" t="s">
        <v>7608</v>
      </c>
      <c r="Q50" s="10" t="s">
        <v>7607</v>
      </c>
      <c r="R50" s="4"/>
      <c r="S50" s="9" t="str">
        <f>HYPERLINK("https://pbs.twimg.com/profile_images/1040278492607381504/4Ux9uJbA.jpg","View")</f>
        <v>View</v>
      </c>
    </row>
    <row r="51" spans="1:19" ht="40">
      <c r="A51" s="8">
        <v>43372.710324074069</v>
      </c>
      <c r="B51" s="11" t="str">
        <f>HYPERLINK("https://twitter.com/yjcagency","@yjcagency")</f>
        <v>@yjcagency</v>
      </c>
      <c r="C51" s="6" t="s">
        <v>88</v>
      </c>
      <c r="D51" s="5" t="s">
        <v>8004</v>
      </c>
      <c r="E51" s="9" t="str">
        <f>HYPERLINK("https://twitter.com/yjcagency/status/1046030046908092416","1046030046908092416")</f>
        <v>1046030046908092416</v>
      </c>
      <c r="F51" s="4"/>
      <c r="G51" s="10" t="s">
        <v>8003</v>
      </c>
      <c r="H51" s="4"/>
      <c r="I51" s="10" t="str">
        <f>HYPERLINK("http://twitter.com/download/android","Twitter for Android")</f>
        <v>Twitter for Android</v>
      </c>
      <c r="J51" s="2">
        <v>11442</v>
      </c>
      <c r="K51" s="2">
        <v>3</v>
      </c>
      <c r="L51" s="2">
        <v>63</v>
      </c>
      <c r="M51" s="2"/>
      <c r="N51" s="8">
        <v>42691.645821759259</v>
      </c>
      <c r="O51" s="4" t="s">
        <v>85</v>
      </c>
      <c r="P51" s="3" t="s">
        <v>84</v>
      </c>
      <c r="Q51" s="10" t="s">
        <v>83</v>
      </c>
      <c r="R51" s="4"/>
      <c r="S51" s="9" t="str">
        <f>HYPERLINK("https://pbs.twimg.com/profile_images/1039447384940531714/s7Ntm7-U.jpg","View")</f>
        <v>View</v>
      </c>
    </row>
    <row r="52" spans="1:19" ht="20">
      <c r="A52" s="8">
        <v>43372.697025462963</v>
      </c>
      <c r="B52" s="11" t="str">
        <f>HYPERLINK("https://twitter.com/Elahe_Rastegary","@Elahe_Rastegary")</f>
        <v>@Elahe_Rastegary</v>
      </c>
      <c r="C52" s="6" t="s">
        <v>8001</v>
      </c>
      <c r="D52" s="5" t="s">
        <v>8002</v>
      </c>
      <c r="E52" s="9" t="str">
        <f>HYPERLINK("https://twitter.com/Elahe_Rastegary/status/1046025228890116097","1046025228890116097")</f>
        <v>1046025228890116097</v>
      </c>
      <c r="F52" s="4"/>
      <c r="G52" s="4"/>
      <c r="H52" s="4"/>
      <c r="I52" s="10" t="str">
        <f>HYPERLINK("http://twitter.com","Twitter Web Client")</f>
        <v>Twitter Web Client</v>
      </c>
      <c r="J52" s="2">
        <v>0</v>
      </c>
      <c r="K52" s="2">
        <v>0</v>
      </c>
      <c r="L52" s="2">
        <v>0</v>
      </c>
      <c r="M52" s="2"/>
      <c r="N52" s="8">
        <v>43372.690254629633</v>
      </c>
      <c r="O52" s="4" t="s">
        <v>200</v>
      </c>
      <c r="P52" s="3" t="s">
        <v>7999</v>
      </c>
      <c r="Q52" s="10" t="s">
        <v>7998</v>
      </c>
      <c r="R52" s="4"/>
      <c r="S52" s="9" t="str">
        <f>HYPERLINK("https://pbs.twimg.com/profile_images/1046023950218801153/Ud9X_kf5.jpg","View")</f>
        <v>View</v>
      </c>
    </row>
    <row r="53" spans="1:19" ht="20">
      <c r="A53" s="8">
        <v>43372.696203703701</v>
      </c>
      <c r="B53" s="11" t="str">
        <f>HYPERLINK("https://twitter.com/Elahe_Rastegary","@Elahe_Rastegary")</f>
        <v>@Elahe_Rastegary</v>
      </c>
      <c r="C53" s="6" t="s">
        <v>8001</v>
      </c>
      <c r="D53" s="5" t="s">
        <v>8000</v>
      </c>
      <c r="E53" s="9" t="str">
        <f>HYPERLINK("https://twitter.com/Elahe_Rastegary/status/1046024929668476929","1046024929668476929")</f>
        <v>1046024929668476929</v>
      </c>
      <c r="F53" s="4"/>
      <c r="G53" s="4"/>
      <c r="H53" s="4"/>
      <c r="I53" s="10" t="str">
        <f>HYPERLINK("http://twitter.com","Twitter Web Client")</f>
        <v>Twitter Web Client</v>
      </c>
      <c r="J53" s="2">
        <v>0</v>
      </c>
      <c r="K53" s="2">
        <v>0</v>
      </c>
      <c r="L53" s="2">
        <v>0</v>
      </c>
      <c r="M53" s="2"/>
      <c r="N53" s="8">
        <v>43372.690254629633</v>
      </c>
      <c r="O53" s="4" t="s">
        <v>200</v>
      </c>
      <c r="P53" s="3" t="s">
        <v>7999</v>
      </c>
      <c r="Q53" s="10" t="s">
        <v>7998</v>
      </c>
      <c r="R53" s="4"/>
      <c r="S53" s="9" t="str">
        <f>HYPERLINK("https://pbs.twimg.com/profile_images/1046023950218801153/Ud9X_kf5.jpg","View")</f>
        <v>View</v>
      </c>
    </row>
    <row r="54" spans="1:19" ht="40">
      <c r="A54" s="8">
        <v>43372.690381944441</v>
      </c>
      <c r="B54" s="11" t="str">
        <f>HYPERLINK("https://twitter.com/ETeymourpour","@ETeymourpour")</f>
        <v>@ETeymourpour</v>
      </c>
      <c r="C54" s="6" t="s">
        <v>7641</v>
      </c>
      <c r="D54" s="5" t="s">
        <v>7997</v>
      </c>
      <c r="E54" s="9" t="str">
        <f>HYPERLINK("https://twitter.com/ETeymourpour/status/1046022821095321601","1046022821095321601")</f>
        <v>1046022821095321601</v>
      </c>
      <c r="F54" s="4"/>
      <c r="G54" s="4"/>
      <c r="H54" s="4"/>
      <c r="I54" s="10" t="str">
        <f>HYPERLINK("http://twitter.com/download/android","Twitter for Android")</f>
        <v>Twitter for Android</v>
      </c>
      <c r="J54" s="2">
        <v>102</v>
      </c>
      <c r="K54" s="2">
        <v>97</v>
      </c>
      <c r="L54" s="2">
        <v>5</v>
      </c>
      <c r="M54" s="2"/>
      <c r="N54" s="8">
        <v>42690.771400462967</v>
      </c>
      <c r="O54" s="4" t="s">
        <v>7639</v>
      </c>
      <c r="P54" s="3" t="s">
        <v>7638</v>
      </c>
      <c r="Q54" s="4"/>
      <c r="R54" s="4"/>
      <c r="S54" s="9" t="str">
        <f>HYPERLINK("https://pbs.twimg.com/profile_images/1045174934287396864/VJ3HVeXY.jpg","View")</f>
        <v>View</v>
      </c>
    </row>
    <row r="55" spans="1:19" ht="40">
      <c r="A55" s="8">
        <v>43372.688576388886</v>
      </c>
      <c r="B55" s="11" t="str">
        <f>HYPERLINK("https://twitter.com/Tasnimnews_Fa","@Tasnimnews_Fa")</f>
        <v>@Tasnimnews_Fa</v>
      </c>
      <c r="C55" s="6" t="s">
        <v>3472</v>
      </c>
      <c r="D55" s="5" t="s">
        <v>7996</v>
      </c>
      <c r="E55" s="9" t="str">
        <f>HYPERLINK("https://twitter.com/Tasnimnews_Fa/status/1046022168067244032","1046022168067244032")</f>
        <v>1046022168067244032</v>
      </c>
      <c r="F55" s="10" t="s">
        <v>7995</v>
      </c>
      <c r="G55" s="10" t="s">
        <v>7994</v>
      </c>
      <c r="H55" s="4"/>
      <c r="I55" s="10" t="str">
        <f>HYPERLINK("http://twitter.com","Twitter Web Client")</f>
        <v>Twitter Web Client</v>
      </c>
      <c r="J55" s="2">
        <v>111199</v>
      </c>
      <c r="K55" s="2">
        <v>19</v>
      </c>
      <c r="L55" s="2">
        <v>395</v>
      </c>
      <c r="M55" s="2" t="s">
        <v>1701</v>
      </c>
      <c r="N55" s="8">
        <v>41868.671585648146</v>
      </c>
      <c r="O55" s="4" t="s">
        <v>10</v>
      </c>
      <c r="P55" s="3" t="s">
        <v>3469</v>
      </c>
      <c r="Q55" s="10" t="s">
        <v>3468</v>
      </c>
      <c r="R55" s="4"/>
      <c r="S55" s="9" t="str">
        <f>HYPERLINK("https://pbs.twimg.com/profile_images/942003149430239232/hvLw_1_E.jpg","View")</f>
        <v>View</v>
      </c>
    </row>
    <row r="56" spans="1:19" ht="30">
      <c r="A56" s="8">
        <v>43372.686979166669</v>
      </c>
      <c r="B56" s="11" t="str">
        <f>HYPERLINK("https://twitter.com/rassool1359","@rassool1359")</f>
        <v>@rassool1359</v>
      </c>
      <c r="C56" s="6" t="s">
        <v>3353</v>
      </c>
      <c r="D56" s="5" t="s">
        <v>7993</v>
      </c>
      <c r="E56" s="9" t="str">
        <f>HYPERLINK("https://twitter.com/rassool1359/status/1046021586556411904","1046021586556411904")</f>
        <v>1046021586556411904</v>
      </c>
      <c r="F56" s="4"/>
      <c r="G56" s="10" t="s">
        <v>7992</v>
      </c>
      <c r="H56" s="4"/>
      <c r="I56" s="10" t="str">
        <f>HYPERLINK("https://mobile.twitter.com","Twitter Lite")</f>
        <v>Twitter Lite</v>
      </c>
      <c r="J56" s="2">
        <v>804</v>
      </c>
      <c r="K56" s="2">
        <v>232</v>
      </c>
      <c r="L56" s="2">
        <v>3</v>
      </c>
      <c r="M56" s="2"/>
      <c r="N56" s="8">
        <v>42703.92701388889</v>
      </c>
      <c r="O56" s="4"/>
      <c r="P56" s="3"/>
      <c r="Q56" s="4"/>
      <c r="R56" s="4"/>
      <c r="S56" s="9" t="str">
        <f>HYPERLINK("https://pbs.twimg.com/profile_images/955771338391683072/UsYcWSiy.jpg","View")</f>
        <v>View</v>
      </c>
    </row>
    <row r="57" spans="1:19" ht="30">
      <c r="A57" s="8">
        <v>43372.670023148152</v>
      </c>
      <c r="B57" s="11" t="str">
        <f>HYPERLINK("https://twitter.com/unique_9503","@unique_9503")</f>
        <v>@unique_9503</v>
      </c>
      <c r="C57" s="6" t="s">
        <v>7718</v>
      </c>
      <c r="D57" s="5" t="s">
        <v>7991</v>
      </c>
      <c r="E57" s="9" t="str">
        <f>HYPERLINK("https://twitter.com/unique_9503/status/1046015442077319169","1046015442077319169")</f>
        <v>1046015442077319169</v>
      </c>
      <c r="F57" s="4"/>
      <c r="G57" s="4"/>
      <c r="H57" s="4"/>
      <c r="I57" s="10" t="str">
        <f>HYPERLINK("http://twitter.com/download/android","Twitter for Android")</f>
        <v>Twitter for Android</v>
      </c>
      <c r="J57" s="2">
        <v>48</v>
      </c>
      <c r="K57" s="2">
        <v>33</v>
      </c>
      <c r="L57" s="2">
        <v>0</v>
      </c>
      <c r="M57" s="2"/>
      <c r="N57" s="8">
        <v>43104.543391203704</v>
      </c>
      <c r="O57" s="4" t="s">
        <v>7716</v>
      </c>
      <c r="P57" s="3" t="s">
        <v>7990</v>
      </c>
      <c r="Q57" s="4"/>
      <c r="R57" s="4"/>
      <c r="S57" s="9" t="str">
        <f>HYPERLINK("https://pbs.twimg.com/profile_images/1028243665083424770/Sh0pp_T9.jpg","View")</f>
        <v>View</v>
      </c>
    </row>
    <row r="58" spans="1:19" ht="40">
      <c r="A58" s="8">
        <v>43372.666747685187</v>
      </c>
      <c r="B58" s="11" t="str">
        <f>HYPERLINK("https://twitter.com/esteghlaltwitte","@esteghlaltwitte")</f>
        <v>@esteghlaltwitte</v>
      </c>
      <c r="C58" s="6" t="s">
        <v>7989</v>
      </c>
      <c r="D58" s="5" t="s">
        <v>7988</v>
      </c>
      <c r="E58" s="9" t="str">
        <f>HYPERLINK("https://twitter.com/esteghlaltwitte/status/1046014257337434113","1046014257337434113")</f>
        <v>1046014257337434113</v>
      </c>
      <c r="F58" s="4"/>
      <c r="G58" s="4"/>
      <c r="H58" s="4"/>
      <c r="I58" s="10" t="str">
        <f>HYPERLINK("http://twitter.com/download/iphone","Twitter for iPhone")</f>
        <v>Twitter for iPhone</v>
      </c>
      <c r="J58" s="2">
        <v>52</v>
      </c>
      <c r="K58" s="2">
        <v>65</v>
      </c>
      <c r="L58" s="2">
        <v>1</v>
      </c>
      <c r="M58" s="2"/>
      <c r="N58" s="8">
        <v>42966.790092592593</v>
      </c>
      <c r="O58" s="4" t="s">
        <v>200</v>
      </c>
      <c r="P58" s="3" t="s">
        <v>7987</v>
      </c>
      <c r="Q58" s="4"/>
      <c r="R58" s="4"/>
      <c r="S58" s="9" t="str">
        <f>HYPERLINK("https://pbs.twimg.com/profile_images/1035295939613863936/6Qg0BFlI.jpg","View")</f>
        <v>View</v>
      </c>
    </row>
    <row r="59" spans="1:19" ht="30">
      <c r="A59" s="8">
        <v>43372.649884259255</v>
      </c>
      <c r="B59" s="11" t="str">
        <f>HYPERLINK("https://twitter.com/mashtiiiiiiiiii","@mashtiiiiiiiiii")</f>
        <v>@mashtiiiiiiiiii</v>
      </c>
      <c r="C59" s="6" t="s">
        <v>7986</v>
      </c>
      <c r="D59" s="5" t="s">
        <v>7985</v>
      </c>
      <c r="E59" s="9" t="str">
        <f>HYPERLINK("https://twitter.com/mashtiiiiiiiiii/status/1046008144638472192","1046008144638472192")</f>
        <v>1046008144638472192</v>
      </c>
      <c r="F59" s="4"/>
      <c r="G59" s="4"/>
      <c r="H59" s="4"/>
      <c r="I59" s="10" t="str">
        <f>HYPERLINK("http://twitter.com/download/android","Twitter for Android")</f>
        <v>Twitter for Android</v>
      </c>
      <c r="J59" s="2">
        <v>328</v>
      </c>
      <c r="K59" s="2">
        <v>199</v>
      </c>
      <c r="L59" s="2">
        <v>2</v>
      </c>
      <c r="M59" s="2"/>
      <c r="N59" s="8">
        <v>40514.118310185186</v>
      </c>
      <c r="O59" s="4" t="s">
        <v>7984</v>
      </c>
      <c r="P59" s="12" t="s">
        <v>7983</v>
      </c>
      <c r="Q59" s="4"/>
      <c r="R59" s="4"/>
      <c r="S59" s="9" t="str">
        <f>HYPERLINK("https://pbs.twimg.com/profile_images/980929453701435392/wK1nR9qC.jpg","View")</f>
        <v>View</v>
      </c>
    </row>
    <row r="60" spans="1:19" ht="30">
      <c r="A60" s="8">
        <v>43372.642280092594</v>
      </c>
      <c r="B60" s="11" t="str">
        <f>HYPERLINK("https://twitter.com/Crazyyyyy_Frog","@Crazyyyyy_Frog")</f>
        <v>@Crazyyyyy_Frog</v>
      </c>
      <c r="C60" s="6" t="s">
        <v>7982</v>
      </c>
      <c r="D60" s="5" t="s">
        <v>7981</v>
      </c>
      <c r="E60" s="9" t="str">
        <f>HYPERLINK("https://twitter.com/Crazyyyyy_Frog/status/1046005391249747970","1046005391249747970")</f>
        <v>1046005391249747970</v>
      </c>
      <c r="F60" s="4"/>
      <c r="G60" s="10" t="s">
        <v>7980</v>
      </c>
      <c r="H60" s="4"/>
      <c r="I60" s="10" t="str">
        <f>HYPERLINK("https://about.twitter.com/products/tweetdeck","TweetDeck")</f>
        <v>TweetDeck</v>
      </c>
      <c r="J60" s="2">
        <v>3064</v>
      </c>
      <c r="K60" s="2">
        <v>2437</v>
      </c>
      <c r="L60" s="2">
        <v>5</v>
      </c>
      <c r="M60" s="2"/>
      <c r="N60" s="8">
        <v>42835.650381944448</v>
      </c>
      <c r="O60" s="4" t="s">
        <v>7979</v>
      </c>
      <c r="P60" s="3" t="s">
        <v>7978</v>
      </c>
      <c r="Q60" s="4"/>
      <c r="R60" s="4"/>
      <c r="S60" s="9" t="str">
        <f>HYPERLINK("https://pbs.twimg.com/profile_images/1013848936597999616/Xj99OD25.jpg","View")</f>
        <v>View</v>
      </c>
    </row>
    <row r="61" spans="1:19" ht="30">
      <c r="A61" s="8">
        <v>43372.635821759264</v>
      </c>
      <c r="B61" s="11" t="str">
        <f>HYPERLINK("https://twitter.com/helenaaaarf","@helenaaaarf")</f>
        <v>@helenaaaarf</v>
      </c>
      <c r="C61" s="6" t="s">
        <v>3112</v>
      </c>
      <c r="D61" s="5" t="s">
        <v>7977</v>
      </c>
      <c r="E61" s="9" t="str">
        <f>HYPERLINK("https://twitter.com/helenaaaarf/status/1046003049112764417","1046003049112764417")</f>
        <v>1046003049112764417</v>
      </c>
      <c r="F61" s="4"/>
      <c r="G61" s="4"/>
      <c r="H61" s="4"/>
      <c r="I61" s="10" t="str">
        <f>HYPERLINK("https://mobile.twitter.com","Mobile Web (M2)")</f>
        <v>Mobile Web (M2)</v>
      </c>
      <c r="J61" s="2">
        <v>24</v>
      </c>
      <c r="K61" s="2">
        <v>91</v>
      </c>
      <c r="L61" s="2">
        <v>0</v>
      </c>
      <c r="M61" s="2"/>
      <c r="N61" s="8">
        <v>42941.936990740738</v>
      </c>
      <c r="O61" s="4"/>
      <c r="P61" s="3" t="s">
        <v>3110</v>
      </c>
      <c r="Q61" s="4"/>
      <c r="R61" s="4"/>
      <c r="S61" s="9" t="str">
        <f>HYPERLINK("https://pbs.twimg.com/profile_images/992034411658076160/r56Ea_2W.jpg","View")</f>
        <v>View</v>
      </c>
    </row>
    <row r="62" spans="1:19" ht="20">
      <c r="A62" s="8">
        <v>43372.618344907409</v>
      </c>
      <c r="B62" s="11" t="str">
        <f>HYPERLINK("https://twitter.com/iranshafaqna","@iranshafaqna")</f>
        <v>@iranshafaqna</v>
      </c>
      <c r="C62" s="6" t="s">
        <v>112</v>
      </c>
      <c r="D62" s="5" t="s">
        <v>7976</v>
      </c>
      <c r="E62" s="9" t="str">
        <f>HYPERLINK("https://twitter.com/iranshafaqna/status/1045996714879078400","1045996714879078400")</f>
        <v>1045996714879078400</v>
      </c>
      <c r="F62" s="10" t="s">
        <v>7975</v>
      </c>
      <c r="G62" s="10" t="s">
        <v>7974</v>
      </c>
      <c r="H62" s="4"/>
      <c r="I62" s="10" t="str">
        <f>HYPERLINK("http://fa.shafaqna.com/","Shafaqna")</f>
        <v>Shafaqna</v>
      </c>
      <c r="J62" s="2">
        <v>21</v>
      </c>
      <c r="K62" s="2">
        <v>43</v>
      </c>
      <c r="L62" s="2">
        <v>1</v>
      </c>
      <c r="M62" s="2"/>
      <c r="N62" s="8">
        <v>43234.974131944444</v>
      </c>
      <c r="O62" s="4" t="s">
        <v>62</v>
      </c>
      <c r="P62" s="3" t="s">
        <v>108</v>
      </c>
      <c r="Q62" s="4"/>
      <c r="R62" s="4"/>
      <c r="S62" s="9" t="str">
        <f>HYPERLINK("https://pbs.twimg.com/profile_images/996103781715730437/Lj7-UX3-.jpg","View")</f>
        <v>View</v>
      </c>
    </row>
    <row r="63" spans="1:19" ht="40">
      <c r="A63" s="8">
        <v>43372.617638888885</v>
      </c>
      <c r="B63" s="11" t="str">
        <f>HYPERLINK("https://twitter.com/YasiRahgozar","@YasiRahgozar")</f>
        <v>@YasiRahgozar</v>
      </c>
      <c r="C63" s="6" t="s">
        <v>7918</v>
      </c>
      <c r="D63" s="5" t="s">
        <v>7973</v>
      </c>
      <c r="E63" s="9" t="str">
        <f>HYPERLINK("https://twitter.com/YasiRahgozar/status/1045996459676651520","1045996459676651520")</f>
        <v>1045996459676651520</v>
      </c>
      <c r="F63" s="4"/>
      <c r="G63" s="4"/>
      <c r="H63" s="4"/>
      <c r="I63" s="10" t="str">
        <f>HYPERLINK("http://twitter.com","Twitter Web Client")</f>
        <v>Twitter Web Client</v>
      </c>
      <c r="J63" s="2">
        <v>1939</v>
      </c>
      <c r="K63" s="2">
        <v>2249</v>
      </c>
      <c r="L63" s="2">
        <v>2</v>
      </c>
      <c r="M63" s="2"/>
      <c r="N63" s="8">
        <v>41693.916354166664</v>
      </c>
      <c r="O63" s="4"/>
      <c r="P63" s="3" t="s">
        <v>7916</v>
      </c>
      <c r="Q63" s="4"/>
      <c r="R63" s="4"/>
      <c r="S63" s="9" t="str">
        <f>HYPERLINK("https://pbs.twimg.com/profile_images/990701885391851520/-logFZRi.jpg","View")</f>
        <v>View</v>
      </c>
    </row>
    <row r="64" spans="1:19" ht="40">
      <c r="A64" s="8">
        <v>43372.60974537037</v>
      </c>
      <c r="B64" s="11" t="str">
        <f>HYPERLINK("https://twitter.com/FCEsteghlalCLub","@FCEsteghlalCLub")</f>
        <v>@FCEsteghlalCLub</v>
      </c>
      <c r="C64" s="6" t="s">
        <v>7947</v>
      </c>
      <c r="D64" s="5" t="s">
        <v>7972</v>
      </c>
      <c r="E64" s="9" t="str">
        <f>HYPERLINK("https://twitter.com/FCEsteghlalCLub/status/1045993600155348993","1045993600155348993")</f>
        <v>1045993600155348993</v>
      </c>
      <c r="F64" s="10" t="s">
        <v>7971</v>
      </c>
      <c r="G64" s="4"/>
      <c r="H64" s="4"/>
      <c r="I64" s="10" t="str">
        <f>HYPERLINK("https://ifttt.com","IFTTT")</f>
        <v>IFTTT</v>
      </c>
      <c r="J64" s="2">
        <v>492</v>
      </c>
      <c r="K64" s="2">
        <v>8</v>
      </c>
      <c r="L64" s="2">
        <v>3</v>
      </c>
      <c r="M64" s="2"/>
      <c r="N64" s="8">
        <v>40344.893807870372</v>
      </c>
      <c r="O64" s="4" t="s">
        <v>62</v>
      </c>
      <c r="P64" s="3" t="s">
        <v>7944</v>
      </c>
      <c r="Q64" s="10" t="s">
        <v>7943</v>
      </c>
      <c r="R64" s="4"/>
      <c r="S64" s="9" t="str">
        <f>HYPERLINK("https://pbs.twimg.com/profile_images/378800000221705058/c5a951272871abc495d97c4f734d0e67.jpeg","View")</f>
        <v>View</v>
      </c>
    </row>
    <row r="65" spans="1:19" ht="40">
      <c r="A65" s="8">
        <v>43372.609120370369</v>
      </c>
      <c r="B65" s="11" t="str">
        <f>HYPERLINK("https://twitter.com/esnzare","@esnzare")</f>
        <v>@esnzare</v>
      </c>
      <c r="C65" s="6" t="s">
        <v>7970</v>
      </c>
      <c r="D65" s="5" t="s">
        <v>7969</v>
      </c>
      <c r="E65" s="9" t="str">
        <f>HYPERLINK("https://twitter.com/esnzare/status/1045993374656987139","1045993374656987139")</f>
        <v>1045993374656987139</v>
      </c>
      <c r="F65" s="4"/>
      <c r="G65" s="10" t="s">
        <v>7968</v>
      </c>
      <c r="H65" s="4"/>
      <c r="I65" s="10" t="str">
        <f>HYPERLINK("http://twitter.com/download/android","Twitter for Android")</f>
        <v>Twitter for Android</v>
      </c>
      <c r="J65" s="2">
        <v>28</v>
      </c>
      <c r="K65" s="2">
        <v>45</v>
      </c>
      <c r="L65" s="2">
        <v>0</v>
      </c>
      <c r="M65" s="2"/>
      <c r="N65" s="8">
        <v>42676.572962962964</v>
      </c>
      <c r="O65" s="4" t="s">
        <v>10</v>
      </c>
      <c r="P65" s="3" t="s">
        <v>7967</v>
      </c>
      <c r="Q65" s="10" t="s">
        <v>7966</v>
      </c>
      <c r="R65" s="4"/>
      <c r="S65" s="9" t="str">
        <f>HYPERLINK("https://pbs.twimg.com/profile_images/886229488312254466/kVxgme5O.jpg","View")</f>
        <v>View</v>
      </c>
    </row>
    <row r="66" spans="1:19" ht="30">
      <c r="A66" s="8">
        <v>43372.604398148149</v>
      </c>
      <c r="B66" s="11" t="str">
        <f>HYPERLINK("https://twitter.com/HaJie__KhaNoOm","@HaJie__KhaNoOm")</f>
        <v>@HaJie__KhaNoOm</v>
      </c>
      <c r="C66" s="6" t="s">
        <v>7965</v>
      </c>
      <c r="D66" s="5" t="s">
        <v>7964</v>
      </c>
      <c r="E66" s="9" t="str">
        <f>HYPERLINK("https://twitter.com/HaJie__KhaNoOm/status/1045991661157928960","1045991661157928960")</f>
        <v>1045991661157928960</v>
      </c>
      <c r="F66" s="4"/>
      <c r="G66" s="4"/>
      <c r="H66" s="4"/>
      <c r="I66" s="10" t="str">
        <f>HYPERLINK("http://twitter.com/download/android","Twitter for Android")</f>
        <v>Twitter for Android</v>
      </c>
      <c r="J66" s="2">
        <v>31</v>
      </c>
      <c r="K66" s="2">
        <v>37</v>
      </c>
      <c r="L66" s="2">
        <v>0</v>
      </c>
      <c r="M66" s="2"/>
      <c r="N66" s="8">
        <v>43209.050266203703</v>
      </c>
      <c r="O66" s="4"/>
      <c r="P66" s="3" t="s">
        <v>7963</v>
      </c>
      <c r="Q66" s="4"/>
      <c r="R66" s="4"/>
      <c r="S66" s="9" t="str">
        <f>HYPERLINK("https://pbs.twimg.com/profile_images/1011792531929985024/eCZw2AY3.jpg","View")</f>
        <v>View</v>
      </c>
    </row>
    <row r="67" spans="1:19" ht="40">
      <c r="A67" s="8">
        <v>43372.601875</v>
      </c>
      <c r="B67" s="11" t="str">
        <f>HYPERLINK("https://twitter.com/RezaRad1976","@RezaRad1976")</f>
        <v>@RezaRad1976</v>
      </c>
      <c r="C67" s="6" t="s">
        <v>5290</v>
      </c>
      <c r="D67" s="5" t="s">
        <v>7962</v>
      </c>
      <c r="E67" s="9" t="str">
        <f>HYPERLINK("https://twitter.com/RezaRad1976/status/1045990745985961985","1045990745985961985")</f>
        <v>1045990745985961985</v>
      </c>
      <c r="F67" s="4"/>
      <c r="G67" s="4"/>
      <c r="H67" s="4"/>
      <c r="I67" s="10" t="str">
        <f>HYPERLINK("http://twitter.com/download/iphone","Twitter for iPhone")</f>
        <v>Twitter for iPhone</v>
      </c>
      <c r="J67" s="2">
        <v>19</v>
      </c>
      <c r="K67" s="2">
        <v>44</v>
      </c>
      <c r="L67" s="2">
        <v>0</v>
      </c>
      <c r="M67" s="2"/>
      <c r="N67" s="8">
        <v>42174.768842592588</v>
      </c>
      <c r="O67" s="4" t="s">
        <v>200</v>
      </c>
      <c r="P67" s="3" t="s">
        <v>5288</v>
      </c>
      <c r="Q67" s="4"/>
      <c r="R67" s="4"/>
      <c r="S67" s="9" t="str">
        <f>HYPERLINK("https://pbs.twimg.com/profile_images/1024208490066333697/UQWwTICJ.jpg","View")</f>
        <v>View</v>
      </c>
    </row>
    <row r="68" spans="1:19" ht="30">
      <c r="A68" s="8">
        <v>43372.599004629628</v>
      </c>
      <c r="B68" s="11" t="str">
        <f>HYPERLINK("https://twitter.com/ladyhnygaga","@ladyhnygaga")</f>
        <v>@ladyhnygaga</v>
      </c>
      <c r="C68" s="6" t="s">
        <v>1541</v>
      </c>
      <c r="D68" s="5" t="s">
        <v>7961</v>
      </c>
      <c r="E68" s="9" t="str">
        <f>HYPERLINK("https://twitter.com/ladyhnygaga/status/1045989708692688897","1045989708692688897")</f>
        <v>1045989708692688897</v>
      </c>
      <c r="F68" s="4"/>
      <c r="G68" s="10" t="s">
        <v>7960</v>
      </c>
      <c r="H68" s="4"/>
      <c r="I68" s="10" t="str">
        <f>HYPERLINK("http://twitter.com/download/android","Twitter for Android")</f>
        <v>Twitter for Android</v>
      </c>
      <c r="J68" s="2">
        <v>1886</v>
      </c>
      <c r="K68" s="2">
        <v>253</v>
      </c>
      <c r="L68" s="2">
        <v>11</v>
      </c>
      <c r="M68" s="2"/>
      <c r="N68" s="8">
        <v>42639.110648148147</v>
      </c>
      <c r="O68" s="4" t="s">
        <v>1540</v>
      </c>
      <c r="P68" s="3" t="s">
        <v>1539</v>
      </c>
      <c r="Q68" s="4"/>
      <c r="R68" s="4"/>
      <c r="S68" s="9" t="str">
        <f>HYPERLINK("https://pbs.twimg.com/profile_images/1041705167736000513/ckTnPCuv.jpg","View")</f>
        <v>View</v>
      </c>
    </row>
    <row r="69" spans="1:19" ht="40">
      <c r="A69" s="8">
        <v>43372.59584490741</v>
      </c>
      <c r="B69" s="11" t="str">
        <f>HYPERLINK("https://twitter.com/chiafoadi","@chiafoadi")</f>
        <v>@chiafoadi</v>
      </c>
      <c r="C69" s="6" t="s">
        <v>7959</v>
      </c>
      <c r="D69" s="5" t="s">
        <v>7958</v>
      </c>
      <c r="E69" s="9" t="str">
        <f>HYPERLINK("https://twitter.com/chiafoadi/status/1045988563677057025","1045988563677057025")</f>
        <v>1045988563677057025</v>
      </c>
      <c r="F69" s="4"/>
      <c r="G69" s="4"/>
      <c r="H69" s="4"/>
      <c r="I69" s="10" t="str">
        <f>HYPERLINK("http://twitter.com/download/android","Twitter for Android")</f>
        <v>Twitter for Android</v>
      </c>
      <c r="J69" s="2">
        <v>931</v>
      </c>
      <c r="K69" s="2">
        <v>652</v>
      </c>
      <c r="L69" s="2">
        <v>6</v>
      </c>
      <c r="M69" s="2"/>
      <c r="N69" s="8">
        <v>41383.60565972222</v>
      </c>
      <c r="O69" s="4" t="s">
        <v>254</v>
      </c>
      <c r="P69" s="3" t="s">
        <v>7957</v>
      </c>
      <c r="Q69" s="4"/>
      <c r="R69" s="4"/>
      <c r="S69" s="9" t="str">
        <f>HYPERLINK("https://pbs.twimg.com/profile_images/450270425323274241/f7o3qSDy.jpeg","View")</f>
        <v>View</v>
      </c>
    </row>
    <row r="70" spans="1:19" ht="40">
      <c r="A70" s="8">
        <v>43372.593321759261</v>
      </c>
      <c r="B70" s="11" t="str">
        <f>HYPERLINK("https://twitter.com/Ghahhar","@Ghahhar")</f>
        <v>@Ghahhar</v>
      </c>
      <c r="C70" s="6" t="s">
        <v>3667</v>
      </c>
      <c r="D70" s="5" t="s">
        <v>7956</v>
      </c>
      <c r="E70" s="9" t="str">
        <f>HYPERLINK("https://twitter.com/Ghahhar/status/1045987648274345985","1045987648274345985")</f>
        <v>1045987648274345985</v>
      </c>
      <c r="F70" s="4"/>
      <c r="G70" s="10" t="s">
        <v>7955</v>
      </c>
      <c r="H70" s="4"/>
      <c r="I70" s="10" t="str">
        <f>HYPERLINK("http://twitter.com","Twitter Web Client")</f>
        <v>Twitter Web Client</v>
      </c>
      <c r="J70" s="2">
        <v>3858</v>
      </c>
      <c r="K70" s="2">
        <v>319</v>
      </c>
      <c r="L70" s="2">
        <v>14</v>
      </c>
      <c r="M70" s="2"/>
      <c r="N70" s="8">
        <v>41135.69840277778</v>
      </c>
      <c r="O70" s="4"/>
      <c r="P70" s="3" t="s">
        <v>3664</v>
      </c>
      <c r="Q70" s="10" t="s">
        <v>3663</v>
      </c>
      <c r="R70" s="4"/>
      <c r="S70" s="9" t="str">
        <f>HYPERLINK("https://pbs.twimg.com/profile_images/1044020442330222592/7KcT8ECd.jpg","View")</f>
        <v>View</v>
      </c>
    </row>
    <row r="71" spans="1:19" ht="30">
      <c r="A71" s="8">
        <v>43372.584097222221</v>
      </c>
      <c r="B71" s="11" t="str">
        <f>HYPERLINK("https://twitter.com/Arazinho1","@Arazinho1")</f>
        <v>@Arazinho1</v>
      </c>
      <c r="C71" s="6" t="s">
        <v>4136</v>
      </c>
      <c r="D71" s="5" t="s">
        <v>7954</v>
      </c>
      <c r="E71" s="9" t="str">
        <f>HYPERLINK("https://twitter.com/Arazinho1/status/1045984305237970944","1045984305237970944")</f>
        <v>1045984305237970944</v>
      </c>
      <c r="F71" s="4"/>
      <c r="G71" s="4"/>
      <c r="H71" s="4"/>
      <c r="I71" s="10" t="str">
        <f>HYPERLINK("http://twitter.com/download/android","Twitter for Android")</f>
        <v>Twitter for Android</v>
      </c>
      <c r="J71" s="2">
        <v>749</v>
      </c>
      <c r="K71" s="2">
        <v>48</v>
      </c>
      <c r="L71" s="2">
        <v>0</v>
      </c>
      <c r="M71" s="2"/>
      <c r="N71" s="8">
        <v>43262.514027777783</v>
      </c>
      <c r="O71" s="4"/>
      <c r="P71" s="3" t="s">
        <v>4134</v>
      </c>
      <c r="Q71" s="4"/>
      <c r="R71" s="4"/>
      <c r="S71" s="9" t="str">
        <f>HYPERLINK("https://pbs.twimg.com/profile_images/1044002252279746560/wN9dvzyk.jpg","View")</f>
        <v>View</v>
      </c>
    </row>
    <row r="72" spans="1:19" ht="12.5">
      <c r="A72" s="8">
        <v>43372.580590277779</v>
      </c>
      <c r="B72" s="11" t="str">
        <f>HYPERLINK("https://twitter.com/ibenair","@ibenair")</f>
        <v>@ibenair</v>
      </c>
      <c r="C72" s="11" t="s">
        <v>7953</v>
      </c>
      <c r="D72" s="5" t="s">
        <v>7952</v>
      </c>
      <c r="E72" s="9" t="str">
        <f>HYPERLINK("https://twitter.com/ibenair/status/1045983034149867520","1045983034149867520")</f>
        <v>1045983034149867520</v>
      </c>
      <c r="F72" s="10" t="s">
        <v>7951</v>
      </c>
      <c r="G72" s="4"/>
      <c r="H72" s="4"/>
      <c r="I72" s="10" t="str">
        <f>HYPERLINK("http://twitter.com/download/android","Twitter for Android")</f>
        <v>Twitter for Android</v>
      </c>
      <c r="J72" s="2">
        <v>56</v>
      </c>
      <c r="K72" s="2">
        <v>7</v>
      </c>
      <c r="L72" s="2">
        <v>1</v>
      </c>
      <c r="M72" s="2"/>
      <c r="N72" s="8">
        <v>43206.519918981481</v>
      </c>
      <c r="O72" s="4" t="s">
        <v>62</v>
      </c>
      <c r="P72" s="3" t="s">
        <v>7950</v>
      </c>
      <c r="Q72" s="10" t="s">
        <v>7949</v>
      </c>
      <c r="R72" s="4"/>
      <c r="S72" s="9" t="str">
        <f>HYPERLINK("https://pbs.twimg.com/profile_images/985793204661506048/Esq8e1Qs.jpg","View")</f>
        <v>View</v>
      </c>
    </row>
    <row r="73" spans="1:19" ht="20">
      <c r="A73" s="8">
        <v>43372.578958333332</v>
      </c>
      <c r="B73" s="11" t="str">
        <f>HYPERLINK("https://twitter.com/Pariiia1","@Pariiia1")</f>
        <v>@Pariiia1</v>
      </c>
      <c r="C73" s="6" t="s">
        <v>557</v>
      </c>
      <c r="D73" s="5" t="s">
        <v>7948</v>
      </c>
      <c r="E73" s="9" t="str">
        <f>HYPERLINK("https://twitter.com/Pariiia1/status/1045982442333581312","1045982442333581312")</f>
        <v>1045982442333581312</v>
      </c>
      <c r="F73" s="4"/>
      <c r="G73" s="4"/>
      <c r="H73" s="4"/>
      <c r="I73" s="10" t="str">
        <f>HYPERLINK("http://twitter.com/download/android","Twitter for Android")</f>
        <v>Twitter for Android</v>
      </c>
      <c r="J73" s="2">
        <v>1603</v>
      </c>
      <c r="K73" s="2">
        <v>1534</v>
      </c>
      <c r="L73" s="2">
        <v>7</v>
      </c>
      <c r="M73" s="2"/>
      <c r="N73" s="8">
        <v>42945.723449074074</v>
      </c>
      <c r="O73" s="4" t="s">
        <v>556</v>
      </c>
      <c r="P73" s="3" t="s">
        <v>555</v>
      </c>
      <c r="Q73" s="10" t="s">
        <v>554</v>
      </c>
      <c r="R73" s="4"/>
      <c r="S73" s="9" t="str">
        <f>HYPERLINK("https://pbs.twimg.com/profile_images/1044937384335478784/roLNo0FT.jpg","View")</f>
        <v>View</v>
      </c>
    </row>
    <row r="74" spans="1:19" ht="40">
      <c r="A74" s="8">
        <v>43372.558368055557</v>
      </c>
      <c r="B74" s="11" t="str">
        <f>HYPERLINK("https://twitter.com/FCEsteghlalCLub","@FCEsteghlalCLub")</f>
        <v>@FCEsteghlalCLub</v>
      </c>
      <c r="C74" s="6" t="s">
        <v>7947</v>
      </c>
      <c r="D74" s="5" t="s">
        <v>7946</v>
      </c>
      <c r="E74" s="9" t="str">
        <f>HYPERLINK("https://twitter.com/FCEsteghlalCLub/status/1045974979874082816","1045974979874082816")</f>
        <v>1045974979874082816</v>
      </c>
      <c r="F74" s="10" t="s">
        <v>7945</v>
      </c>
      <c r="G74" s="4"/>
      <c r="H74" s="4"/>
      <c r="I74" s="10" t="str">
        <f>HYPERLINK("https://ifttt.com","IFTTT")</f>
        <v>IFTTT</v>
      </c>
      <c r="J74" s="2">
        <v>491</v>
      </c>
      <c r="K74" s="2">
        <v>8</v>
      </c>
      <c r="L74" s="2">
        <v>3</v>
      </c>
      <c r="M74" s="2"/>
      <c r="N74" s="8">
        <v>40344.893807870372</v>
      </c>
      <c r="O74" s="4" t="s">
        <v>62</v>
      </c>
      <c r="P74" s="3" t="s">
        <v>7944</v>
      </c>
      <c r="Q74" s="10" t="s">
        <v>7943</v>
      </c>
      <c r="R74" s="4"/>
      <c r="S74" s="9" t="str">
        <f>HYPERLINK("https://pbs.twimg.com/profile_images/378800000221705058/c5a951272871abc495d97c4f734d0e67.jpeg","View")</f>
        <v>View</v>
      </c>
    </row>
    <row r="75" spans="1:19" ht="30">
      <c r="A75" s="8">
        <v>43372.558055555557</v>
      </c>
      <c r="B75" s="11" t="str">
        <f>HYPERLINK("https://twitter.com/YasiRahgozar","@YasiRahgozar")</f>
        <v>@YasiRahgozar</v>
      </c>
      <c r="C75" s="6" t="s">
        <v>7918</v>
      </c>
      <c r="D75" s="5" t="s">
        <v>7942</v>
      </c>
      <c r="E75" s="9" t="str">
        <f>HYPERLINK("https://twitter.com/YasiRahgozar/status/1045974868884422657","1045974868884422657")</f>
        <v>1045974868884422657</v>
      </c>
      <c r="F75" s="4"/>
      <c r="G75" s="4"/>
      <c r="H75" s="4"/>
      <c r="I75" s="10" t="str">
        <f>HYPERLINK("http://twitter.com","Twitter Web Client")</f>
        <v>Twitter Web Client</v>
      </c>
      <c r="J75" s="2">
        <v>1939</v>
      </c>
      <c r="K75" s="2">
        <v>2249</v>
      </c>
      <c r="L75" s="2">
        <v>2</v>
      </c>
      <c r="M75" s="2"/>
      <c r="N75" s="8">
        <v>41693.916354166664</v>
      </c>
      <c r="O75" s="4"/>
      <c r="P75" s="3" t="s">
        <v>7916</v>
      </c>
      <c r="Q75" s="4"/>
      <c r="R75" s="4"/>
      <c r="S75" s="9" t="str">
        <f>HYPERLINK("https://pbs.twimg.com/profile_images/990701885391851520/-logFZRi.jpg","View")</f>
        <v>View</v>
      </c>
    </row>
    <row r="76" spans="1:19" ht="20">
      <c r="A76" s="8">
        <v>43372.550277777773</v>
      </c>
      <c r="B76" s="11" t="str">
        <f>HYPERLINK("https://twitter.com/alidadaaaaaa","@alidadaaaaaa")</f>
        <v>@alidadaaaaaa</v>
      </c>
      <c r="C76" s="6" t="s">
        <v>2144</v>
      </c>
      <c r="D76" s="5" t="s">
        <v>7941</v>
      </c>
      <c r="E76" s="9" t="str">
        <f>HYPERLINK("https://twitter.com/alidadaaaaaa/status/1045972048227512320","1045972048227512320")</f>
        <v>1045972048227512320</v>
      </c>
      <c r="F76" s="4"/>
      <c r="G76" s="4"/>
      <c r="H76" s="4"/>
      <c r="I76" s="10" t="str">
        <f>HYPERLINK("http://twitter.com/download/iphone","Twitter for iPhone")</f>
        <v>Twitter for iPhone</v>
      </c>
      <c r="J76" s="2">
        <v>12</v>
      </c>
      <c r="K76" s="2">
        <v>84</v>
      </c>
      <c r="L76" s="2">
        <v>0</v>
      </c>
      <c r="M76" s="2"/>
      <c r="N76" s="8">
        <v>43367.972395833334</v>
      </c>
      <c r="O76" s="4"/>
      <c r="P76" s="3"/>
      <c r="Q76" s="4"/>
      <c r="R76" s="4"/>
      <c r="S76" s="9" t="str">
        <f>HYPERLINK("https://pbs.twimg.com/profile_images/1044316091311419392/sFG9SMB3.jpg","View")</f>
        <v>View</v>
      </c>
    </row>
    <row r="77" spans="1:19" ht="20">
      <c r="A77" s="8">
        <v>43372.546724537038</v>
      </c>
      <c r="B77" s="11" t="str">
        <f>HYPERLINK("https://twitter.com/alidastranj1","@alidastranj1")</f>
        <v>@alidastranj1</v>
      </c>
      <c r="C77" s="6" t="s">
        <v>6357</v>
      </c>
      <c r="D77" s="5" t="s">
        <v>7940</v>
      </c>
      <c r="E77" s="9" t="str">
        <f>HYPERLINK("https://twitter.com/alidastranj1/status/1045970763549986817","1045970763549986817")</f>
        <v>1045970763549986817</v>
      </c>
      <c r="F77" s="4"/>
      <c r="G77" s="4"/>
      <c r="H77" s="4"/>
      <c r="I77" s="10" t="str">
        <f>HYPERLINK("http://twitter.com","Twitter Web Client")</f>
        <v>Twitter Web Client</v>
      </c>
      <c r="J77" s="2">
        <v>65</v>
      </c>
      <c r="K77" s="2">
        <v>173</v>
      </c>
      <c r="L77" s="2">
        <v>0</v>
      </c>
      <c r="M77" s="2"/>
      <c r="N77" s="8">
        <v>43369.674004629633</v>
      </c>
      <c r="O77" s="4" t="s">
        <v>7939</v>
      </c>
      <c r="P77" s="3" t="s">
        <v>7938</v>
      </c>
      <c r="Q77" s="4"/>
      <c r="R77" s="4"/>
      <c r="S77" s="9" t="str">
        <f>HYPERLINK("https://pbs.twimg.com/profile_images/1045048222769647616/0bYiAp8d.jpg","View")</f>
        <v>View</v>
      </c>
    </row>
    <row r="78" spans="1:19" ht="30">
      <c r="A78" s="8">
        <v>43372.543009259258</v>
      </c>
      <c r="B78" s="11" t="str">
        <f>HYPERLINK("https://twitter.com/PooriaPuya","@PooriaPuya")</f>
        <v>@PooriaPuya</v>
      </c>
      <c r="C78" s="6" t="s">
        <v>7937</v>
      </c>
      <c r="D78" s="5" t="s">
        <v>7936</v>
      </c>
      <c r="E78" s="9" t="str">
        <f>HYPERLINK("https://twitter.com/PooriaPuya/status/1045969414997377024","1045969414997377024")</f>
        <v>1045969414997377024</v>
      </c>
      <c r="F78" s="4" t="s">
        <v>7935</v>
      </c>
      <c r="G78" s="4"/>
      <c r="H78" s="4"/>
      <c r="I78" s="10" t="str">
        <f>HYPERLINK("http://twitter.com/download/android","Twitter for Android")</f>
        <v>Twitter for Android</v>
      </c>
      <c r="J78" s="2">
        <v>365</v>
      </c>
      <c r="K78" s="2">
        <v>312</v>
      </c>
      <c r="L78" s="2">
        <v>1</v>
      </c>
      <c r="M78" s="2"/>
      <c r="N78" s="8">
        <v>41321.807847222226</v>
      </c>
      <c r="O78" s="4" t="s">
        <v>1283</v>
      </c>
      <c r="P78" s="3"/>
      <c r="Q78" s="4"/>
      <c r="R78" s="4"/>
      <c r="S78" s="9" t="str">
        <f>HYPERLINK("https://pbs.twimg.com/profile_images/939913942826127360/038BSPAz.jpg","View")</f>
        <v>View</v>
      </c>
    </row>
    <row r="79" spans="1:19" ht="40">
      <c r="A79" s="8">
        <v>43372.539710648147</v>
      </c>
      <c r="B79" s="11" t="str">
        <f>HYPERLINK("https://twitter.com/YasiRahgozar","@YasiRahgozar")</f>
        <v>@YasiRahgozar</v>
      </c>
      <c r="C79" s="6" t="s">
        <v>7918</v>
      </c>
      <c r="D79" s="5" t="s">
        <v>7934</v>
      </c>
      <c r="E79" s="9" t="str">
        <f>HYPERLINK("https://twitter.com/YasiRahgozar/status/1045968218433736704","1045968218433736704")</f>
        <v>1045968218433736704</v>
      </c>
      <c r="F79" s="4"/>
      <c r="G79" s="4"/>
      <c r="H79" s="4"/>
      <c r="I79" s="10" t="str">
        <f>HYPERLINK("http://twitter.com","Twitter Web Client")</f>
        <v>Twitter Web Client</v>
      </c>
      <c r="J79" s="2">
        <v>1939</v>
      </c>
      <c r="K79" s="2">
        <v>2250</v>
      </c>
      <c r="L79" s="2">
        <v>2</v>
      </c>
      <c r="M79" s="2"/>
      <c r="N79" s="8">
        <v>41693.916354166664</v>
      </c>
      <c r="O79" s="4"/>
      <c r="P79" s="3" t="s">
        <v>7916</v>
      </c>
      <c r="Q79" s="4"/>
      <c r="R79" s="4"/>
      <c r="S79" s="9" t="str">
        <f>HYPERLINK("https://pbs.twimg.com/profile_images/990701885391851520/-logFZRi.jpg","View")</f>
        <v>View</v>
      </c>
    </row>
    <row r="80" spans="1:19" ht="30">
      <c r="A80" s="8">
        <v>43372.518414351856</v>
      </c>
      <c r="B80" s="11" t="str">
        <f>HYPERLINK("https://twitter.com/Tobot007","@Tobot007")</f>
        <v>@Tobot007</v>
      </c>
      <c r="C80" s="6" t="s">
        <v>7933</v>
      </c>
      <c r="D80" s="5" t="s">
        <v>7932</v>
      </c>
      <c r="E80" s="9" t="str">
        <f>HYPERLINK("https://twitter.com/Tobot007/status/1045960501669195778","1045960501669195778")</f>
        <v>1045960501669195778</v>
      </c>
      <c r="F80" s="4"/>
      <c r="G80" s="10" t="s">
        <v>7931</v>
      </c>
      <c r="H80" s="4"/>
      <c r="I80" s="10" t="str">
        <f>HYPERLINK("http://twitter.com/download/android","Twitter for Android")</f>
        <v>Twitter for Android</v>
      </c>
      <c r="J80" s="2">
        <v>1387</v>
      </c>
      <c r="K80" s="2">
        <v>236</v>
      </c>
      <c r="L80" s="2">
        <v>9</v>
      </c>
      <c r="M80" s="2"/>
      <c r="N80" s="8">
        <v>42625.771516203706</v>
      </c>
      <c r="O80" s="4"/>
      <c r="P80" s="3" t="s">
        <v>7930</v>
      </c>
      <c r="Q80" s="4"/>
      <c r="R80" s="4"/>
      <c r="S80" s="9" t="str">
        <f>HYPERLINK("https://pbs.twimg.com/profile_images/936280984688963584/-2zA3Zeh.jpg","View")</f>
        <v>View</v>
      </c>
    </row>
    <row r="81" spans="1:19" ht="12.5">
      <c r="A81" s="8">
        <v>43372.517789351856</v>
      </c>
      <c r="B81" s="11" t="str">
        <f>HYPERLINK("https://twitter.com/soroushirani2","@soroushirani2")</f>
        <v>@soroushirani2</v>
      </c>
      <c r="C81" s="6" t="s">
        <v>7929</v>
      </c>
      <c r="D81" s="5" t="s">
        <v>7928</v>
      </c>
      <c r="E81" s="9" t="str">
        <f>HYPERLINK("https://twitter.com/soroushirani2/status/1045960275147583488","1045960275147583488")</f>
        <v>1045960275147583488</v>
      </c>
      <c r="F81" s="4"/>
      <c r="G81" s="10" t="s">
        <v>7927</v>
      </c>
      <c r="H81" s="4"/>
      <c r="I81" s="10" t="str">
        <f>HYPERLINK("http://twitter.com","Twitter Web Client")</f>
        <v>Twitter Web Client</v>
      </c>
      <c r="J81" s="2">
        <v>95</v>
      </c>
      <c r="K81" s="2">
        <v>1376</v>
      </c>
      <c r="L81" s="2">
        <v>2</v>
      </c>
      <c r="M81" s="2"/>
      <c r="N81" s="8">
        <v>41558.624699074076</v>
      </c>
      <c r="O81" s="4" t="s">
        <v>7926</v>
      </c>
      <c r="P81" s="3" t="s">
        <v>7925</v>
      </c>
      <c r="Q81" s="4"/>
      <c r="R81" s="4"/>
      <c r="S81" s="9" t="str">
        <f>HYPERLINK("https://pbs.twimg.com/profile_images/1023081644532670464/_M6OiWLf.jpg","View")</f>
        <v>View</v>
      </c>
    </row>
    <row r="82" spans="1:19" ht="30">
      <c r="A82" s="8">
        <v>43372.513958333337</v>
      </c>
      <c r="B82" s="11" t="str">
        <f>HYPERLINK("https://twitter.com/RezaNikoomagha2","@RezaNikoomagha2")</f>
        <v>@RezaNikoomagha2</v>
      </c>
      <c r="C82" s="6" t="s">
        <v>7924</v>
      </c>
      <c r="D82" s="5" t="s">
        <v>7923</v>
      </c>
      <c r="E82" s="9" t="str">
        <f>HYPERLINK("https://twitter.com/RezaNikoomagha2/status/1045958886258343936","1045958886258343936")</f>
        <v>1045958886258343936</v>
      </c>
      <c r="F82" s="4"/>
      <c r="G82" s="4"/>
      <c r="H82" s="4"/>
      <c r="I82" s="10" t="str">
        <f>HYPERLINK("http://twitter.com/download/iphone","Twitter for iPhone")</f>
        <v>Twitter for iPhone</v>
      </c>
      <c r="J82" s="2">
        <v>711</v>
      </c>
      <c r="K82" s="2">
        <v>193</v>
      </c>
      <c r="L82" s="2">
        <v>2</v>
      </c>
      <c r="M82" s="2"/>
      <c r="N82" s="8">
        <v>43289.739583333328</v>
      </c>
      <c r="O82" s="4" t="s">
        <v>7922</v>
      </c>
      <c r="P82" s="3" t="s">
        <v>7921</v>
      </c>
      <c r="Q82" s="4"/>
      <c r="R82" s="4"/>
      <c r="S82" s="9" t="str">
        <f>HYPERLINK("https://pbs.twimg.com/profile_images/1015948379313049600/P09zkAjE.jpg","View")</f>
        <v>View</v>
      </c>
    </row>
    <row r="83" spans="1:19" ht="40">
      <c r="A83" s="8">
        <v>43372.510960648149</v>
      </c>
      <c r="B83" s="11" t="str">
        <f>HYPERLINK("https://twitter.com/RadioOffside","@RadioOffside")</f>
        <v>@RadioOffside</v>
      </c>
      <c r="C83" s="6" t="s">
        <v>2645</v>
      </c>
      <c r="D83" s="5" t="s">
        <v>7920</v>
      </c>
      <c r="E83" s="9" t="str">
        <f>HYPERLINK("https://twitter.com/RadioOffside/status/1045957800021692416","1045957800021692416")</f>
        <v>1045957800021692416</v>
      </c>
      <c r="F83" s="4"/>
      <c r="G83" s="4"/>
      <c r="H83" s="4"/>
      <c r="I83" s="10" t="str">
        <f>HYPERLINK("http://twitter.com/download/android","Twitter for Android")</f>
        <v>Twitter for Android</v>
      </c>
      <c r="J83" s="2">
        <v>303</v>
      </c>
      <c r="K83" s="2">
        <v>39</v>
      </c>
      <c r="L83" s="2">
        <v>10</v>
      </c>
      <c r="M83" s="2"/>
      <c r="N83" s="8">
        <v>43224.071261574078</v>
      </c>
      <c r="O83" s="4"/>
      <c r="P83" s="3" t="s">
        <v>2642</v>
      </c>
      <c r="Q83" s="10" t="s">
        <v>2641</v>
      </c>
      <c r="R83" s="4"/>
      <c r="S83" s="9" t="str">
        <f>HYPERLINK("https://pbs.twimg.com/profile_images/1045271738878185473/JBTK1D7J.jpg","View")</f>
        <v>View</v>
      </c>
    </row>
    <row r="84" spans="1:19" ht="30">
      <c r="A84" s="8">
        <v>43372.503912037035</v>
      </c>
      <c r="B84" s="11" t="str">
        <f>HYPERLINK("https://twitter.com/raminkantalll","@raminkantalll")</f>
        <v>@raminkantalll</v>
      </c>
      <c r="C84" s="6" t="s">
        <v>2930</v>
      </c>
      <c r="D84" s="5" t="s">
        <v>7919</v>
      </c>
      <c r="E84" s="9" t="str">
        <f>HYPERLINK("https://twitter.com/raminkantalll/status/1045955246562979840","1045955246562979840")</f>
        <v>1045955246562979840</v>
      </c>
      <c r="F84" s="4"/>
      <c r="G84" s="4"/>
      <c r="H84" s="4"/>
      <c r="I84" s="10" t="str">
        <f>HYPERLINK("http://twitter.com/download/android","Twitter for Android")</f>
        <v>Twitter for Android</v>
      </c>
      <c r="J84" s="2">
        <v>1610</v>
      </c>
      <c r="K84" s="2">
        <v>3408</v>
      </c>
      <c r="L84" s="2">
        <v>1</v>
      </c>
      <c r="M84" s="2"/>
      <c r="N84" s="8">
        <v>42929.978946759264</v>
      </c>
      <c r="O84" s="4" t="s">
        <v>2927</v>
      </c>
      <c r="P84" s="3" t="s">
        <v>2926</v>
      </c>
      <c r="Q84" s="4"/>
      <c r="R84" s="4"/>
      <c r="S84" s="9" t="str">
        <f>HYPERLINK("https://pbs.twimg.com/profile_images/885578036208422912/IlSbaxb4.jpg","View")</f>
        <v>View</v>
      </c>
    </row>
    <row r="85" spans="1:19" ht="20">
      <c r="A85" s="8">
        <v>43372.502453703702</v>
      </c>
      <c r="B85" s="11" t="str">
        <f>HYPERLINK("https://twitter.com/YasiRahgozar","@YasiRahgozar")</f>
        <v>@YasiRahgozar</v>
      </c>
      <c r="C85" s="6" t="s">
        <v>7918</v>
      </c>
      <c r="D85" s="5" t="s">
        <v>7917</v>
      </c>
      <c r="E85" s="9" t="str">
        <f>HYPERLINK("https://twitter.com/YasiRahgozar/status/1045954719150166016","1045954719150166016")</f>
        <v>1045954719150166016</v>
      </c>
      <c r="F85" s="4"/>
      <c r="G85" s="4"/>
      <c r="H85" s="4"/>
      <c r="I85" s="10" t="str">
        <f>HYPERLINK("http://twitter.com","Twitter Web Client")</f>
        <v>Twitter Web Client</v>
      </c>
      <c r="J85" s="2">
        <v>1938</v>
      </c>
      <c r="K85" s="2">
        <v>2250</v>
      </c>
      <c r="L85" s="2">
        <v>2</v>
      </c>
      <c r="M85" s="2"/>
      <c r="N85" s="8">
        <v>41693.916354166664</v>
      </c>
      <c r="O85" s="4"/>
      <c r="P85" s="3" t="s">
        <v>7916</v>
      </c>
      <c r="Q85" s="4"/>
      <c r="R85" s="4"/>
      <c r="S85" s="9" t="str">
        <f>HYPERLINK("https://pbs.twimg.com/profile_images/990701885391851520/-logFZRi.jpg","View")</f>
        <v>View</v>
      </c>
    </row>
    <row r="86" spans="1:19" ht="30">
      <c r="A86" s="8">
        <v>43372.499444444446</v>
      </c>
      <c r="B86" s="11" t="str">
        <f>HYPERLINK("https://twitter.com/Tasnimnews_Fa","@Tasnimnews_Fa")</f>
        <v>@Tasnimnews_Fa</v>
      </c>
      <c r="C86" s="6" t="s">
        <v>3472</v>
      </c>
      <c r="D86" s="5" t="s">
        <v>7915</v>
      </c>
      <c r="E86" s="9" t="str">
        <f>HYPERLINK("https://twitter.com/Tasnimnews_Fa/status/1045953626852610049","1045953626852610049")</f>
        <v>1045953626852610049</v>
      </c>
      <c r="F86" s="10" t="s">
        <v>7914</v>
      </c>
      <c r="G86" s="10" t="s">
        <v>7913</v>
      </c>
      <c r="H86" s="4"/>
      <c r="I86" s="10" t="str">
        <f>HYPERLINK("http://twitter.com","Twitter Web Client")</f>
        <v>Twitter Web Client</v>
      </c>
      <c r="J86" s="2">
        <v>111169</v>
      </c>
      <c r="K86" s="2">
        <v>19</v>
      </c>
      <c r="L86" s="2">
        <v>394</v>
      </c>
      <c r="M86" s="2" t="s">
        <v>1701</v>
      </c>
      <c r="N86" s="8">
        <v>41868.671585648146</v>
      </c>
      <c r="O86" s="4" t="s">
        <v>10</v>
      </c>
      <c r="P86" s="3" t="s">
        <v>3469</v>
      </c>
      <c r="Q86" s="10" t="s">
        <v>3468</v>
      </c>
      <c r="R86" s="4"/>
      <c r="S86" s="9" t="str">
        <f>HYPERLINK("https://pbs.twimg.com/profile_images/942003149430239232/hvLw_1_E.jpg","View")</f>
        <v>View</v>
      </c>
    </row>
    <row r="87" spans="1:19" ht="40">
      <c r="A87" s="8">
        <v>43372.469525462962</v>
      </c>
      <c r="B87" s="11" t="str">
        <f>HYPERLINK("https://twitter.com/MforMobin","@MforMobin")</f>
        <v>@MforMobin</v>
      </c>
      <c r="C87" s="6" t="s">
        <v>3012</v>
      </c>
      <c r="D87" s="5" t="s">
        <v>7912</v>
      </c>
      <c r="E87" s="9" t="str">
        <f>HYPERLINK("https://twitter.com/MforMobin/status/1045942786061553664","1045942786061553664")</f>
        <v>1045942786061553664</v>
      </c>
      <c r="F87" s="4"/>
      <c r="G87" s="4"/>
      <c r="H87" s="4"/>
      <c r="I87" s="10" t="str">
        <f>HYPERLINK("http://twitter.com","Twitter Web Client")</f>
        <v>Twitter Web Client</v>
      </c>
      <c r="J87" s="2">
        <v>62</v>
      </c>
      <c r="K87" s="2">
        <v>212</v>
      </c>
      <c r="L87" s="2">
        <v>0</v>
      </c>
      <c r="M87" s="2"/>
      <c r="N87" s="8">
        <v>43363.57913194444</v>
      </c>
      <c r="O87" s="4" t="s">
        <v>200</v>
      </c>
      <c r="P87" s="3" t="s">
        <v>3010</v>
      </c>
      <c r="Q87" s="10" t="s">
        <v>3009</v>
      </c>
      <c r="R87" s="4"/>
      <c r="S87" s="9" t="str">
        <f>HYPERLINK("https://pbs.twimg.com/profile_images/1045278718665474050/pObfU_l6.jpg","View")</f>
        <v>View</v>
      </c>
    </row>
    <row r="88" spans="1:19" ht="40">
      <c r="A88" s="8">
        <v>43372.450868055559</v>
      </c>
      <c r="B88" s="11" t="str">
        <f>HYPERLINK("https://twitter.com/journalistnavid","@journalistnavid")</f>
        <v>@journalistnavid</v>
      </c>
      <c r="C88" s="6" t="s">
        <v>3152</v>
      </c>
      <c r="D88" s="5" t="s">
        <v>7911</v>
      </c>
      <c r="E88" s="9" t="str">
        <f>HYPERLINK("https://twitter.com/journalistnavid/status/1045936022809337857","1045936022809337857")</f>
        <v>1045936022809337857</v>
      </c>
      <c r="F88" s="4"/>
      <c r="G88" s="10" t="s">
        <v>7910</v>
      </c>
      <c r="H88" s="4"/>
      <c r="I88" s="10" t="str">
        <f>HYPERLINK("http://twitter.com","Twitter Web Client")</f>
        <v>Twitter Web Client</v>
      </c>
      <c r="J88" s="2">
        <v>420</v>
      </c>
      <c r="K88" s="2">
        <v>854</v>
      </c>
      <c r="L88" s="2">
        <v>0</v>
      </c>
      <c r="M88" s="2"/>
      <c r="N88" s="8">
        <v>42934.756724537037</v>
      </c>
      <c r="O88" s="4"/>
      <c r="P88" s="3" t="s">
        <v>3149</v>
      </c>
      <c r="Q88" s="4"/>
      <c r="R88" s="4"/>
      <c r="S88" s="9" t="str">
        <f>HYPERLINK("https://pbs.twimg.com/profile_images/1035658061053083648/FQyJutf8.jpg","View")</f>
        <v>View</v>
      </c>
    </row>
    <row r="89" spans="1:19" ht="30">
      <c r="A89" s="8">
        <v>43372.436678240745</v>
      </c>
      <c r="B89" s="11" t="str">
        <f>HYPERLINK("https://twitter.com/IrMetrica","@IrMetrica")</f>
        <v>@IrMetrica</v>
      </c>
      <c r="C89" s="6" t="s">
        <v>3543</v>
      </c>
      <c r="D89" s="5" t="s">
        <v>7909</v>
      </c>
      <c r="E89" s="9" t="str">
        <f>HYPERLINK("https://twitter.com/IrMetrica/status/1045930881699983360","1045930881699983360")</f>
        <v>1045930881699983360</v>
      </c>
      <c r="F89" s="4"/>
      <c r="G89" s="10" t="s">
        <v>7908</v>
      </c>
      <c r="H89" s="4"/>
      <c r="I89" s="10" t="str">
        <f>HYPERLINK("https://mobile.twitter.com","Twitter Lite")</f>
        <v>Twitter Lite</v>
      </c>
      <c r="J89" s="2">
        <v>14</v>
      </c>
      <c r="K89" s="2">
        <v>0</v>
      </c>
      <c r="L89" s="2">
        <v>0</v>
      </c>
      <c r="M89" s="2"/>
      <c r="N89" s="8">
        <v>43367.752256944441</v>
      </c>
      <c r="O89" s="4"/>
      <c r="P89" s="3" t="s">
        <v>3540</v>
      </c>
      <c r="Q89" s="4"/>
      <c r="R89" s="4"/>
      <c r="S89" s="9" t="str">
        <f>HYPERLINK("https://pbs.twimg.com/profile_images/1044234152890036226/AwtmLNIs.jpg","View")</f>
        <v>View</v>
      </c>
    </row>
    <row r="90" spans="1:19" ht="30">
      <c r="A90" s="8">
        <v>43372.430752314816</v>
      </c>
      <c r="B90" s="11" t="str">
        <f>HYPERLINK("https://twitter.com/piroozinews","@piroozinews")</f>
        <v>@piroozinews</v>
      </c>
      <c r="C90" s="6" t="s">
        <v>764</v>
      </c>
      <c r="D90" s="5" t="s">
        <v>7298</v>
      </c>
      <c r="E90" s="9" t="str">
        <f>HYPERLINK("https://twitter.com/piroozinews/status/1045928733121695744","1045928733121695744")</f>
        <v>1045928733121695744</v>
      </c>
      <c r="F90" s="4"/>
      <c r="G90" s="10" t="s">
        <v>7907</v>
      </c>
      <c r="H90" s="4"/>
      <c r="I90" s="10" t="str">
        <f>HYPERLINK("http://twitter.com","Twitter Web Client")</f>
        <v>Twitter Web Client</v>
      </c>
      <c r="J90" s="2">
        <v>28751</v>
      </c>
      <c r="K90" s="2">
        <v>31</v>
      </c>
      <c r="L90" s="2">
        <v>246</v>
      </c>
      <c r="M90" s="2"/>
      <c r="N90" s="8">
        <v>42343.636840277773</v>
      </c>
      <c r="O90" s="4" t="s">
        <v>762</v>
      </c>
      <c r="P90" s="3" t="s">
        <v>761</v>
      </c>
      <c r="Q90" s="10" t="s">
        <v>760</v>
      </c>
      <c r="R90" s="4"/>
      <c r="S90" s="9" t="str">
        <f>HYPERLINK("https://pbs.twimg.com/profile_images/1014483613310570497/0eFAC3lV.jpg","View")</f>
        <v>View</v>
      </c>
    </row>
    <row r="91" spans="1:19" ht="40">
      <c r="A91" s="8">
        <v>43372.418703703705</v>
      </c>
      <c r="B91" s="11" t="str">
        <f>HYPERLINK("https://twitter.com/FcEsteghlal","@FcEsteghlal")</f>
        <v>@FcEsteghlal</v>
      </c>
      <c r="C91" s="6" t="s">
        <v>2582</v>
      </c>
      <c r="D91" s="5" t="s">
        <v>7906</v>
      </c>
      <c r="E91" s="9" t="str">
        <f>HYPERLINK("https://twitter.com/FcEsteghlal/status/1045924367996260353","1045924367996260353")</f>
        <v>1045924367996260353</v>
      </c>
      <c r="F91" s="4"/>
      <c r="G91" s="10" t="s">
        <v>7905</v>
      </c>
      <c r="H91" s="4"/>
      <c r="I91" s="10" t="str">
        <f>HYPERLINK("https://mobile.twitter.com","Twitter Lite")</f>
        <v>Twitter Lite</v>
      </c>
      <c r="J91" s="2">
        <v>30063</v>
      </c>
      <c r="K91" s="2">
        <v>16</v>
      </c>
      <c r="L91" s="2">
        <v>94</v>
      </c>
      <c r="M91" s="2"/>
      <c r="N91" s="8">
        <v>40386.474282407406</v>
      </c>
      <c r="O91" s="4" t="s">
        <v>2579</v>
      </c>
      <c r="P91" s="3" t="s">
        <v>2578</v>
      </c>
      <c r="Q91" s="10" t="s">
        <v>2577</v>
      </c>
      <c r="R91" s="4"/>
      <c r="S91" s="9" t="str">
        <f>HYPERLINK("https://pbs.twimg.com/profile_images/873957969242804224/bHd1FU0k.jpg","View")</f>
        <v>View</v>
      </c>
    </row>
    <row r="92" spans="1:19" ht="20">
      <c r="A92" s="8">
        <v>43372.405162037037</v>
      </c>
      <c r="B92" s="11" t="str">
        <f>HYPERLINK("https://twitter.com/nasrnews_ir","@nasrnews_ir")</f>
        <v>@nasrnews_ir</v>
      </c>
      <c r="C92" s="11" t="s">
        <v>7904</v>
      </c>
      <c r="D92" s="5" t="s">
        <v>7903</v>
      </c>
      <c r="E92" s="9" t="str">
        <f>HYPERLINK("https://twitter.com/nasrnews_ir/status/1045919462514466816","1045919462514466816")</f>
        <v>1045919462514466816</v>
      </c>
      <c r="F92" s="4" t="s">
        <v>7902</v>
      </c>
      <c r="G92" s="4"/>
      <c r="H92" s="10" t="str">
        <f>HYPERLINK("https://ctrlq.org/maps/address/#38.0667,46.3","Map")</f>
        <v>Map</v>
      </c>
      <c r="I92" s="10" t="str">
        <f>HYPERLINK("http://instagram.com","Instagram")</f>
        <v>Instagram</v>
      </c>
      <c r="J92" s="2">
        <v>315</v>
      </c>
      <c r="K92" s="2">
        <v>35</v>
      </c>
      <c r="L92" s="2">
        <v>2</v>
      </c>
      <c r="M92" s="2"/>
      <c r="N92" s="8">
        <v>42669.771504629629</v>
      </c>
      <c r="O92" s="4" t="s">
        <v>200</v>
      </c>
      <c r="P92" s="3" t="s">
        <v>7901</v>
      </c>
      <c r="Q92" s="10" t="s">
        <v>7900</v>
      </c>
      <c r="R92" s="4"/>
      <c r="S92" s="9" t="str">
        <f>HYPERLINK("https://pbs.twimg.com/profile_images/792431791525105664/HJg0Jz1q.jpg","View")</f>
        <v>View</v>
      </c>
    </row>
    <row r="93" spans="1:19" ht="40">
      <c r="A93" s="8">
        <v>43372.391666666663</v>
      </c>
      <c r="B93" s="11" t="str">
        <f>HYPERLINK("https://twitter.com/milad_azami","@milad_azami")</f>
        <v>@milad_azami</v>
      </c>
      <c r="C93" s="6" t="s">
        <v>7899</v>
      </c>
      <c r="D93" s="5" t="s">
        <v>7898</v>
      </c>
      <c r="E93" s="9" t="str">
        <f>HYPERLINK("https://twitter.com/milad_azami/status/1045914572064985088","1045914572064985088")</f>
        <v>1045914572064985088</v>
      </c>
      <c r="F93" s="4"/>
      <c r="G93" s="4"/>
      <c r="H93" s="4"/>
      <c r="I93" s="10" t="str">
        <f>HYPERLINK("http://twitter.com","Twitter Web Client")</f>
        <v>Twitter Web Client</v>
      </c>
      <c r="J93" s="2">
        <v>173</v>
      </c>
      <c r="K93" s="2">
        <v>183</v>
      </c>
      <c r="L93" s="2">
        <v>1</v>
      </c>
      <c r="M93" s="2"/>
      <c r="N93" s="8">
        <v>43297.479571759264</v>
      </c>
      <c r="O93" s="4" t="s">
        <v>200</v>
      </c>
      <c r="P93" s="3" t="s">
        <v>7897</v>
      </c>
      <c r="Q93" s="4"/>
      <c r="R93" s="4"/>
      <c r="S93" s="9" t="str">
        <f>HYPERLINK("https://pbs.twimg.com/profile_images/1018753705393508359/Gz43TAPP.jpg","View")</f>
        <v>View</v>
      </c>
    </row>
    <row r="94" spans="1:19" ht="20">
      <c r="A94" s="8">
        <v>43372.381689814814</v>
      </c>
      <c r="B94" s="11" t="str">
        <f>HYPERLINK("https://twitter.com/mojitani","@mojitani")</f>
        <v>@mojitani</v>
      </c>
      <c r="C94" s="6" t="s">
        <v>7896</v>
      </c>
      <c r="D94" s="5" t="s">
        <v>7895</v>
      </c>
      <c r="E94" s="9" t="str">
        <f>HYPERLINK("https://twitter.com/mojitani/status/1045910953605439489","1045910953605439489")</f>
        <v>1045910953605439489</v>
      </c>
      <c r="F94" s="4"/>
      <c r="G94" s="4"/>
      <c r="H94" s="4"/>
      <c r="I94" s="10" t="str">
        <f>HYPERLINK("http://twitter.com/#!/download/ipad","Twitter for iPad")</f>
        <v>Twitter for iPad</v>
      </c>
      <c r="J94" s="2">
        <v>31</v>
      </c>
      <c r="K94" s="2">
        <v>84</v>
      </c>
      <c r="L94" s="2">
        <v>0</v>
      </c>
      <c r="M94" s="2"/>
      <c r="N94" s="8">
        <v>41173.360497685186</v>
      </c>
      <c r="O94" s="4" t="s">
        <v>200</v>
      </c>
      <c r="P94" s="3" t="s">
        <v>7894</v>
      </c>
      <c r="Q94" s="4"/>
      <c r="R94" s="4"/>
      <c r="S94" s="9" t="str">
        <f>HYPERLINK("https://pbs.twimg.com/profile_images/1029376463018053633/U8_YYDRd.jpg","View")</f>
        <v>View</v>
      </c>
    </row>
    <row r="95" spans="1:19" ht="12.5">
      <c r="A95" s="8">
        <v>43372.380069444444</v>
      </c>
      <c r="B95" s="11" t="str">
        <f>HYPERLINK("https://twitter.com/missAzarakhsh","@missAzarakhsh")</f>
        <v>@missAzarakhsh</v>
      </c>
      <c r="C95" s="6" t="s">
        <v>868</v>
      </c>
      <c r="D95" s="5" t="s">
        <v>7893</v>
      </c>
      <c r="E95" s="9" t="str">
        <f>HYPERLINK("https://twitter.com/missAzarakhsh/status/1045910366725828608","1045910366725828608")</f>
        <v>1045910366725828608</v>
      </c>
      <c r="F95" s="4"/>
      <c r="G95" s="10" t="s">
        <v>7892</v>
      </c>
      <c r="H95" s="4"/>
      <c r="I95" s="10" t="str">
        <f>HYPERLINK("http://twitter.com/download/android","Twitter for Android")</f>
        <v>Twitter for Android</v>
      </c>
      <c r="J95" s="2">
        <v>1791</v>
      </c>
      <c r="K95" s="2">
        <v>199</v>
      </c>
      <c r="L95" s="2">
        <v>16</v>
      </c>
      <c r="M95" s="2"/>
      <c r="N95" s="8">
        <v>41566.817928240736</v>
      </c>
      <c r="O95" s="4" t="s">
        <v>867</v>
      </c>
      <c r="P95" s="3" t="s">
        <v>866</v>
      </c>
      <c r="Q95" s="4"/>
      <c r="R95" s="4"/>
      <c r="S95" s="9" t="str">
        <f>HYPERLINK("https://pbs.twimg.com/profile_images/1045291022035681281/eDMNOzCW.jpg","View")</f>
        <v>View</v>
      </c>
    </row>
    <row r="96" spans="1:19" ht="20">
      <c r="A96" s="8">
        <v>43372.369826388887</v>
      </c>
      <c r="B96" s="11" t="str">
        <f>HYPERLINK("https://twitter.com/PMR0731","@PMR0731")</f>
        <v>@PMR0731</v>
      </c>
      <c r="C96" s="6" t="s">
        <v>423</v>
      </c>
      <c r="D96" s="5" t="s">
        <v>7891</v>
      </c>
      <c r="E96" s="9" t="str">
        <f>HYPERLINK("https://twitter.com/PMR0731/status/1045906657761472512","1045906657761472512")</f>
        <v>1045906657761472512</v>
      </c>
      <c r="F96" s="4"/>
      <c r="G96" s="10" t="s">
        <v>7890</v>
      </c>
      <c r="H96" s="4"/>
      <c r="I96" s="10" t="str">
        <f>HYPERLINK("http://twitter.com","Twitter Web Client")</f>
        <v>Twitter Web Client</v>
      </c>
      <c r="J96" s="2">
        <v>797</v>
      </c>
      <c r="K96" s="2">
        <v>195</v>
      </c>
      <c r="L96" s="2">
        <v>6</v>
      </c>
      <c r="M96" s="2"/>
      <c r="N96" s="8">
        <v>42590.050578703704</v>
      </c>
      <c r="O96" s="4" t="s">
        <v>420</v>
      </c>
      <c r="P96" s="3" t="s">
        <v>419</v>
      </c>
      <c r="Q96" s="4"/>
      <c r="R96" s="4"/>
      <c r="S96" s="9" t="str">
        <f>HYPERLINK("https://pbs.twimg.com/profile_images/1030356397630926848/x8SmplII.jpg","View")</f>
        <v>View</v>
      </c>
    </row>
    <row r="97" spans="1:19" ht="40">
      <c r="A97" s="8">
        <v>43372.369317129633</v>
      </c>
      <c r="B97" s="11" t="str">
        <f>HYPERLINK("https://twitter.com/PMR0731","@PMR0731")</f>
        <v>@PMR0731</v>
      </c>
      <c r="C97" s="6" t="s">
        <v>423</v>
      </c>
      <c r="D97" s="5" t="s">
        <v>7889</v>
      </c>
      <c r="E97" s="9" t="str">
        <f>HYPERLINK("https://twitter.com/PMR0731/status/1045906472079691776","1045906472079691776")</f>
        <v>1045906472079691776</v>
      </c>
      <c r="F97" s="4"/>
      <c r="G97" s="10" t="s">
        <v>7888</v>
      </c>
      <c r="H97" s="4"/>
      <c r="I97" s="10" t="str">
        <f>HYPERLINK("http://twitter.com","Twitter Web Client")</f>
        <v>Twitter Web Client</v>
      </c>
      <c r="J97" s="2">
        <v>797</v>
      </c>
      <c r="K97" s="2">
        <v>195</v>
      </c>
      <c r="L97" s="2">
        <v>6</v>
      </c>
      <c r="M97" s="2"/>
      <c r="N97" s="8">
        <v>42590.050578703704</v>
      </c>
      <c r="O97" s="4" t="s">
        <v>420</v>
      </c>
      <c r="P97" s="3" t="s">
        <v>419</v>
      </c>
      <c r="Q97" s="4"/>
      <c r="R97" s="4"/>
      <c r="S97" s="9" t="str">
        <f>HYPERLINK("https://pbs.twimg.com/profile_images/1030356397630926848/x8SmplII.jpg","View")</f>
        <v>View</v>
      </c>
    </row>
    <row r="98" spans="1:19" ht="12.5">
      <c r="A98" s="8">
        <v>43372.363981481481</v>
      </c>
      <c r="B98" s="11" t="str">
        <f>HYPERLINK("https://twitter.com/haristo_stchv","@haristo_stchv")</f>
        <v>@haristo_stchv</v>
      </c>
      <c r="C98" s="6" t="s">
        <v>479</v>
      </c>
      <c r="D98" s="5" t="s">
        <v>7887</v>
      </c>
      <c r="E98" s="9" t="str">
        <f>HYPERLINK("https://twitter.com/haristo_stchv/status/1045904539805732864","1045904539805732864")</f>
        <v>1045904539805732864</v>
      </c>
      <c r="F98" s="4"/>
      <c r="G98" s="4"/>
      <c r="H98" s="4"/>
      <c r="I98" s="10" t="str">
        <f>HYPERLINK("http://twitter.com","Twitter Web Client")</f>
        <v>Twitter Web Client</v>
      </c>
      <c r="J98" s="2">
        <v>1229</v>
      </c>
      <c r="K98" s="2">
        <v>1090</v>
      </c>
      <c r="L98" s="2">
        <v>3</v>
      </c>
      <c r="M98" s="2"/>
      <c r="N98" s="8">
        <v>42950.472129629634</v>
      </c>
      <c r="O98" s="4" t="s">
        <v>200</v>
      </c>
      <c r="P98" s="3" t="s">
        <v>7886</v>
      </c>
      <c r="Q98" s="4"/>
      <c r="R98" s="4"/>
      <c r="S98" s="9" t="str">
        <f>HYPERLINK("https://pbs.twimg.com/profile_images/1041626242112528384/wCOP_idg.jpg","View")</f>
        <v>View</v>
      </c>
    </row>
    <row r="99" spans="1:19" ht="30">
      <c r="A99" s="8">
        <v>43372.322488425925</v>
      </c>
      <c r="B99" s="11" t="str">
        <f>HYPERLINK("https://twitter.com/NewsBase_Iran","@NewsBase_Iran")</f>
        <v>@NewsBase_Iran</v>
      </c>
      <c r="C99" s="6" t="s">
        <v>7885</v>
      </c>
      <c r="D99" s="5" t="s">
        <v>7884</v>
      </c>
      <c r="E99" s="9" t="str">
        <f>HYPERLINK("https://twitter.com/NewsBase_Iran/status/1045889502965829632","1045889502965829632")</f>
        <v>1045889502965829632</v>
      </c>
      <c r="F99" s="10" t="s">
        <v>7883</v>
      </c>
      <c r="G99" s="10" t="s">
        <v>7882</v>
      </c>
      <c r="H99" s="4"/>
      <c r="I99" s="10" t="str">
        <f>HYPERLINK("http://twitter.com","Twitter Web Client")</f>
        <v>Twitter Web Client</v>
      </c>
      <c r="J99" s="2">
        <v>10</v>
      </c>
      <c r="K99" s="2">
        <v>45</v>
      </c>
      <c r="L99" s="2">
        <v>0</v>
      </c>
      <c r="M99" s="2"/>
      <c r="N99" s="8">
        <v>42955.317025462966</v>
      </c>
      <c r="O99" s="4" t="s">
        <v>72</v>
      </c>
      <c r="P99" s="3" t="s">
        <v>7881</v>
      </c>
      <c r="Q99" s="10" t="s">
        <v>7880</v>
      </c>
      <c r="R99" s="4"/>
      <c r="S99" s="9" t="str">
        <f>HYPERLINK("https://pbs.twimg.com/profile_images/1045076475194609664/4vask902.jpg","View")</f>
        <v>View</v>
      </c>
    </row>
    <row r="100" spans="1:19" ht="20">
      <c r="A100" s="8">
        <v>43372.320023148146</v>
      </c>
      <c r="B100" s="11" t="str">
        <f>HYPERLINK("https://twitter.com/MrVahidd","@MrVahidd")</f>
        <v>@MrVahidd</v>
      </c>
      <c r="C100" s="6" t="s">
        <v>7879</v>
      </c>
      <c r="D100" s="5" t="s">
        <v>7878</v>
      </c>
      <c r="E100" s="9" t="str">
        <f>HYPERLINK("https://twitter.com/MrVahidd/status/1045888606462779393","1045888606462779393")</f>
        <v>1045888606462779393</v>
      </c>
      <c r="F100" s="4"/>
      <c r="G100" s="4"/>
      <c r="H100" s="4"/>
      <c r="I100" s="10" t="str">
        <f>HYPERLINK("http://twitter.com/download/iphone","Twitter for iPhone")</f>
        <v>Twitter for iPhone</v>
      </c>
      <c r="J100" s="2">
        <v>255</v>
      </c>
      <c r="K100" s="2">
        <v>517</v>
      </c>
      <c r="L100" s="2">
        <v>1</v>
      </c>
      <c r="M100" s="2"/>
      <c r="N100" s="8">
        <v>40702.798391203702</v>
      </c>
      <c r="O100" s="4" t="s">
        <v>7877</v>
      </c>
      <c r="P100" s="3" t="s">
        <v>7876</v>
      </c>
      <c r="Q100" s="4"/>
      <c r="R100" s="4"/>
      <c r="S100" s="9" t="str">
        <f>HYPERLINK("https://pbs.twimg.com/profile_images/1001683399222988837/V20jFb6h.jpg","View")</f>
        <v>View</v>
      </c>
    </row>
    <row r="101" spans="1:19" ht="30">
      <c r="A101" s="8">
        <v>43372.306203703702</v>
      </c>
      <c r="B101" s="11" t="str">
        <f>HYPERLINK("https://twitter.com/M_H_R73","@M_H_R73")</f>
        <v>@M_H_R73</v>
      </c>
      <c r="C101" s="6" t="s">
        <v>7875</v>
      </c>
      <c r="D101" s="5" t="s">
        <v>7874</v>
      </c>
      <c r="E101" s="9" t="str">
        <f>HYPERLINK("https://twitter.com/M_H_R73/status/1045883598820319232","1045883598820319232")</f>
        <v>1045883598820319232</v>
      </c>
      <c r="F101" s="4"/>
      <c r="G101" s="4"/>
      <c r="H101" s="4"/>
      <c r="I101" s="10" t="str">
        <f>HYPERLINK("http://twitter.com","Twitter Web Client")</f>
        <v>Twitter Web Client</v>
      </c>
      <c r="J101" s="2">
        <v>23</v>
      </c>
      <c r="K101" s="2">
        <v>171</v>
      </c>
      <c r="L101" s="2">
        <v>0</v>
      </c>
      <c r="M101" s="2"/>
      <c r="N101" s="8">
        <v>42999.97420138889</v>
      </c>
      <c r="O101" s="4" t="s">
        <v>200</v>
      </c>
      <c r="P101" s="3" t="s">
        <v>7873</v>
      </c>
      <c r="Q101" s="10" t="s">
        <v>7872</v>
      </c>
      <c r="R101" s="4"/>
      <c r="S101" s="9" t="str">
        <f>HYPERLINK("https://pbs.twimg.com/profile_images/1042462597533118474/myNb8h1B.jpg","View")</f>
        <v>View</v>
      </c>
    </row>
    <row r="102" spans="1:19" ht="30">
      <c r="A102" s="8">
        <v>43372.305497685185</v>
      </c>
      <c r="B102" s="11" t="str">
        <f>HYPERLINK("https://twitter.com/shivalove286","@shivalove286")</f>
        <v>@shivalove286</v>
      </c>
      <c r="C102" s="6" t="s">
        <v>7405</v>
      </c>
      <c r="D102" s="5" t="s">
        <v>7871</v>
      </c>
      <c r="E102" s="9" t="str">
        <f>HYPERLINK("https://twitter.com/shivalove286/status/1045883345526312960","1045883345526312960")</f>
        <v>1045883345526312960</v>
      </c>
      <c r="F102" s="4"/>
      <c r="G102" s="10" t="s">
        <v>7870</v>
      </c>
      <c r="H102" s="4"/>
      <c r="I102" s="10" t="str">
        <f>HYPERLINK("http://twitter.com","Twitter Web Client")</f>
        <v>Twitter Web Client</v>
      </c>
      <c r="J102" s="2">
        <v>1429</v>
      </c>
      <c r="K102" s="2">
        <v>527</v>
      </c>
      <c r="L102" s="2">
        <v>8</v>
      </c>
      <c r="M102" s="2"/>
      <c r="N102" s="8">
        <v>42370.768726851849</v>
      </c>
      <c r="O102" s="4" t="s">
        <v>10</v>
      </c>
      <c r="P102" s="3" t="s">
        <v>7402</v>
      </c>
      <c r="Q102" s="4"/>
      <c r="R102" s="4"/>
      <c r="S102" s="9" t="str">
        <f>HYPERLINK("https://pbs.twimg.com/profile_images/1017656791314903041/3719qSF_.jpg","View")</f>
        <v>View</v>
      </c>
    </row>
    <row r="103" spans="1:19" ht="20">
      <c r="A103" s="8">
        <v>43372.296157407407</v>
      </c>
      <c r="B103" s="11" t="str">
        <f>HYPERLINK("https://twitter.com/Vahid30126354","@Vahid30126354")</f>
        <v>@Vahid30126354</v>
      </c>
      <c r="C103" s="11" t="s">
        <v>7869</v>
      </c>
      <c r="D103" s="5" t="s">
        <v>7868</v>
      </c>
      <c r="E103" s="9" t="str">
        <f>HYPERLINK("https://twitter.com/Vahid30126354/status/1045879958046994439","1045879958046994439")</f>
        <v>1045879958046994439</v>
      </c>
      <c r="F103" s="4"/>
      <c r="G103" s="4"/>
      <c r="H103" s="4"/>
      <c r="I103" s="10" t="str">
        <f>HYPERLINK("http://twitter.com/download/android","Twitter for Android")</f>
        <v>Twitter for Android</v>
      </c>
      <c r="J103" s="2">
        <v>1</v>
      </c>
      <c r="K103" s="2">
        <v>12</v>
      </c>
      <c r="L103" s="2">
        <v>0</v>
      </c>
      <c r="M103" s="2"/>
      <c r="N103" s="8">
        <v>43309.579143518524</v>
      </c>
      <c r="O103" s="4" t="s">
        <v>254</v>
      </c>
      <c r="P103" s="3"/>
      <c r="Q103" s="4"/>
      <c r="R103" s="4"/>
      <c r="S103" s="2" t="s">
        <v>259</v>
      </c>
    </row>
    <row r="104" spans="1:19" ht="80">
      <c r="A104" s="8">
        <v>43372.274004629631</v>
      </c>
      <c r="B104" s="11" t="str">
        <f>HYPERLINK("https://twitter.com/BMogadm","@BMogadm")</f>
        <v>@BMogadm</v>
      </c>
      <c r="C104" s="6" t="s">
        <v>7867</v>
      </c>
      <c r="D104" s="5" t="s">
        <v>7866</v>
      </c>
      <c r="E104" s="9" t="str">
        <f>HYPERLINK("https://twitter.com/BMogadm/status/1045871932539895809","1045871932539895809")</f>
        <v>1045871932539895809</v>
      </c>
      <c r="F104" s="10" t="s">
        <v>7865</v>
      </c>
      <c r="G104" s="4"/>
      <c r="H104" s="4"/>
      <c r="I104" s="10" t="str">
        <f>HYPERLINK("http://twitter.com/download/android","Twitter for Android")</f>
        <v>Twitter for Android</v>
      </c>
      <c r="J104" s="2">
        <v>1105</v>
      </c>
      <c r="K104" s="2">
        <v>1148</v>
      </c>
      <c r="L104" s="2">
        <v>2</v>
      </c>
      <c r="M104" s="2"/>
      <c r="N104" s="8">
        <v>43021.010208333333</v>
      </c>
      <c r="O104" s="4" t="s">
        <v>7864</v>
      </c>
      <c r="P104" s="3" t="s">
        <v>7863</v>
      </c>
      <c r="Q104" s="4"/>
      <c r="R104" s="4"/>
      <c r="S104" s="9" t="str">
        <f>HYPERLINK("https://pbs.twimg.com/profile_images/1029070781240762368/avD7AZ_V.jpg","View")</f>
        <v>View</v>
      </c>
    </row>
    <row r="105" spans="1:19" ht="20">
      <c r="A105" s="8">
        <v>43372.199259259258</v>
      </c>
      <c r="B105" s="11" t="str">
        <f>HYPERLINK("https://twitter.com/mrdavari","@mrdavari")</f>
        <v>@mrdavari</v>
      </c>
      <c r="C105" s="6" t="s">
        <v>7862</v>
      </c>
      <c r="D105" s="5" t="s">
        <v>7861</v>
      </c>
      <c r="E105" s="9" t="str">
        <f>HYPERLINK("https://twitter.com/mrdavari/status/1045844846739476481","1045844846739476481")</f>
        <v>1045844846739476481</v>
      </c>
      <c r="F105" s="4"/>
      <c r="G105" s="4"/>
      <c r="H105" s="4"/>
      <c r="I105" s="10" t="str">
        <f>HYPERLINK("http://twitter.com","Twitter Web Client")</f>
        <v>Twitter Web Client</v>
      </c>
      <c r="J105" s="2">
        <v>55</v>
      </c>
      <c r="K105" s="2">
        <v>290</v>
      </c>
      <c r="L105" s="2">
        <v>1</v>
      </c>
      <c r="M105" s="2"/>
      <c r="N105" s="8">
        <v>39993.73951388889</v>
      </c>
      <c r="O105" s="4" t="s">
        <v>7860</v>
      </c>
      <c r="P105" s="3"/>
      <c r="Q105" s="4"/>
      <c r="R105" s="4"/>
      <c r="S105" s="9" t="str">
        <f>HYPERLINK("https://pbs.twimg.com/profile_images/714145229327171584/_COEjfm7.jpg","View")</f>
        <v>View</v>
      </c>
    </row>
    <row r="106" spans="1:19" ht="40">
      <c r="A106" s="8">
        <v>43372.159722222219</v>
      </c>
      <c r="B106" s="11" t="str">
        <f>HYPERLINK("https://twitter.com/sir_behnam","@sir_behnam")</f>
        <v>@sir_behnam</v>
      </c>
      <c r="C106" s="6" t="s">
        <v>7857</v>
      </c>
      <c r="D106" s="5" t="s">
        <v>7859</v>
      </c>
      <c r="E106" s="9" t="str">
        <f>HYPERLINK("https://twitter.com/sir_behnam/status/1045830515176214534","1045830515176214534")</f>
        <v>1045830515176214534</v>
      </c>
      <c r="F106" s="4"/>
      <c r="G106" s="10" t="s">
        <v>7858</v>
      </c>
      <c r="H106" s="4"/>
      <c r="I106" s="10" t="str">
        <f>HYPERLINK("http://twitter.com/download/android","Twitter for Android")</f>
        <v>Twitter for Android</v>
      </c>
      <c r="J106" s="2">
        <v>23</v>
      </c>
      <c r="K106" s="2">
        <v>1</v>
      </c>
      <c r="L106" s="2">
        <v>0</v>
      </c>
      <c r="M106" s="2"/>
      <c r="N106" s="8">
        <v>43204.537581018521</v>
      </c>
      <c r="O106" s="4" t="s">
        <v>7854</v>
      </c>
      <c r="P106" s="3" t="s">
        <v>7853</v>
      </c>
      <c r="Q106" s="10" t="s">
        <v>7852</v>
      </c>
      <c r="R106" s="4"/>
      <c r="S106" s="9" t="str">
        <f>HYPERLINK("https://pbs.twimg.com/profile_images/985077017703059458/s-Vvrv5M.jpg","View")</f>
        <v>View</v>
      </c>
    </row>
    <row r="107" spans="1:19" ht="40">
      <c r="A107" s="8">
        <v>43372.147881944446</v>
      </c>
      <c r="B107" s="11" t="str">
        <f>HYPERLINK("https://twitter.com/sir_behnam","@sir_behnam")</f>
        <v>@sir_behnam</v>
      </c>
      <c r="C107" s="6" t="s">
        <v>7857</v>
      </c>
      <c r="D107" s="5" t="s">
        <v>7856</v>
      </c>
      <c r="E107" s="9" t="str">
        <f>HYPERLINK("https://twitter.com/sir_behnam/status/1045826226097737729","1045826226097737729")</f>
        <v>1045826226097737729</v>
      </c>
      <c r="F107" s="4"/>
      <c r="G107" s="10" t="s">
        <v>7855</v>
      </c>
      <c r="H107" s="4"/>
      <c r="I107" s="10" t="str">
        <f>HYPERLINK("http://twitter.com/download/android","Twitter for Android")</f>
        <v>Twitter for Android</v>
      </c>
      <c r="J107" s="2">
        <v>23</v>
      </c>
      <c r="K107" s="2">
        <v>1</v>
      </c>
      <c r="L107" s="2">
        <v>0</v>
      </c>
      <c r="M107" s="2"/>
      <c r="N107" s="8">
        <v>43204.537581018521</v>
      </c>
      <c r="O107" s="4" t="s">
        <v>7854</v>
      </c>
      <c r="P107" s="3" t="s">
        <v>7853</v>
      </c>
      <c r="Q107" s="10" t="s">
        <v>7852</v>
      </c>
      <c r="R107" s="4"/>
      <c r="S107" s="9" t="str">
        <f>HYPERLINK("https://pbs.twimg.com/profile_images/985077017703059458/s-Vvrv5M.jpg","View")</f>
        <v>View</v>
      </c>
    </row>
    <row r="108" spans="1:19" ht="20">
      <c r="A108" s="8">
        <v>43372.134826388894</v>
      </c>
      <c r="B108" s="11" t="str">
        <f>HYPERLINK("https://twitter.com/mrbaghal","@mrbaghal")</f>
        <v>@mrbaghal</v>
      </c>
      <c r="C108" s="6" t="s">
        <v>1761</v>
      </c>
      <c r="D108" s="5" t="s">
        <v>7851</v>
      </c>
      <c r="E108" s="9" t="str">
        <f>HYPERLINK("https://twitter.com/mrbaghal/status/1045821492972449792","1045821492972449792")</f>
        <v>1045821492972449792</v>
      </c>
      <c r="F108" s="4"/>
      <c r="G108" s="10" t="s">
        <v>7850</v>
      </c>
      <c r="H108" s="4"/>
      <c r="I108" s="10" t="str">
        <f>HYPERLINK("http://twitter.com/download/android","Twitter for Android")</f>
        <v>Twitter for Android</v>
      </c>
      <c r="J108" s="2">
        <v>118</v>
      </c>
      <c r="K108" s="2">
        <v>182</v>
      </c>
      <c r="L108" s="2">
        <v>0</v>
      </c>
      <c r="M108" s="2"/>
      <c r="N108" s="8">
        <v>43215.012604166666</v>
      </c>
      <c r="O108" s="4" t="s">
        <v>272</v>
      </c>
      <c r="P108" s="3" t="s">
        <v>1758</v>
      </c>
      <c r="Q108" s="4"/>
      <c r="R108" s="4"/>
      <c r="S108" s="9" t="str">
        <f>HYPERLINK("https://pbs.twimg.com/profile_images/1011009361592967170/UA1Cb_rP.jpg","View")</f>
        <v>View</v>
      </c>
    </row>
    <row r="109" spans="1:19" ht="30">
      <c r="A109" s="8">
        <v>43372.125543981485</v>
      </c>
      <c r="B109" s="11" t="str">
        <f>HYPERLINK("https://twitter.com/mehranmirmaana","@mehranmirmaana")</f>
        <v>@mehranmirmaana</v>
      </c>
      <c r="C109" s="6" t="s">
        <v>7849</v>
      </c>
      <c r="D109" s="5" t="s">
        <v>7848</v>
      </c>
      <c r="E109" s="9" t="str">
        <f>HYPERLINK("https://twitter.com/mehranmirmaana/status/1045818131074174976","1045818131074174976")</f>
        <v>1045818131074174976</v>
      </c>
      <c r="F109" s="4"/>
      <c r="G109" s="4"/>
      <c r="H109" s="4"/>
      <c r="I109" s="10" t="str">
        <f>HYPERLINK("http://twitter.com/download/iphone","Twitter for iPhone")</f>
        <v>Twitter for iPhone</v>
      </c>
      <c r="J109" s="2">
        <v>106</v>
      </c>
      <c r="K109" s="2">
        <v>501</v>
      </c>
      <c r="L109" s="2">
        <v>0</v>
      </c>
      <c r="M109" s="2"/>
      <c r="N109" s="8">
        <v>43057.108136574076</v>
      </c>
      <c r="O109" s="4" t="s">
        <v>72</v>
      </c>
      <c r="P109" s="3" t="s">
        <v>7847</v>
      </c>
      <c r="Q109" s="10" t="s">
        <v>7846</v>
      </c>
      <c r="R109" s="4"/>
      <c r="S109" s="9" t="str">
        <f>HYPERLINK("https://pbs.twimg.com/profile_images/931661967143657472/ne3yk9m-.jpg","View")</f>
        <v>View</v>
      </c>
    </row>
    <row r="110" spans="1:19" ht="12.5">
      <c r="A110" s="8">
        <v>43372.107916666668</v>
      </c>
      <c r="B110" s="11" t="str">
        <f>HYPERLINK("https://twitter.com/hadi42642291","@hadi42642291")</f>
        <v>@hadi42642291</v>
      </c>
      <c r="C110" s="6" t="s">
        <v>7845</v>
      </c>
      <c r="D110" s="5" t="s">
        <v>7844</v>
      </c>
      <c r="E110" s="9" t="str">
        <f>HYPERLINK("https://twitter.com/hadi42642291/status/1045811743371472898","1045811743371472898")</f>
        <v>1045811743371472898</v>
      </c>
      <c r="F110" s="4"/>
      <c r="G110" s="4"/>
      <c r="H110" s="4"/>
      <c r="I110" s="10" t="str">
        <f>HYPERLINK("http://twitter.com/download/iphone","Twitter for iPhone")</f>
        <v>Twitter for iPhone</v>
      </c>
      <c r="J110" s="2">
        <v>105</v>
      </c>
      <c r="K110" s="2">
        <v>393</v>
      </c>
      <c r="L110" s="2">
        <v>0</v>
      </c>
      <c r="M110" s="2"/>
      <c r="N110" s="8">
        <v>42339.645694444444</v>
      </c>
      <c r="O110" s="4" t="s">
        <v>200</v>
      </c>
      <c r="P110" s="3" t="s">
        <v>7843</v>
      </c>
      <c r="Q110" s="4"/>
      <c r="R110" s="4"/>
      <c r="S110" s="9" t="str">
        <f>HYPERLINK("https://pbs.twimg.com/profile_images/1009370934464122881/e-tSaTNh.jpg","View")</f>
        <v>View</v>
      </c>
    </row>
    <row r="111" spans="1:19" ht="20">
      <c r="A111" s="8">
        <v>43372.10538194445</v>
      </c>
      <c r="B111" s="11" t="str">
        <f>HYPERLINK("https://twitter.com/footballrooz","@footballrooz")</f>
        <v>@footballrooz</v>
      </c>
      <c r="C111" s="6" t="s">
        <v>7842</v>
      </c>
      <c r="D111" s="5" t="s">
        <v>7841</v>
      </c>
      <c r="E111" s="9" t="str">
        <f>HYPERLINK("https://twitter.com/footballrooz/status/1045810825871667201","1045810825871667201")</f>
        <v>1045810825871667201</v>
      </c>
      <c r="F111" s="4"/>
      <c r="G111" s="10" t="s">
        <v>7840</v>
      </c>
      <c r="H111" s="4"/>
      <c r="I111" s="10" t="str">
        <f>HYPERLINK("http://twitter.com/download/android","Twitter for Android")</f>
        <v>Twitter for Android</v>
      </c>
      <c r="J111" s="2">
        <v>18</v>
      </c>
      <c r="K111" s="2">
        <v>74</v>
      </c>
      <c r="L111" s="2">
        <v>0</v>
      </c>
      <c r="M111" s="2"/>
      <c r="N111" s="8">
        <v>42973.875520833331</v>
      </c>
      <c r="O111" s="4"/>
      <c r="P111" s="3" t="s">
        <v>7839</v>
      </c>
      <c r="Q111" s="10" t="s">
        <v>7838</v>
      </c>
      <c r="R111" s="4"/>
      <c r="S111" s="9" t="str">
        <f>HYPERLINK("https://pbs.twimg.com/profile_images/901609264929787904/x8u9tM4R.jpg","View")</f>
        <v>View</v>
      </c>
    </row>
    <row r="112" spans="1:19" ht="30">
      <c r="A112" s="8">
        <v>43372.077152777776</v>
      </c>
      <c r="B112" s="11" t="str">
        <f>HYPERLINK("https://twitter.com/samharisirani","@samharisirani")</f>
        <v>@samharisirani</v>
      </c>
      <c r="C112" s="6" t="s">
        <v>795</v>
      </c>
      <c r="D112" s="5" t="s">
        <v>7837</v>
      </c>
      <c r="E112" s="9" t="str">
        <f>HYPERLINK("https://twitter.com/samharisirani/status/1045800595049766912","1045800595049766912")</f>
        <v>1045800595049766912</v>
      </c>
      <c r="F112" s="4"/>
      <c r="G112" s="4"/>
      <c r="H112" s="4"/>
      <c r="I112" s="10" t="str">
        <f>HYPERLINK("http://twitter.com","Twitter Web Client")</f>
        <v>Twitter Web Client</v>
      </c>
      <c r="J112" s="2">
        <v>4970</v>
      </c>
      <c r="K112" s="2">
        <v>2669</v>
      </c>
      <c r="L112" s="2">
        <v>7</v>
      </c>
      <c r="M112" s="2"/>
      <c r="N112" s="8">
        <v>41713.290879629625</v>
      </c>
      <c r="O112" s="4" t="s">
        <v>793</v>
      </c>
      <c r="P112" s="3" t="s">
        <v>792</v>
      </c>
      <c r="Q112" s="4"/>
      <c r="R112" s="4"/>
      <c r="S112" s="9" t="str">
        <f>HYPERLINK("https://pbs.twimg.com/profile_images/947049442842152962/dI4P1puy.jpg","View")</f>
        <v>View</v>
      </c>
    </row>
    <row r="113" spans="1:19" ht="30">
      <c r="A113" s="8">
        <v>43372.076064814813</v>
      </c>
      <c r="B113" s="11" t="str">
        <f>HYPERLINK("https://twitter.com/fatfootish","@fatfootish")</f>
        <v>@fatfootish</v>
      </c>
      <c r="C113" s="6" t="s">
        <v>7514</v>
      </c>
      <c r="D113" s="5" t="s">
        <v>7836</v>
      </c>
      <c r="E113" s="9" t="str">
        <f>HYPERLINK("https://twitter.com/fatfootish/status/1045800199002759169","1045800199002759169")</f>
        <v>1045800199002759169</v>
      </c>
      <c r="F113" s="4"/>
      <c r="G113" s="4"/>
      <c r="H113" s="4"/>
      <c r="I113" s="10" t="str">
        <f>HYPERLINK("http://twitter.com/download/android","Twitter for Android")</f>
        <v>Twitter for Android</v>
      </c>
      <c r="J113" s="2">
        <v>139</v>
      </c>
      <c r="K113" s="2">
        <v>1036</v>
      </c>
      <c r="L113" s="2">
        <v>0</v>
      </c>
      <c r="M113" s="2"/>
      <c r="N113" s="8">
        <v>43278.568807870368</v>
      </c>
      <c r="O113" s="4"/>
      <c r="P113" s="3" t="s">
        <v>7511</v>
      </c>
      <c r="Q113" s="4"/>
      <c r="R113" s="4"/>
      <c r="S113" s="9" t="str">
        <f>HYPERLINK("https://pbs.twimg.com/profile_images/1045633215627763712/1zl92WOC.jpg","View")</f>
        <v>View</v>
      </c>
    </row>
    <row r="114" spans="1:19" ht="40">
      <c r="A114" s="8">
        <v>43372.071122685185</v>
      </c>
      <c r="B114" s="11" t="str">
        <f>HYPERLINK("https://twitter.com/Amo_mokhi","@Amo_mokhi")</f>
        <v>@Amo_mokhi</v>
      </c>
      <c r="C114" s="6" t="s">
        <v>7835</v>
      </c>
      <c r="D114" s="5" t="s">
        <v>7834</v>
      </c>
      <c r="E114" s="9" t="str">
        <f>HYPERLINK("https://twitter.com/Amo_mokhi/status/1045798408886325249","1045798408886325249")</f>
        <v>1045798408886325249</v>
      </c>
      <c r="F114" s="4"/>
      <c r="G114" s="4"/>
      <c r="H114" s="4"/>
      <c r="I114" s="10" t="str">
        <f>HYPERLINK("http://twitter.com/download/android","Twitter for Android")</f>
        <v>Twitter for Android</v>
      </c>
      <c r="J114" s="2">
        <v>0</v>
      </c>
      <c r="K114" s="2">
        <v>26</v>
      </c>
      <c r="L114" s="2">
        <v>0</v>
      </c>
      <c r="M114" s="2"/>
      <c r="N114" s="8">
        <v>43372.03496527778</v>
      </c>
      <c r="O114" s="4"/>
      <c r="P114" s="3" t="s">
        <v>7833</v>
      </c>
      <c r="Q114" s="4"/>
      <c r="R114" s="4"/>
      <c r="S114" s="9" t="str">
        <f>HYPERLINK("https://pbs.twimg.com/profile_images/1045789457138503680/-lAEe9aQ.jpg","View")</f>
        <v>View</v>
      </c>
    </row>
    <row r="115" spans="1:19" ht="30">
      <c r="A115" s="8">
        <v>43372.066250000003</v>
      </c>
      <c r="B115" s="11" t="str">
        <f>HYPERLINK("https://twitter.com/sheldon_derder","@sheldon_derder")</f>
        <v>@sheldon_derder</v>
      </c>
      <c r="C115" s="6" t="s">
        <v>1879</v>
      </c>
      <c r="D115" s="5" t="s">
        <v>7832</v>
      </c>
      <c r="E115" s="9" t="str">
        <f>HYPERLINK("https://twitter.com/sheldon_derder/status/1045796642849476608","1045796642849476608")</f>
        <v>1045796642849476608</v>
      </c>
      <c r="F115" s="4"/>
      <c r="G115" s="10" t="s">
        <v>7831</v>
      </c>
      <c r="H115" s="4"/>
      <c r="I115" s="10" t="str">
        <f>HYPERLINK("http://twitter.com/download/android","Twitter for Android")</f>
        <v>Twitter for Android</v>
      </c>
      <c r="J115" s="2">
        <v>711</v>
      </c>
      <c r="K115" s="2">
        <v>327</v>
      </c>
      <c r="L115" s="2">
        <v>12</v>
      </c>
      <c r="M115" s="2"/>
      <c r="N115" s="8">
        <v>41363.798645833333</v>
      </c>
      <c r="O115" s="4" t="s">
        <v>254</v>
      </c>
      <c r="P115" s="3" t="s">
        <v>1878</v>
      </c>
      <c r="Q115" s="4"/>
      <c r="R115" s="4"/>
      <c r="S115" s="9" t="str">
        <f>HYPERLINK("https://pbs.twimg.com/profile_images/868746557809717249/BNMUbrxn.jpg","View")</f>
        <v>View</v>
      </c>
    </row>
    <row r="116" spans="1:19" ht="40">
      <c r="A116" s="8">
        <v>43372.060995370368</v>
      </c>
      <c r="B116" s="11" t="str">
        <f>HYPERLINK("https://twitter.com/iran_sara","@iran_sara")</f>
        <v>@iran_sara</v>
      </c>
      <c r="C116" s="6" t="s">
        <v>6004</v>
      </c>
      <c r="D116" s="5" t="s">
        <v>7830</v>
      </c>
      <c r="E116" s="9" t="str">
        <f>HYPERLINK("https://twitter.com/iran_sara/status/1045794738308296709","1045794738308296709")</f>
        <v>1045794738308296709</v>
      </c>
      <c r="F116" s="4"/>
      <c r="G116" s="4"/>
      <c r="H116" s="4"/>
      <c r="I116" s="10" t="str">
        <f>HYPERLINK("http://twitter.com/download/android","Twitter for Android")</f>
        <v>Twitter for Android</v>
      </c>
      <c r="J116" s="2">
        <v>133</v>
      </c>
      <c r="K116" s="2">
        <v>181</v>
      </c>
      <c r="L116" s="2">
        <v>0</v>
      </c>
      <c r="M116" s="2"/>
      <c r="N116" s="8">
        <v>43317.675266203703</v>
      </c>
      <c r="O116" s="4" t="s">
        <v>673</v>
      </c>
      <c r="P116" s="3" t="s">
        <v>6002</v>
      </c>
      <c r="Q116" s="4"/>
      <c r="R116" s="4"/>
      <c r="S116" s="9" t="str">
        <f>HYPERLINK("https://pbs.twimg.com/profile_images/1026089989904453633/YQqd4yUV.jpg","View")</f>
        <v>View</v>
      </c>
    </row>
    <row r="117" spans="1:19" ht="20">
      <c r="A117" s="8">
        <v>43372.060567129629</v>
      </c>
      <c r="B117" s="11" t="str">
        <f>HYPERLINK("https://twitter.com/Kiana92Land","@Kiana92Land")</f>
        <v>@Kiana92Land</v>
      </c>
      <c r="C117" s="6" t="s">
        <v>7829</v>
      </c>
      <c r="D117" s="5" t="s">
        <v>7828</v>
      </c>
      <c r="E117" s="9" t="str">
        <f>HYPERLINK("https://twitter.com/Kiana92Land/status/1045794583123316736","1045794583123316736")</f>
        <v>1045794583123316736</v>
      </c>
      <c r="F117" s="4"/>
      <c r="G117" s="10" t="s">
        <v>7827</v>
      </c>
      <c r="H117" s="4"/>
      <c r="I117" s="10" t="str">
        <f>HYPERLINK("https://mobile.twitter.com","Twitter Lite")</f>
        <v>Twitter Lite</v>
      </c>
      <c r="J117" s="2">
        <v>182</v>
      </c>
      <c r="K117" s="2">
        <v>192</v>
      </c>
      <c r="L117" s="2">
        <v>0</v>
      </c>
      <c r="M117" s="2"/>
      <c r="N117" s="8">
        <v>43332.218981481477</v>
      </c>
      <c r="O117" s="4"/>
      <c r="P117" s="3" t="s">
        <v>7826</v>
      </c>
      <c r="Q117" s="10" t="s">
        <v>7825</v>
      </c>
      <c r="R117" s="4"/>
      <c r="S117" s="9" t="str">
        <f>HYPERLINK("https://pbs.twimg.com/profile_images/1034106241822416896/oH5BKMYs.jpg","View")</f>
        <v>View</v>
      </c>
    </row>
    <row r="118" spans="1:19" ht="12.5">
      <c r="A118" s="8">
        <v>43372.060069444444</v>
      </c>
      <c r="B118" s="11" t="str">
        <f>HYPERLINK("https://twitter.com/firoozkarimi","@firoozkarimi")</f>
        <v>@firoozkarimi</v>
      </c>
      <c r="C118" s="6" t="s">
        <v>7824</v>
      </c>
      <c r="D118" s="5" t="s">
        <v>7823</v>
      </c>
      <c r="E118" s="9" t="str">
        <f>HYPERLINK("https://twitter.com/firoozkarimi/status/1045794404873768961","1045794404873768961")</f>
        <v>1045794404873768961</v>
      </c>
      <c r="F118" s="4"/>
      <c r="G118" s="4"/>
      <c r="H118" s="4"/>
      <c r="I118" s="10" t="str">
        <f>HYPERLINK("http://twitter.com/download/android","Twitter for Android")</f>
        <v>Twitter for Android</v>
      </c>
      <c r="J118" s="2">
        <v>175</v>
      </c>
      <c r="K118" s="2">
        <v>220</v>
      </c>
      <c r="L118" s="2">
        <v>0</v>
      </c>
      <c r="M118" s="2"/>
      <c r="N118" s="8">
        <v>41565.679062499999</v>
      </c>
      <c r="O118" s="4" t="s">
        <v>7822</v>
      </c>
      <c r="P118" s="3" t="s">
        <v>7821</v>
      </c>
      <c r="Q118" s="4"/>
      <c r="R118" s="4"/>
      <c r="S118" s="9" t="str">
        <f>HYPERLINK("https://pbs.twimg.com/profile_images/1044327693888757760/lVXPjzcG.jpg","View")</f>
        <v>View</v>
      </c>
    </row>
    <row r="119" spans="1:19" ht="20">
      <c r="A119" s="8">
        <v>43372.04614583333</v>
      </c>
      <c r="B119" s="11" t="str">
        <f>HYPERLINK("https://twitter.com/pourfazl","@pourfazl")</f>
        <v>@pourfazl</v>
      </c>
      <c r="C119" s="6" t="s">
        <v>6173</v>
      </c>
      <c r="D119" s="5" t="s">
        <v>7820</v>
      </c>
      <c r="E119" s="9" t="str">
        <f>HYPERLINK("https://twitter.com/pourfazl/status/1045789357846810625","1045789357846810625")</f>
        <v>1045789357846810625</v>
      </c>
      <c r="F119" s="4"/>
      <c r="G119" s="4"/>
      <c r="H119" s="4"/>
      <c r="I119" s="10" t="str">
        <f>HYPERLINK("http://twitter.com","Twitter Web Client")</f>
        <v>Twitter Web Client</v>
      </c>
      <c r="J119" s="2">
        <v>701</v>
      </c>
      <c r="K119" s="2">
        <v>482</v>
      </c>
      <c r="L119" s="2">
        <v>2</v>
      </c>
      <c r="M119" s="2"/>
      <c r="N119" s="8">
        <v>41603.365937499999</v>
      </c>
      <c r="O119" s="4"/>
      <c r="P119" s="3" t="s">
        <v>6171</v>
      </c>
      <c r="Q119" s="4"/>
      <c r="R119" s="4"/>
      <c r="S119" s="9" t="str">
        <f>HYPERLINK("https://pbs.twimg.com/profile_images/1037345604492554241/alsMB9-P.jpg","View")</f>
        <v>View</v>
      </c>
    </row>
    <row r="120" spans="1:19" ht="20">
      <c r="A120" s="8">
        <v>43372.043773148151</v>
      </c>
      <c r="B120" s="11" t="str">
        <f>HYPERLINK("https://twitter.com/AghaVahidKhan","@AghaVahidKhan")</f>
        <v>@AghaVahidKhan</v>
      </c>
      <c r="C120" s="6" t="s">
        <v>7819</v>
      </c>
      <c r="D120" s="5" t="s">
        <v>7818</v>
      </c>
      <c r="E120" s="9" t="str">
        <f>HYPERLINK("https://twitter.com/AghaVahidKhan/status/1045788499582963712","1045788499582963712")</f>
        <v>1045788499582963712</v>
      </c>
      <c r="F120" s="4"/>
      <c r="G120" s="4"/>
      <c r="H120" s="4"/>
      <c r="I120" s="10" t="str">
        <f>HYPERLINK("http://twitter.com/download/android","Twitter for Android")</f>
        <v>Twitter for Android</v>
      </c>
      <c r="J120" s="2">
        <v>5</v>
      </c>
      <c r="K120" s="2">
        <v>67</v>
      </c>
      <c r="L120" s="2">
        <v>0</v>
      </c>
      <c r="M120" s="2"/>
      <c r="N120" s="8">
        <v>41615.290671296294</v>
      </c>
      <c r="O120" s="4"/>
      <c r="P120" s="3"/>
      <c r="Q120" s="4"/>
      <c r="R120" s="4"/>
      <c r="S120" s="9" t="str">
        <f>HYPERLINK("https://pbs.twimg.com/profile_images/1033142717868531713/6ctOBEpO.jpg","View")</f>
        <v>View</v>
      </c>
    </row>
    <row r="121" spans="1:19" ht="20">
      <c r="A121" s="8">
        <v>43372.034803240742</v>
      </c>
      <c r="B121" s="11" t="str">
        <f>HYPERLINK("https://twitter.com/Alireza_ghh","@Alireza_ghh")</f>
        <v>@Alireza_ghh</v>
      </c>
      <c r="C121" s="6" t="s">
        <v>6489</v>
      </c>
      <c r="D121" s="5" t="s">
        <v>7817</v>
      </c>
      <c r="E121" s="9" t="str">
        <f>HYPERLINK("https://twitter.com/Alireza_ghh/status/1045785246564782080","1045785246564782080")</f>
        <v>1045785246564782080</v>
      </c>
      <c r="F121" s="4"/>
      <c r="G121" s="10" t="s">
        <v>7816</v>
      </c>
      <c r="H121" s="4"/>
      <c r="I121" s="10" t="str">
        <f>HYPERLINK("http://twitter.com/download/iphone","Twitter for iPhone")</f>
        <v>Twitter for iPhone</v>
      </c>
      <c r="J121" s="2">
        <v>16</v>
      </c>
      <c r="K121" s="2">
        <v>103</v>
      </c>
      <c r="L121" s="2">
        <v>0</v>
      </c>
      <c r="M121" s="2"/>
      <c r="N121" s="8">
        <v>40597.505196759259</v>
      </c>
      <c r="O121" s="4" t="s">
        <v>6487</v>
      </c>
      <c r="P121" s="3" t="s">
        <v>6486</v>
      </c>
      <c r="Q121" s="10" t="s">
        <v>6485</v>
      </c>
      <c r="R121" s="4"/>
      <c r="S121" s="9" t="str">
        <f>HYPERLINK("https://pbs.twimg.com/profile_images/3432118792/bf3da9a53bba6283efa89ddea5185dfa.jpeg","View")</f>
        <v>View</v>
      </c>
    </row>
    <row r="122" spans="1:19" ht="20">
      <c r="A122" s="8">
        <v>43372.025208333333</v>
      </c>
      <c r="B122" s="11" t="str">
        <f>HYPERLINK("https://twitter.com/zadmehr","@zadmehr")</f>
        <v>@zadmehr</v>
      </c>
      <c r="C122" s="6" t="s">
        <v>7815</v>
      </c>
      <c r="D122" s="5" t="s">
        <v>7814</v>
      </c>
      <c r="E122" s="9" t="str">
        <f>HYPERLINK("https://twitter.com/zadmehr/status/1045781771114156033","1045781771114156033")</f>
        <v>1045781771114156033</v>
      </c>
      <c r="F122" s="4"/>
      <c r="G122" s="10" t="s">
        <v>7813</v>
      </c>
      <c r="H122" s="4"/>
      <c r="I122" s="10" t="str">
        <f>HYPERLINK("http://twitter.com/download/iphone","Twitter for iPhone")</f>
        <v>Twitter for iPhone</v>
      </c>
      <c r="J122" s="2">
        <v>143</v>
      </c>
      <c r="K122" s="2">
        <v>1069</v>
      </c>
      <c r="L122" s="2">
        <v>1</v>
      </c>
      <c r="M122" s="2"/>
      <c r="N122" s="8">
        <v>43355.780497685184</v>
      </c>
      <c r="O122" s="4" t="s">
        <v>62</v>
      </c>
      <c r="P122" s="3" t="s">
        <v>7812</v>
      </c>
      <c r="Q122" s="10" t="s">
        <v>249</v>
      </c>
      <c r="R122" s="4"/>
      <c r="S122" s="9" t="str">
        <f>HYPERLINK("https://pbs.twimg.com/profile_images/1042079932900405248/1qktGiQy.jpg","View")</f>
        <v>View</v>
      </c>
    </row>
    <row r="123" spans="1:19" ht="30">
      <c r="A123" s="8">
        <v>43372.019745370373</v>
      </c>
      <c r="B123" s="11" t="str">
        <f>HYPERLINK("https://twitter.com/vahab_chandkari","@vahab_chandkari")</f>
        <v>@vahab_chandkari</v>
      </c>
      <c r="C123" s="6" t="s">
        <v>7811</v>
      </c>
      <c r="D123" s="5" t="s">
        <v>7810</v>
      </c>
      <c r="E123" s="9" t="str">
        <f>HYPERLINK("https://twitter.com/vahab_chandkari/status/1045779791906045959","1045779791906045959")</f>
        <v>1045779791906045959</v>
      </c>
      <c r="F123" s="4"/>
      <c r="G123" s="10" t="s">
        <v>7809</v>
      </c>
      <c r="H123" s="4"/>
      <c r="I123" s="10" t="str">
        <f>HYPERLINK("http://twitter.com/download/android","Twitter for Android")</f>
        <v>Twitter for Android</v>
      </c>
      <c r="J123" s="2">
        <v>61</v>
      </c>
      <c r="K123" s="2">
        <v>84</v>
      </c>
      <c r="L123" s="2">
        <v>0</v>
      </c>
      <c r="M123" s="2"/>
      <c r="N123" s="8">
        <v>43287.698587962965</v>
      </c>
      <c r="O123" s="4" t="s">
        <v>556</v>
      </c>
      <c r="P123" s="3" t="s">
        <v>7808</v>
      </c>
      <c r="Q123" s="4"/>
      <c r="R123" s="4"/>
      <c r="S123" s="9" t="str">
        <f>HYPERLINK("https://pbs.twimg.com/profile_images/1015230282918744070/DMbVCJP_.jpg","View")</f>
        <v>View</v>
      </c>
    </row>
    <row r="124" spans="1:19" ht="20">
      <c r="A124" s="8">
        <v>43372.013715277775</v>
      </c>
      <c r="B124" s="11" t="str">
        <f>HYPERLINK("https://twitter.com/ali_relay","@ali_relay")</f>
        <v>@ali_relay</v>
      </c>
      <c r="C124" s="6" t="s">
        <v>7807</v>
      </c>
      <c r="D124" s="5" t="s">
        <v>7806</v>
      </c>
      <c r="E124" s="9" t="str">
        <f>HYPERLINK("https://twitter.com/ali_relay/status/1045777603997700097","1045777603997700097")</f>
        <v>1045777603997700097</v>
      </c>
      <c r="F124" s="4"/>
      <c r="G124" s="4"/>
      <c r="H124" s="4"/>
      <c r="I124" s="10" t="str">
        <f>HYPERLINK("http://twitter.com/download/iphone","Twitter for iPhone")</f>
        <v>Twitter for iPhone</v>
      </c>
      <c r="J124" s="2">
        <v>68</v>
      </c>
      <c r="K124" s="2">
        <v>117</v>
      </c>
      <c r="L124" s="2">
        <v>0</v>
      </c>
      <c r="M124" s="2"/>
      <c r="N124" s="8">
        <v>42757.667025462964</v>
      </c>
      <c r="O124" s="4" t="s">
        <v>72</v>
      </c>
      <c r="P124" s="3" t="s">
        <v>7805</v>
      </c>
      <c r="Q124" s="4"/>
      <c r="R124" s="4"/>
      <c r="S124" s="9" t="str">
        <f>HYPERLINK("https://pbs.twimg.com/profile_images/1040352185282912261/GZVbl_-h.jpg","View")</f>
        <v>View</v>
      </c>
    </row>
    <row r="125" spans="1:19" ht="40">
      <c r="A125" s="8">
        <v>43372.013402777782</v>
      </c>
      <c r="B125" s="11" t="str">
        <f>HYPERLINK("https://twitter.com/asgarzeinali","@asgarzeinali")</f>
        <v>@asgarzeinali</v>
      </c>
      <c r="C125" s="6" t="s">
        <v>7804</v>
      </c>
      <c r="D125" s="5" t="s">
        <v>7803</v>
      </c>
      <c r="E125" s="9" t="str">
        <f>HYPERLINK("https://twitter.com/asgarzeinali/status/1045777491292499968","1045777491292499968")</f>
        <v>1045777491292499968</v>
      </c>
      <c r="F125" s="4"/>
      <c r="G125" s="10" t="s">
        <v>7802</v>
      </c>
      <c r="H125" s="4"/>
      <c r="I125" s="10" t="str">
        <f>HYPERLINK("http://twitter.com/download/android","Twitter for Android")</f>
        <v>Twitter for Android</v>
      </c>
      <c r="J125" s="2">
        <v>214</v>
      </c>
      <c r="K125" s="2">
        <v>300</v>
      </c>
      <c r="L125" s="2">
        <v>2</v>
      </c>
      <c r="M125" s="2"/>
      <c r="N125" s="8">
        <v>40740.721504629633</v>
      </c>
      <c r="O125" s="4" t="s">
        <v>200</v>
      </c>
      <c r="P125" s="3" t="s">
        <v>7801</v>
      </c>
      <c r="Q125" s="4"/>
      <c r="R125" s="4"/>
      <c r="S125" s="9" t="str">
        <f>HYPERLINK("https://pbs.twimg.com/profile_images/1038723061992878080/f0XREoJ_.jpg","View")</f>
        <v>View</v>
      </c>
    </row>
    <row r="126" spans="1:19" ht="40">
      <c r="A126" s="8">
        <v>43372.002847222218</v>
      </c>
      <c r="B126" s="11" t="str">
        <f>HYPERLINK("https://twitter.com/ARJ555ARJ","@ARJ555ARJ")</f>
        <v>@ARJ555ARJ</v>
      </c>
      <c r="C126" s="6" t="s">
        <v>4890</v>
      </c>
      <c r="D126" s="5" t="s">
        <v>7800</v>
      </c>
      <c r="E126" s="9" t="str">
        <f>HYPERLINK("https://twitter.com/ARJ555ARJ/status/1045773665357443074","1045773665357443074")</f>
        <v>1045773665357443074</v>
      </c>
      <c r="F126" s="4"/>
      <c r="G126" s="10" t="s">
        <v>7799</v>
      </c>
      <c r="H126" s="4"/>
      <c r="I126" s="10" t="str">
        <f>HYPERLINK("http://twitter.com/download/android","Twitter for Android")</f>
        <v>Twitter for Android</v>
      </c>
      <c r="J126" s="2">
        <v>146</v>
      </c>
      <c r="K126" s="2">
        <v>134</v>
      </c>
      <c r="L126" s="2">
        <v>1</v>
      </c>
      <c r="M126" s="2"/>
      <c r="N126" s="8">
        <v>43027.834594907406</v>
      </c>
      <c r="O126" s="4" t="s">
        <v>4888</v>
      </c>
      <c r="P126" s="3" t="s">
        <v>4887</v>
      </c>
      <c r="Q126" s="4"/>
      <c r="R126" s="4"/>
      <c r="S126" s="9" t="str">
        <f>HYPERLINK("https://pbs.twimg.com/profile_images/1004431649818464265/YoxB6YZ5.jpg","View")</f>
        <v>View</v>
      </c>
    </row>
    <row r="127" spans="1:19" ht="12.5">
      <c r="A127" s="8">
        <v>43371.993576388893</v>
      </c>
      <c r="B127" s="11" t="str">
        <f>HYPERLINK("https://twitter.com/rojhelat_kurd","@rojhelat_kurd")</f>
        <v>@rojhelat_kurd</v>
      </c>
      <c r="C127" s="6" t="s">
        <v>7798</v>
      </c>
      <c r="D127" s="5" t="s">
        <v>7797</v>
      </c>
      <c r="E127" s="9" t="str">
        <f>HYPERLINK("https://twitter.com/rojhelat_kurd/status/1045770307410292737","1045770307410292737")</f>
        <v>1045770307410292737</v>
      </c>
      <c r="F127" s="4"/>
      <c r="G127" s="4"/>
      <c r="H127" s="4"/>
      <c r="I127" s="10" t="str">
        <f>HYPERLINK("http://twitter.com/download/android","Twitter for Android")</f>
        <v>Twitter for Android</v>
      </c>
      <c r="J127" s="2">
        <v>1375</v>
      </c>
      <c r="K127" s="2">
        <v>526</v>
      </c>
      <c r="L127" s="2">
        <v>11</v>
      </c>
      <c r="M127" s="2"/>
      <c r="N127" s="8">
        <v>42693.581932870366</v>
      </c>
      <c r="O127" s="4" t="s">
        <v>7796</v>
      </c>
      <c r="P127" s="3" t="s">
        <v>7795</v>
      </c>
      <c r="Q127" s="4"/>
      <c r="R127" s="4"/>
      <c r="S127" s="9" t="str">
        <f>HYPERLINK("https://pbs.twimg.com/profile_images/1028018458750017537/XCLUWmiq.jpg","View")</f>
        <v>View</v>
      </c>
    </row>
    <row r="128" spans="1:19" ht="12.5">
      <c r="A128" s="8">
        <v>43371.991539351853</v>
      </c>
      <c r="B128" s="11" t="str">
        <f>HYPERLINK("https://twitter.com/RedRNZ70","@RedRNZ70")</f>
        <v>@RedRNZ70</v>
      </c>
      <c r="C128" s="6" t="s">
        <v>1433</v>
      </c>
      <c r="D128" s="5" t="s">
        <v>7794</v>
      </c>
      <c r="E128" s="9" t="str">
        <f>HYPERLINK("https://twitter.com/RedRNZ70/status/1045769568780779522","1045769568780779522")</f>
        <v>1045769568780779522</v>
      </c>
      <c r="F128" s="4"/>
      <c r="G128" s="4"/>
      <c r="H128" s="4"/>
      <c r="I128" s="10" t="str">
        <f>HYPERLINK("http://twitter.com/download/iphone","Twitter for iPhone")</f>
        <v>Twitter for iPhone</v>
      </c>
      <c r="J128" s="2">
        <v>782</v>
      </c>
      <c r="K128" s="2">
        <v>134</v>
      </c>
      <c r="L128" s="2">
        <v>4</v>
      </c>
      <c r="M128" s="2"/>
      <c r="N128" s="8">
        <v>43078.701018518521</v>
      </c>
      <c r="O128" s="4" t="s">
        <v>1431</v>
      </c>
      <c r="P128" s="3" t="s">
        <v>1430</v>
      </c>
      <c r="Q128" s="4"/>
      <c r="R128" s="4"/>
      <c r="S128" s="9" t="str">
        <f>HYPERLINK("https://pbs.twimg.com/profile_images/1020971993078910976/5YMAtfri.jpg","View")</f>
        <v>View</v>
      </c>
    </row>
    <row r="129" spans="1:19" ht="20">
      <c r="A129" s="8">
        <v>43371.990868055553</v>
      </c>
      <c r="B129" s="11" t="str">
        <f>HYPERLINK("https://twitter.com/HamediMatin","@HamediMatin")</f>
        <v>@HamediMatin</v>
      </c>
      <c r="C129" s="6" t="s">
        <v>7793</v>
      </c>
      <c r="D129" s="5" t="s">
        <v>7792</v>
      </c>
      <c r="E129" s="9" t="str">
        <f>HYPERLINK("https://twitter.com/HamediMatin/status/1045769326081585153","1045769326081585153")</f>
        <v>1045769326081585153</v>
      </c>
      <c r="F129" s="4"/>
      <c r="G129" s="4"/>
      <c r="H129" s="4"/>
      <c r="I129" s="10" t="str">
        <f>HYPERLINK("http://twitter.com/download/android","Twitter for Android")</f>
        <v>Twitter for Android</v>
      </c>
      <c r="J129" s="2">
        <v>2</v>
      </c>
      <c r="K129" s="2">
        <v>7</v>
      </c>
      <c r="L129" s="2">
        <v>0</v>
      </c>
      <c r="M129" s="2"/>
      <c r="N129" s="8">
        <v>43371.574594907404</v>
      </c>
      <c r="O129" s="4"/>
      <c r="P129" s="3"/>
      <c r="Q129" s="4"/>
      <c r="R129" s="4"/>
      <c r="S129" s="9" t="str">
        <f>HYPERLINK("https://pbs.twimg.com/profile_images/1045620246005129216/b_X3AKsw.jpg","View")</f>
        <v>View</v>
      </c>
    </row>
    <row r="130" spans="1:19" ht="20">
      <c r="A130" s="8">
        <v>43371.981145833328</v>
      </c>
      <c r="B130" s="11" t="str">
        <f>HYPERLINK("https://twitter.com/Ali_Ns7","@Ali_Ns7")</f>
        <v>@Ali_Ns7</v>
      </c>
      <c r="C130" s="6" t="s">
        <v>7791</v>
      </c>
      <c r="D130" s="5" t="s">
        <v>7790</v>
      </c>
      <c r="E130" s="9" t="str">
        <f>HYPERLINK("https://twitter.com/Ali_Ns7/status/1045765804963377154","1045765804963377154")</f>
        <v>1045765804963377154</v>
      </c>
      <c r="F130" s="4"/>
      <c r="G130" s="10" t="s">
        <v>7789</v>
      </c>
      <c r="H130" s="4"/>
      <c r="I130" s="10" t="str">
        <f>HYPERLINK("http://twitter.com/download/android","Twitter for Android")</f>
        <v>Twitter for Android</v>
      </c>
      <c r="J130" s="2">
        <v>6</v>
      </c>
      <c r="K130" s="2">
        <v>31</v>
      </c>
      <c r="L130" s="2">
        <v>0</v>
      </c>
      <c r="M130" s="2"/>
      <c r="N130" s="8">
        <v>42577.608912037038</v>
      </c>
      <c r="O130" s="4" t="s">
        <v>200</v>
      </c>
      <c r="P130" s="3"/>
      <c r="Q130" s="4"/>
      <c r="R130" s="4"/>
      <c r="S130" s="9" t="str">
        <f>HYPERLINK("https://pbs.twimg.com/profile_images/899188159120068611/qk_fEC_K.jpg","View")</f>
        <v>View</v>
      </c>
    </row>
    <row r="131" spans="1:19" ht="60">
      <c r="A131" s="8">
        <v>43371.979363425926</v>
      </c>
      <c r="B131" s="11" t="str">
        <f>HYPERLINK("https://twitter.com/sheldon_derder","@sheldon_derder")</f>
        <v>@sheldon_derder</v>
      </c>
      <c r="C131" s="6" t="s">
        <v>1879</v>
      </c>
      <c r="D131" s="5" t="s">
        <v>7788</v>
      </c>
      <c r="E131" s="9" t="str">
        <f>HYPERLINK("https://twitter.com/sheldon_derder/status/1045765155597033472","1045765155597033472")</f>
        <v>1045765155597033472</v>
      </c>
      <c r="F131" s="10" t="s">
        <v>7407</v>
      </c>
      <c r="G131" s="4"/>
      <c r="H131" s="4"/>
      <c r="I131" s="10" t="str">
        <f>HYPERLINK("http://twitter.com/download/android","Twitter for Android")</f>
        <v>Twitter for Android</v>
      </c>
      <c r="J131" s="2">
        <v>713</v>
      </c>
      <c r="K131" s="2">
        <v>326</v>
      </c>
      <c r="L131" s="2">
        <v>12</v>
      </c>
      <c r="M131" s="2"/>
      <c r="N131" s="8">
        <v>41363.798645833333</v>
      </c>
      <c r="O131" s="4" t="s">
        <v>254</v>
      </c>
      <c r="P131" s="3" t="s">
        <v>1878</v>
      </c>
      <c r="Q131" s="4"/>
      <c r="R131" s="4"/>
      <c r="S131" s="9" t="str">
        <f>HYPERLINK("https://pbs.twimg.com/profile_images/868746557809717249/BNMUbrxn.jpg","View")</f>
        <v>View</v>
      </c>
    </row>
    <row r="132" spans="1:19" ht="50">
      <c r="A132" s="8">
        <v>43371.972060185188</v>
      </c>
      <c r="B132" s="11" t="str">
        <f>HYPERLINK("https://twitter.com/Ashtar_10313","@Ashtar_10313")</f>
        <v>@Ashtar_10313</v>
      </c>
      <c r="C132" s="6" t="s">
        <v>7787</v>
      </c>
      <c r="D132" s="5" t="s">
        <v>7786</v>
      </c>
      <c r="E132" s="9" t="str">
        <f>HYPERLINK("https://twitter.com/Ashtar_10313/status/1045762510421397504","1045762510421397504")</f>
        <v>1045762510421397504</v>
      </c>
      <c r="F132" s="4"/>
      <c r="G132" s="4"/>
      <c r="H132" s="4"/>
      <c r="I132" s="10" t="str">
        <f>HYPERLINK("http://twitter.com/download/android","Twitter for Android")</f>
        <v>Twitter for Android</v>
      </c>
      <c r="J132" s="2">
        <v>408</v>
      </c>
      <c r="K132" s="2">
        <v>656</v>
      </c>
      <c r="L132" s="2">
        <v>0</v>
      </c>
      <c r="M132" s="2"/>
      <c r="N132" s="8">
        <v>43005.097604166665</v>
      </c>
      <c r="O132" s="4"/>
      <c r="P132" s="3" t="s">
        <v>7785</v>
      </c>
      <c r="Q132" s="4"/>
      <c r="R132" s="4"/>
      <c r="S132" s="9" t="str">
        <f>HYPERLINK("https://pbs.twimg.com/profile_images/1031528869042499585/vWtVWVZ7.jpg","View")</f>
        <v>View</v>
      </c>
    </row>
    <row r="133" spans="1:19" ht="40">
      <c r="A133" s="8">
        <v>43371.971967592588</v>
      </c>
      <c r="B133" s="11" t="str">
        <f>HYPERLINK("https://twitter.com/FcEsteghlal","@FcEsteghlal")</f>
        <v>@FcEsteghlal</v>
      </c>
      <c r="C133" s="6" t="s">
        <v>2582</v>
      </c>
      <c r="D133" s="5" t="s">
        <v>7784</v>
      </c>
      <c r="E133" s="9" t="str">
        <f>HYPERLINK("https://twitter.com/FcEsteghlal/status/1045762476246265856","1045762476246265856")</f>
        <v>1045762476246265856</v>
      </c>
      <c r="F133" s="4"/>
      <c r="G133" s="10" t="s">
        <v>7783</v>
      </c>
      <c r="H133" s="4"/>
      <c r="I133" s="10" t="str">
        <f>HYPERLINK("https://mobile.twitter.com","Twitter Lite")</f>
        <v>Twitter Lite</v>
      </c>
      <c r="J133" s="2">
        <v>30057</v>
      </c>
      <c r="K133" s="2">
        <v>16</v>
      </c>
      <c r="L133" s="2">
        <v>94</v>
      </c>
      <c r="M133" s="2"/>
      <c r="N133" s="8">
        <v>40386.474282407406</v>
      </c>
      <c r="O133" s="4" t="s">
        <v>2579</v>
      </c>
      <c r="P133" s="3" t="s">
        <v>2578</v>
      </c>
      <c r="Q133" s="10" t="s">
        <v>2577</v>
      </c>
      <c r="R133" s="4"/>
      <c r="S133" s="9" t="str">
        <f>HYPERLINK("https://pbs.twimg.com/profile_images/873957969242804224/bHd1FU0k.jpg","View")</f>
        <v>View</v>
      </c>
    </row>
    <row r="134" spans="1:19" ht="40">
      <c r="A134" s="8">
        <v>43371.958819444444</v>
      </c>
      <c r="B134" s="11" t="str">
        <f>HYPERLINK("https://twitter.com/iranteammelli","@iranteammelli")</f>
        <v>@iranteammelli</v>
      </c>
      <c r="C134" s="6" t="s">
        <v>1044</v>
      </c>
      <c r="D134" s="5" t="s">
        <v>7782</v>
      </c>
      <c r="E134" s="9" t="str">
        <f>HYPERLINK("https://twitter.com/iranteammelli/status/1045757710543847424","1045757710543847424")</f>
        <v>1045757710543847424</v>
      </c>
      <c r="F134" s="10" t="s">
        <v>7781</v>
      </c>
      <c r="G134" s="4"/>
      <c r="H134" s="4"/>
      <c r="I134" s="10" t="str">
        <f>HYPERLINK("http://www.facebook.com/twitter","Facebook")</f>
        <v>Facebook</v>
      </c>
      <c r="J134" s="2">
        <v>1086</v>
      </c>
      <c r="K134" s="2">
        <v>375</v>
      </c>
      <c r="L134" s="2">
        <v>67</v>
      </c>
      <c r="M134" s="2"/>
      <c r="N134" s="8">
        <v>41797.646249999998</v>
      </c>
      <c r="O134" s="4" t="s">
        <v>62</v>
      </c>
      <c r="P134" s="3" t="s">
        <v>1041</v>
      </c>
      <c r="Q134" s="10" t="s">
        <v>1040</v>
      </c>
      <c r="R134" s="4"/>
      <c r="S134" s="9" t="str">
        <f>HYPERLINK("https://pbs.twimg.com/profile_images/757538975724761088/D2_y6aCK.jpg","View")</f>
        <v>View</v>
      </c>
    </row>
    <row r="135" spans="1:19" ht="30">
      <c r="A135" s="8">
        <v>43371.957974537036</v>
      </c>
      <c r="B135" s="11" t="str">
        <f>HYPERLINK("https://twitter.com/achilies021","@achilies021")</f>
        <v>@achilies021</v>
      </c>
      <c r="C135" s="6" t="s">
        <v>7780</v>
      </c>
      <c r="D135" s="5" t="s">
        <v>7779</v>
      </c>
      <c r="E135" s="9" t="str">
        <f>HYPERLINK("https://twitter.com/achilies021/status/1045757406976839680","1045757406976839680")</f>
        <v>1045757406976839680</v>
      </c>
      <c r="F135" s="4"/>
      <c r="G135" s="4"/>
      <c r="H135" s="4"/>
      <c r="I135" s="10" t="str">
        <f>HYPERLINK("https://mobile.twitter.com","Twitter Lite")</f>
        <v>Twitter Lite</v>
      </c>
      <c r="J135" s="2">
        <v>187</v>
      </c>
      <c r="K135" s="2">
        <v>429</v>
      </c>
      <c r="L135" s="2">
        <v>1</v>
      </c>
      <c r="M135" s="2"/>
      <c r="N135" s="8">
        <v>41814.513113425928</v>
      </c>
      <c r="O135" s="4" t="s">
        <v>7778</v>
      </c>
      <c r="P135" s="3" t="s">
        <v>7777</v>
      </c>
      <c r="Q135" s="4"/>
      <c r="R135" s="4"/>
      <c r="S135" s="9" t="str">
        <f>HYPERLINK("https://pbs.twimg.com/profile_images/997884617553260544/Pp79OhaR.jpg","View")</f>
        <v>View</v>
      </c>
    </row>
    <row r="136" spans="1:19" ht="20">
      <c r="A136" s="8">
        <v>43371.938657407409</v>
      </c>
      <c r="B136" s="11" t="str">
        <f>HYPERLINK("https://twitter.com/reza_sh161","@reza_sh161")</f>
        <v>@reza_sh161</v>
      </c>
      <c r="C136" s="6" t="s">
        <v>7776</v>
      </c>
      <c r="D136" s="5" t="s">
        <v>7775</v>
      </c>
      <c r="E136" s="9" t="str">
        <f>HYPERLINK("https://twitter.com/reza_sh161/status/1045750406264102912","1045750406264102912")</f>
        <v>1045750406264102912</v>
      </c>
      <c r="F136" s="4"/>
      <c r="G136" s="4"/>
      <c r="H136" s="4"/>
      <c r="I136" s="10" t="str">
        <f>HYPERLINK("http://twitter.com/download/android","Twitter for Android")</f>
        <v>Twitter for Android</v>
      </c>
      <c r="J136" s="2">
        <v>1148</v>
      </c>
      <c r="K136" s="2">
        <v>1026</v>
      </c>
      <c r="L136" s="2">
        <v>5</v>
      </c>
      <c r="M136" s="2"/>
      <c r="N136" s="8">
        <v>42586.118842592594</v>
      </c>
      <c r="O136" s="4" t="s">
        <v>7774</v>
      </c>
      <c r="P136" s="3" t="s">
        <v>7773</v>
      </c>
      <c r="Q136" s="4"/>
      <c r="R136" s="4"/>
      <c r="S136" s="9" t="str">
        <f>HYPERLINK("https://pbs.twimg.com/profile_images/939241018976886784/hgd8YdqQ.jpg","View")</f>
        <v>View</v>
      </c>
    </row>
    <row r="137" spans="1:19" ht="30">
      <c r="A137" s="8">
        <v>43371.928738425922</v>
      </c>
      <c r="B137" s="11" t="str">
        <f>HYPERLINK("https://twitter.com/darkuten","@darkuten")</f>
        <v>@darkuten</v>
      </c>
      <c r="C137" s="6" t="s">
        <v>5625</v>
      </c>
      <c r="D137" s="5" t="s">
        <v>7772</v>
      </c>
      <c r="E137" s="9" t="str">
        <f>HYPERLINK("https://twitter.com/darkuten/status/1045746809392508933","1045746809392508933")</f>
        <v>1045746809392508933</v>
      </c>
      <c r="F137" s="4"/>
      <c r="G137" s="4"/>
      <c r="H137" s="4"/>
      <c r="I137" s="10" t="str">
        <f>HYPERLINK("http://twitter.com/download/android","Twitter for Android")</f>
        <v>Twitter for Android</v>
      </c>
      <c r="J137" s="2">
        <v>2315</v>
      </c>
      <c r="K137" s="2">
        <v>2266</v>
      </c>
      <c r="L137" s="2">
        <v>3</v>
      </c>
      <c r="M137" s="2"/>
      <c r="N137" s="8">
        <v>42152.759548611109</v>
      </c>
      <c r="O137" s="4" t="s">
        <v>5623</v>
      </c>
      <c r="P137" s="3" t="s">
        <v>5622</v>
      </c>
      <c r="Q137" s="4"/>
      <c r="R137" s="4"/>
      <c r="S137" s="9" t="str">
        <f>HYPERLINK("https://pbs.twimg.com/profile_images/1045549382668570625/RZRB8VWw.jpg","View")</f>
        <v>View</v>
      </c>
    </row>
    <row r="138" spans="1:19" ht="50">
      <c r="A138" s="8">
        <v>43371.92863425926</v>
      </c>
      <c r="B138" s="11" t="str">
        <f>HYPERLINK("https://twitter.com/hkia2001","@hkia2001")</f>
        <v>@hkia2001</v>
      </c>
      <c r="C138" s="6" t="s">
        <v>70</v>
      </c>
      <c r="D138" s="5" t="s">
        <v>7771</v>
      </c>
      <c r="E138" s="9" t="str">
        <f>HYPERLINK("https://twitter.com/hkia2001/status/1045746775020253191","1045746775020253191")</f>
        <v>1045746775020253191</v>
      </c>
      <c r="F138" s="10" t="s">
        <v>7770</v>
      </c>
      <c r="G138" s="10" t="s">
        <v>7769</v>
      </c>
      <c r="H138" s="4"/>
      <c r="I138" s="10" t="str">
        <f>HYPERLINK("http://twitter.com/download/android","Twitter for Android")</f>
        <v>Twitter for Android</v>
      </c>
      <c r="J138" s="2">
        <v>899</v>
      </c>
      <c r="K138" s="2">
        <v>766</v>
      </c>
      <c r="L138" s="2">
        <v>3</v>
      </c>
      <c r="M138" s="2"/>
      <c r="N138" s="8">
        <v>42516.767546296294</v>
      </c>
      <c r="O138" s="4" t="s">
        <v>69</v>
      </c>
      <c r="P138" s="3" t="s">
        <v>68</v>
      </c>
      <c r="Q138" s="4"/>
      <c r="R138" s="4"/>
      <c r="S138" s="9" t="str">
        <f>HYPERLINK("https://pbs.twimg.com/profile_images/990481124915900416/3ros8GlV.jpg","View")</f>
        <v>View</v>
      </c>
    </row>
    <row r="139" spans="1:19" ht="40">
      <c r="A139" s="8">
        <v>43371.923032407409</v>
      </c>
      <c r="B139" s="11" t="str">
        <f>HYPERLINK("https://twitter.com/Ghahhar","@Ghahhar")</f>
        <v>@Ghahhar</v>
      </c>
      <c r="C139" s="6" t="s">
        <v>3667</v>
      </c>
      <c r="D139" s="5" t="s">
        <v>7768</v>
      </c>
      <c r="E139" s="9" t="str">
        <f>HYPERLINK("https://twitter.com/Ghahhar/status/1045744742141702144","1045744742141702144")</f>
        <v>1045744742141702144</v>
      </c>
      <c r="F139" s="4"/>
      <c r="G139" s="10" t="s">
        <v>7767</v>
      </c>
      <c r="H139" s="4"/>
      <c r="I139" s="10" t="str">
        <f>HYPERLINK("http://twitter.com/download/iphone","Twitter for iPhone")</f>
        <v>Twitter for iPhone</v>
      </c>
      <c r="J139" s="2">
        <v>3860</v>
      </c>
      <c r="K139" s="2">
        <v>320</v>
      </c>
      <c r="L139" s="2">
        <v>14</v>
      </c>
      <c r="M139" s="2"/>
      <c r="N139" s="8">
        <v>41135.69840277778</v>
      </c>
      <c r="O139" s="4"/>
      <c r="P139" s="3" t="s">
        <v>3664</v>
      </c>
      <c r="Q139" s="10" t="s">
        <v>3663</v>
      </c>
      <c r="R139" s="4"/>
      <c r="S139" s="9" t="str">
        <f>HYPERLINK("https://pbs.twimg.com/profile_images/1044020442330222592/7KcT8ECd.jpg","View")</f>
        <v>View</v>
      </c>
    </row>
    <row r="140" spans="1:19" ht="20">
      <c r="A140" s="8">
        <v>43371.921435185184</v>
      </c>
      <c r="B140" s="11" t="str">
        <f>HYPERLINK("https://twitter.com/matbuat","@matbuat")</f>
        <v>@matbuat</v>
      </c>
      <c r="C140" s="6" t="s">
        <v>7766</v>
      </c>
      <c r="D140" s="5" t="s">
        <v>7765</v>
      </c>
      <c r="E140" s="9" t="str">
        <f>HYPERLINK("https://twitter.com/matbuat/status/1045744166100242434","1045744166100242434")</f>
        <v>1045744166100242434</v>
      </c>
      <c r="F140" s="4"/>
      <c r="G140" s="10" t="s">
        <v>7764</v>
      </c>
      <c r="H140" s="4"/>
      <c r="I140" s="10" t="str">
        <f>HYPERLINK("http://twitter.com/download/android","Twitter for Android")</f>
        <v>Twitter for Android</v>
      </c>
      <c r="J140" s="2">
        <v>935</v>
      </c>
      <c r="K140" s="2">
        <v>1144</v>
      </c>
      <c r="L140" s="2">
        <v>9</v>
      </c>
      <c r="M140" s="2"/>
      <c r="N140" s="8">
        <v>39972.449189814812</v>
      </c>
      <c r="O140" s="4" t="s">
        <v>414</v>
      </c>
      <c r="P140" s="3" t="s">
        <v>7763</v>
      </c>
      <c r="Q140" s="10" t="s">
        <v>7762</v>
      </c>
      <c r="R140" s="4"/>
      <c r="S140" s="9" t="str">
        <f>HYPERLINK("https://pbs.twimg.com/profile_images/945260067552600064/DdW_9ErU.jpg","View")</f>
        <v>View</v>
      </c>
    </row>
    <row r="141" spans="1:19" ht="30">
      <c r="A141" s="8">
        <v>43371.915312500001</v>
      </c>
      <c r="B141" s="11" t="str">
        <f>HYPERLINK("https://twitter.com/Tehran1234567","@Tehran1234567")</f>
        <v>@Tehran1234567</v>
      </c>
      <c r="C141" s="6" t="s">
        <v>7761</v>
      </c>
      <c r="D141" s="5" t="s">
        <v>7760</v>
      </c>
      <c r="E141" s="9" t="str">
        <f>HYPERLINK("https://twitter.com/Tehran1234567/status/1045741944360644608","1045741944360644608")</f>
        <v>1045741944360644608</v>
      </c>
      <c r="F141" s="4"/>
      <c r="G141" s="4"/>
      <c r="H141" s="4"/>
      <c r="I141" s="10" t="str">
        <f>HYPERLINK("http://twitter.com/download/android","Twitter for Android")</f>
        <v>Twitter for Android</v>
      </c>
      <c r="J141" s="2">
        <v>1188</v>
      </c>
      <c r="K141" s="2">
        <v>2208</v>
      </c>
      <c r="L141" s="2">
        <v>0</v>
      </c>
      <c r="M141" s="2"/>
      <c r="N141" s="8">
        <v>42756.784490740742</v>
      </c>
      <c r="O141" s="4"/>
      <c r="P141" s="3" t="s">
        <v>7759</v>
      </c>
      <c r="Q141" s="4"/>
      <c r="R141" s="4"/>
      <c r="S141" s="9" t="str">
        <f>HYPERLINK("https://pbs.twimg.com/profile_images/1015534748129792000/xpHXpFxn.jpg","View")</f>
        <v>View</v>
      </c>
    </row>
    <row r="142" spans="1:19" ht="20">
      <c r="A142" s="8">
        <v>43371.90016203704</v>
      </c>
      <c r="B142" s="11" t="str">
        <f>HYPERLINK("https://twitter.com/RezaeianRamin","@RezaeianRamin")</f>
        <v>@RezaeianRamin</v>
      </c>
      <c r="C142" s="6" t="s">
        <v>217</v>
      </c>
      <c r="D142" s="5" t="s">
        <v>7758</v>
      </c>
      <c r="E142" s="9" t="str">
        <f>HYPERLINK("https://twitter.com/RezaeianRamin/status/1045736454083801088","1045736454083801088")</f>
        <v>1045736454083801088</v>
      </c>
      <c r="F142" s="4"/>
      <c r="G142" s="10" t="s">
        <v>7757</v>
      </c>
      <c r="H142" s="4"/>
      <c r="I142" s="10" t="str">
        <f>HYPERLINK("http://twitter.com/download/android","Twitter for Android")</f>
        <v>Twitter for Android</v>
      </c>
      <c r="J142" s="2">
        <v>1639</v>
      </c>
      <c r="K142" s="2">
        <v>5</v>
      </c>
      <c r="L142" s="2">
        <v>14</v>
      </c>
      <c r="M142" s="2"/>
      <c r="N142" s="8">
        <v>42621.878194444449</v>
      </c>
      <c r="O142" s="4" t="s">
        <v>214</v>
      </c>
      <c r="P142" s="3" t="s">
        <v>213</v>
      </c>
      <c r="Q142" s="4"/>
      <c r="R142" s="4"/>
      <c r="S142" s="9" t="str">
        <f>HYPERLINK("https://pbs.twimg.com/profile_images/1011317707487305728/a3EX8bf2.jpg","View")</f>
        <v>View</v>
      </c>
    </row>
    <row r="143" spans="1:19" ht="50">
      <c r="A143" s="8">
        <v>43371.894768518519</v>
      </c>
      <c r="B143" s="11" t="str">
        <f>HYPERLINK("https://twitter.com/LoscheShahram","@LoscheShahram")</f>
        <v>@LoscheShahram</v>
      </c>
      <c r="C143" s="6" t="s">
        <v>4806</v>
      </c>
      <c r="D143" s="5" t="s">
        <v>7756</v>
      </c>
      <c r="E143" s="9" t="str">
        <f>HYPERLINK("https://twitter.com/LoscheShahram/status/1045734502297939968","1045734502297939968")</f>
        <v>1045734502297939968</v>
      </c>
      <c r="F143" s="10" t="s">
        <v>7755</v>
      </c>
      <c r="G143" s="10" t="s">
        <v>7754</v>
      </c>
      <c r="H143" s="4"/>
      <c r="I143" s="10" t="str">
        <f>HYPERLINK("https://mobile.twitter.com","Twitter Lite")</f>
        <v>Twitter Lite</v>
      </c>
      <c r="J143" s="2">
        <v>317</v>
      </c>
      <c r="K143" s="2">
        <v>389</v>
      </c>
      <c r="L143" s="2">
        <v>1</v>
      </c>
      <c r="M143" s="2"/>
      <c r="N143" s="8">
        <v>40470.971631944441</v>
      </c>
      <c r="O143" s="4"/>
      <c r="P143" s="3"/>
      <c r="Q143" s="4"/>
      <c r="R143" s="4"/>
      <c r="S143" s="9" t="str">
        <f>HYPERLINK("https://pbs.twimg.com/profile_images/952863045860188165/7UAlwiQm.jpg","View")</f>
        <v>View</v>
      </c>
    </row>
    <row r="144" spans="1:19" ht="30">
      <c r="A144" s="8">
        <v>43371.882407407407</v>
      </c>
      <c r="B144" s="11" t="str">
        <f>HYPERLINK("https://twitter.com/SamiraShirmard","@SamiraShirmard")</f>
        <v>@SamiraShirmard</v>
      </c>
      <c r="C144" s="6" t="s">
        <v>7753</v>
      </c>
      <c r="D144" s="5" t="s">
        <v>7752</v>
      </c>
      <c r="E144" s="9" t="str">
        <f>HYPERLINK("https://twitter.com/SamiraShirmard/status/1045730022173155329","1045730022173155329")</f>
        <v>1045730022173155329</v>
      </c>
      <c r="F144" s="4"/>
      <c r="G144" s="4"/>
      <c r="H144" s="4"/>
      <c r="I144" s="10" t="str">
        <f>HYPERLINK("http://twitter.com/download/iphone","Twitter for iPhone")</f>
        <v>Twitter for iPhone</v>
      </c>
      <c r="J144" s="2">
        <v>548</v>
      </c>
      <c r="K144" s="2">
        <v>124</v>
      </c>
      <c r="L144" s="2">
        <v>5</v>
      </c>
      <c r="M144" s="2"/>
      <c r="N144" s="8">
        <v>43036.527754629627</v>
      </c>
      <c r="O144" s="4"/>
      <c r="P144" s="3" t="s">
        <v>7751</v>
      </c>
      <c r="Q144" s="4"/>
      <c r="R144" s="4"/>
      <c r="S144" s="9" t="str">
        <f>HYPERLINK("https://pbs.twimg.com/profile_images/924204599677943808/jI8AJ3xC.jpg","View")</f>
        <v>View</v>
      </c>
    </row>
    <row r="145" spans="1:19" ht="20">
      <c r="A145" s="8">
        <v>43371.88208333333</v>
      </c>
      <c r="B145" s="11" t="str">
        <f>HYPERLINK("https://twitter.com/SETAREH2538","@SETAREH2538")</f>
        <v>@SETAREH2538</v>
      </c>
      <c r="C145" s="6" t="s">
        <v>7750</v>
      </c>
      <c r="D145" s="5" t="s">
        <v>7749</v>
      </c>
      <c r="E145" s="9" t="str">
        <f>HYPERLINK("https://twitter.com/SETAREH2538/status/1045729905588285442","1045729905588285442")</f>
        <v>1045729905588285442</v>
      </c>
      <c r="F145" s="4"/>
      <c r="G145" s="10" t="s">
        <v>7748</v>
      </c>
      <c r="H145" s="4"/>
      <c r="I145" s="10" t="str">
        <f>HYPERLINK("http://twitter.com/download/android","Twitter for Android")</f>
        <v>Twitter for Android</v>
      </c>
      <c r="J145" s="2">
        <v>8008</v>
      </c>
      <c r="K145" s="2">
        <v>2938</v>
      </c>
      <c r="L145" s="2">
        <v>25</v>
      </c>
      <c r="M145" s="2"/>
      <c r="N145" s="8">
        <v>43083.530543981484</v>
      </c>
      <c r="O145" s="4" t="s">
        <v>7747</v>
      </c>
      <c r="P145" s="3" t="s">
        <v>7746</v>
      </c>
      <c r="Q145" s="4"/>
      <c r="R145" s="4"/>
      <c r="S145" s="9" t="str">
        <f>HYPERLINK("https://pbs.twimg.com/profile_images/1009731131724443648/WsRiYhiE.jpg","View")</f>
        <v>View</v>
      </c>
    </row>
    <row r="146" spans="1:19" ht="40">
      <c r="A146" s="8">
        <v>43371.881388888884</v>
      </c>
      <c r="B146" s="11" t="str">
        <f>HYPERLINK("https://twitter.com/HRustamii","@HRustamii")</f>
        <v>@HRustamii</v>
      </c>
      <c r="C146" s="6" t="s">
        <v>7745</v>
      </c>
      <c r="D146" s="5" t="s">
        <v>7744</v>
      </c>
      <c r="E146" s="9" t="str">
        <f>HYPERLINK("https://twitter.com/HRustamii/status/1045729653179248640","1045729653179248640")</f>
        <v>1045729653179248640</v>
      </c>
      <c r="F146" s="4"/>
      <c r="G146" s="4"/>
      <c r="H146" s="4"/>
      <c r="I146" s="10" t="str">
        <f>HYPERLINK("http://twitter.com/download/android","Twitter for Android")</f>
        <v>Twitter for Android</v>
      </c>
      <c r="J146" s="2">
        <v>70</v>
      </c>
      <c r="K146" s="2">
        <v>135</v>
      </c>
      <c r="L146" s="2">
        <v>0</v>
      </c>
      <c r="M146" s="2"/>
      <c r="N146" s="8">
        <v>43308.766041666662</v>
      </c>
      <c r="O146" s="4" t="s">
        <v>7743</v>
      </c>
      <c r="P146" s="3" t="s">
        <v>7742</v>
      </c>
      <c r="Q146" s="4"/>
      <c r="R146" s="4"/>
      <c r="S146" s="9" t="str">
        <f>HYPERLINK("https://pbs.twimg.com/profile_images/1039394288793251840/5Yw5j479.jpg","View")</f>
        <v>View</v>
      </c>
    </row>
    <row r="147" spans="1:19" ht="20">
      <c r="A147" s="8">
        <v>43371.875810185185</v>
      </c>
      <c r="B147" s="11" t="str">
        <f>HYPERLINK("https://twitter.com/asemanbarany","@asemanbarany")</f>
        <v>@asemanbarany</v>
      </c>
      <c r="C147" s="6" t="s">
        <v>7741</v>
      </c>
      <c r="D147" s="5" t="s">
        <v>7740</v>
      </c>
      <c r="E147" s="9" t="str">
        <f>HYPERLINK("https://twitter.com/asemanbarany/status/1045727632501993472","1045727632501993472")</f>
        <v>1045727632501993472</v>
      </c>
      <c r="F147" s="10" t="s">
        <v>7739</v>
      </c>
      <c r="G147" s="10" t="s">
        <v>7738</v>
      </c>
      <c r="H147" s="4"/>
      <c r="I147" s="10" t="str">
        <f>HYPERLINK("http://twitter.com","Twitter Web Client")</f>
        <v>Twitter Web Client</v>
      </c>
      <c r="J147" s="2">
        <v>2594</v>
      </c>
      <c r="K147" s="2">
        <v>2222</v>
      </c>
      <c r="L147" s="2">
        <v>6</v>
      </c>
      <c r="M147" s="2"/>
      <c r="N147" s="8">
        <v>41600.012395833335</v>
      </c>
      <c r="O147" s="4"/>
      <c r="P147" s="3" t="s">
        <v>7737</v>
      </c>
      <c r="Q147" s="4"/>
      <c r="R147" s="4"/>
      <c r="S147" s="9" t="str">
        <f>HYPERLINK("https://pbs.twimg.com/profile_images/461487032594739200/hXuQNxOU.jpeg","View")</f>
        <v>View</v>
      </c>
    </row>
    <row r="148" spans="1:19" ht="20">
      <c r="A148" s="8">
        <v>43371.873113425929</v>
      </c>
      <c r="B148" s="11" t="str">
        <f>HYPERLINK("https://twitter.com/amirfs","@amirfs")</f>
        <v>@amirfs</v>
      </c>
      <c r="C148" s="6" t="s">
        <v>2186</v>
      </c>
      <c r="D148" s="5" t="s">
        <v>7736</v>
      </c>
      <c r="E148" s="9" t="str">
        <f>HYPERLINK("https://twitter.com/amirfs/status/1045726652162924544","1045726652162924544")</f>
        <v>1045726652162924544</v>
      </c>
      <c r="F148" s="4"/>
      <c r="G148" s="10" t="s">
        <v>7735</v>
      </c>
      <c r="H148" s="4"/>
      <c r="I148" s="10" t="str">
        <f>HYPERLINK("http://twitter.com","Twitter Web Client")</f>
        <v>Twitter Web Client</v>
      </c>
      <c r="J148" s="2">
        <v>252</v>
      </c>
      <c r="K148" s="2">
        <v>329</v>
      </c>
      <c r="L148" s="2">
        <v>2</v>
      </c>
      <c r="M148" s="2"/>
      <c r="N148" s="8">
        <v>39937.545104166667</v>
      </c>
      <c r="O148" s="4" t="s">
        <v>200</v>
      </c>
      <c r="P148" s="3" t="s">
        <v>4186</v>
      </c>
      <c r="Q148" s="4"/>
      <c r="R148" s="4"/>
      <c r="S148" s="9" t="str">
        <f>HYPERLINK("https://pbs.twimg.com/profile_images/851124110050471937/Pd9enGq-.jpg","View")</f>
        <v>View</v>
      </c>
    </row>
    <row r="149" spans="1:19" ht="20">
      <c r="A149" s="8">
        <v>43371.870162037041</v>
      </c>
      <c r="B149" s="11" t="str">
        <f>HYPERLINK("https://twitter.com/bm212bm212","@bm212bm212")</f>
        <v>@bm212bm212</v>
      </c>
      <c r="C149" s="6" t="s">
        <v>5311</v>
      </c>
      <c r="D149" s="5" t="s">
        <v>7734</v>
      </c>
      <c r="E149" s="9" t="str">
        <f>HYPERLINK("https://twitter.com/bm212bm212/status/1045725584725225472","1045725584725225472")</f>
        <v>1045725584725225472</v>
      </c>
      <c r="F149" s="4"/>
      <c r="G149" s="4"/>
      <c r="H149" s="4"/>
      <c r="I149" s="10" t="str">
        <f>HYPERLINK("https://mobile.twitter.com","Twitter Lite")</f>
        <v>Twitter Lite</v>
      </c>
      <c r="J149" s="2">
        <v>178</v>
      </c>
      <c r="K149" s="2">
        <v>100</v>
      </c>
      <c r="L149" s="2">
        <v>3</v>
      </c>
      <c r="M149" s="2"/>
      <c r="N149" s="8">
        <v>42465.981689814813</v>
      </c>
      <c r="O149" s="4"/>
      <c r="P149" s="3" t="s">
        <v>5309</v>
      </c>
      <c r="Q149" s="4"/>
      <c r="R149" s="4"/>
      <c r="S149" s="9" t="str">
        <f>HYPERLINK("https://pbs.twimg.com/profile_images/999391728988635137/3pBmO-63.jpg","View")</f>
        <v>View</v>
      </c>
    </row>
    <row r="150" spans="1:19" ht="30">
      <c r="A150" s="8">
        <v>43371.858564814815</v>
      </c>
      <c r="B150" s="11" t="str">
        <f>HYPERLINK("https://twitter.com/MforMobin","@MforMobin")</f>
        <v>@MforMobin</v>
      </c>
      <c r="C150" s="6" t="s">
        <v>3012</v>
      </c>
      <c r="D150" s="5" t="s">
        <v>7733</v>
      </c>
      <c r="E150" s="9" t="str">
        <f>HYPERLINK("https://twitter.com/MforMobin/status/1045721380942016512","1045721380942016512")</f>
        <v>1045721380942016512</v>
      </c>
      <c r="F150" s="4"/>
      <c r="G150" s="4"/>
      <c r="H150" s="4"/>
      <c r="I150" s="10" t="str">
        <f>HYPERLINK("http://twitter.com","Twitter Web Client")</f>
        <v>Twitter Web Client</v>
      </c>
      <c r="J150" s="2">
        <v>56</v>
      </c>
      <c r="K150" s="2">
        <v>212</v>
      </c>
      <c r="L150" s="2">
        <v>0</v>
      </c>
      <c r="M150" s="2"/>
      <c r="N150" s="8">
        <v>43363.57913194444</v>
      </c>
      <c r="O150" s="4" t="s">
        <v>200</v>
      </c>
      <c r="P150" s="3" t="s">
        <v>3010</v>
      </c>
      <c r="Q150" s="10" t="s">
        <v>3009</v>
      </c>
      <c r="R150" s="4"/>
      <c r="S150" s="9" t="str">
        <f>HYPERLINK("https://pbs.twimg.com/profile_images/1045278718665474050/pObfU_l6.jpg","View")</f>
        <v>View</v>
      </c>
    </row>
    <row r="151" spans="1:19" ht="60">
      <c r="A151" s="8">
        <v>43371.858055555553</v>
      </c>
      <c r="B151" s="11" t="str">
        <f>HYPERLINK("https://twitter.com/saras27772","@saras27772")</f>
        <v>@saras27772</v>
      </c>
      <c r="C151" s="6" t="s">
        <v>458</v>
      </c>
      <c r="D151" s="5" t="s">
        <v>7732</v>
      </c>
      <c r="E151" s="9" t="str">
        <f>HYPERLINK("https://twitter.com/saras27772/status/1045721197307154432","1045721197307154432")</f>
        <v>1045721197307154432</v>
      </c>
      <c r="F151" s="10" t="s">
        <v>7731</v>
      </c>
      <c r="G151" s="4"/>
      <c r="H151" s="4"/>
      <c r="I151" s="10" t="str">
        <f>HYPERLINK("http://twitter.com/download/android","Twitter for Android")</f>
        <v>Twitter for Android</v>
      </c>
      <c r="J151" s="2">
        <v>859</v>
      </c>
      <c r="K151" s="2">
        <v>473</v>
      </c>
      <c r="L151" s="2">
        <v>3</v>
      </c>
      <c r="M151" s="2"/>
      <c r="N151" s="8">
        <v>43231.791319444441</v>
      </c>
      <c r="O151" s="4" t="s">
        <v>457</v>
      </c>
      <c r="P151" s="3" t="s">
        <v>1868</v>
      </c>
      <c r="Q151" s="10" t="s">
        <v>455</v>
      </c>
      <c r="R151" s="4"/>
      <c r="S151" s="9" t="str">
        <f>HYPERLINK("https://pbs.twimg.com/profile_images/1045024954469818368/cEFqCpwb.jpg","View")</f>
        <v>View</v>
      </c>
    </row>
    <row r="152" spans="1:19" ht="20">
      <c r="A152" s="8">
        <v>43371.857222222221</v>
      </c>
      <c r="B152" s="11" t="str">
        <f>HYPERLINK("https://twitter.com/mehrdadtaj44","@mehrdadtaj44")</f>
        <v>@mehrdadtaj44</v>
      </c>
      <c r="C152" s="6" t="s">
        <v>6213</v>
      </c>
      <c r="D152" s="5" t="s">
        <v>7730</v>
      </c>
      <c r="E152" s="9" t="str">
        <f>HYPERLINK("https://twitter.com/mehrdadtaj44/status/1045720894478471168","1045720894478471168")</f>
        <v>1045720894478471168</v>
      </c>
      <c r="F152" s="4"/>
      <c r="G152" s="4"/>
      <c r="H152" s="4"/>
      <c r="I152" s="10" t="str">
        <f>HYPERLINK("http://twitter.com/download/android","Twitter for Android")</f>
        <v>Twitter for Android</v>
      </c>
      <c r="J152" s="2">
        <v>77</v>
      </c>
      <c r="K152" s="2">
        <v>196</v>
      </c>
      <c r="L152" s="2">
        <v>1</v>
      </c>
      <c r="M152" s="2"/>
      <c r="N152" s="8">
        <v>42802.635358796295</v>
      </c>
      <c r="O152" s="4"/>
      <c r="P152" s="3" t="s">
        <v>6211</v>
      </c>
      <c r="Q152" s="4"/>
      <c r="R152" s="4"/>
      <c r="S152" s="9" t="str">
        <f>HYPERLINK("https://pbs.twimg.com/profile_images/1022746368555843584/Nh9oE1J5.jpg","View")</f>
        <v>View</v>
      </c>
    </row>
    <row r="153" spans="1:19" ht="30">
      <c r="A153" s="8">
        <v>43371.857002314813</v>
      </c>
      <c r="B153" s="11" t="str">
        <f>HYPERLINK("https://twitter.com/piroozinews","@piroozinews")</f>
        <v>@piroozinews</v>
      </c>
      <c r="C153" s="6" t="s">
        <v>764</v>
      </c>
      <c r="D153" s="5" t="s">
        <v>7729</v>
      </c>
      <c r="E153" s="9" t="str">
        <f>HYPERLINK("https://twitter.com/piroozinews/status/1045720816351158279","1045720816351158279")</f>
        <v>1045720816351158279</v>
      </c>
      <c r="F153" s="4"/>
      <c r="G153" s="10" t="s">
        <v>7728</v>
      </c>
      <c r="H153" s="4"/>
      <c r="I153" s="10" t="str">
        <f>HYPERLINK("http://twitter.com/download/android","Twitter for Android")</f>
        <v>Twitter for Android</v>
      </c>
      <c r="J153" s="2">
        <v>28750</v>
      </c>
      <c r="K153" s="2">
        <v>31</v>
      </c>
      <c r="L153" s="2">
        <v>246</v>
      </c>
      <c r="M153" s="2"/>
      <c r="N153" s="8">
        <v>42343.636840277773</v>
      </c>
      <c r="O153" s="4" t="s">
        <v>762</v>
      </c>
      <c r="P153" s="3" t="s">
        <v>761</v>
      </c>
      <c r="Q153" s="10" t="s">
        <v>760</v>
      </c>
      <c r="R153" s="4"/>
      <c r="S153" s="9" t="str">
        <f>HYPERLINK("https://pbs.twimg.com/profile_images/1014483613310570497/0eFAC3lV.jpg","View")</f>
        <v>View</v>
      </c>
    </row>
    <row r="154" spans="1:19" ht="30">
      <c r="A154" s="8">
        <v>43371.856215277774</v>
      </c>
      <c r="B154" s="11" t="str">
        <f>HYPERLINK("https://twitter.com/heessaam","@heessaam")</f>
        <v>@heessaam</v>
      </c>
      <c r="C154" s="6" t="s">
        <v>7727</v>
      </c>
      <c r="D154" s="5" t="s">
        <v>7726</v>
      </c>
      <c r="E154" s="9" t="str">
        <f>HYPERLINK("https://twitter.com/heessaam/status/1045720527858487296","1045720527858487296")</f>
        <v>1045720527858487296</v>
      </c>
      <c r="F154" s="4"/>
      <c r="G154" s="4"/>
      <c r="H154" s="4"/>
      <c r="I154" s="10" t="str">
        <f>HYPERLINK("http://twitter.com/download/android","Twitter for Android")</f>
        <v>Twitter for Android</v>
      </c>
      <c r="J154" s="2">
        <v>2090</v>
      </c>
      <c r="K154" s="2">
        <v>570</v>
      </c>
      <c r="L154" s="2">
        <v>15</v>
      </c>
      <c r="M154" s="2"/>
      <c r="N154" s="8">
        <v>42147.592766203699</v>
      </c>
      <c r="O154" s="4" t="s">
        <v>7725</v>
      </c>
      <c r="P154" s="3" t="s">
        <v>7724</v>
      </c>
      <c r="Q154" s="4"/>
      <c r="R154" s="4"/>
      <c r="S154" s="9" t="str">
        <f>HYPERLINK("https://pbs.twimg.com/profile_images/1030624611816357888/-8ufiV9c.jpg","View")</f>
        <v>View</v>
      </c>
    </row>
    <row r="155" spans="1:19" ht="20">
      <c r="A155" s="8">
        <v>43371.854409722218</v>
      </c>
      <c r="B155" s="11" t="str">
        <f>HYPERLINK("https://twitter.com/farnaaaaazz","@farnaaaaazz")</f>
        <v>@farnaaaaazz</v>
      </c>
      <c r="C155" s="6" t="s">
        <v>4778</v>
      </c>
      <c r="D155" s="5" t="s">
        <v>7723</v>
      </c>
      <c r="E155" s="9" t="str">
        <f>HYPERLINK("https://twitter.com/farnaaaaazz/status/1045719877267410946","1045719877267410946")</f>
        <v>1045719877267410946</v>
      </c>
      <c r="F155" s="4"/>
      <c r="G155" s="4"/>
      <c r="H155" s="4"/>
      <c r="I155" s="10" t="str">
        <f>HYPERLINK("http://twitter.com/download/iphone","Twitter for iPhone")</f>
        <v>Twitter for iPhone</v>
      </c>
      <c r="J155" s="2">
        <v>6626</v>
      </c>
      <c r="K155" s="2">
        <v>477</v>
      </c>
      <c r="L155" s="2">
        <v>36</v>
      </c>
      <c r="M155" s="2"/>
      <c r="N155" s="8">
        <v>42842.415150462963</v>
      </c>
      <c r="O155" s="4" t="s">
        <v>72</v>
      </c>
      <c r="P155" s="3" t="s">
        <v>4775</v>
      </c>
      <c r="Q155" s="4"/>
      <c r="R155" s="4"/>
      <c r="S155" s="9" t="str">
        <f>HYPERLINK("https://pbs.twimg.com/profile_images/1039801129595547648/RtXSYD5z.jpg","View")</f>
        <v>View</v>
      </c>
    </row>
    <row r="156" spans="1:19" ht="20">
      <c r="A156" s="8">
        <v>43371.854050925926</v>
      </c>
      <c r="B156" s="11" t="str">
        <f>HYPERLINK("https://twitter.com/ManMeysam","@ManMeysam")</f>
        <v>@ManMeysam</v>
      </c>
      <c r="C156" s="6" t="s">
        <v>472</v>
      </c>
      <c r="D156" s="5" t="s">
        <v>7722</v>
      </c>
      <c r="E156" s="9" t="str">
        <f>HYPERLINK("https://twitter.com/ManMeysam/status/1045719746963034112","1045719746963034112")</f>
        <v>1045719746963034112</v>
      </c>
      <c r="F156" s="4"/>
      <c r="G156" s="10" t="s">
        <v>7721</v>
      </c>
      <c r="H156" s="4"/>
      <c r="I156" s="10" t="str">
        <f>HYPERLINK("http://twitter.com/download/android","Twitter for Android")</f>
        <v>Twitter for Android</v>
      </c>
      <c r="J156" s="2">
        <v>739</v>
      </c>
      <c r="K156" s="2">
        <v>89</v>
      </c>
      <c r="L156" s="2">
        <v>2</v>
      </c>
      <c r="M156" s="2"/>
      <c r="N156" s="8">
        <v>43080.934756944444</v>
      </c>
      <c r="O156" s="4"/>
      <c r="P156" s="3" t="s">
        <v>470</v>
      </c>
      <c r="Q156" s="4"/>
      <c r="R156" s="4"/>
      <c r="S156" s="9" t="str">
        <f>HYPERLINK("https://pbs.twimg.com/profile_images/990240817024589824/h1PmTrjf.jpg","View")</f>
        <v>View</v>
      </c>
    </row>
    <row r="157" spans="1:19" ht="30">
      <c r="A157" s="8">
        <v>43371.85361111111</v>
      </c>
      <c r="B157" s="11" t="str">
        <f>HYPERLINK("https://twitter.com/piroozinews","@piroozinews")</f>
        <v>@piroozinews</v>
      </c>
      <c r="C157" s="6" t="s">
        <v>764</v>
      </c>
      <c r="D157" s="5" t="s">
        <v>7720</v>
      </c>
      <c r="E157" s="9" t="str">
        <f>HYPERLINK("https://twitter.com/piroozinews/status/1045719584932810755","1045719584932810755")</f>
        <v>1045719584932810755</v>
      </c>
      <c r="F157" s="4"/>
      <c r="G157" s="10" t="s">
        <v>7719</v>
      </c>
      <c r="H157" s="4"/>
      <c r="I157" s="10" t="str">
        <f>HYPERLINK("http://twitter.com/download/android","Twitter for Android")</f>
        <v>Twitter for Android</v>
      </c>
      <c r="J157" s="2">
        <v>28750</v>
      </c>
      <c r="K157" s="2">
        <v>31</v>
      </c>
      <c r="L157" s="2">
        <v>246</v>
      </c>
      <c r="M157" s="2"/>
      <c r="N157" s="8">
        <v>42343.636840277773</v>
      </c>
      <c r="O157" s="4" t="s">
        <v>762</v>
      </c>
      <c r="P157" s="3" t="s">
        <v>761</v>
      </c>
      <c r="Q157" s="10" t="s">
        <v>760</v>
      </c>
      <c r="R157" s="4"/>
      <c r="S157" s="9" t="str">
        <f>HYPERLINK("https://pbs.twimg.com/profile_images/1014483613310570497/0eFAC3lV.jpg","View")</f>
        <v>View</v>
      </c>
    </row>
    <row r="158" spans="1:19" ht="20">
      <c r="A158" s="8">
        <v>43371.846631944441</v>
      </c>
      <c r="B158" s="11" t="str">
        <f>HYPERLINK("https://twitter.com/unique_9503","@unique_9503")</f>
        <v>@unique_9503</v>
      </c>
      <c r="C158" s="6" t="s">
        <v>7718</v>
      </c>
      <c r="D158" s="5" t="s">
        <v>7717</v>
      </c>
      <c r="E158" s="9" t="str">
        <f>HYPERLINK("https://twitter.com/unique_9503/status/1045717057378164747","1045717057378164747")</f>
        <v>1045717057378164747</v>
      </c>
      <c r="F158" s="4"/>
      <c r="G158" s="4"/>
      <c r="H158" s="4"/>
      <c r="I158" s="10" t="str">
        <f>HYPERLINK("http://twitter.com/download/android","Twitter for Android")</f>
        <v>Twitter for Android</v>
      </c>
      <c r="J158" s="2">
        <v>37</v>
      </c>
      <c r="K158" s="2">
        <v>33</v>
      </c>
      <c r="L158" s="2">
        <v>0</v>
      </c>
      <c r="M158" s="2"/>
      <c r="N158" s="8">
        <v>43104.543391203704</v>
      </c>
      <c r="O158" s="4" t="s">
        <v>7716</v>
      </c>
      <c r="P158" s="3" t="s">
        <v>7715</v>
      </c>
      <c r="Q158" s="4"/>
      <c r="R158" s="4"/>
      <c r="S158" s="9" t="str">
        <f>HYPERLINK("https://pbs.twimg.com/profile_images/1028243665083424770/Sh0pp_T9.jpg","View")</f>
        <v>View</v>
      </c>
    </row>
    <row r="159" spans="1:19" ht="30">
      <c r="A159" s="8">
        <v>43371.844097222223</v>
      </c>
      <c r="B159" s="11" t="str">
        <f>HYPERLINK("https://twitter.com/REZAAA1999","@REZAAA1999")</f>
        <v>@REZAAA1999</v>
      </c>
      <c r="C159" s="6" t="s">
        <v>823</v>
      </c>
      <c r="D159" s="5" t="s">
        <v>7714</v>
      </c>
      <c r="E159" s="9" t="str">
        <f>HYPERLINK("https://twitter.com/REZAAA1999/status/1045716138787778560","1045716138787778560")</f>
        <v>1045716138787778560</v>
      </c>
      <c r="F159" s="4"/>
      <c r="G159" s="4"/>
      <c r="H159" s="4"/>
      <c r="I159" s="10" t="str">
        <f>HYPERLINK("http://twitter.com/download/android","Twitter for Android")</f>
        <v>Twitter for Android</v>
      </c>
      <c r="J159" s="2">
        <v>3272</v>
      </c>
      <c r="K159" s="2">
        <v>1373</v>
      </c>
      <c r="L159" s="2">
        <v>13</v>
      </c>
      <c r="M159" s="2"/>
      <c r="N159" s="8">
        <v>43028.945601851854</v>
      </c>
      <c r="O159" s="4" t="s">
        <v>822</v>
      </c>
      <c r="P159" s="3" t="s">
        <v>821</v>
      </c>
      <c r="Q159" s="10" t="s">
        <v>820</v>
      </c>
      <c r="R159" s="4"/>
      <c r="S159" s="9" t="str">
        <f>HYPERLINK("https://pbs.twimg.com/profile_images/1042829654124621825/xd3pfBSh.jpg","View")</f>
        <v>View</v>
      </c>
    </row>
    <row r="160" spans="1:19" ht="12.5">
      <c r="A160" s="8">
        <v>43371.844085648147</v>
      </c>
      <c r="B160" s="11" t="str">
        <f>HYPERLINK("https://twitter.com/khg122","@khg122")</f>
        <v>@khg122</v>
      </c>
      <c r="C160" s="6" t="s">
        <v>7713</v>
      </c>
      <c r="D160" s="5" t="s">
        <v>7712</v>
      </c>
      <c r="E160" s="9" t="str">
        <f>HYPERLINK("https://twitter.com/khg122/status/1045716132101910528","1045716132101910528")</f>
        <v>1045716132101910528</v>
      </c>
      <c r="F160" s="4"/>
      <c r="G160" s="4"/>
      <c r="H160" s="4"/>
      <c r="I160" s="10" t="str">
        <f>HYPERLINK("http://twitter.com/download/android","Twitter for Android")</f>
        <v>Twitter for Android</v>
      </c>
      <c r="J160" s="2">
        <v>743</v>
      </c>
      <c r="K160" s="2">
        <v>505</v>
      </c>
      <c r="L160" s="2">
        <v>7</v>
      </c>
      <c r="M160" s="2"/>
      <c r="N160" s="8">
        <v>42671.023252314815</v>
      </c>
      <c r="O160" s="4"/>
      <c r="P160" s="3" t="s">
        <v>7711</v>
      </c>
      <c r="Q160" s="4"/>
      <c r="R160" s="4"/>
      <c r="S160" s="9" t="str">
        <f>HYPERLINK("https://pbs.twimg.com/profile_images/1024762819462529024/lEau_Y1J.jpg","View")</f>
        <v>View</v>
      </c>
    </row>
    <row r="161" spans="1:19" ht="30">
      <c r="A161" s="8">
        <v>43371.841516203705</v>
      </c>
      <c r="B161" s="11" t="str">
        <f>HYPERLINK("https://twitter.com/ploto2546","@ploto2546")</f>
        <v>@ploto2546</v>
      </c>
      <c r="C161" s="6" t="s">
        <v>7710</v>
      </c>
      <c r="D161" s="5" t="s">
        <v>7709</v>
      </c>
      <c r="E161" s="9" t="str">
        <f>HYPERLINK("https://twitter.com/ploto2546/status/1045715200979214336","1045715200979214336")</f>
        <v>1045715200979214336</v>
      </c>
      <c r="F161" s="4"/>
      <c r="G161" s="4"/>
      <c r="H161" s="4"/>
      <c r="I161" s="10" t="str">
        <f>HYPERLINK("http://twitter.com/download/android","Twitter for Android")</f>
        <v>Twitter for Android</v>
      </c>
      <c r="J161" s="2">
        <v>1716</v>
      </c>
      <c r="K161" s="2">
        <v>1914</v>
      </c>
      <c r="L161" s="2">
        <v>5</v>
      </c>
      <c r="M161" s="2"/>
      <c r="N161" s="8">
        <v>43207.184918981482</v>
      </c>
      <c r="O161" s="4" t="s">
        <v>262</v>
      </c>
      <c r="P161" s="3" t="s">
        <v>7708</v>
      </c>
      <c r="Q161" s="4"/>
      <c r="R161" s="4"/>
      <c r="S161" s="9" t="str">
        <f>HYPERLINK("https://pbs.twimg.com/profile_images/1025171503271301127/S_pGLx0M.jpg","View")</f>
        <v>View</v>
      </c>
    </row>
    <row r="162" spans="1:19" ht="20">
      <c r="A162" s="8">
        <v>43371.840081018519</v>
      </c>
      <c r="B162" s="11" t="str">
        <f>HYPERLINK("https://twitter.com/omid_seyfi","@omid_seyfi")</f>
        <v>@omid_seyfi</v>
      </c>
      <c r="C162" s="6" t="s">
        <v>7707</v>
      </c>
      <c r="D162" s="5" t="s">
        <v>7706</v>
      </c>
      <c r="E162" s="9" t="str">
        <f>HYPERLINK("https://twitter.com/omid_seyfi/status/1045714684270317568","1045714684270317568")</f>
        <v>1045714684270317568</v>
      </c>
      <c r="F162" s="4"/>
      <c r="G162" s="4"/>
      <c r="H162" s="4"/>
      <c r="I162" s="10" t="str">
        <f>HYPERLINK("https://mobile.twitter.com","Twitter Lite")</f>
        <v>Twitter Lite</v>
      </c>
      <c r="J162" s="2">
        <v>12</v>
      </c>
      <c r="K162" s="2">
        <v>27</v>
      </c>
      <c r="L162" s="2">
        <v>0</v>
      </c>
      <c r="M162" s="2"/>
      <c r="N162" s="8">
        <v>42504.976388888885</v>
      </c>
      <c r="O162" s="4" t="s">
        <v>72</v>
      </c>
      <c r="P162" s="3" t="s">
        <v>4068</v>
      </c>
      <c r="Q162" s="4"/>
      <c r="R162" s="4"/>
      <c r="S162" s="9" t="str">
        <f>HYPERLINK("https://pbs.twimg.com/profile_images/1045417787634651137/hzIzGEoh.jpg","View")</f>
        <v>View</v>
      </c>
    </row>
    <row r="163" spans="1:19" ht="20">
      <c r="A163" s="8">
        <v>43371.839513888888</v>
      </c>
      <c r="B163" s="11" t="str">
        <f>HYPERLINK("https://twitter.com/amiram_bareza","@amiram_bareza")</f>
        <v>@amiram_bareza</v>
      </c>
      <c r="C163" s="6" t="s">
        <v>7705</v>
      </c>
      <c r="D163" s="5" t="s">
        <v>7704</v>
      </c>
      <c r="E163" s="9" t="str">
        <f>HYPERLINK("https://twitter.com/amiram_bareza/status/1045714478275473410","1045714478275473410")</f>
        <v>1045714478275473410</v>
      </c>
      <c r="F163" s="4"/>
      <c r="G163" s="4"/>
      <c r="H163" s="4"/>
      <c r="I163" s="10" t="str">
        <f>HYPERLINK("http://twitter.com/download/android","Twitter for Android")</f>
        <v>Twitter for Android</v>
      </c>
      <c r="J163" s="2">
        <v>35</v>
      </c>
      <c r="K163" s="2">
        <v>51</v>
      </c>
      <c r="L163" s="2">
        <v>0</v>
      </c>
      <c r="M163" s="2"/>
      <c r="N163" s="8">
        <v>43365.397557870368</v>
      </c>
      <c r="O163" s="4" t="s">
        <v>7703</v>
      </c>
      <c r="P163" s="3" t="s">
        <v>7702</v>
      </c>
      <c r="Q163" s="4"/>
      <c r="R163" s="4"/>
      <c r="S163" s="9" t="str">
        <f>HYPERLINK("https://pbs.twimg.com/profile_images/1045184436579573760/Rt3vFBvs.jpg","View")</f>
        <v>View</v>
      </c>
    </row>
    <row r="164" spans="1:19" ht="20">
      <c r="A164" s="8">
        <v>43371.835335648153</v>
      </c>
      <c r="B164" s="11" t="str">
        <f>HYPERLINK("https://twitter.com/52Hertz_____","@52Hertz_____")</f>
        <v>@52Hertz_____</v>
      </c>
      <c r="C164" s="6" t="s">
        <v>3253</v>
      </c>
      <c r="D164" s="5" t="s">
        <v>7701</v>
      </c>
      <c r="E164" s="9" t="str">
        <f>HYPERLINK("https://twitter.com/52Hertz_____/status/1045712961845809154","1045712961845809154")</f>
        <v>1045712961845809154</v>
      </c>
      <c r="F164" s="4"/>
      <c r="G164" s="4"/>
      <c r="H164" s="4"/>
      <c r="I164" s="10" t="str">
        <f>HYPERLINK("http://twitter.com/download/android","Twitter for Android")</f>
        <v>Twitter for Android</v>
      </c>
      <c r="J164" s="2">
        <v>110</v>
      </c>
      <c r="K164" s="2">
        <v>250</v>
      </c>
      <c r="L164" s="2">
        <v>0</v>
      </c>
      <c r="M164" s="2"/>
      <c r="N164" s="8">
        <v>43369.501481481479</v>
      </c>
      <c r="O164" s="4"/>
      <c r="P164" s="3" t="s">
        <v>3251</v>
      </c>
      <c r="Q164" s="4"/>
      <c r="R164" s="4"/>
      <c r="S164" s="9" t="str">
        <f>HYPERLINK("https://pbs.twimg.com/profile_images/1044884081216028672/CX6m7tOE.jpg","View")</f>
        <v>View</v>
      </c>
    </row>
    <row r="165" spans="1:19" ht="30">
      <c r="A165" s="8">
        <v>43371.83530092593</v>
      </c>
      <c r="B165" s="11" t="str">
        <f>HYPERLINK("https://twitter.com/jenab_jaan","@jenab_jaan")</f>
        <v>@jenab_jaan</v>
      </c>
      <c r="C165" s="6" t="s">
        <v>7700</v>
      </c>
      <c r="D165" s="5" t="s">
        <v>7699</v>
      </c>
      <c r="E165" s="9" t="str">
        <f>HYPERLINK("https://twitter.com/jenab_jaan/status/1045712950940618754","1045712950940618754")</f>
        <v>1045712950940618754</v>
      </c>
      <c r="F165" s="4"/>
      <c r="G165" s="4"/>
      <c r="H165" s="4"/>
      <c r="I165" s="10" t="str">
        <f>HYPERLINK("http://twitter.com/download/android","Twitter for Android")</f>
        <v>Twitter for Android</v>
      </c>
      <c r="J165" s="2">
        <v>108</v>
      </c>
      <c r="K165" s="2">
        <v>143</v>
      </c>
      <c r="L165" s="2">
        <v>0</v>
      </c>
      <c r="M165" s="2"/>
      <c r="N165" s="8">
        <v>43303.966643518521</v>
      </c>
      <c r="O165" s="4" t="s">
        <v>3373</v>
      </c>
      <c r="P165" s="3" t="s">
        <v>7698</v>
      </c>
      <c r="Q165" s="4"/>
      <c r="R165" s="4"/>
      <c r="S165" s="9" t="str">
        <f>HYPERLINK("https://pbs.twimg.com/profile_images/1021741039269367809/2S6B5ajK.jpg","View")</f>
        <v>View</v>
      </c>
    </row>
    <row r="166" spans="1:19" ht="30">
      <c r="A166" s="8">
        <v>43371.834999999999</v>
      </c>
      <c r="B166" s="11" t="str">
        <f>HYPERLINK("https://twitter.com/Shiraz1920","@Shiraz1920")</f>
        <v>@Shiraz1920</v>
      </c>
      <c r="C166" s="6" t="s">
        <v>7697</v>
      </c>
      <c r="D166" s="5" t="s">
        <v>7696</v>
      </c>
      <c r="E166" s="9" t="str">
        <f>HYPERLINK("https://twitter.com/Shiraz1920/status/1045712842350039040","1045712842350039040")</f>
        <v>1045712842350039040</v>
      </c>
      <c r="F166" s="4"/>
      <c r="G166" s="4"/>
      <c r="H166" s="4"/>
      <c r="I166" s="10" t="str">
        <f>HYPERLINK("http://twitter.com/download/android","Twitter for Android")</f>
        <v>Twitter for Android</v>
      </c>
      <c r="J166" s="2">
        <v>71</v>
      </c>
      <c r="K166" s="2">
        <v>107</v>
      </c>
      <c r="L166" s="2">
        <v>1</v>
      </c>
      <c r="M166" s="2"/>
      <c r="N166" s="8">
        <v>39947.690937499996</v>
      </c>
      <c r="O166" s="4"/>
      <c r="P166" s="3" t="s">
        <v>7695</v>
      </c>
      <c r="Q166" s="4"/>
      <c r="R166" s="4"/>
      <c r="S166" s="9" t="str">
        <f>HYPERLINK("https://pbs.twimg.com/profile_images/819562866235699200/jmE9hwPr.jpg","View")</f>
        <v>View</v>
      </c>
    </row>
    <row r="167" spans="1:19" ht="30">
      <c r="A167" s="8">
        <v>43371.834618055553</v>
      </c>
      <c r="B167" s="11" t="str">
        <f>HYPERLINK("https://twitter.com/kheng7496","@kheng7496")</f>
        <v>@kheng7496</v>
      </c>
      <c r="C167" s="6" t="s">
        <v>3307</v>
      </c>
      <c r="D167" s="5" t="s">
        <v>7694</v>
      </c>
      <c r="E167" s="9" t="str">
        <f>HYPERLINK("https://twitter.com/kheng7496/status/1045712705192177664","1045712705192177664")</f>
        <v>1045712705192177664</v>
      </c>
      <c r="F167" s="4"/>
      <c r="G167" s="10" t="s">
        <v>7693</v>
      </c>
      <c r="H167" s="4"/>
      <c r="I167" s="10" t="str">
        <f>HYPERLINK("http://twitter.com/download/android","Twitter for Android")</f>
        <v>Twitter for Android</v>
      </c>
      <c r="J167" s="2">
        <v>62</v>
      </c>
      <c r="K167" s="2">
        <v>61</v>
      </c>
      <c r="L167" s="2">
        <v>0</v>
      </c>
      <c r="M167" s="2"/>
      <c r="N167" s="8">
        <v>43357.926168981481</v>
      </c>
      <c r="O167" s="4" t="s">
        <v>10</v>
      </c>
      <c r="P167" s="3" t="s">
        <v>7692</v>
      </c>
      <c r="Q167" s="4"/>
      <c r="R167" s="4"/>
      <c r="S167" s="9" t="str">
        <f>HYPERLINK("https://pbs.twimg.com/profile_images/1043191325976403968/jqFx0GlA.jpg","View")</f>
        <v>View</v>
      </c>
    </row>
    <row r="168" spans="1:19" ht="30">
      <c r="A168" s="8">
        <v>43371.834062499998</v>
      </c>
      <c r="B168" s="11" t="str">
        <f>HYPERLINK("https://twitter.com/negarazi","@negarazi")</f>
        <v>@negarazi</v>
      </c>
      <c r="C168" s="6" t="s">
        <v>7691</v>
      </c>
      <c r="D168" s="5" t="s">
        <v>7690</v>
      </c>
      <c r="E168" s="9" t="str">
        <f>HYPERLINK("https://twitter.com/negarazi/status/1045712501340590080","1045712501340590080")</f>
        <v>1045712501340590080</v>
      </c>
      <c r="F168" s="4"/>
      <c r="G168" s="4"/>
      <c r="H168" s="4"/>
      <c r="I168" s="10" t="str">
        <f>HYPERLINK("http://twitter.com/download/android","Twitter for Android")</f>
        <v>Twitter for Android</v>
      </c>
      <c r="J168" s="2">
        <v>1153</v>
      </c>
      <c r="K168" s="2">
        <v>1177</v>
      </c>
      <c r="L168" s="2">
        <v>0</v>
      </c>
      <c r="M168" s="2"/>
      <c r="N168" s="8">
        <v>43234.602488425924</v>
      </c>
      <c r="O168" s="4" t="s">
        <v>72</v>
      </c>
      <c r="P168" s="3" t="s">
        <v>7689</v>
      </c>
      <c r="Q168" s="4"/>
      <c r="R168" s="4"/>
      <c r="S168" s="9" t="str">
        <f>HYPERLINK("https://pbs.twimg.com/profile_images/1043084811009773568/FANpmmq2.jpg","View")</f>
        <v>View</v>
      </c>
    </row>
    <row r="169" spans="1:19" ht="30">
      <c r="A169" s="8">
        <v>43371.830821759257</v>
      </c>
      <c r="B169" s="11" t="str">
        <f>HYPERLINK("https://twitter.com/DaruoshAliha","@DaruoshAliha")</f>
        <v>@DaruoshAliha</v>
      </c>
      <c r="C169" s="6" t="s">
        <v>7688</v>
      </c>
      <c r="D169" s="5" t="s">
        <v>7687</v>
      </c>
      <c r="E169" s="9" t="str">
        <f>HYPERLINK("https://twitter.com/DaruoshAliha/status/1045711329389096960","1045711329389096960")</f>
        <v>1045711329389096960</v>
      </c>
      <c r="F169" s="4"/>
      <c r="G169" s="4"/>
      <c r="H169" s="4"/>
      <c r="I169" s="10" t="str">
        <f>HYPERLINK("http://twitter.com/download/android","Twitter for Android")</f>
        <v>Twitter for Android</v>
      </c>
      <c r="J169" s="2">
        <v>38</v>
      </c>
      <c r="K169" s="2">
        <v>89</v>
      </c>
      <c r="L169" s="2">
        <v>0</v>
      </c>
      <c r="M169" s="2"/>
      <c r="N169" s="8">
        <v>42849.486064814817</v>
      </c>
      <c r="O169" s="4"/>
      <c r="P169" s="3"/>
      <c r="Q169" s="4"/>
      <c r="R169" s="4"/>
      <c r="S169" s="9" t="str">
        <f>HYPERLINK("https://pbs.twimg.com/profile_images/856414265921728512/Q-F0gnvT.jpg","View")</f>
        <v>View</v>
      </c>
    </row>
    <row r="170" spans="1:19" ht="20">
      <c r="A170" s="8">
        <v>43371.830659722225</v>
      </c>
      <c r="B170" s="11" t="str">
        <f>HYPERLINK("https://twitter.com/DARIUSHthelast","@DARIUSHthelast")</f>
        <v>@DARIUSHthelast</v>
      </c>
      <c r="C170" s="6" t="s">
        <v>7686</v>
      </c>
      <c r="D170" s="5" t="s">
        <v>7685</v>
      </c>
      <c r="E170" s="9" t="str">
        <f>HYPERLINK("https://twitter.com/DARIUSHthelast/status/1045711267883831302","1045711267883831302")</f>
        <v>1045711267883831302</v>
      </c>
      <c r="F170" s="4"/>
      <c r="G170" s="10" t="s">
        <v>7684</v>
      </c>
      <c r="H170" s="4"/>
      <c r="I170" s="10" t="str">
        <f>HYPERLINK("http://twitter.com/download/iphone","Twitter for iPhone")</f>
        <v>Twitter for iPhone</v>
      </c>
      <c r="J170" s="2">
        <v>373</v>
      </c>
      <c r="K170" s="2">
        <v>1921</v>
      </c>
      <c r="L170" s="2">
        <v>1</v>
      </c>
      <c r="M170" s="2"/>
      <c r="N170" s="8">
        <v>40995.001388888893</v>
      </c>
      <c r="O170" s="4" t="s">
        <v>380</v>
      </c>
      <c r="P170" s="3" t="s">
        <v>7683</v>
      </c>
      <c r="Q170" s="4"/>
      <c r="R170" s="4"/>
      <c r="S170" s="9" t="str">
        <f>HYPERLINK("https://pbs.twimg.com/profile_images/1044573000966770693/CCBwpqSi.jpg","View")</f>
        <v>View</v>
      </c>
    </row>
    <row r="171" spans="1:19" ht="30">
      <c r="A171" s="8">
        <v>43371.828715277778</v>
      </c>
      <c r="B171" s="11" t="str">
        <f>HYPERLINK("https://twitter.com/alidadaaaaaa","@alidadaaaaaa")</f>
        <v>@alidadaaaaaa</v>
      </c>
      <c r="C171" s="6" t="s">
        <v>2144</v>
      </c>
      <c r="D171" s="5" t="s">
        <v>7682</v>
      </c>
      <c r="E171" s="9" t="str">
        <f>HYPERLINK("https://twitter.com/alidadaaaaaa/status/1045710564398379008","1045710564398379008")</f>
        <v>1045710564398379008</v>
      </c>
      <c r="F171" s="4"/>
      <c r="G171" s="4"/>
      <c r="H171" s="4"/>
      <c r="I171" s="10" t="str">
        <f>HYPERLINK("http://twitter.com/download/iphone","Twitter for iPhone")</f>
        <v>Twitter for iPhone</v>
      </c>
      <c r="J171" s="2">
        <v>10</v>
      </c>
      <c r="K171" s="2">
        <v>84</v>
      </c>
      <c r="L171" s="2">
        <v>0</v>
      </c>
      <c r="M171" s="2"/>
      <c r="N171" s="8">
        <v>43367.972395833334</v>
      </c>
      <c r="O171" s="4"/>
      <c r="P171" s="3"/>
      <c r="Q171" s="4"/>
      <c r="R171" s="4"/>
      <c r="S171" s="9" t="str">
        <f>HYPERLINK("https://pbs.twimg.com/profile_images/1044316091311419392/sFG9SMB3.jpg","View")</f>
        <v>View</v>
      </c>
    </row>
    <row r="172" spans="1:19" ht="30">
      <c r="A172" s="8">
        <v>43371.82240740741</v>
      </c>
      <c r="B172" s="11" t="str">
        <f>HYPERLINK("https://twitter.com/sahartolouee","@sahartolouee")</f>
        <v>@sahartolouee</v>
      </c>
      <c r="C172" s="6" t="s">
        <v>7444</v>
      </c>
      <c r="D172" s="5" t="s">
        <v>7681</v>
      </c>
      <c r="E172" s="9" t="str">
        <f>HYPERLINK("https://twitter.com/sahartolouee/status/1045708279312199680","1045708279312199680")</f>
        <v>1045708279312199680</v>
      </c>
      <c r="F172" s="4"/>
      <c r="G172" s="4"/>
      <c r="H172" s="4"/>
      <c r="I172" s="10" t="str">
        <f>HYPERLINK("http://twitter.com/download/iphone","Twitter for iPhone")</f>
        <v>Twitter for iPhone</v>
      </c>
      <c r="J172" s="2">
        <v>14738</v>
      </c>
      <c r="K172" s="2">
        <v>506</v>
      </c>
      <c r="L172" s="2">
        <v>105</v>
      </c>
      <c r="M172" s="2" t="s">
        <v>1701</v>
      </c>
      <c r="N172" s="8">
        <v>39994.741956018523</v>
      </c>
      <c r="O172" s="4"/>
      <c r="P172" s="3" t="s">
        <v>7441</v>
      </c>
      <c r="Q172" s="10" t="s">
        <v>1250</v>
      </c>
      <c r="R172" s="4"/>
      <c r="S172" s="9" t="str">
        <f>HYPERLINK("https://pbs.twimg.com/profile_images/977999811742810113/8KsItvJC.jpg","View")</f>
        <v>View</v>
      </c>
    </row>
    <row r="173" spans="1:19" ht="12.5">
      <c r="A173" s="8">
        <v>43371.822384259256</v>
      </c>
      <c r="B173" s="11" t="str">
        <f>HYPERLINK("https://twitter.com/omiidG2","@omiidG2")</f>
        <v>@omiidG2</v>
      </c>
      <c r="C173" s="6" t="s">
        <v>2341</v>
      </c>
      <c r="D173" s="5" t="s">
        <v>7680</v>
      </c>
      <c r="E173" s="9" t="str">
        <f>HYPERLINK("https://twitter.com/omiidG2/status/1045708269778604033","1045708269778604033")</f>
        <v>1045708269778604033</v>
      </c>
      <c r="F173" s="4"/>
      <c r="G173" s="4"/>
      <c r="H173" s="4"/>
      <c r="I173" s="10" t="str">
        <f>HYPERLINK("https://mobile.twitter.com","Mobile Web (M2)")</f>
        <v>Mobile Web (M2)</v>
      </c>
      <c r="J173" s="2">
        <v>41</v>
      </c>
      <c r="K173" s="2">
        <v>139</v>
      </c>
      <c r="L173" s="2">
        <v>0</v>
      </c>
      <c r="M173" s="2"/>
      <c r="N173" s="8">
        <v>42500.104479166665</v>
      </c>
      <c r="O173" s="4" t="s">
        <v>10</v>
      </c>
      <c r="P173" s="3"/>
      <c r="Q173" s="4"/>
      <c r="R173" s="4"/>
      <c r="S173" s="9" t="str">
        <f>HYPERLINK("https://pbs.twimg.com/profile_images/733262386434560001/-CF5uVGo.jpg","View")</f>
        <v>View</v>
      </c>
    </row>
    <row r="174" spans="1:19" ht="20">
      <c r="A174" s="8">
        <v>43371.822094907402</v>
      </c>
      <c r="B174" s="11" t="str">
        <f>HYPERLINK("https://twitter.com/mustafajamshidy","@mustafajamshidy")</f>
        <v>@mustafajamshidy</v>
      </c>
      <c r="C174" s="6" t="s">
        <v>7679</v>
      </c>
      <c r="D174" s="5" t="s">
        <v>7678</v>
      </c>
      <c r="E174" s="9" t="str">
        <f>HYPERLINK("https://twitter.com/mustafajamshidy/status/1045708163545206785","1045708163545206785")</f>
        <v>1045708163545206785</v>
      </c>
      <c r="F174" s="4"/>
      <c r="G174" s="4"/>
      <c r="H174" s="4"/>
      <c r="I174" s="10" t="str">
        <f>HYPERLINK("http://twitter.com/download/android","Twitter for Android")</f>
        <v>Twitter for Android</v>
      </c>
      <c r="J174" s="2">
        <v>528</v>
      </c>
      <c r="K174" s="2">
        <v>188</v>
      </c>
      <c r="L174" s="2">
        <v>2</v>
      </c>
      <c r="M174" s="2"/>
      <c r="N174" s="8">
        <v>42926.561782407407</v>
      </c>
      <c r="O174" s="4"/>
      <c r="P174" s="3" t="s">
        <v>7677</v>
      </c>
      <c r="Q174" s="4"/>
      <c r="R174" s="4"/>
      <c r="S174" s="9" t="str">
        <f>HYPERLINK("https://pbs.twimg.com/profile_images/1036432097882382336/jypAE5Bg.jpg","View")</f>
        <v>View</v>
      </c>
    </row>
    <row r="175" spans="1:19" ht="20">
      <c r="A175" s="8">
        <v>43371.818530092598</v>
      </c>
      <c r="B175" s="11" t="str">
        <f>HYPERLINK("https://twitter.com/ALI700627","@ALI700627")</f>
        <v>@ALI700627</v>
      </c>
      <c r="C175" s="6" t="s">
        <v>7676</v>
      </c>
      <c r="D175" s="5" t="s">
        <v>7675</v>
      </c>
      <c r="E175" s="9" t="str">
        <f>HYPERLINK("https://twitter.com/ALI700627/status/1045706871515082753","1045706871515082753")</f>
        <v>1045706871515082753</v>
      </c>
      <c r="F175" s="4"/>
      <c r="G175" s="4"/>
      <c r="H175" s="4"/>
      <c r="I175" s="10" t="str">
        <f>HYPERLINK("http://twitter.com","Twitter Web Client")</f>
        <v>Twitter Web Client</v>
      </c>
      <c r="J175" s="2">
        <v>5659</v>
      </c>
      <c r="K175" s="2">
        <v>6243</v>
      </c>
      <c r="L175" s="2">
        <v>2</v>
      </c>
      <c r="M175" s="2"/>
      <c r="N175" s="8">
        <v>43193.605729166666</v>
      </c>
      <c r="O175" s="4"/>
      <c r="P175" s="3" t="s">
        <v>7674</v>
      </c>
      <c r="Q175" s="4"/>
      <c r="R175" s="4"/>
      <c r="S175" s="9" t="str">
        <f>HYPERLINK("https://pbs.twimg.com/profile_images/997833619086422018/dzvGdZ8X.jpg","View")</f>
        <v>View</v>
      </c>
    </row>
    <row r="176" spans="1:19" ht="20">
      <c r="A176" s="8">
        <v>43371.818287037036</v>
      </c>
      <c r="B176" s="11" t="str">
        <f>HYPERLINK("https://twitter.com/yjcagency","@yjcagency")</f>
        <v>@yjcagency</v>
      </c>
      <c r="C176" s="6" t="s">
        <v>88</v>
      </c>
      <c r="D176" s="5" t="s">
        <v>7673</v>
      </c>
      <c r="E176" s="9" t="str">
        <f>HYPERLINK("https://twitter.com/yjcagency/status/1045706783380131845","1045706783380131845")</f>
        <v>1045706783380131845</v>
      </c>
      <c r="F176" s="4"/>
      <c r="G176" s="10" t="s">
        <v>7672</v>
      </c>
      <c r="H176" s="4"/>
      <c r="I176" s="10" t="str">
        <f>HYPERLINK("http://twitter.com/download/iphone","Twitter for iPhone")</f>
        <v>Twitter for iPhone</v>
      </c>
      <c r="J176" s="2">
        <v>11418</v>
      </c>
      <c r="K176" s="2">
        <v>3</v>
      </c>
      <c r="L176" s="2">
        <v>63</v>
      </c>
      <c r="M176" s="2"/>
      <c r="N176" s="8">
        <v>42691.645821759259</v>
      </c>
      <c r="O176" s="4" t="s">
        <v>85</v>
      </c>
      <c r="P176" s="3" t="s">
        <v>84</v>
      </c>
      <c r="Q176" s="10" t="s">
        <v>83</v>
      </c>
      <c r="R176" s="4"/>
      <c r="S176" s="9" t="str">
        <f>HYPERLINK("https://pbs.twimg.com/profile_images/1039447384940531714/s7Ntm7-U.jpg","View")</f>
        <v>View</v>
      </c>
    </row>
    <row r="177" spans="1:19" ht="12.5">
      <c r="A177" s="8">
        <v>43371.81649305555</v>
      </c>
      <c r="B177" s="11" t="str">
        <f>HYPERLINK("https://twitter.com/Canopus89","@Canopus89")</f>
        <v>@Canopus89</v>
      </c>
      <c r="C177" s="6" t="s">
        <v>7671</v>
      </c>
      <c r="D177" s="5" t="s">
        <v>7670</v>
      </c>
      <c r="E177" s="9" t="str">
        <f>HYPERLINK("https://twitter.com/Canopus89/status/1045706132831031296","1045706132831031296")</f>
        <v>1045706132831031296</v>
      </c>
      <c r="F177" s="4"/>
      <c r="G177" s="4"/>
      <c r="H177" s="4"/>
      <c r="I177" s="10" t="str">
        <f>HYPERLINK("http://twitter.com/download/iphone","Twitter for iPhone")</f>
        <v>Twitter for iPhone</v>
      </c>
      <c r="J177" s="2">
        <v>1555</v>
      </c>
      <c r="K177" s="2">
        <v>569</v>
      </c>
      <c r="L177" s="2">
        <v>6</v>
      </c>
      <c r="M177" s="2"/>
      <c r="N177" s="8">
        <v>43048.051875000005</v>
      </c>
      <c r="O177" s="4" t="s">
        <v>31</v>
      </c>
      <c r="P177" s="3" t="s">
        <v>7669</v>
      </c>
      <c r="Q177" s="10" t="s">
        <v>7668</v>
      </c>
      <c r="R177" s="4"/>
      <c r="S177" s="9" t="str">
        <f>HYPERLINK("https://pbs.twimg.com/profile_images/1029494479470903301/yDDz_OFR.jpg","View")</f>
        <v>View</v>
      </c>
    </row>
    <row r="178" spans="1:19" ht="20">
      <c r="A178" s="8">
        <v>43371.815925925926</v>
      </c>
      <c r="B178" s="11" t="str">
        <f>HYPERLINK("https://twitter.com/supvena","@supvena")</f>
        <v>@supvena</v>
      </c>
      <c r="C178" s="6" t="s">
        <v>7667</v>
      </c>
      <c r="D178" s="5" t="s">
        <v>7666</v>
      </c>
      <c r="E178" s="9" t="str">
        <f>HYPERLINK("https://twitter.com/supvena/status/1045705927599501313","1045705927599501313")</f>
        <v>1045705927599501313</v>
      </c>
      <c r="F178" s="4"/>
      <c r="G178" s="4"/>
      <c r="H178" s="4"/>
      <c r="I178" s="10" t="str">
        <f>HYPERLINK("http://twitter.com/download/iphone","Twitter for iPhone")</f>
        <v>Twitter for iPhone</v>
      </c>
      <c r="J178" s="2">
        <v>1034</v>
      </c>
      <c r="K178" s="2">
        <v>135</v>
      </c>
      <c r="L178" s="2">
        <v>8</v>
      </c>
      <c r="M178" s="2"/>
      <c r="N178" s="8">
        <v>39948.512465277774</v>
      </c>
      <c r="O178" s="4" t="s">
        <v>7665</v>
      </c>
      <c r="P178" s="3" t="s">
        <v>7664</v>
      </c>
      <c r="Q178" s="4"/>
      <c r="R178" s="4"/>
      <c r="S178" s="9" t="str">
        <f>HYPERLINK("https://pbs.twimg.com/profile_images/936544464767725568/naG3LynN.jpg","View")</f>
        <v>View</v>
      </c>
    </row>
    <row r="179" spans="1:19" ht="20">
      <c r="A179" s="8">
        <v>43371.81559027778</v>
      </c>
      <c r="B179" s="11" t="str">
        <f>HYPERLINK("https://twitter.com/yaratehrani15","@yaratehrani15")</f>
        <v>@yaratehrani15</v>
      </c>
      <c r="C179" s="6" t="s">
        <v>7663</v>
      </c>
      <c r="D179" s="5" t="s">
        <v>7662</v>
      </c>
      <c r="E179" s="9" t="str">
        <f>HYPERLINK("https://twitter.com/yaratehrani15/status/1045705809630580737","1045705809630580737")</f>
        <v>1045705809630580737</v>
      </c>
      <c r="F179" s="4"/>
      <c r="G179" s="4"/>
      <c r="H179" s="4"/>
      <c r="I179" s="10" t="str">
        <f>HYPERLINK("http://twitter.com/download/android","Twitter for Android")</f>
        <v>Twitter for Android</v>
      </c>
      <c r="J179" s="2">
        <v>8</v>
      </c>
      <c r="K179" s="2">
        <v>14</v>
      </c>
      <c r="L179" s="2">
        <v>0</v>
      </c>
      <c r="M179" s="2"/>
      <c r="N179" s="8">
        <v>41831.582025462965</v>
      </c>
      <c r="O179" s="4"/>
      <c r="P179" s="3" t="s">
        <v>7661</v>
      </c>
      <c r="Q179" s="4"/>
      <c r="R179" s="4"/>
      <c r="S179" s="9" t="str">
        <f>HYPERLINK("https://pbs.twimg.com/profile_images/1033442431361069056/WuhrjDY5.jpg","View")</f>
        <v>View</v>
      </c>
    </row>
    <row r="180" spans="1:19" ht="12.5">
      <c r="A180" s="8">
        <v>43371.814317129625</v>
      </c>
      <c r="B180" s="11" t="str">
        <f>HYPERLINK("https://twitter.com/DanialPanje","@DanialPanje")</f>
        <v>@DanialPanje</v>
      </c>
      <c r="C180" s="6" t="s">
        <v>3420</v>
      </c>
      <c r="D180" s="5" t="s">
        <v>7660</v>
      </c>
      <c r="E180" s="9" t="str">
        <f>HYPERLINK("https://twitter.com/DanialPanje/status/1045705347187519488","1045705347187519488")</f>
        <v>1045705347187519488</v>
      </c>
      <c r="F180" s="4"/>
      <c r="G180" s="4"/>
      <c r="H180" s="4"/>
      <c r="I180" s="10" t="str">
        <f>HYPERLINK("http://twitter.com/download/android","Twitter for Android")</f>
        <v>Twitter for Android</v>
      </c>
      <c r="J180" s="2">
        <v>162</v>
      </c>
      <c r="K180" s="2">
        <v>243</v>
      </c>
      <c r="L180" s="2">
        <v>2</v>
      </c>
      <c r="M180" s="2"/>
      <c r="N180" s="8">
        <v>41455.659247685187</v>
      </c>
      <c r="O180" s="4" t="s">
        <v>170</v>
      </c>
      <c r="P180" s="3" t="s">
        <v>3418</v>
      </c>
      <c r="Q180" s="4"/>
      <c r="R180" s="4"/>
      <c r="S180" s="9" t="str">
        <f>HYPERLINK("https://pbs.twimg.com/profile_images/1016730210333536256/6LvMU7qu.jpg","View")</f>
        <v>View</v>
      </c>
    </row>
    <row r="181" spans="1:19" ht="20">
      <c r="A181" s="8">
        <v>43371.813831018517</v>
      </c>
      <c r="B181" s="11" t="str">
        <f>HYPERLINK("https://twitter.com/S_hamoon","@S_hamoon")</f>
        <v>@S_hamoon</v>
      </c>
      <c r="C181" s="6" t="s">
        <v>7659</v>
      </c>
      <c r="D181" s="5" t="s">
        <v>7658</v>
      </c>
      <c r="E181" s="9" t="str">
        <f>HYPERLINK("https://twitter.com/S_hamoon/status/1045705169202290688","1045705169202290688")</f>
        <v>1045705169202290688</v>
      </c>
      <c r="F181" s="4"/>
      <c r="G181" s="4"/>
      <c r="H181" s="4"/>
      <c r="I181" s="10" t="str">
        <f>HYPERLINK("http://twitter.com/download/android","Twitter for Android")</f>
        <v>Twitter for Android</v>
      </c>
      <c r="J181" s="2">
        <v>184</v>
      </c>
      <c r="K181" s="2">
        <v>186</v>
      </c>
      <c r="L181" s="2">
        <v>1</v>
      </c>
      <c r="M181" s="2"/>
      <c r="N181" s="8">
        <v>42935.592372685191</v>
      </c>
      <c r="O181" s="4" t="s">
        <v>5384</v>
      </c>
      <c r="P181" s="3" t="s">
        <v>7657</v>
      </c>
      <c r="Q181" s="4"/>
      <c r="R181" s="4"/>
      <c r="S181" s="9" t="str">
        <f>HYPERLINK("https://pbs.twimg.com/profile_images/1043812001422749698/8mHovt4j.jpg","View")</f>
        <v>View</v>
      </c>
    </row>
    <row r="182" spans="1:19" ht="20">
      <c r="A182" s="8">
        <v>43371.81349537037</v>
      </c>
      <c r="B182" s="11" t="str">
        <f>HYPERLINK("https://twitter.com/EmAd9369","@EmAd9369")</f>
        <v>@EmAd9369</v>
      </c>
      <c r="C182" s="6" t="s">
        <v>7656</v>
      </c>
      <c r="D182" s="5" t="s">
        <v>7655</v>
      </c>
      <c r="E182" s="9" t="str">
        <f>HYPERLINK("https://twitter.com/EmAd9369/status/1045705047789760513","1045705047789760513")</f>
        <v>1045705047789760513</v>
      </c>
      <c r="F182" s="4"/>
      <c r="G182" s="4"/>
      <c r="H182" s="4"/>
      <c r="I182" s="10" t="str">
        <f>HYPERLINK("http://twitter.com/download/android","Twitter for Android")</f>
        <v>Twitter for Android</v>
      </c>
      <c r="J182" s="2">
        <v>5973</v>
      </c>
      <c r="K182" s="2">
        <v>5597</v>
      </c>
      <c r="L182" s="2">
        <v>13</v>
      </c>
      <c r="M182" s="2"/>
      <c r="N182" s="8">
        <v>43181.479039351849</v>
      </c>
      <c r="O182" s="4" t="s">
        <v>7654</v>
      </c>
      <c r="P182" s="3" t="s">
        <v>7653</v>
      </c>
      <c r="Q182" s="10" t="s">
        <v>7652</v>
      </c>
      <c r="R182" s="4"/>
      <c r="S182" s="9" t="str">
        <f>HYPERLINK("https://pbs.twimg.com/profile_images/1015254999352397824/Wv03ezul.jpg","View")</f>
        <v>View</v>
      </c>
    </row>
    <row r="183" spans="1:19" ht="30">
      <c r="A183" s="8">
        <v>43371.811365740738</v>
      </c>
      <c r="B183" s="11" t="str">
        <f>HYPERLINK("https://twitter.com/Far_naz64","@Far_naz64")</f>
        <v>@Far_naz64</v>
      </c>
      <c r="C183" s="6" t="s">
        <v>1098</v>
      </c>
      <c r="D183" s="5" t="s">
        <v>7651</v>
      </c>
      <c r="E183" s="9" t="str">
        <f>HYPERLINK("https://twitter.com/Far_naz64/status/1045704275706417152","1045704275706417152")</f>
        <v>1045704275706417152</v>
      </c>
      <c r="F183" s="4"/>
      <c r="G183" s="4"/>
      <c r="H183" s="4"/>
      <c r="I183" s="10" t="str">
        <f>HYPERLINK("http://twitter.com/download/iphone","Twitter for iPhone")</f>
        <v>Twitter for iPhone</v>
      </c>
      <c r="J183" s="2">
        <v>12026</v>
      </c>
      <c r="K183" s="2">
        <v>8643</v>
      </c>
      <c r="L183" s="2">
        <v>67</v>
      </c>
      <c r="M183" s="2"/>
      <c r="N183" s="8">
        <v>40598.671585648146</v>
      </c>
      <c r="O183" s="4" t="s">
        <v>1095</v>
      </c>
      <c r="P183" s="3" t="s">
        <v>1094</v>
      </c>
      <c r="Q183" s="10" t="s">
        <v>1093</v>
      </c>
      <c r="R183" s="4"/>
      <c r="S183" s="9" t="str">
        <f>HYPERLINK("https://pbs.twimg.com/profile_images/1040985112207339520/4EAnrJt6.jpg","View")</f>
        <v>View</v>
      </c>
    </row>
    <row r="184" spans="1:19" ht="30">
      <c r="A184" s="8">
        <v>43371.811215277776</v>
      </c>
      <c r="B184" s="11" t="str">
        <f>HYPERLINK("https://twitter.com/iamLeciel","@iamLeciel")</f>
        <v>@iamLeciel</v>
      </c>
      <c r="C184" s="6" t="s">
        <v>38</v>
      </c>
      <c r="D184" s="5" t="s">
        <v>7650</v>
      </c>
      <c r="E184" s="9" t="str">
        <f>HYPERLINK("https://twitter.com/iamLeciel/status/1045704223365754880","1045704223365754880")</f>
        <v>1045704223365754880</v>
      </c>
      <c r="F184" s="4"/>
      <c r="G184" s="4"/>
      <c r="H184" s="4"/>
      <c r="I184" s="10" t="str">
        <f>HYPERLINK("http://twitter.com/download/iphone","Twitter for iPhone")</f>
        <v>Twitter for iPhone</v>
      </c>
      <c r="J184" s="2">
        <v>196</v>
      </c>
      <c r="K184" s="2">
        <v>295</v>
      </c>
      <c r="L184" s="2">
        <v>0</v>
      </c>
      <c r="M184" s="2"/>
      <c r="N184" s="8">
        <v>43368.367106481484</v>
      </c>
      <c r="O184" s="4" t="s">
        <v>36</v>
      </c>
      <c r="P184" s="3" t="s">
        <v>7649</v>
      </c>
      <c r="Q184" s="4"/>
      <c r="R184" s="4"/>
      <c r="S184" s="9" t="str">
        <f>HYPERLINK("https://pbs.twimg.com/profile_images/1044456768053669888/Nv_e5Fb3.jpg","View")</f>
        <v>View</v>
      </c>
    </row>
    <row r="185" spans="1:19" ht="12.5">
      <c r="A185" s="8">
        <v>43371.798148148147</v>
      </c>
      <c r="B185" s="11" t="str">
        <f>HYPERLINK("https://twitter.com/FarsNews_Agency","@FarsNews_Agency")</f>
        <v>@FarsNews_Agency</v>
      </c>
      <c r="C185" s="6" t="s">
        <v>3059</v>
      </c>
      <c r="D185" s="5" t="s">
        <v>7648</v>
      </c>
      <c r="E185" s="9" t="str">
        <f>HYPERLINK("https://twitter.com/FarsNews_Agency/status/1045699486553690112","1045699486553690112")</f>
        <v>1045699486553690112</v>
      </c>
      <c r="F185" s="4"/>
      <c r="G185" s="10" t="s">
        <v>7647</v>
      </c>
      <c r="H185" s="4"/>
      <c r="I185" s="10" t="str">
        <f>HYPERLINK("http://twitter.com","Twitter Web Client")</f>
        <v>Twitter Web Client</v>
      </c>
      <c r="J185" s="2">
        <v>56120</v>
      </c>
      <c r="K185" s="2">
        <v>1</v>
      </c>
      <c r="L185" s="2">
        <v>367</v>
      </c>
      <c r="M185" s="2" t="s">
        <v>1701</v>
      </c>
      <c r="N185" s="8">
        <v>41779.409398148149</v>
      </c>
      <c r="O185" s="4" t="s">
        <v>3056</v>
      </c>
      <c r="P185" s="3" t="s">
        <v>3055</v>
      </c>
      <c r="Q185" s="10" t="s">
        <v>3054</v>
      </c>
      <c r="R185" s="4"/>
      <c r="S185" s="9" t="str">
        <f>HYPERLINK("https://pbs.twimg.com/profile_images/1039452936206725120/4u9-3we7.jpg","View")</f>
        <v>View</v>
      </c>
    </row>
    <row r="186" spans="1:19" ht="30">
      <c r="A186" s="8">
        <v>43371.794965277775</v>
      </c>
      <c r="B186" s="11" t="str">
        <f>HYPERLINK("https://twitter.com/Ahmadi97A","@Ahmadi97A")</f>
        <v>@Ahmadi97A</v>
      </c>
      <c r="C186" s="6" t="s">
        <v>7646</v>
      </c>
      <c r="D186" s="5" t="s">
        <v>7645</v>
      </c>
      <c r="E186" s="9" t="str">
        <f>HYPERLINK("https://twitter.com/Ahmadi97A/status/1045698333107527680","1045698333107527680")</f>
        <v>1045698333107527680</v>
      </c>
      <c r="F186" s="4"/>
      <c r="G186" s="10" t="s">
        <v>7644</v>
      </c>
      <c r="H186" s="4"/>
      <c r="I186" s="10" t="str">
        <f>HYPERLINK("http://twitter.com","Twitter Web Client")</f>
        <v>Twitter Web Client</v>
      </c>
      <c r="J186" s="2">
        <v>87</v>
      </c>
      <c r="K186" s="2">
        <v>138</v>
      </c>
      <c r="L186" s="2">
        <v>0</v>
      </c>
      <c r="M186" s="2"/>
      <c r="N186" s="8">
        <v>43351.047129629631</v>
      </c>
      <c r="O186" s="4"/>
      <c r="P186" s="3" t="s">
        <v>7643</v>
      </c>
      <c r="Q186" s="10" t="s">
        <v>7642</v>
      </c>
      <c r="R186" s="4"/>
      <c r="S186" s="9" t="str">
        <f>HYPERLINK("https://pbs.twimg.com/profile_images/1038170191681740801/glYKI3Jb.jpg","View")</f>
        <v>View</v>
      </c>
    </row>
    <row r="187" spans="1:19" ht="30">
      <c r="A187" s="8">
        <v>43371.791678240741</v>
      </c>
      <c r="B187" s="11" t="str">
        <f>HYPERLINK("https://twitter.com/ETeymourpour","@ETeymourpour")</f>
        <v>@ETeymourpour</v>
      </c>
      <c r="C187" s="6" t="s">
        <v>7641</v>
      </c>
      <c r="D187" s="5" t="s">
        <v>7640</v>
      </c>
      <c r="E187" s="9" t="str">
        <f>HYPERLINK("https://twitter.com/ETeymourpour/status/1045697141971341313","1045697141971341313")</f>
        <v>1045697141971341313</v>
      </c>
      <c r="F187" s="4"/>
      <c r="G187" s="4"/>
      <c r="H187" s="4"/>
      <c r="I187" s="10" t="str">
        <f>HYPERLINK("http://twitter.com/download/android","Twitter for Android")</f>
        <v>Twitter for Android</v>
      </c>
      <c r="J187" s="2">
        <v>102</v>
      </c>
      <c r="K187" s="2">
        <v>97</v>
      </c>
      <c r="L187" s="2">
        <v>5</v>
      </c>
      <c r="M187" s="2"/>
      <c r="N187" s="8">
        <v>42690.771400462967</v>
      </c>
      <c r="O187" s="4" t="s">
        <v>7639</v>
      </c>
      <c r="P187" s="3" t="s">
        <v>7638</v>
      </c>
      <c r="Q187" s="4"/>
      <c r="R187" s="4"/>
      <c r="S187" s="9" t="str">
        <f>HYPERLINK("https://pbs.twimg.com/profile_images/1045174934287396864/VJ3HVeXY.jpg","View")</f>
        <v>View</v>
      </c>
    </row>
    <row r="188" spans="1:19" ht="20">
      <c r="A188" s="8">
        <v>43371.790983796294</v>
      </c>
      <c r="B188" s="11" t="str">
        <f>HYPERLINK("https://twitter.com/FarsNews_Agency","@FarsNews_Agency")</f>
        <v>@FarsNews_Agency</v>
      </c>
      <c r="C188" s="6" t="s">
        <v>3059</v>
      </c>
      <c r="D188" s="5" t="s">
        <v>7637</v>
      </c>
      <c r="E188" s="9" t="str">
        <f>HYPERLINK("https://twitter.com/FarsNews_Agency/status/1045696891852390400","1045696891852390400")</f>
        <v>1045696891852390400</v>
      </c>
      <c r="F188" s="4"/>
      <c r="G188" s="10" t="s">
        <v>7636</v>
      </c>
      <c r="H188" s="4"/>
      <c r="I188" s="10" t="str">
        <f>HYPERLINK("http://twitter.com","Twitter Web Client")</f>
        <v>Twitter Web Client</v>
      </c>
      <c r="J188" s="2">
        <v>56120</v>
      </c>
      <c r="K188" s="2">
        <v>1</v>
      </c>
      <c r="L188" s="2">
        <v>367</v>
      </c>
      <c r="M188" s="2" t="s">
        <v>1701</v>
      </c>
      <c r="N188" s="8">
        <v>41779.409398148149</v>
      </c>
      <c r="O188" s="4" t="s">
        <v>3056</v>
      </c>
      <c r="P188" s="3" t="s">
        <v>3055</v>
      </c>
      <c r="Q188" s="10" t="s">
        <v>3054</v>
      </c>
      <c r="R188" s="4"/>
      <c r="S188" s="9" t="str">
        <f>HYPERLINK("https://pbs.twimg.com/profile_images/1039452936206725120/4u9-3we7.jpg","View")</f>
        <v>View</v>
      </c>
    </row>
    <row r="189" spans="1:19" ht="20">
      <c r="A189" s="8">
        <v>43371.783032407402</v>
      </c>
      <c r="B189" s="11" t="str">
        <f>HYPERLINK("https://twitter.com/Ma80947309","@Ma80947309")</f>
        <v>@Ma80947309</v>
      </c>
      <c r="C189" s="6" t="s">
        <v>7635</v>
      </c>
      <c r="D189" s="5" t="s">
        <v>7634</v>
      </c>
      <c r="E189" s="9" t="str">
        <f>HYPERLINK("https://twitter.com/Ma80947309/status/1045694009514102784","1045694009514102784")</f>
        <v>1045694009514102784</v>
      </c>
      <c r="F189" s="4"/>
      <c r="G189" s="4"/>
      <c r="H189" s="4"/>
      <c r="I189" s="10" t="str">
        <f>HYPERLINK("http://twitter.com/download/android","Twitter for Android")</f>
        <v>Twitter for Android</v>
      </c>
      <c r="J189" s="2">
        <v>19</v>
      </c>
      <c r="K189" s="2">
        <v>63</v>
      </c>
      <c r="L189" s="2">
        <v>0</v>
      </c>
      <c r="M189" s="2"/>
      <c r="N189" s="8">
        <v>43288.878020833334</v>
      </c>
      <c r="O189" s="4"/>
      <c r="P189" s="3" t="s">
        <v>7633</v>
      </c>
      <c r="Q189" s="4"/>
      <c r="R189" s="4"/>
      <c r="S189" s="9" t="str">
        <f>HYPERLINK("https://pbs.twimg.com/profile_images/1026754346904633344/4yRoXSCb.jpg","View")</f>
        <v>View</v>
      </c>
    </row>
    <row r="190" spans="1:19" ht="40">
      <c r="A190" s="8">
        <v>43371.781956018516</v>
      </c>
      <c r="B190" s="11" t="str">
        <f>HYPERLINK("https://twitter.com/Babakghannad","@Babakghannad")</f>
        <v>@Babakghannad</v>
      </c>
      <c r="C190" s="6" t="s">
        <v>2014</v>
      </c>
      <c r="D190" s="5" t="s">
        <v>7632</v>
      </c>
      <c r="E190" s="9" t="str">
        <f>HYPERLINK("https://twitter.com/Babakghannad/status/1045693618873339905","1045693618873339905")</f>
        <v>1045693618873339905</v>
      </c>
      <c r="F190" s="4"/>
      <c r="G190" s="4"/>
      <c r="H190" s="4"/>
      <c r="I190" s="10" t="str">
        <f>HYPERLINK("http://twitter.com/download/android","Twitter for Android")</f>
        <v>Twitter for Android</v>
      </c>
      <c r="J190" s="2">
        <v>1526</v>
      </c>
      <c r="K190" s="2">
        <v>688</v>
      </c>
      <c r="L190" s="2">
        <v>8</v>
      </c>
      <c r="M190" s="2"/>
      <c r="N190" s="8">
        <v>41463.669270833336</v>
      </c>
      <c r="O190" s="4" t="s">
        <v>10</v>
      </c>
      <c r="P190" s="12" t="s">
        <v>2011</v>
      </c>
      <c r="Q190" s="10" t="s">
        <v>2010</v>
      </c>
      <c r="R190" s="4"/>
      <c r="S190" s="9" t="str">
        <f>HYPERLINK("https://pbs.twimg.com/profile_images/981620138653908992/Y7VWFCfE.jpg","View")</f>
        <v>View</v>
      </c>
    </row>
    <row r="191" spans="1:19" ht="40">
      <c r="A191" s="8">
        <v>43371.781736111108</v>
      </c>
      <c r="B191" s="11" t="str">
        <f>HYPERLINK("https://twitter.com/Tahatnj","@Tahatnj")</f>
        <v>@Tahatnj</v>
      </c>
      <c r="C191" s="6" t="s">
        <v>7631</v>
      </c>
      <c r="D191" s="5" t="s">
        <v>7630</v>
      </c>
      <c r="E191" s="9" t="str">
        <f>HYPERLINK("https://twitter.com/Tahatnj/status/1045693541169737731","1045693541169737731")</f>
        <v>1045693541169737731</v>
      </c>
      <c r="F191" s="4"/>
      <c r="G191" s="4"/>
      <c r="H191" s="4"/>
      <c r="I191" s="10" t="str">
        <f>HYPERLINK("https://mobile.twitter.com","Twitter Lite")</f>
        <v>Twitter Lite</v>
      </c>
      <c r="J191" s="2">
        <v>3</v>
      </c>
      <c r="K191" s="2">
        <v>15</v>
      </c>
      <c r="L191" s="2">
        <v>0</v>
      </c>
      <c r="M191" s="2"/>
      <c r="N191" s="8">
        <v>43371.51399305556</v>
      </c>
      <c r="O191" s="4" t="s">
        <v>7629</v>
      </c>
      <c r="P191" s="3" t="s">
        <v>7628</v>
      </c>
      <c r="Q191" s="4"/>
      <c r="R191" s="4"/>
      <c r="S191" s="9" t="str">
        <f>HYPERLINK("https://pbs.twimg.com/profile_images/1045601711128227840/JDQ3EaHu.jpg","View")</f>
        <v>View</v>
      </c>
    </row>
    <row r="192" spans="1:19" ht="30">
      <c r="A192" s="8">
        <v>43371.77616898148</v>
      </c>
      <c r="B192" s="11" t="str">
        <f>HYPERLINK("https://twitter.com/jamejamCPI","@jamejamCPI")</f>
        <v>@jamejamCPI</v>
      </c>
      <c r="C192" s="6" t="s">
        <v>2549</v>
      </c>
      <c r="D192" s="5" t="s">
        <v>7627</v>
      </c>
      <c r="E192" s="9" t="str">
        <f>HYPERLINK("https://twitter.com/jamejamCPI/status/1045691521817808898","1045691521817808898")</f>
        <v>1045691521817808898</v>
      </c>
      <c r="F192" s="10" t="s">
        <v>7626</v>
      </c>
      <c r="G192" s="4"/>
      <c r="H192" s="4"/>
      <c r="I192" s="10" t="str">
        <f>HYPERLINK("http://twitter.com","Twitter Web Client")</f>
        <v>Twitter Web Client</v>
      </c>
      <c r="J192" s="2">
        <v>27151</v>
      </c>
      <c r="K192" s="2">
        <v>1408</v>
      </c>
      <c r="L192" s="2">
        <v>147</v>
      </c>
      <c r="M192" s="2"/>
      <c r="N192" s="8">
        <v>41548.76021990741</v>
      </c>
      <c r="O192" s="4" t="s">
        <v>2547</v>
      </c>
      <c r="P192" s="3" t="s">
        <v>2546</v>
      </c>
      <c r="Q192" s="10" t="s">
        <v>2545</v>
      </c>
      <c r="R192" s="4"/>
      <c r="S192" s="9" t="str">
        <f>HYPERLINK("https://pbs.twimg.com/profile_images/1016553348819046405/PBNorYe4.jpg","View")</f>
        <v>View</v>
      </c>
    </row>
    <row r="193" spans="1:19" ht="60">
      <c r="A193" s="8">
        <v>43371.771944444445</v>
      </c>
      <c r="B193" s="11" t="str">
        <f>HYPERLINK("https://twitter.com/Farhad_R_F","@Farhad_R_F")</f>
        <v>@Farhad_R_F</v>
      </c>
      <c r="C193" s="6" t="s">
        <v>6205</v>
      </c>
      <c r="D193" s="5" t="s">
        <v>7625</v>
      </c>
      <c r="E193" s="9" t="str">
        <f>HYPERLINK("https://twitter.com/Farhad_R_F/status/1045689992209715200","1045689992209715200")</f>
        <v>1045689992209715200</v>
      </c>
      <c r="F193" s="10" t="s">
        <v>7407</v>
      </c>
      <c r="G193" s="4"/>
      <c r="H193" s="4"/>
      <c r="I193" s="10" t="str">
        <f>HYPERLINK("http://twitter.com/download/android","Twitter for Android")</f>
        <v>Twitter for Android</v>
      </c>
      <c r="J193" s="2">
        <v>131</v>
      </c>
      <c r="K193" s="2">
        <v>833</v>
      </c>
      <c r="L193" s="2">
        <v>0</v>
      </c>
      <c r="M193" s="2"/>
      <c r="N193" s="8">
        <v>42433.06994212963</v>
      </c>
      <c r="O193" s="4"/>
      <c r="P193" s="3" t="s">
        <v>6202</v>
      </c>
      <c r="Q193" s="4"/>
      <c r="R193" s="4"/>
      <c r="S193" s="9" t="str">
        <f>HYPERLINK("https://pbs.twimg.com/profile_images/1043212401892581376/K0vlgoar.jpg","View")</f>
        <v>View</v>
      </c>
    </row>
    <row r="194" spans="1:19" ht="40">
      <c r="A194" s="8">
        <v>43371.76734953704</v>
      </c>
      <c r="B194" s="11" t="str">
        <f>HYPERLINK("https://twitter.com/helenaaaarf","@helenaaaarf")</f>
        <v>@helenaaaarf</v>
      </c>
      <c r="C194" s="6" t="s">
        <v>3112</v>
      </c>
      <c r="D194" s="5" t="s">
        <v>7624</v>
      </c>
      <c r="E194" s="9" t="str">
        <f>HYPERLINK("https://twitter.com/helenaaaarf/status/1045688325456244736","1045688325456244736")</f>
        <v>1045688325456244736</v>
      </c>
      <c r="F194" s="4"/>
      <c r="G194" s="4"/>
      <c r="H194" s="4"/>
      <c r="I194" s="10" t="str">
        <f>HYPERLINK("https://mobile.twitter.com","Mobile Web (M2)")</f>
        <v>Mobile Web (M2)</v>
      </c>
      <c r="J194" s="2">
        <v>24</v>
      </c>
      <c r="K194" s="2">
        <v>93</v>
      </c>
      <c r="L194" s="2">
        <v>0</v>
      </c>
      <c r="M194" s="2"/>
      <c r="N194" s="8">
        <v>42941.936990740738</v>
      </c>
      <c r="O194" s="4"/>
      <c r="P194" s="3" t="s">
        <v>3110</v>
      </c>
      <c r="Q194" s="4"/>
      <c r="R194" s="4"/>
      <c r="S194" s="9" t="str">
        <f>HYPERLINK("https://pbs.twimg.com/profile_images/992034411658076160/r56Ea_2W.jpg","View")</f>
        <v>View</v>
      </c>
    </row>
    <row r="195" spans="1:19" ht="20">
      <c r="A195" s="8">
        <v>43371.766377314816</v>
      </c>
      <c r="B195" s="11" t="str">
        <f>HYPERLINK("https://twitter.com/TaimazSanayi","@TaimazSanayi")</f>
        <v>@TaimazSanayi</v>
      </c>
      <c r="C195" s="6" t="s">
        <v>7623</v>
      </c>
      <c r="D195" s="5" t="s">
        <v>7622</v>
      </c>
      <c r="E195" s="9" t="str">
        <f>HYPERLINK("https://twitter.com/TaimazSanayi/status/1045687974422347776","1045687974422347776")</f>
        <v>1045687974422347776</v>
      </c>
      <c r="F195" s="4"/>
      <c r="G195" s="4"/>
      <c r="H195" s="4"/>
      <c r="I195" s="10" t="str">
        <f>HYPERLINK("http://twitter.com/#!/download/ipad","Twitter for iPad")</f>
        <v>Twitter for iPad</v>
      </c>
      <c r="J195" s="2">
        <v>2</v>
      </c>
      <c r="K195" s="2">
        <v>19</v>
      </c>
      <c r="L195" s="2">
        <v>0</v>
      </c>
      <c r="M195" s="2"/>
      <c r="N195" s="8">
        <v>42910.470370370371</v>
      </c>
      <c r="O195" s="4" t="s">
        <v>200</v>
      </c>
      <c r="P195" s="3" t="s">
        <v>7621</v>
      </c>
      <c r="Q195" s="4"/>
      <c r="R195" s="4"/>
      <c r="S195" s="9" t="str">
        <f>HYPERLINK("https://pbs.twimg.com/profile_images/878505612526706693/cGYdksIa.jpg","View")</f>
        <v>View</v>
      </c>
    </row>
    <row r="196" spans="1:19" ht="30">
      <c r="A196" s="8">
        <v>43371.76262731482</v>
      </c>
      <c r="B196" s="11" t="str">
        <f>HYPERLINK("https://twitter.com/Tasnimnews_Fa","@Tasnimnews_Fa")</f>
        <v>@Tasnimnews_Fa</v>
      </c>
      <c r="C196" s="6" t="s">
        <v>3472</v>
      </c>
      <c r="D196" s="5" t="s">
        <v>7620</v>
      </c>
      <c r="E196" s="9" t="str">
        <f>HYPERLINK("https://twitter.com/Tasnimnews_Fa/status/1045686615757246471","1045686615757246471")</f>
        <v>1045686615757246471</v>
      </c>
      <c r="F196" s="10" t="s">
        <v>7619</v>
      </c>
      <c r="G196" s="10" t="s">
        <v>7618</v>
      </c>
      <c r="H196" s="4"/>
      <c r="I196" s="10" t="str">
        <f>HYPERLINK("http://twitter.com/download/iphone","Twitter for iPhone")</f>
        <v>Twitter for iPhone</v>
      </c>
      <c r="J196" s="2">
        <v>111136</v>
      </c>
      <c r="K196" s="2">
        <v>19</v>
      </c>
      <c r="L196" s="2">
        <v>395</v>
      </c>
      <c r="M196" s="2" t="s">
        <v>1701</v>
      </c>
      <c r="N196" s="8">
        <v>41868.671585648146</v>
      </c>
      <c r="O196" s="4" t="s">
        <v>10</v>
      </c>
      <c r="P196" s="3" t="s">
        <v>3469</v>
      </c>
      <c r="Q196" s="10" t="s">
        <v>3468</v>
      </c>
      <c r="R196" s="4"/>
      <c r="S196" s="9" t="str">
        <f>HYPERLINK("https://pbs.twimg.com/profile_images/942003149430239232/hvLw_1_E.jpg","View")</f>
        <v>View</v>
      </c>
    </row>
    <row r="197" spans="1:19" ht="30">
      <c r="A197" s="8">
        <v>43371.756006944444</v>
      </c>
      <c r="B197" s="11" t="str">
        <f>HYPERLINK("https://twitter.com/Ali6and4","@Ali6and4")</f>
        <v>@Ali6and4</v>
      </c>
      <c r="C197" s="6" t="s">
        <v>1366</v>
      </c>
      <c r="D197" s="5" t="s">
        <v>7617</v>
      </c>
      <c r="E197" s="9" t="str">
        <f>HYPERLINK("https://twitter.com/Ali6and4/status/1045684214870552577","1045684214870552577")</f>
        <v>1045684214870552577</v>
      </c>
      <c r="F197" s="4"/>
      <c r="G197" s="4"/>
      <c r="H197" s="4"/>
      <c r="I197" s="10" t="str">
        <f>HYPERLINK("http://twitter.com","Twitter Web Client")</f>
        <v>Twitter Web Client</v>
      </c>
      <c r="J197" s="2">
        <v>19</v>
      </c>
      <c r="K197" s="2">
        <v>24</v>
      </c>
      <c r="L197" s="2">
        <v>0</v>
      </c>
      <c r="M197" s="2"/>
      <c r="N197" s="8">
        <v>43114.609976851847</v>
      </c>
      <c r="O197" s="4" t="s">
        <v>1363</v>
      </c>
      <c r="P197" s="3" t="s">
        <v>1362</v>
      </c>
      <c r="Q197" s="4"/>
      <c r="R197" s="4"/>
      <c r="S197" s="9" t="str">
        <f>HYPERLINK("https://pbs.twimg.com/profile_images/1031429916544233473/KzVISJBe.jpg","View")</f>
        <v>View</v>
      </c>
    </row>
    <row r="198" spans="1:19" ht="40">
      <c r="A198" s="8">
        <v>43371.752337962964</v>
      </c>
      <c r="B198" s="11" t="str">
        <f>HYPERLINK("https://twitter.com/davood_hd","@davood_hd")</f>
        <v>@davood_hd</v>
      </c>
      <c r="C198" s="6" t="s">
        <v>5924</v>
      </c>
      <c r="D198" s="5" t="s">
        <v>7616</v>
      </c>
      <c r="E198" s="9" t="str">
        <f>HYPERLINK("https://twitter.com/davood_hd/status/1045682885628432387","1045682885628432387")</f>
        <v>1045682885628432387</v>
      </c>
      <c r="F198" s="4"/>
      <c r="G198" s="4"/>
      <c r="H198" s="4"/>
      <c r="I198" s="10" t="str">
        <f>HYPERLINK("http://twitter.com/download/iphone","Twitter for iPhone")</f>
        <v>Twitter for iPhone</v>
      </c>
      <c r="J198" s="2">
        <v>89</v>
      </c>
      <c r="K198" s="2">
        <v>131</v>
      </c>
      <c r="L198" s="2">
        <v>1</v>
      </c>
      <c r="M198" s="2"/>
      <c r="N198" s="8">
        <v>42982.476886574077</v>
      </c>
      <c r="O198" s="4"/>
      <c r="P198" s="3" t="s">
        <v>5922</v>
      </c>
      <c r="Q198" s="4"/>
      <c r="R198" s="4"/>
      <c r="S198" s="9" t="str">
        <f>HYPERLINK("https://pbs.twimg.com/profile_images/1020438381451505664/Op2DPMHs.jpg","View")</f>
        <v>View</v>
      </c>
    </row>
    <row r="199" spans="1:19" ht="20">
      <c r="A199" s="8">
        <v>43371.752106481479</v>
      </c>
      <c r="B199" s="11" t="str">
        <f>HYPERLINK("https://twitter.com/Jamal1881370","@Jamal1881370")</f>
        <v>@Jamal1881370</v>
      </c>
      <c r="C199" s="6" t="s">
        <v>7615</v>
      </c>
      <c r="D199" s="5" t="s">
        <v>7614</v>
      </c>
      <c r="E199" s="9" t="str">
        <f>HYPERLINK("https://twitter.com/Jamal1881370/status/1045682800865751040","1045682800865751040")</f>
        <v>1045682800865751040</v>
      </c>
      <c r="F199" s="4"/>
      <c r="G199" s="10" t="s">
        <v>7613</v>
      </c>
      <c r="H199" s="4"/>
      <c r="I199" s="10" t="str">
        <f>HYPERLINK("http://twitter.com/download/android","Twitter for Android")</f>
        <v>Twitter for Android</v>
      </c>
      <c r="J199" s="2">
        <v>16</v>
      </c>
      <c r="K199" s="2">
        <v>40</v>
      </c>
      <c r="L199" s="2">
        <v>0</v>
      </c>
      <c r="M199" s="2"/>
      <c r="N199" s="8">
        <v>43167.574247685188</v>
      </c>
      <c r="O199" s="4"/>
      <c r="P199" s="3" t="s">
        <v>7612</v>
      </c>
      <c r="Q199" s="4"/>
      <c r="R199" s="4"/>
      <c r="S199" s="9" t="str">
        <f>HYPERLINK("https://pbs.twimg.com/profile_images/1040335442942603264/W6ni_HhP.jpg","View")</f>
        <v>View</v>
      </c>
    </row>
    <row r="200" spans="1:19" ht="30">
      <c r="A200" s="8">
        <v>43371.741030092591</v>
      </c>
      <c r="B200" s="11" t="str">
        <f>HYPERLINK("https://twitter.com/Hasanjuventin0","@Hasanjuventin0")</f>
        <v>@Hasanjuventin0</v>
      </c>
      <c r="C200" s="6" t="s">
        <v>7611</v>
      </c>
      <c r="D200" s="5" t="s">
        <v>7610</v>
      </c>
      <c r="E200" s="9" t="str">
        <f>HYPERLINK("https://twitter.com/Hasanjuventin0/status/1045678786442858497","1045678786442858497")</f>
        <v>1045678786442858497</v>
      </c>
      <c r="F200" s="4"/>
      <c r="G200" s="4"/>
      <c r="H200" s="4"/>
      <c r="I200" s="10" t="str">
        <f>HYPERLINK("http://twitter.com/download/iphone","Twitter for iPhone")</f>
        <v>Twitter for iPhone</v>
      </c>
      <c r="J200" s="2">
        <v>918</v>
      </c>
      <c r="K200" s="2">
        <v>341</v>
      </c>
      <c r="L200" s="2">
        <v>9</v>
      </c>
      <c r="M200" s="2"/>
      <c r="N200" s="8">
        <v>40548.643587962964</v>
      </c>
      <c r="O200" s="4" t="s">
        <v>7609</v>
      </c>
      <c r="P200" s="3" t="s">
        <v>7608</v>
      </c>
      <c r="Q200" s="10" t="s">
        <v>7607</v>
      </c>
      <c r="R200" s="4"/>
      <c r="S200" s="9" t="str">
        <f>HYPERLINK("https://pbs.twimg.com/profile_images/1040278492607381504/4Ux9uJbA.jpg","View")</f>
        <v>View</v>
      </c>
    </row>
    <row r="201" spans="1:19" ht="40">
      <c r="A201" s="8">
        <v>43371.740532407406</v>
      </c>
      <c r="B201" s="11" t="str">
        <f>HYPERLINK("https://twitter.com/KhorasaniHesam","@KhorasaniHesam")</f>
        <v>@KhorasaniHesam</v>
      </c>
      <c r="C201" s="6" t="s">
        <v>7606</v>
      </c>
      <c r="D201" s="5" t="s">
        <v>7605</v>
      </c>
      <c r="E201" s="9" t="str">
        <f>HYPERLINK("https://twitter.com/KhorasaniHesam/status/1045678606905749504","1045678606905749504")</f>
        <v>1045678606905749504</v>
      </c>
      <c r="F201" s="10" t="s">
        <v>7604</v>
      </c>
      <c r="G201" s="4"/>
      <c r="H201" s="4"/>
      <c r="I201" s="10" t="str">
        <f>HYPERLINK("http://twitter.com","Twitter Web Client")</f>
        <v>Twitter Web Client</v>
      </c>
      <c r="J201" s="2">
        <v>97</v>
      </c>
      <c r="K201" s="2">
        <v>242</v>
      </c>
      <c r="L201" s="2">
        <v>2</v>
      </c>
      <c r="M201" s="2"/>
      <c r="N201" s="8">
        <v>41644.529560185183</v>
      </c>
      <c r="O201" s="4" t="s">
        <v>7603</v>
      </c>
      <c r="P201" s="3" t="s">
        <v>7602</v>
      </c>
      <c r="Q201" s="10" t="s">
        <v>7601</v>
      </c>
      <c r="R201" s="4"/>
      <c r="S201" s="9" t="str">
        <f>HYPERLINK("https://pbs.twimg.com/profile_images/1018132414722396160/_3GjhfVL.jpg","View")</f>
        <v>View</v>
      </c>
    </row>
    <row r="202" spans="1:19" ht="20">
      <c r="A202" s="8">
        <v>43371.739178240736</v>
      </c>
      <c r="B202" s="11" t="str">
        <f>HYPERLINK("https://twitter.com/Ali6and4","@Ali6and4")</f>
        <v>@Ali6and4</v>
      </c>
      <c r="C202" s="6" t="s">
        <v>1366</v>
      </c>
      <c r="D202" s="5" t="s">
        <v>7600</v>
      </c>
      <c r="E202" s="9" t="str">
        <f>HYPERLINK("https://twitter.com/Ali6and4/status/1045678115991818241","1045678115991818241")</f>
        <v>1045678115991818241</v>
      </c>
      <c r="F202" s="4"/>
      <c r="G202" s="10" t="s">
        <v>7599</v>
      </c>
      <c r="H202" s="4"/>
      <c r="I202" s="10" t="str">
        <f>HYPERLINK("http://twitter.com","Twitter Web Client")</f>
        <v>Twitter Web Client</v>
      </c>
      <c r="J202" s="2">
        <v>19</v>
      </c>
      <c r="K202" s="2">
        <v>24</v>
      </c>
      <c r="L202" s="2">
        <v>0</v>
      </c>
      <c r="M202" s="2"/>
      <c r="N202" s="8">
        <v>43114.609976851847</v>
      </c>
      <c r="O202" s="4" t="s">
        <v>1363</v>
      </c>
      <c r="P202" s="3" t="s">
        <v>1362</v>
      </c>
      <c r="Q202" s="4"/>
      <c r="R202" s="4"/>
      <c r="S202" s="9" t="str">
        <f>HYPERLINK("https://pbs.twimg.com/profile_images/1031429916544233473/KzVISJBe.jpg","View")</f>
        <v>View</v>
      </c>
    </row>
    <row r="203" spans="1:19" ht="50">
      <c r="A203" s="8">
        <v>43371.73710648148</v>
      </c>
      <c r="B203" s="11" t="str">
        <f>HYPERLINK("https://twitter.com/Yazahra31324","@Yazahra31324")</f>
        <v>@Yazahra31324</v>
      </c>
      <c r="C203" s="6" t="s">
        <v>7592</v>
      </c>
      <c r="D203" s="5" t="s">
        <v>7598</v>
      </c>
      <c r="E203" s="9" t="str">
        <f>HYPERLINK("https://twitter.com/Yazahra31324/status/1045677368168370176","1045677368168370176")</f>
        <v>1045677368168370176</v>
      </c>
      <c r="F203" s="4"/>
      <c r="G203" s="4"/>
      <c r="H203" s="4"/>
      <c r="I203" s="10" t="str">
        <f>HYPERLINK("http://twitter.com/download/android","Twitter for Android")</f>
        <v>Twitter for Android</v>
      </c>
      <c r="J203" s="2">
        <v>469</v>
      </c>
      <c r="K203" s="2">
        <v>966</v>
      </c>
      <c r="L203" s="2">
        <v>0</v>
      </c>
      <c r="M203" s="2"/>
      <c r="N203" s="8">
        <v>43078.820543981477</v>
      </c>
      <c r="O203" s="4" t="s">
        <v>7590</v>
      </c>
      <c r="P203" s="3" t="s">
        <v>7589</v>
      </c>
      <c r="Q203" s="10" t="s">
        <v>6820</v>
      </c>
      <c r="R203" s="4"/>
      <c r="S203" s="9" t="str">
        <f>HYPERLINK("https://pbs.twimg.com/profile_images/955372340891746305/jDIw7DRe.jpg","View")</f>
        <v>View</v>
      </c>
    </row>
    <row r="204" spans="1:19" ht="50">
      <c r="A204" s="8">
        <v>43371.736712962964</v>
      </c>
      <c r="B204" s="11" t="str">
        <f>HYPERLINK("https://twitter.com/Yazahra31324","@Yazahra31324")</f>
        <v>@Yazahra31324</v>
      </c>
      <c r="C204" s="6" t="s">
        <v>7592</v>
      </c>
      <c r="D204" s="5" t="s">
        <v>7597</v>
      </c>
      <c r="E204" s="9" t="str">
        <f>HYPERLINK("https://twitter.com/Yazahra31324/status/1045677222374383617","1045677222374383617")</f>
        <v>1045677222374383617</v>
      </c>
      <c r="F204" s="4"/>
      <c r="G204" s="4"/>
      <c r="H204" s="4"/>
      <c r="I204" s="10" t="str">
        <f>HYPERLINK("http://twitter.com/download/android","Twitter for Android")</f>
        <v>Twitter for Android</v>
      </c>
      <c r="J204" s="2">
        <v>469</v>
      </c>
      <c r="K204" s="2">
        <v>966</v>
      </c>
      <c r="L204" s="2">
        <v>0</v>
      </c>
      <c r="M204" s="2"/>
      <c r="N204" s="8">
        <v>43078.820543981477</v>
      </c>
      <c r="O204" s="4" t="s">
        <v>7590</v>
      </c>
      <c r="P204" s="3" t="s">
        <v>7589</v>
      </c>
      <c r="Q204" s="10" t="s">
        <v>6820</v>
      </c>
      <c r="R204" s="4"/>
      <c r="S204" s="9" t="str">
        <f>HYPERLINK("https://pbs.twimg.com/profile_images/955372340891746305/jDIw7DRe.jpg","View")</f>
        <v>View</v>
      </c>
    </row>
    <row r="205" spans="1:19" ht="50">
      <c r="A205" s="8">
        <v>43371.736296296294</v>
      </c>
      <c r="B205" s="11" t="str">
        <f>HYPERLINK("https://twitter.com/Yazahra31324","@Yazahra31324")</f>
        <v>@Yazahra31324</v>
      </c>
      <c r="C205" s="6" t="s">
        <v>7592</v>
      </c>
      <c r="D205" s="5" t="s">
        <v>7596</v>
      </c>
      <c r="E205" s="9" t="str">
        <f>HYPERLINK("https://twitter.com/Yazahra31324/status/1045677073455620103","1045677073455620103")</f>
        <v>1045677073455620103</v>
      </c>
      <c r="F205" s="4"/>
      <c r="G205" s="4"/>
      <c r="H205" s="4"/>
      <c r="I205" s="10" t="str">
        <f>HYPERLINK("http://twitter.com/download/android","Twitter for Android")</f>
        <v>Twitter for Android</v>
      </c>
      <c r="J205" s="2">
        <v>469</v>
      </c>
      <c r="K205" s="2">
        <v>966</v>
      </c>
      <c r="L205" s="2">
        <v>0</v>
      </c>
      <c r="M205" s="2"/>
      <c r="N205" s="8">
        <v>43078.820543981477</v>
      </c>
      <c r="O205" s="4" t="s">
        <v>7590</v>
      </c>
      <c r="P205" s="3" t="s">
        <v>7589</v>
      </c>
      <c r="Q205" s="10" t="s">
        <v>6820</v>
      </c>
      <c r="R205" s="4"/>
      <c r="S205" s="9" t="str">
        <f>HYPERLINK("https://pbs.twimg.com/profile_images/955372340891746305/jDIw7DRe.jpg","View")</f>
        <v>View</v>
      </c>
    </row>
    <row r="206" spans="1:19" ht="30">
      <c r="A206" s="8">
        <v>43371.736192129625</v>
      </c>
      <c r="B206" s="11" t="str">
        <f>HYPERLINK("https://twitter.com/maral_8888","@maral_8888")</f>
        <v>@maral_8888</v>
      </c>
      <c r="C206" s="6" t="s">
        <v>1527</v>
      </c>
      <c r="D206" s="5" t="s">
        <v>7595</v>
      </c>
      <c r="E206" s="9" t="str">
        <f>HYPERLINK("https://twitter.com/maral_8888/status/1045677033945214981","1045677033945214981")</f>
        <v>1045677033945214981</v>
      </c>
      <c r="F206" s="4"/>
      <c r="G206" s="10" t="s">
        <v>7594</v>
      </c>
      <c r="H206" s="4"/>
      <c r="I206" s="10" t="str">
        <f>HYPERLINK("http://twitter.com/download/android","Twitter for Android")</f>
        <v>Twitter for Android</v>
      </c>
      <c r="J206" s="2">
        <v>203</v>
      </c>
      <c r="K206" s="2">
        <v>390</v>
      </c>
      <c r="L206" s="2">
        <v>0</v>
      </c>
      <c r="M206" s="2"/>
      <c r="N206" s="8">
        <v>43224.758773148147</v>
      </c>
      <c r="O206" s="4" t="s">
        <v>1525</v>
      </c>
      <c r="P206" s="3" t="s">
        <v>1524</v>
      </c>
      <c r="Q206" s="4"/>
      <c r="R206" s="4"/>
      <c r="S206" s="9" t="str">
        <f>HYPERLINK("https://pbs.twimg.com/profile_images/1018033282770964480/NaB5Ynij.jpg","View")</f>
        <v>View</v>
      </c>
    </row>
    <row r="207" spans="1:19" ht="50">
      <c r="A207" s="8">
        <v>43371.73572916667</v>
      </c>
      <c r="B207" s="11" t="str">
        <f>HYPERLINK("https://twitter.com/Yazahra31324","@Yazahra31324")</f>
        <v>@Yazahra31324</v>
      </c>
      <c r="C207" s="6" t="s">
        <v>7592</v>
      </c>
      <c r="D207" s="5" t="s">
        <v>7593</v>
      </c>
      <c r="E207" s="9" t="str">
        <f>HYPERLINK("https://twitter.com/Yazahra31324/status/1045676865707548680","1045676865707548680")</f>
        <v>1045676865707548680</v>
      </c>
      <c r="F207" s="4"/>
      <c r="G207" s="4"/>
      <c r="H207" s="4"/>
      <c r="I207" s="10" t="str">
        <f>HYPERLINK("http://twitter.com/download/android","Twitter for Android")</f>
        <v>Twitter for Android</v>
      </c>
      <c r="J207" s="2">
        <v>469</v>
      </c>
      <c r="K207" s="2">
        <v>966</v>
      </c>
      <c r="L207" s="2">
        <v>0</v>
      </c>
      <c r="M207" s="2"/>
      <c r="N207" s="8">
        <v>43078.820543981477</v>
      </c>
      <c r="O207" s="4" t="s">
        <v>7590</v>
      </c>
      <c r="P207" s="3" t="s">
        <v>7589</v>
      </c>
      <c r="Q207" s="10" t="s">
        <v>6820</v>
      </c>
      <c r="R207" s="4"/>
      <c r="S207" s="9" t="str">
        <f>HYPERLINK("https://pbs.twimg.com/profile_images/955372340891746305/jDIw7DRe.jpg","View")</f>
        <v>View</v>
      </c>
    </row>
    <row r="208" spans="1:19" ht="50">
      <c r="A208" s="8">
        <v>43371.73537037037</v>
      </c>
      <c r="B208" s="11" t="str">
        <f>HYPERLINK("https://twitter.com/Yazahra31324","@Yazahra31324")</f>
        <v>@Yazahra31324</v>
      </c>
      <c r="C208" s="6" t="s">
        <v>7592</v>
      </c>
      <c r="D208" s="5" t="s">
        <v>7591</v>
      </c>
      <c r="E208" s="9" t="str">
        <f>HYPERLINK("https://twitter.com/Yazahra31324/status/1045676736875253760","1045676736875253760")</f>
        <v>1045676736875253760</v>
      </c>
      <c r="F208" s="4"/>
      <c r="G208" s="4"/>
      <c r="H208" s="4"/>
      <c r="I208" s="10" t="str">
        <f>HYPERLINK("http://twitter.com/download/android","Twitter for Android")</f>
        <v>Twitter for Android</v>
      </c>
      <c r="J208" s="2">
        <v>469</v>
      </c>
      <c r="K208" s="2">
        <v>966</v>
      </c>
      <c r="L208" s="2">
        <v>0</v>
      </c>
      <c r="M208" s="2"/>
      <c r="N208" s="8">
        <v>43078.820543981477</v>
      </c>
      <c r="O208" s="4" t="s">
        <v>7590</v>
      </c>
      <c r="P208" s="3" t="s">
        <v>7589</v>
      </c>
      <c r="Q208" s="10" t="s">
        <v>6820</v>
      </c>
      <c r="R208" s="4"/>
      <c r="S208" s="9" t="str">
        <f>HYPERLINK("https://pbs.twimg.com/profile_images/955372340891746305/jDIw7DRe.jpg","View")</f>
        <v>View</v>
      </c>
    </row>
    <row r="209" spans="1:19" ht="40">
      <c r="A209" s="8">
        <v>43371.735185185185</v>
      </c>
      <c r="B209" s="11" t="str">
        <f>HYPERLINK("https://twitter.com/freeman313313","@freeman313313")</f>
        <v>@freeman313313</v>
      </c>
      <c r="C209" s="6" t="s">
        <v>7588</v>
      </c>
      <c r="D209" s="5" t="s">
        <v>7587</v>
      </c>
      <c r="E209" s="9" t="str">
        <f>HYPERLINK("https://twitter.com/freeman313313/status/1045676671364472833","1045676671364472833")</f>
        <v>1045676671364472833</v>
      </c>
      <c r="F209" s="4"/>
      <c r="G209" s="4"/>
      <c r="H209" s="4"/>
      <c r="I209" s="10" t="str">
        <f>HYPERLINK("http://twitter.com/download/android","Twitter for Android")</f>
        <v>Twitter for Android</v>
      </c>
      <c r="J209" s="2">
        <v>19</v>
      </c>
      <c r="K209" s="2">
        <v>24</v>
      </c>
      <c r="L209" s="2">
        <v>0</v>
      </c>
      <c r="M209" s="2"/>
      <c r="N209" s="8">
        <v>43307.98165509259</v>
      </c>
      <c r="O209" s="4"/>
      <c r="P209" s="3"/>
      <c r="Q209" s="4"/>
      <c r="R209" s="4"/>
      <c r="S209" s="9" t="str">
        <f>HYPERLINK("https://pbs.twimg.com/profile_images/1025385859388911618/1uUJqXfl.jpg","View")</f>
        <v>View</v>
      </c>
    </row>
    <row r="210" spans="1:19" ht="50">
      <c r="A210" s="8">
        <v>43371.734699074077</v>
      </c>
      <c r="B210" s="11" t="str">
        <f>HYPERLINK("https://twitter.com/ghasedak12813","@ghasedak12813")</f>
        <v>@ghasedak12813</v>
      </c>
      <c r="C210" s="6" t="s">
        <v>7584</v>
      </c>
      <c r="D210" s="5" t="s">
        <v>7586</v>
      </c>
      <c r="E210" s="9" t="str">
        <f>HYPERLINK("https://twitter.com/ghasedak12813/status/1045676493966372865","1045676493966372865")</f>
        <v>1045676493966372865</v>
      </c>
      <c r="F210" s="4"/>
      <c r="G210" s="4"/>
      <c r="H210" s="4"/>
      <c r="I210" s="10" t="str">
        <f>HYPERLINK("http://twitter.com/download/android","Twitter for Android")</f>
        <v>Twitter for Android</v>
      </c>
      <c r="J210" s="2">
        <v>732</v>
      </c>
      <c r="K210" s="2">
        <v>1396</v>
      </c>
      <c r="L210" s="2">
        <v>0</v>
      </c>
      <c r="M210" s="2"/>
      <c r="N210" s="8">
        <v>42830.449976851851</v>
      </c>
      <c r="O210" s="4" t="s">
        <v>62</v>
      </c>
      <c r="P210" s="3" t="s">
        <v>7582</v>
      </c>
      <c r="Q210" s="10" t="s">
        <v>7581</v>
      </c>
      <c r="R210" s="4"/>
      <c r="S210" s="9" t="str">
        <f>HYPERLINK("https://pbs.twimg.com/profile_images/1019077599253975040/CQEyBOzG.jpg","View")</f>
        <v>View</v>
      </c>
    </row>
    <row r="211" spans="1:19" ht="50">
      <c r="A211" s="8">
        <v>43371.734305555554</v>
      </c>
      <c r="B211" s="11" t="str">
        <f>HYPERLINK("https://twitter.com/ghasedak12813","@ghasedak12813")</f>
        <v>@ghasedak12813</v>
      </c>
      <c r="C211" s="6" t="s">
        <v>7584</v>
      </c>
      <c r="D211" s="5" t="s">
        <v>7585</v>
      </c>
      <c r="E211" s="9" t="str">
        <f>HYPERLINK("https://twitter.com/ghasedak12813/status/1045676352274354177","1045676352274354177")</f>
        <v>1045676352274354177</v>
      </c>
      <c r="F211" s="4"/>
      <c r="G211" s="4"/>
      <c r="H211" s="4"/>
      <c r="I211" s="10" t="str">
        <f>HYPERLINK("http://twitter.com/download/android","Twitter for Android")</f>
        <v>Twitter for Android</v>
      </c>
      <c r="J211" s="2">
        <v>732</v>
      </c>
      <c r="K211" s="2">
        <v>1396</v>
      </c>
      <c r="L211" s="2">
        <v>0</v>
      </c>
      <c r="M211" s="2"/>
      <c r="N211" s="8">
        <v>42830.449976851851</v>
      </c>
      <c r="O211" s="4" t="s">
        <v>62</v>
      </c>
      <c r="P211" s="3" t="s">
        <v>7582</v>
      </c>
      <c r="Q211" s="10" t="s">
        <v>7581</v>
      </c>
      <c r="R211" s="4"/>
      <c r="S211" s="9" t="str">
        <f>HYPERLINK("https://pbs.twimg.com/profile_images/1019077599253975040/CQEyBOzG.jpg","View")</f>
        <v>View</v>
      </c>
    </row>
    <row r="212" spans="1:19" ht="50">
      <c r="A212" s="8">
        <v>43371.733969907407</v>
      </c>
      <c r="B212" s="11" t="str">
        <f>HYPERLINK("https://twitter.com/ghasedak12813","@ghasedak12813")</f>
        <v>@ghasedak12813</v>
      </c>
      <c r="C212" s="6" t="s">
        <v>7584</v>
      </c>
      <c r="D212" s="5" t="s">
        <v>7583</v>
      </c>
      <c r="E212" s="9" t="str">
        <f>HYPERLINK("https://twitter.com/ghasedak12813/status/1045676230035615745","1045676230035615745")</f>
        <v>1045676230035615745</v>
      </c>
      <c r="F212" s="4"/>
      <c r="G212" s="4"/>
      <c r="H212" s="4"/>
      <c r="I212" s="10" t="str">
        <f>HYPERLINK("http://twitter.com/download/android","Twitter for Android")</f>
        <v>Twitter for Android</v>
      </c>
      <c r="J212" s="2">
        <v>732</v>
      </c>
      <c r="K212" s="2">
        <v>1396</v>
      </c>
      <c r="L212" s="2">
        <v>0</v>
      </c>
      <c r="M212" s="2"/>
      <c r="N212" s="8">
        <v>42830.449976851851</v>
      </c>
      <c r="O212" s="4" t="s">
        <v>62</v>
      </c>
      <c r="P212" s="3" t="s">
        <v>7582</v>
      </c>
      <c r="Q212" s="10" t="s">
        <v>7581</v>
      </c>
      <c r="R212" s="4"/>
      <c r="S212" s="9" t="str">
        <f>HYPERLINK("https://pbs.twimg.com/profile_images/1019077599253975040/CQEyBOzG.jpg","View")</f>
        <v>View</v>
      </c>
    </row>
    <row r="213" spans="1:19" ht="40">
      <c r="A213" s="8">
        <v>43371.732962962968</v>
      </c>
      <c r="B213" s="11" t="str">
        <f>HYPERLINK("https://twitter.com/AliErfan96","@AliErfan96")</f>
        <v>@AliErfan96</v>
      </c>
      <c r="C213" s="6" t="s">
        <v>7580</v>
      </c>
      <c r="D213" s="5" t="s">
        <v>7579</v>
      </c>
      <c r="E213" s="9" t="str">
        <f>HYPERLINK("https://twitter.com/AliErfan96/status/1045675866322345984","1045675866322345984")</f>
        <v>1045675866322345984</v>
      </c>
      <c r="F213" s="4"/>
      <c r="G213" s="4"/>
      <c r="H213" s="4"/>
      <c r="I213" s="10" t="str">
        <f>HYPERLINK("http://twitter.com/download/android","Twitter for Android")</f>
        <v>Twitter for Android</v>
      </c>
      <c r="J213" s="2">
        <v>6707</v>
      </c>
      <c r="K213" s="2">
        <v>7388</v>
      </c>
      <c r="L213" s="2">
        <v>5</v>
      </c>
      <c r="M213" s="2"/>
      <c r="N213" s="8">
        <v>42560.167986111112</v>
      </c>
      <c r="O213" s="4" t="s">
        <v>10</v>
      </c>
      <c r="P213" s="3" t="s">
        <v>7578</v>
      </c>
      <c r="Q213" s="10" t="s">
        <v>7577</v>
      </c>
      <c r="R213" s="4"/>
      <c r="S213" s="9" t="str">
        <f>HYPERLINK("https://pbs.twimg.com/profile_images/1044267152650489856/qnQZGzxc.jpg","View")</f>
        <v>View</v>
      </c>
    </row>
    <row r="214" spans="1:19" ht="20">
      <c r="A214" s="8">
        <v>43371.732152777782</v>
      </c>
      <c r="B214" s="11" t="str">
        <f>HYPERLINK("https://twitter.com/Mohamad56357426","@Mohamad56357426")</f>
        <v>@Mohamad56357426</v>
      </c>
      <c r="C214" s="6" t="s">
        <v>7576</v>
      </c>
      <c r="D214" s="5" t="s">
        <v>7575</v>
      </c>
      <c r="E214" s="9" t="str">
        <f>HYPERLINK("https://twitter.com/Mohamad56357426/status/1045675571844448256","1045675571844448256")</f>
        <v>1045675571844448256</v>
      </c>
      <c r="F214" s="4"/>
      <c r="G214" s="10" t="s">
        <v>7574</v>
      </c>
      <c r="H214" s="4"/>
      <c r="I214" s="10" t="str">
        <f>HYPERLINK("http://twitter.com/download/iphone","Twitter for iPhone")</f>
        <v>Twitter for iPhone</v>
      </c>
      <c r="J214" s="2">
        <v>938</v>
      </c>
      <c r="K214" s="2">
        <v>1558</v>
      </c>
      <c r="L214" s="2">
        <v>2</v>
      </c>
      <c r="M214" s="2"/>
      <c r="N214" s="8">
        <v>43230.557152777779</v>
      </c>
      <c r="O214" s="4"/>
      <c r="P214" s="3"/>
      <c r="Q214" s="4"/>
      <c r="R214" s="4"/>
      <c r="S214" s="9" t="str">
        <f>HYPERLINK("https://pbs.twimg.com/profile_images/1034772200606388224/_zjkRgoE.jpg","View")</f>
        <v>View</v>
      </c>
    </row>
    <row r="215" spans="1:19" ht="30">
      <c r="A215" s="8">
        <v>43371.731122685189</v>
      </c>
      <c r="B215" s="11" t="str">
        <f>HYPERLINK("https://twitter.com/Ali6and4","@Ali6and4")</f>
        <v>@Ali6and4</v>
      </c>
      <c r="C215" s="6" t="s">
        <v>1366</v>
      </c>
      <c r="D215" s="5" t="s">
        <v>7573</v>
      </c>
      <c r="E215" s="9" t="str">
        <f>HYPERLINK("https://twitter.com/Ali6and4/status/1045675196605222912","1045675196605222912")</f>
        <v>1045675196605222912</v>
      </c>
      <c r="F215" s="4"/>
      <c r="G215" s="10" t="s">
        <v>7572</v>
      </c>
      <c r="H215" s="4"/>
      <c r="I215" s="10" t="str">
        <f>HYPERLINK("http://twitter.com","Twitter Web Client")</f>
        <v>Twitter Web Client</v>
      </c>
      <c r="J215" s="2">
        <v>19</v>
      </c>
      <c r="K215" s="2">
        <v>24</v>
      </c>
      <c r="L215" s="2">
        <v>0</v>
      </c>
      <c r="M215" s="2"/>
      <c r="N215" s="8">
        <v>43114.609976851847</v>
      </c>
      <c r="O215" s="4" t="s">
        <v>1363</v>
      </c>
      <c r="P215" s="3" t="s">
        <v>1362</v>
      </c>
      <c r="Q215" s="4"/>
      <c r="R215" s="4"/>
      <c r="S215" s="9" t="str">
        <f>HYPERLINK("https://pbs.twimg.com/profile_images/1031429916544233473/KzVISJBe.jpg","View")</f>
        <v>View</v>
      </c>
    </row>
    <row r="216" spans="1:19" ht="30">
      <c r="A216" s="8">
        <v>43371.730567129634</v>
      </c>
      <c r="B216" s="11" t="str">
        <f>HYPERLINK("https://twitter.com/cmsbmd","@cmsbmd")</f>
        <v>@cmsbmd</v>
      </c>
      <c r="C216" s="6" t="s">
        <v>7571</v>
      </c>
      <c r="D216" s="5" t="s">
        <v>7570</v>
      </c>
      <c r="E216" s="9" t="str">
        <f>HYPERLINK("https://twitter.com/cmsbmd/status/1045674997199654913","1045674997199654913")</f>
        <v>1045674997199654913</v>
      </c>
      <c r="F216" s="4"/>
      <c r="G216" s="4"/>
      <c r="H216" s="4"/>
      <c r="I216" s="10" t="str">
        <f>HYPERLINK("http://twitter.com/download/android","Twitter for Android")</f>
        <v>Twitter for Android</v>
      </c>
      <c r="J216" s="2">
        <v>32</v>
      </c>
      <c r="K216" s="2">
        <v>39</v>
      </c>
      <c r="L216" s="2">
        <v>1</v>
      </c>
      <c r="M216" s="2"/>
      <c r="N216" s="8">
        <v>42885.7034375</v>
      </c>
      <c r="O216" s="4"/>
      <c r="P216" s="3" t="s">
        <v>7569</v>
      </c>
      <c r="Q216" s="4"/>
      <c r="R216" s="4"/>
      <c r="S216" s="9" t="str">
        <f>HYPERLINK("https://pbs.twimg.com/profile_images/1038667174892601344/Qk7n2x-t.jpg","View")</f>
        <v>View</v>
      </c>
    </row>
    <row r="217" spans="1:19" ht="20">
      <c r="A217" s="8">
        <v>43371.727372685185</v>
      </c>
      <c r="B217" s="11" t="str">
        <f>HYPERLINK("https://twitter.com/radiodelvazheh","@radiodelvazheh")</f>
        <v>@radiodelvazheh</v>
      </c>
      <c r="C217" s="6" t="s">
        <v>7554</v>
      </c>
      <c r="D217" s="5" t="s">
        <v>7568</v>
      </c>
      <c r="E217" s="9" t="str">
        <f>HYPERLINK("https://twitter.com/radiodelvazheh/status/1045673840712593409","1045673840712593409")</f>
        <v>1045673840712593409</v>
      </c>
      <c r="F217" s="4"/>
      <c r="G217" s="10" t="s">
        <v>7567</v>
      </c>
      <c r="H217" s="4"/>
      <c r="I217" s="10" t="str">
        <f>HYPERLINK("http://twitter.com/download/android","Twitter for Android")</f>
        <v>Twitter for Android</v>
      </c>
      <c r="J217" s="2">
        <v>4125</v>
      </c>
      <c r="K217" s="2">
        <v>2627</v>
      </c>
      <c r="L217" s="2">
        <v>5</v>
      </c>
      <c r="M217" s="2"/>
      <c r="N217" s="8">
        <v>42688.331701388888</v>
      </c>
      <c r="O217" s="4" t="s">
        <v>7552</v>
      </c>
      <c r="P217" s="3" t="s">
        <v>7551</v>
      </c>
      <c r="Q217" s="4"/>
      <c r="R217" s="4"/>
      <c r="S217" s="9" t="str">
        <f>HYPERLINK("https://pbs.twimg.com/profile_images/1039816156406796288/9-zuWYum.jpg","View")</f>
        <v>View</v>
      </c>
    </row>
    <row r="218" spans="1:19" ht="40">
      <c r="A218" s="8">
        <v>43371.724444444444</v>
      </c>
      <c r="B218" s="11" t="str">
        <f>HYPERLINK("https://twitter.com/tashyar_arya","@tashyar_arya")</f>
        <v>@tashyar_arya</v>
      </c>
      <c r="C218" s="6" t="s">
        <v>7560</v>
      </c>
      <c r="D218" s="5" t="s">
        <v>7566</v>
      </c>
      <c r="E218" s="9" t="str">
        <f>HYPERLINK("https://twitter.com/tashyar_arya/status/1045672776655417344","1045672776655417344")</f>
        <v>1045672776655417344</v>
      </c>
      <c r="F218" s="4"/>
      <c r="G218" s="4"/>
      <c r="H218" s="4"/>
      <c r="I218" s="10" t="str">
        <f>HYPERLINK("http://twitter.com/download/android","Twitter for Android")</f>
        <v>Twitter for Android</v>
      </c>
      <c r="J218" s="2">
        <v>113</v>
      </c>
      <c r="K218" s="2">
        <v>32</v>
      </c>
      <c r="L218" s="2">
        <v>0</v>
      </c>
      <c r="M218" s="2"/>
      <c r="N218" s="8">
        <v>43128.103993055556</v>
      </c>
      <c r="O218" s="4"/>
      <c r="P218" s="3" t="s">
        <v>7558</v>
      </c>
      <c r="Q218" s="4"/>
      <c r="R218" s="4"/>
      <c r="S218" s="9" t="str">
        <f>HYPERLINK("https://pbs.twimg.com/profile_images/989850561024376833/Tyi4oLeg.jpg","View")</f>
        <v>View</v>
      </c>
    </row>
    <row r="219" spans="1:19" ht="20">
      <c r="A219" s="8">
        <v>43371.7184375</v>
      </c>
      <c r="B219" s="11" t="str">
        <f>HYPERLINK("https://twitter.com/aaa_dddiii","@aaa_dddiii")</f>
        <v>@aaa_dddiii</v>
      </c>
      <c r="C219" s="6" t="s">
        <v>7565</v>
      </c>
      <c r="D219" s="5" t="s">
        <v>7564</v>
      </c>
      <c r="E219" s="9" t="str">
        <f>HYPERLINK("https://twitter.com/aaa_dddiii/status/1045670599140544517","1045670599140544517")</f>
        <v>1045670599140544517</v>
      </c>
      <c r="F219" s="4"/>
      <c r="G219" s="10" t="s">
        <v>7563</v>
      </c>
      <c r="H219" s="4"/>
      <c r="I219" s="10" t="str">
        <f>HYPERLINK("http://twitter.com/download/iphone","Twitter for iPhone")</f>
        <v>Twitter for iPhone</v>
      </c>
      <c r="J219" s="2">
        <v>113</v>
      </c>
      <c r="K219" s="2">
        <v>201</v>
      </c>
      <c r="L219" s="2">
        <v>1</v>
      </c>
      <c r="M219" s="2"/>
      <c r="N219" s="8">
        <v>40903.032893518517</v>
      </c>
      <c r="O219" s="4" t="s">
        <v>311</v>
      </c>
      <c r="P219" s="3" t="s">
        <v>7562</v>
      </c>
      <c r="Q219" s="10" t="s">
        <v>7561</v>
      </c>
      <c r="R219" s="4"/>
      <c r="S219" s="9" t="str">
        <f>HYPERLINK("https://pbs.twimg.com/profile_images/1040919705165475841/dnyjZwgL.jpg","View")</f>
        <v>View</v>
      </c>
    </row>
    <row r="220" spans="1:19" ht="40">
      <c r="A220" s="8">
        <v>43371.715717592597</v>
      </c>
      <c r="B220" s="11" t="str">
        <f>HYPERLINK("https://twitter.com/tashyar_arya","@tashyar_arya")</f>
        <v>@tashyar_arya</v>
      </c>
      <c r="C220" s="6" t="s">
        <v>7560</v>
      </c>
      <c r="D220" s="5" t="s">
        <v>7559</v>
      </c>
      <c r="E220" s="9" t="str">
        <f>HYPERLINK("https://twitter.com/tashyar_arya/status/1045669613017739265","1045669613017739265")</f>
        <v>1045669613017739265</v>
      </c>
      <c r="F220" s="4"/>
      <c r="G220" s="4"/>
      <c r="H220" s="4"/>
      <c r="I220" s="10" t="str">
        <f>HYPERLINK("http://twitter.com/download/android","Twitter for Android")</f>
        <v>Twitter for Android</v>
      </c>
      <c r="J220" s="2">
        <v>113</v>
      </c>
      <c r="K220" s="2">
        <v>32</v>
      </c>
      <c r="L220" s="2">
        <v>0</v>
      </c>
      <c r="M220" s="2"/>
      <c r="N220" s="8">
        <v>43128.103993055556</v>
      </c>
      <c r="O220" s="4"/>
      <c r="P220" s="3" t="s">
        <v>7558</v>
      </c>
      <c r="Q220" s="4"/>
      <c r="R220" s="4"/>
      <c r="S220" s="9" t="str">
        <f>HYPERLINK("https://pbs.twimg.com/profile_images/989850561024376833/Tyi4oLeg.jpg","View")</f>
        <v>View</v>
      </c>
    </row>
    <row r="221" spans="1:19" ht="30">
      <c r="A221" s="8">
        <v>43371.715532407412</v>
      </c>
      <c r="B221" s="11" t="str">
        <f>HYPERLINK("https://twitter.com/fatfootish","@fatfootish")</f>
        <v>@fatfootish</v>
      </c>
      <c r="C221" s="6" t="s">
        <v>7514</v>
      </c>
      <c r="D221" s="5" t="s">
        <v>7557</v>
      </c>
      <c r="E221" s="9" t="str">
        <f>HYPERLINK("https://twitter.com/fatfootish/status/1045669547167092737","1045669547167092737")</f>
        <v>1045669547167092737</v>
      </c>
      <c r="F221" s="4"/>
      <c r="G221" s="4"/>
      <c r="H221" s="4"/>
      <c r="I221" s="10" t="str">
        <f>HYPERLINK("http://twitter.com/download/android","Twitter for Android")</f>
        <v>Twitter for Android</v>
      </c>
      <c r="J221" s="2">
        <v>138</v>
      </c>
      <c r="K221" s="2">
        <v>1034</v>
      </c>
      <c r="L221" s="2">
        <v>0</v>
      </c>
      <c r="M221" s="2"/>
      <c r="N221" s="8">
        <v>43278.568807870368</v>
      </c>
      <c r="O221" s="4"/>
      <c r="P221" s="3" t="s">
        <v>7511</v>
      </c>
      <c r="Q221" s="4"/>
      <c r="R221" s="4"/>
      <c r="S221" s="9" t="str">
        <f>HYPERLINK("https://pbs.twimg.com/profile_images/1045633215627763712/1zl92WOC.jpg","View")</f>
        <v>View</v>
      </c>
    </row>
    <row r="222" spans="1:19" ht="30">
      <c r="A222" s="8">
        <v>43371.71493055555</v>
      </c>
      <c r="B222" s="11" t="str">
        <f>HYPERLINK("https://twitter.com/Ali6and4","@Ali6and4")</f>
        <v>@Ali6and4</v>
      </c>
      <c r="C222" s="6" t="s">
        <v>1366</v>
      </c>
      <c r="D222" s="5" t="s">
        <v>7556</v>
      </c>
      <c r="E222" s="9" t="str">
        <f>HYPERLINK("https://twitter.com/Ali6and4/status/1045669330652934144","1045669330652934144")</f>
        <v>1045669330652934144</v>
      </c>
      <c r="F222" s="4"/>
      <c r="G222" s="10" t="s">
        <v>7555</v>
      </c>
      <c r="H222" s="4"/>
      <c r="I222" s="10" t="str">
        <f>HYPERLINK("http://twitter.com","Twitter Web Client")</f>
        <v>Twitter Web Client</v>
      </c>
      <c r="J222" s="2">
        <v>19</v>
      </c>
      <c r="K222" s="2">
        <v>24</v>
      </c>
      <c r="L222" s="2">
        <v>0</v>
      </c>
      <c r="M222" s="2"/>
      <c r="N222" s="8">
        <v>43114.609976851847</v>
      </c>
      <c r="O222" s="4" t="s">
        <v>1363</v>
      </c>
      <c r="P222" s="3" t="s">
        <v>1362</v>
      </c>
      <c r="Q222" s="4"/>
      <c r="R222" s="4"/>
      <c r="S222" s="9" t="str">
        <f>HYPERLINK("https://pbs.twimg.com/profile_images/1031429916544233473/KzVISJBe.jpg","View")</f>
        <v>View</v>
      </c>
    </row>
    <row r="223" spans="1:19" ht="30">
      <c r="A223" s="8">
        <v>43371.71292824074</v>
      </c>
      <c r="B223" s="11" t="str">
        <f>HYPERLINK("https://twitter.com/radiodelvazheh","@radiodelvazheh")</f>
        <v>@radiodelvazheh</v>
      </c>
      <c r="C223" s="6" t="s">
        <v>7554</v>
      </c>
      <c r="D223" s="5" t="s">
        <v>7553</v>
      </c>
      <c r="E223" s="9" t="str">
        <f>HYPERLINK("https://twitter.com/radiodelvazheh/status/1045668603998216192","1045668603998216192")</f>
        <v>1045668603998216192</v>
      </c>
      <c r="F223" s="4"/>
      <c r="G223" s="4"/>
      <c r="H223" s="4"/>
      <c r="I223" s="10" t="str">
        <f>HYPERLINK("http://twitter.com/download/android","Twitter for Android")</f>
        <v>Twitter for Android</v>
      </c>
      <c r="J223" s="2">
        <v>4125</v>
      </c>
      <c r="K223" s="2">
        <v>2627</v>
      </c>
      <c r="L223" s="2">
        <v>5</v>
      </c>
      <c r="M223" s="2"/>
      <c r="N223" s="8">
        <v>42688.331701388888</v>
      </c>
      <c r="O223" s="4" t="s">
        <v>7552</v>
      </c>
      <c r="P223" s="3" t="s">
        <v>7551</v>
      </c>
      <c r="Q223" s="4"/>
      <c r="R223" s="4"/>
      <c r="S223" s="9" t="str">
        <f>HYPERLINK("https://pbs.twimg.com/profile_images/1039816156406796288/9-zuWYum.jpg","View")</f>
        <v>View</v>
      </c>
    </row>
    <row r="224" spans="1:19" ht="20">
      <c r="A224" s="8">
        <v>43371.706967592589</v>
      </c>
      <c r="B224" s="11" t="str">
        <f>HYPERLINK("https://twitter.com/kheng7496","@kheng7496")</f>
        <v>@kheng7496</v>
      </c>
      <c r="C224" s="6" t="s">
        <v>3307</v>
      </c>
      <c r="D224" s="5" t="s">
        <v>7550</v>
      </c>
      <c r="E224" s="9" t="str">
        <f>HYPERLINK("https://twitter.com/kheng7496/status/1045666446230122497","1045666446230122497")</f>
        <v>1045666446230122497</v>
      </c>
      <c r="F224" s="4"/>
      <c r="G224" s="10" t="s">
        <v>7549</v>
      </c>
      <c r="H224" s="4"/>
      <c r="I224" s="10" t="str">
        <f>HYPERLINK("http://twitter.com/download/android","Twitter for Android")</f>
        <v>Twitter for Android</v>
      </c>
      <c r="J224" s="2">
        <v>63</v>
      </c>
      <c r="K224" s="2">
        <v>60</v>
      </c>
      <c r="L224" s="2">
        <v>0</v>
      </c>
      <c r="M224" s="2"/>
      <c r="N224" s="8">
        <v>43357.926168981481</v>
      </c>
      <c r="O224" s="4" t="s">
        <v>10</v>
      </c>
      <c r="P224" s="3"/>
      <c r="Q224" s="4"/>
      <c r="R224" s="4"/>
      <c r="S224" s="9" t="str">
        <f>HYPERLINK("https://pbs.twimg.com/profile_images/1043191325976403968/jqFx0GlA.jpg","View")</f>
        <v>View</v>
      </c>
    </row>
    <row r="225" spans="1:19" ht="40">
      <c r="A225" s="8">
        <v>43371.699733796297</v>
      </c>
      <c r="B225" s="11" t="str">
        <f>HYPERLINK("https://twitter.com/Tasnimnews_Fa","@Tasnimnews_Fa")</f>
        <v>@Tasnimnews_Fa</v>
      </c>
      <c r="C225" s="6" t="s">
        <v>3472</v>
      </c>
      <c r="D225" s="5" t="s">
        <v>7548</v>
      </c>
      <c r="E225" s="9" t="str">
        <f>HYPERLINK("https://twitter.com/Tasnimnews_Fa/status/1045663823871594496","1045663823871594496")</f>
        <v>1045663823871594496</v>
      </c>
      <c r="F225" s="4"/>
      <c r="G225" s="4"/>
      <c r="H225" s="4"/>
      <c r="I225" s="10" t="str">
        <f>HYPERLINK("http://twitter.com/download/iphone","Twitter for iPhone")</f>
        <v>Twitter for iPhone</v>
      </c>
      <c r="J225" s="2">
        <v>111132</v>
      </c>
      <c r="K225" s="2">
        <v>19</v>
      </c>
      <c r="L225" s="2">
        <v>394</v>
      </c>
      <c r="M225" s="2" t="s">
        <v>1701</v>
      </c>
      <c r="N225" s="8">
        <v>41868.671585648146</v>
      </c>
      <c r="O225" s="4" t="s">
        <v>10</v>
      </c>
      <c r="P225" s="3" t="s">
        <v>3469</v>
      </c>
      <c r="Q225" s="10" t="s">
        <v>3468</v>
      </c>
      <c r="R225" s="4"/>
      <c r="S225" s="9" t="str">
        <f>HYPERLINK("https://pbs.twimg.com/profile_images/942003149430239232/hvLw_1_E.jpg","View")</f>
        <v>View</v>
      </c>
    </row>
    <row r="226" spans="1:19" ht="40">
      <c r="A226" s="8">
        <v>43371.687465277777</v>
      </c>
      <c r="B226" s="11" t="str">
        <f>HYPERLINK("https://twitter.com/MortezaGasemi66","@MortezaGasemi66")</f>
        <v>@MortezaGasemi66</v>
      </c>
      <c r="C226" s="6" t="s">
        <v>7547</v>
      </c>
      <c r="D226" s="5" t="s">
        <v>7546</v>
      </c>
      <c r="E226" s="9" t="str">
        <f>HYPERLINK("https://twitter.com/MortezaGasemi66/status/1045659375401160704","1045659375401160704")</f>
        <v>1045659375401160704</v>
      </c>
      <c r="F226" s="4"/>
      <c r="G226" s="4"/>
      <c r="H226" s="4"/>
      <c r="I226" s="10" t="str">
        <f>HYPERLINK("http://twitter.com","Twitter Web Client")</f>
        <v>Twitter Web Client</v>
      </c>
      <c r="J226" s="2">
        <v>354</v>
      </c>
      <c r="K226" s="2">
        <v>69</v>
      </c>
      <c r="L226" s="2">
        <v>2</v>
      </c>
      <c r="M226" s="2"/>
      <c r="N226" s="8">
        <v>43171.879444444443</v>
      </c>
      <c r="O226" s="4"/>
      <c r="P226" s="3" t="s">
        <v>7545</v>
      </c>
      <c r="Q226" s="4"/>
      <c r="R226" s="4"/>
      <c r="S226" s="9" t="str">
        <f>HYPERLINK("https://pbs.twimg.com/profile_images/973258282994487296/py6bItR_.jpg","View")</f>
        <v>View</v>
      </c>
    </row>
    <row r="227" spans="1:19" ht="30">
      <c r="A227" s="8">
        <v>43371.687453703707</v>
      </c>
      <c r="B227" s="11" t="str">
        <f>HYPERLINK("https://twitter.com/TakiTachibanah","@TakiTachibanah")</f>
        <v>@TakiTachibanah</v>
      </c>
      <c r="C227" s="6" t="s">
        <v>7544</v>
      </c>
      <c r="D227" s="5" t="s">
        <v>7543</v>
      </c>
      <c r="E227" s="9" t="str">
        <f>HYPERLINK("https://twitter.com/TakiTachibanah/status/1045659370820907008","1045659370820907008")</f>
        <v>1045659370820907008</v>
      </c>
      <c r="F227" s="4"/>
      <c r="G227" s="4"/>
      <c r="H227" s="4"/>
      <c r="I227" s="10" t="str">
        <f>HYPERLINK("http://twitter.com/download/android","Twitter for Android")</f>
        <v>Twitter for Android</v>
      </c>
      <c r="J227" s="2">
        <v>4542</v>
      </c>
      <c r="K227" s="2">
        <v>4973</v>
      </c>
      <c r="L227" s="2">
        <v>0</v>
      </c>
      <c r="M227" s="2"/>
      <c r="N227" s="8">
        <v>40177.349745370375</v>
      </c>
      <c r="O227" s="4"/>
      <c r="P227" s="3" t="s">
        <v>7542</v>
      </c>
      <c r="Q227" s="4"/>
      <c r="R227" s="4"/>
      <c r="S227" s="9" t="str">
        <f>HYPERLINK("https://pbs.twimg.com/profile_images/1042318129429405696/hgjoD5WN.jpg","View")</f>
        <v>View</v>
      </c>
    </row>
    <row r="228" spans="1:19" ht="12.5">
      <c r="A228" s="8">
        <v>43371.675567129627</v>
      </c>
      <c r="B228" s="11" t="str">
        <f>HYPERLINK("https://twitter.com/Mohamma17715362","@Mohamma17715362")</f>
        <v>@Mohamma17715362</v>
      </c>
      <c r="C228" s="6" t="s">
        <v>7541</v>
      </c>
      <c r="D228" s="5" t="s">
        <v>4988</v>
      </c>
      <c r="E228" s="9" t="str">
        <f>HYPERLINK("https://twitter.com/Mohamma17715362/status/1045655063404957696","1045655063404957696")</f>
        <v>1045655063404957696</v>
      </c>
      <c r="F228" s="4"/>
      <c r="G228" s="4"/>
      <c r="H228" s="4"/>
      <c r="I228" s="10" t="str">
        <f>HYPERLINK("http://twitter.com/download/android","Twitter for Android")</f>
        <v>Twitter for Android</v>
      </c>
      <c r="J228" s="2">
        <v>1</v>
      </c>
      <c r="K228" s="2">
        <v>12</v>
      </c>
      <c r="L228" s="2">
        <v>0</v>
      </c>
      <c r="M228" s="2"/>
      <c r="N228" s="8">
        <v>43369.916678240741</v>
      </c>
      <c r="O228" s="4" t="s">
        <v>2959</v>
      </c>
      <c r="P228" s="3" t="s">
        <v>7540</v>
      </c>
      <c r="Q228" s="4"/>
      <c r="R228" s="4"/>
      <c r="S228" s="9" t="str">
        <f>HYPERLINK("https://pbs.twimg.com/profile_images/1045049939959713792/EwdgOUzZ.jpg","View")</f>
        <v>View</v>
      </c>
    </row>
    <row r="229" spans="1:19" ht="30">
      <c r="A229" s="8">
        <v>43371.674444444448</v>
      </c>
      <c r="B229" s="11" t="str">
        <f>HYPERLINK("https://twitter.com/ANTabatabaei14","@ANTabatabaei14")</f>
        <v>@ANTabatabaei14</v>
      </c>
      <c r="C229" s="6" t="s">
        <v>7539</v>
      </c>
      <c r="D229" s="5" t="s">
        <v>7538</v>
      </c>
      <c r="E229" s="9" t="str">
        <f>HYPERLINK("https://twitter.com/ANTabatabaei14/status/1045654657350160384","1045654657350160384")</f>
        <v>1045654657350160384</v>
      </c>
      <c r="F229" s="4"/>
      <c r="G229" s="4"/>
      <c r="H229" s="4"/>
      <c r="I229" s="10" t="str">
        <f>HYPERLINK("http://twitter.com/download/iphone","Twitter for iPhone")</f>
        <v>Twitter for iPhone</v>
      </c>
      <c r="J229" s="2">
        <v>193</v>
      </c>
      <c r="K229" s="2">
        <v>191</v>
      </c>
      <c r="L229" s="2">
        <v>0</v>
      </c>
      <c r="M229" s="2"/>
      <c r="N229" s="8">
        <v>41807.752662037034</v>
      </c>
      <c r="O229" s="4" t="s">
        <v>7537</v>
      </c>
      <c r="P229" s="3" t="s">
        <v>7536</v>
      </c>
      <c r="Q229" s="10" t="s">
        <v>7535</v>
      </c>
      <c r="R229" s="4"/>
      <c r="S229" s="9" t="str">
        <f>HYPERLINK("https://pbs.twimg.com/profile_images/1039980784038432769/F3_tNiZu.jpg","View")</f>
        <v>View</v>
      </c>
    </row>
    <row r="230" spans="1:19" ht="50">
      <c r="A230" s="8">
        <v>43371.667453703703</v>
      </c>
      <c r="B230" s="11" t="str">
        <f>HYPERLINK("https://twitter.com/SHISBR","@SHISBR")</f>
        <v>@SHISBR</v>
      </c>
      <c r="C230" s="6" t="s">
        <v>7534</v>
      </c>
      <c r="D230" s="5" t="s">
        <v>7533</v>
      </c>
      <c r="E230" s="9" t="str">
        <f>HYPERLINK("https://twitter.com/SHISBR/status/1045652125823295488","1045652125823295488")</f>
        <v>1045652125823295488</v>
      </c>
      <c r="F230" s="10" t="s">
        <v>7532</v>
      </c>
      <c r="G230" s="4"/>
      <c r="H230" s="4"/>
      <c r="I230" s="10" t="str">
        <f>HYPERLINK("http://twitter.com/download/android","Twitter for Android")</f>
        <v>Twitter for Android</v>
      </c>
      <c r="J230" s="2">
        <v>156</v>
      </c>
      <c r="K230" s="2">
        <v>217</v>
      </c>
      <c r="L230" s="2">
        <v>1</v>
      </c>
      <c r="M230" s="2"/>
      <c r="N230" s="8">
        <v>41651.120740740742</v>
      </c>
      <c r="O230" s="4"/>
      <c r="P230" s="3" t="s">
        <v>7531</v>
      </c>
      <c r="Q230" s="4"/>
      <c r="R230" s="4"/>
      <c r="S230" s="9" t="str">
        <f>HYPERLINK("https://pbs.twimg.com/profile_images/980191398069784576/OpwO6PWy.jpg","View")</f>
        <v>View</v>
      </c>
    </row>
    <row r="231" spans="1:19" ht="30">
      <c r="A231" s="8">
        <v>43371.665983796294</v>
      </c>
      <c r="B231" s="11" t="str">
        <f>HYPERLINK("https://twitter.com/MOHAMMADGHARA04","@MOHAMMADGHARA04")</f>
        <v>@MOHAMMADGHARA04</v>
      </c>
      <c r="C231" s="6" t="s">
        <v>7525</v>
      </c>
      <c r="D231" s="5" t="s">
        <v>7530</v>
      </c>
      <c r="E231" s="9" t="str">
        <f>HYPERLINK("https://twitter.com/MOHAMMADGHARA04/status/1045651591171321856","1045651591171321856")</f>
        <v>1045651591171321856</v>
      </c>
      <c r="F231" s="4"/>
      <c r="G231" s="4"/>
      <c r="H231" s="4"/>
      <c r="I231" s="10" t="str">
        <f>HYPERLINK("http://twitter.com","Twitter Web Client")</f>
        <v>Twitter Web Client</v>
      </c>
      <c r="J231" s="2">
        <v>59</v>
      </c>
      <c r="K231" s="2">
        <v>145</v>
      </c>
      <c r="L231" s="2">
        <v>0</v>
      </c>
      <c r="M231" s="2"/>
      <c r="N231" s="8">
        <v>43089.62096064815</v>
      </c>
      <c r="O231" s="4" t="s">
        <v>7523</v>
      </c>
      <c r="P231" s="3" t="s">
        <v>2033</v>
      </c>
      <c r="Q231" s="4"/>
      <c r="R231" s="4"/>
      <c r="S231" s="9" t="str">
        <f>HYPERLINK("https://pbs.twimg.com/profile_images/947026598880038912/z0IYHqyv.jpg","View")</f>
        <v>View</v>
      </c>
    </row>
    <row r="232" spans="1:19" ht="20">
      <c r="A232" s="8">
        <v>43371.662453703699</v>
      </c>
      <c r="B232" s="11" t="str">
        <f>HYPERLINK("https://twitter.com/Sheyda101","@Sheyda101")</f>
        <v>@Sheyda101</v>
      </c>
      <c r="C232" s="6" t="s">
        <v>5890</v>
      </c>
      <c r="D232" s="5" t="s">
        <v>7529</v>
      </c>
      <c r="E232" s="9" t="str">
        <f>HYPERLINK("https://twitter.com/Sheyda101/status/1045650310939791360","1045650310939791360")</f>
        <v>1045650310939791360</v>
      </c>
      <c r="F232" s="4"/>
      <c r="G232" s="4"/>
      <c r="H232" s="4"/>
      <c r="I232" s="10" t="str">
        <f>HYPERLINK("https://mobile.twitter.com","Mobile Web (M2)")</f>
        <v>Mobile Web (M2)</v>
      </c>
      <c r="J232" s="2">
        <v>108</v>
      </c>
      <c r="K232" s="2">
        <v>107</v>
      </c>
      <c r="L232" s="2">
        <v>3</v>
      </c>
      <c r="M232" s="2"/>
      <c r="N232" s="8">
        <v>41073.031307870369</v>
      </c>
      <c r="O232" s="4" t="s">
        <v>72</v>
      </c>
      <c r="P232" s="3" t="s">
        <v>5888</v>
      </c>
      <c r="Q232" s="4"/>
      <c r="R232" s="4"/>
      <c r="S232" s="9" t="str">
        <f>HYPERLINK("https://pbs.twimg.com/profile_images/866701782281596929/I6xL8k0z.jpg","View")</f>
        <v>View</v>
      </c>
    </row>
    <row r="233" spans="1:19" ht="12.5">
      <c r="A233" s="8">
        <v>43371.656307870369</v>
      </c>
      <c r="B233" s="11" t="str">
        <f>HYPERLINK("https://twitter.com/PMR0731","@PMR0731")</f>
        <v>@PMR0731</v>
      </c>
      <c r="C233" s="6" t="s">
        <v>423</v>
      </c>
      <c r="D233" s="5" t="s">
        <v>7528</v>
      </c>
      <c r="E233" s="9" t="str">
        <f>HYPERLINK("https://twitter.com/PMR0731/status/1045648083810504705","1045648083810504705")</f>
        <v>1045648083810504705</v>
      </c>
      <c r="F233" s="4"/>
      <c r="G233" s="4"/>
      <c r="H233" s="4"/>
      <c r="I233" s="10" t="str">
        <f>HYPERLINK("http://twitter.com","Twitter Web Client")</f>
        <v>Twitter Web Client</v>
      </c>
      <c r="J233" s="2">
        <v>800</v>
      </c>
      <c r="K233" s="2">
        <v>193</v>
      </c>
      <c r="L233" s="2">
        <v>6</v>
      </c>
      <c r="M233" s="2"/>
      <c r="N233" s="8">
        <v>42590.050578703704</v>
      </c>
      <c r="O233" s="4" t="s">
        <v>420</v>
      </c>
      <c r="P233" s="3" t="s">
        <v>419</v>
      </c>
      <c r="Q233" s="4"/>
      <c r="R233" s="4"/>
      <c r="S233" s="9" t="str">
        <f>HYPERLINK("https://pbs.twimg.com/profile_images/1030356397630926848/x8SmplII.jpg","View")</f>
        <v>View</v>
      </c>
    </row>
    <row r="234" spans="1:19" ht="30">
      <c r="A234" s="8">
        <v>43371.654907407406</v>
      </c>
      <c r="B234" s="11" t="str">
        <f>HYPERLINK("https://twitter.com/MOHAMMADGHARA04","@MOHAMMADGHARA04")</f>
        <v>@MOHAMMADGHARA04</v>
      </c>
      <c r="C234" s="6" t="s">
        <v>7525</v>
      </c>
      <c r="D234" s="5" t="s">
        <v>7527</v>
      </c>
      <c r="E234" s="9" t="str">
        <f>HYPERLINK("https://twitter.com/MOHAMMADGHARA04/status/1045647579722264578","1045647579722264578")</f>
        <v>1045647579722264578</v>
      </c>
      <c r="F234" s="4"/>
      <c r="G234" s="4"/>
      <c r="H234" s="4"/>
      <c r="I234" s="10" t="str">
        <f>HYPERLINK("http://twitter.com","Twitter Web Client")</f>
        <v>Twitter Web Client</v>
      </c>
      <c r="J234" s="2">
        <v>59</v>
      </c>
      <c r="K234" s="2">
        <v>145</v>
      </c>
      <c r="L234" s="2">
        <v>0</v>
      </c>
      <c r="M234" s="2"/>
      <c r="N234" s="8">
        <v>43089.62096064815</v>
      </c>
      <c r="O234" s="4" t="s">
        <v>7523</v>
      </c>
      <c r="P234" s="3" t="s">
        <v>2033</v>
      </c>
      <c r="Q234" s="4"/>
      <c r="R234" s="4"/>
      <c r="S234" s="9" t="str">
        <f>HYPERLINK("https://pbs.twimg.com/profile_images/947026598880038912/z0IYHqyv.jpg","View")</f>
        <v>View</v>
      </c>
    </row>
    <row r="235" spans="1:19" ht="20">
      <c r="A235" s="8">
        <v>43371.653333333335</v>
      </c>
      <c r="B235" s="11" t="str">
        <f>HYPERLINK("https://twitter.com/MOHAMMADGHARA04","@MOHAMMADGHARA04")</f>
        <v>@MOHAMMADGHARA04</v>
      </c>
      <c r="C235" s="6" t="s">
        <v>7525</v>
      </c>
      <c r="D235" s="5" t="s">
        <v>7526</v>
      </c>
      <c r="E235" s="9" t="str">
        <f>HYPERLINK("https://twitter.com/MOHAMMADGHARA04/status/1045647009397567489","1045647009397567489")</f>
        <v>1045647009397567489</v>
      </c>
      <c r="F235" s="4"/>
      <c r="G235" s="4"/>
      <c r="H235" s="4"/>
      <c r="I235" s="10" t="str">
        <f>HYPERLINK("http://twitter.com","Twitter Web Client")</f>
        <v>Twitter Web Client</v>
      </c>
      <c r="J235" s="2">
        <v>59</v>
      </c>
      <c r="K235" s="2">
        <v>145</v>
      </c>
      <c r="L235" s="2">
        <v>0</v>
      </c>
      <c r="M235" s="2"/>
      <c r="N235" s="8">
        <v>43089.62096064815</v>
      </c>
      <c r="O235" s="4" t="s">
        <v>7523</v>
      </c>
      <c r="P235" s="3" t="s">
        <v>2033</v>
      </c>
      <c r="Q235" s="4"/>
      <c r="R235" s="4"/>
      <c r="S235" s="9" t="str">
        <f>HYPERLINK("https://pbs.twimg.com/profile_images/947026598880038912/z0IYHqyv.jpg","View")</f>
        <v>View</v>
      </c>
    </row>
    <row r="236" spans="1:19" ht="12.5">
      <c r="A236" s="8">
        <v>43371.652499999997</v>
      </c>
      <c r="B236" s="11" t="str">
        <f>HYPERLINK("https://twitter.com/MOHAMMADGHARA04","@MOHAMMADGHARA04")</f>
        <v>@MOHAMMADGHARA04</v>
      </c>
      <c r="C236" s="6" t="s">
        <v>7525</v>
      </c>
      <c r="D236" s="5" t="s">
        <v>7524</v>
      </c>
      <c r="E236" s="9" t="str">
        <f>HYPERLINK("https://twitter.com/MOHAMMADGHARA04/status/1045646707160219655","1045646707160219655")</f>
        <v>1045646707160219655</v>
      </c>
      <c r="F236" s="4"/>
      <c r="G236" s="4"/>
      <c r="H236" s="4"/>
      <c r="I236" s="10" t="str">
        <f>HYPERLINK("http://twitter.com","Twitter Web Client")</f>
        <v>Twitter Web Client</v>
      </c>
      <c r="J236" s="2">
        <v>59</v>
      </c>
      <c r="K236" s="2">
        <v>145</v>
      </c>
      <c r="L236" s="2">
        <v>0</v>
      </c>
      <c r="M236" s="2"/>
      <c r="N236" s="8">
        <v>43089.62096064815</v>
      </c>
      <c r="O236" s="4" t="s">
        <v>7523</v>
      </c>
      <c r="P236" s="3" t="s">
        <v>2033</v>
      </c>
      <c r="Q236" s="4"/>
      <c r="R236" s="4"/>
      <c r="S236" s="9" t="str">
        <f>HYPERLINK("https://pbs.twimg.com/profile_images/947026598880038912/z0IYHqyv.jpg","View")</f>
        <v>View</v>
      </c>
    </row>
    <row r="237" spans="1:19" ht="40">
      <c r="A237" s="8">
        <v>43371.651238425926</v>
      </c>
      <c r="B237" s="11" t="str">
        <f>HYPERLINK("https://twitter.com/yaghob_saffari","@yaghob_saffari")</f>
        <v>@yaghob_saffari</v>
      </c>
      <c r="C237" s="6" t="s">
        <v>2043</v>
      </c>
      <c r="D237" s="5" t="s">
        <v>7522</v>
      </c>
      <c r="E237" s="9" t="str">
        <f>HYPERLINK("https://twitter.com/yaghob_saffari/status/1045646246717919234","1045646246717919234")</f>
        <v>1045646246717919234</v>
      </c>
      <c r="F237" s="4"/>
      <c r="G237" s="4"/>
      <c r="H237" s="4"/>
      <c r="I237" s="10" t="str">
        <f>HYPERLINK("http://twitter.com/#!/download/ipad","Twitter for iPad")</f>
        <v>Twitter for iPad</v>
      </c>
      <c r="J237" s="2">
        <v>1532</v>
      </c>
      <c r="K237" s="2">
        <v>873</v>
      </c>
      <c r="L237" s="2">
        <v>5</v>
      </c>
      <c r="M237" s="2"/>
      <c r="N237" s="8">
        <v>43140.915925925925</v>
      </c>
      <c r="O237" s="4"/>
      <c r="P237" s="3" t="s">
        <v>2041</v>
      </c>
      <c r="Q237" s="4"/>
      <c r="R237" s="4"/>
      <c r="S237" s="9" t="str">
        <f>HYPERLINK("https://pbs.twimg.com/profile_images/989926881909661696/nMhQqsnN.jpg","View")</f>
        <v>View</v>
      </c>
    </row>
    <row r="238" spans="1:19" ht="20">
      <c r="A238" s="8">
        <v>43371.649097222224</v>
      </c>
      <c r="B238" s="11" t="str">
        <f>HYPERLINK("https://twitter.com/m_borhaniniya","@m_borhaniniya")</f>
        <v>@m_borhaniniya</v>
      </c>
      <c r="C238" s="6" t="s">
        <v>7521</v>
      </c>
      <c r="D238" s="5" t="s">
        <v>7520</v>
      </c>
      <c r="E238" s="9" t="str">
        <f>HYPERLINK("https://twitter.com/m_borhaniniya/status/1045645473258885121","1045645473258885121")</f>
        <v>1045645473258885121</v>
      </c>
      <c r="F238" s="4"/>
      <c r="G238" s="10" t="s">
        <v>7519</v>
      </c>
      <c r="H238" s="4"/>
      <c r="I238" s="10" t="str">
        <f>HYPERLINK("http://twitter.com/download/android","Twitter for Android")</f>
        <v>Twitter for Android</v>
      </c>
      <c r="J238" s="2">
        <v>33</v>
      </c>
      <c r="K238" s="2">
        <v>2</v>
      </c>
      <c r="L238" s="2">
        <v>0</v>
      </c>
      <c r="M238" s="2"/>
      <c r="N238" s="8">
        <v>43366.464467592596</v>
      </c>
      <c r="O238" s="4" t="s">
        <v>62</v>
      </c>
      <c r="P238" s="3" t="s">
        <v>7518</v>
      </c>
      <c r="Q238" s="10" t="s">
        <v>7517</v>
      </c>
      <c r="R238" s="4"/>
      <c r="S238" s="9" t="str">
        <f>HYPERLINK("https://pbs.twimg.com/profile_images/1043768774166482944/c6n4Atti.jpg","View")</f>
        <v>View</v>
      </c>
    </row>
    <row r="239" spans="1:19" ht="20">
      <c r="A239" s="8">
        <v>43371.647974537038</v>
      </c>
      <c r="B239" s="11" t="str">
        <f>HYPERLINK("https://twitter.com/mohamad_mirzaee","@mohamad_mirzaee")</f>
        <v>@mohamad_mirzaee</v>
      </c>
      <c r="C239" s="6" t="s">
        <v>7401</v>
      </c>
      <c r="D239" s="5" t="s">
        <v>7516</v>
      </c>
      <c r="E239" s="9" t="str">
        <f>HYPERLINK("https://twitter.com/mohamad_mirzaee/status/1045645066730196993","1045645066730196993")</f>
        <v>1045645066730196993</v>
      </c>
      <c r="F239" s="4"/>
      <c r="G239" s="10" t="s">
        <v>7515</v>
      </c>
      <c r="H239" s="4"/>
      <c r="I239" s="10" t="str">
        <f>HYPERLINK("http://twitter.com","Twitter Web Client")</f>
        <v>Twitter Web Client</v>
      </c>
      <c r="J239" s="2">
        <v>2307</v>
      </c>
      <c r="K239" s="2">
        <v>1027</v>
      </c>
      <c r="L239" s="2">
        <v>18</v>
      </c>
      <c r="M239" s="2"/>
      <c r="N239" s="8">
        <v>41759.529826388891</v>
      </c>
      <c r="O239" s="4" t="s">
        <v>7398</v>
      </c>
      <c r="P239" s="3" t="s">
        <v>7397</v>
      </c>
      <c r="Q239" s="4"/>
      <c r="R239" s="4"/>
      <c r="S239" s="9" t="str">
        <f>HYPERLINK("https://pbs.twimg.com/profile_images/923885970738548736/dNupMYO3.jpg","View")</f>
        <v>View</v>
      </c>
    </row>
    <row r="240" spans="1:19" ht="20">
      <c r="A240" s="8">
        <v>43371.637939814813</v>
      </c>
      <c r="B240" s="11" t="str">
        <f>HYPERLINK("https://twitter.com/fatfootish","@fatfootish")</f>
        <v>@fatfootish</v>
      </c>
      <c r="C240" s="6" t="s">
        <v>7514</v>
      </c>
      <c r="D240" s="5" t="s">
        <v>7513</v>
      </c>
      <c r="E240" s="9" t="str">
        <f>HYPERLINK("https://twitter.com/fatfootish/status/1045641428674777089","1045641428674777089")</f>
        <v>1045641428674777089</v>
      </c>
      <c r="F240" s="4"/>
      <c r="G240" s="10" t="s">
        <v>7512</v>
      </c>
      <c r="H240" s="4"/>
      <c r="I240" s="10" t="str">
        <f>HYPERLINK("http://twitter.com/download/android","Twitter for Android")</f>
        <v>Twitter for Android</v>
      </c>
      <c r="J240" s="2">
        <v>138</v>
      </c>
      <c r="K240" s="2">
        <v>1033</v>
      </c>
      <c r="L240" s="2">
        <v>0</v>
      </c>
      <c r="M240" s="2"/>
      <c r="N240" s="8">
        <v>43278.568807870368</v>
      </c>
      <c r="O240" s="4"/>
      <c r="P240" s="3" t="s">
        <v>7511</v>
      </c>
      <c r="Q240" s="4"/>
      <c r="R240" s="4"/>
      <c r="S240" s="9" t="str">
        <f>HYPERLINK("https://pbs.twimg.com/profile_images/1045633215627763712/1zl92WOC.jpg","View")</f>
        <v>View</v>
      </c>
    </row>
    <row r="241" spans="1:19" ht="40">
      <c r="A241" s="8">
        <v>43371.637430555551</v>
      </c>
      <c r="B241" s="11" t="str">
        <f>HYPERLINK("https://twitter.com/Meysam_Royasaz","@Meysam_Royasaz")</f>
        <v>@Meysam_Royasaz</v>
      </c>
      <c r="C241" s="6" t="s">
        <v>7195</v>
      </c>
      <c r="D241" s="5" t="s">
        <v>7510</v>
      </c>
      <c r="E241" s="9" t="str">
        <f>HYPERLINK("https://twitter.com/Meysam_Royasaz/status/1045641245824098310","1045641245824098310")</f>
        <v>1045641245824098310</v>
      </c>
      <c r="F241" s="4"/>
      <c r="G241" s="4"/>
      <c r="H241" s="4"/>
      <c r="I241" s="10" t="str">
        <f>HYPERLINK("http://twitter.com/download/iphone","Twitter for iPhone")</f>
        <v>Twitter for iPhone</v>
      </c>
      <c r="J241" s="2">
        <v>2168</v>
      </c>
      <c r="K241" s="2">
        <v>961</v>
      </c>
      <c r="L241" s="2">
        <v>51</v>
      </c>
      <c r="M241" s="2"/>
      <c r="N241" s="8">
        <v>41018.740624999999</v>
      </c>
      <c r="O241" s="4"/>
      <c r="P241" s="3" t="s">
        <v>7193</v>
      </c>
      <c r="Q241" s="10" t="s">
        <v>7192</v>
      </c>
      <c r="R241" s="4"/>
      <c r="S241" s="9" t="str">
        <f>HYPERLINK("https://pbs.twimg.com/profile_images/984339408454389762/384lf5YV.jpg","View")</f>
        <v>View</v>
      </c>
    </row>
    <row r="242" spans="1:19" ht="20">
      <c r="A242" s="8">
        <v>43371.636342592596</v>
      </c>
      <c r="B242" s="11" t="str">
        <f>HYPERLINK("https://twitter.com/sardarevatan1","@sardarevatan1")</f>
        <v>@sardarevatan1</v>
      </c>
      <c r="C242" s="6" t="s">
        <v>7509</v>
      </c>
      <c r="D242" s="5" t="s">
        <v>7508</v>
      </c>
      <c r="E242" s="9" t="str">
        <f>HYPERLINK("https://twitter.com/sardarevatan1/status/1045640849395261440","1045640849395261440")</f>
        <v>1045640849395261440</v>
      </c>
      <c r="F242" s="4"/>
      <c r="G242" s="4"/>
      <c r="H242" s="4"/>
      <c r="I242" s="10" t="str">
        <f>HYPERLINK("http://twitter.com/download/android","Twitter for Android")</f>
        <v>Twitter for Android</v>
      </c>
      <c r="J242" s="2">
        <v>338</v>
      </c>
      <c r="K242" s="2">
        <v>447</v>
      </c>
      <c r="L242" s="2">
        <v>0</v>
      </c>
      <c r="M242" s="2"/>
      <c r="N242" s="8">
        <v>42727.604270833333</v>
      </c>
      <c r="O242" s="4" t="s">
        <v>7507</v>
      </c>
      <c r="P242" s="3" t="s">
        <v>7506</v>
      </c>
      <c r="Q242" s="4"/>
      <c r="R242" s="4"/>
      <c r="S242" s="9" t="str">
        <f>HYPERLINK("https://pbs.twimg.com/profile_images/1039161499590254593/-OlW3VG_.jpg","View")</f>
        <v>View</v>
      </c>
    </row>
    <row r="243" spans="1:19" ht="20">
      <c r="A243" s="8">
        <v>43371.631481481483</v>
      </c>
      <c r="B243" s="11" t="str">
        <f>HYPERLINK("https://twitter.com/Alino12118081","@Alino12118081")</f>
        <v>@Alino12118081</v>
      </c>
      <c r="C243" s="6" t="s">
        <v>7505</v>
      </c>
      <c r="D243" s="5" t="s">
        <v>7504</v>
      </c>
      <c r="E243" s="9" t="str">
        <f>HYPERLINK("https://twitter.com/Alino12118081/status/1045639089469444096","1045639089469444096")</f>
        <v>1045639089469444096</v>
      </c>
      <c r="F243" s="4"/>
      <c r="G243" s="4"/>
      <c r="H243" s="4"/>
      <c r="I243" s="10" t="str">
        <f>HYPERLINK("http://twitter.com/download/android","Twitter for Android")</f>
        <v>Twitter for Android</v>
      </c>
      <c r="J243" s="2">
        <v>2</v>
      </c>
      <c r="K243" s="2">
        <v>13</v>
      </c>
      <c r="L243" s="2">
        <v>0</v>
      </c>
      <c r="M243" s="2"/>
      <c r="N243" s="8">
        <v>43301.714618055557</v>
      </c>
      <c r="O243" s="4"/>
      <c r="P243" s="3" t="s">
        <v>7503</v>
      </c>
      <c r="Q243" s="4"/>
      <c r="R243" s="4"/>
      <c r="S243" s="9" t="str">
        <f>HYPERLINK("https://pbs.twimg.com/profile_images/1021016080767234048/KNDLQUT6.jpg","View")</f>
        <v>View</v>
      </c>
    </row>
    <row r="244" spans="1:19" ht="12.5">
      <c r="A244" s="8">
        <v>43371.629166666666</v>
      </c>
      <c r="B244" s="11" t="str">
        <f>HYPERLINK("https://twitter.com/BabakFest","@BabakFest")</f>
        <v>@BabakFest</v>
      </c>
      <c r="C244" s="6" t="s">
        <v>7502</v>
      </c>
      <c r="D244" s="5" t="s">
        <v>7501</v>
      </c>
      <c r="E244" s="9" t="str">
        <f>HYPERLINK("https://twitter.com/BabakFest/status/1045638250357039104","1045638250357039104")</f>
        <v>1045638250357039104</v>
      </c>
      <c r="F244" s="4"/>
      <c r="G244" s="4"/>
      <c r="H244" s="4"/>
      <c r="I244" s="10" t="str">
        <f>HYPERLINK("https://mobile.twitter.com","Mobile Web (M2)")</f>
        <v>Mobile Web (M2)</v>
      </c>
      <c r="J244" s="2">
        <v>152</v>
      </c>
      <c r="K244" s="2">
        <v>1385</v>
      </c>
      <c r="L244" s="2">
        <v>0</v>
      </c>
      <c r="M244" s="2"/>
      <c r="N244" s="8">
        <v>40871.472708333335</v>
      </c>
      <c r="O244" s="4" t="s">
        <v>72</v>
      </c>
      <c r="P244" s="3" t="s">
        <v>7500</v>
      </c>
      <c r="Q244" s="4"/>
      <c r="R244" s="4"/>
      <c r="S244" s="9" t="str">
        <f>HYPERLINK("https://pbs.twimg.com/profile_images/703686555748188160/QTGKS2cp.jpg","View")</f>
        <v>View</v>
      </c>
    </row>
    <row r="245" spans="1:19" ht="20">
      <c r="A245" s="8">
        <v>43371.628414351857</v>
      </c>
      <c r="B245" s="11" t="str">
        <f>HYPERLINK("https://twitter.com/Mahanmehrabi1","@Mahanmehrabi1")</f>
        <v>@Mahanmehrabi1</v>
      </c>
      <c r="C245" s="6" t="s">
        <v>3415</v>
      </c>
      <c r="D245" s="5" t="s">
        <v>7499</v>
      </c>
      <c r="E245" s="9" t="str">
        <f>HYPERLINK("https://twitter.com/Mahanmehrabi1/status/1045637976481570816","1045637976481570816")</f>
        <v>1045637976481570816</v>
      </c>
      <c r="F245" s="4"/>
      <c r="G245" s="10" t="s">
        <v>7498</v>
      </c>
      <c r="H245" s="4"/>
      <c r="I245" s="10" t="str">
        <f>HYPERLINK("http://twitter.com/download/android","Twitter for Android")</f>
        <v>Twitter for Android</v>
      </c>
      <c r="J245" s="2">
        <v>1266</v>
      </c>
      <c r="K245" s="2">
        <v>1303</v>
      </c>
      <c r="L245" s="2">
        <v>1</v>
      </c>
      <c r="M245" s="2"/>
      <c r="N245" s="8">
        <v>43263.517557870371</v>
      </c>
      <c r="O245" s="4"/>
      <c r="P245" s="3" t="s">
        <v>3412</v>
      </c>
      <c r="Q245" s="4"/>
      <c r="R245" s="4"/>
      <c r="S245" s="9" t="str">
        <f>HYPERLINK("https://pbs.twimg.com/profile_images/1006446723202469888/vzEqzQDE.jpg","View")</f>
        <v>View</v>
      </c>
    </row>
    <row r="246" spans="1:19" ht="40">
      <c r="A246" s="8">
        <v>43371.62767361111</v>
      </c>
      <c r="B246" s="11" t="str">
        <f>HYPERLINK("https://twitter.com/Hamed_khalili8","@Hamed_khalili8")</f>
        <v>@Hamed_khalili8</v>
      </c>
      <c r="C246" s="6" t="s">
        <v>6964</v>
      </c>
      <c r="D246" s="5" t="s">
        <v>7497</v>
      </c>
      <c r="E246" s="9" t="str">
        <f>HYPERLINK("https://twitter.com/Hamed_khalili8/status/1045637709119860737","1045637709119860737")</f>
        <v>1045637709119860737</v>
      </c>
      <c r="F246" s="4"/>
      <c r="G246" s="4"/>
      <c r="H246" s="4"/>
      <c r="I246" s="10" t="str">
        <f>HYPERLINK("http://twitter.com/download/android","Twitter for Android")</f>
        <v>Twitter for Android</v>
      </c>
      <c r="J246" s="2">
        <v>25</v>
      </c>
      <c r="K246" s="2">
        <v>25</v>
      </c>
      <c r="L246" s="2">
        <v>0</v>
      </c>
      <c r="M246" s="2"/>
      <c r="N246" s="8">
        <v>43222.696909722217</v>
      </c>
      <c r="O246" s="4" t="s">
        <v>10</v>
      </c>
      <c r="P246" s="3" t="s">
        <v>6962</v>
      </c>
      <c r="Q246" s="4"/>
      <c r="R246" s="4"/>
      <c r="S246" s="9" t="str">
        <f>HYPERLINK("https://pbs.twimg.com/profile_images/991692370524688384/I67PM_cW.jpg","View")</f>
        <v>View</v>
      </c>
    </row>
    <row r="247" spans="1:19" ht="40">
      <c r="A247" s="8">
        <v>43371.625208333338</v>
      </c>
      <c r="B247" s="11" t="str">
        <f>HYPERLINK("https://twitter.com/ArtLover1367","@ArtLover1367")</f>
        <v>@ArtLover1367</v>
      </c>
      <c r="C247" s="6" t="s">
        <v>1660</v>
      </c>
      <c r="D247" s="5" t="s">
        <v>7496</v>
      </c>
      <c r="E247" s="9" t="str">
        <f>HYPERLINK("https://twitter.com/ArtLover1367/status/1045636817687629826","1045636817687629826")</f>
        <v>1045636817687629826</v>
      </c>
      <c r="F247" s="4"/>
      <c r="G247" s="4"/>
      <c r="H247" s="4"/>
      <c r="I247" s="10" t="str">
        <f>HYPERLINK("http://twitter.com","Twitter Web Client")</f>
        <v>Twitter Web Client</v>
      </c>
      <c r="J247" s="2">
        <v>3006</v>
      </c>
      <c r="K247" s="2">
        <v>657</v>
      </c>
      <c r="L247" s="2">
        <v>18</v>
      </c>
      <c r="M247" s="2"/>
      <c r="N247" s="8">
        <v>42573.976516203707</v>
      </c>
      <c r="O247" s="4"/>
      <c r="P247" s="3" t="s">
        <v>1658</v>
      </c>
      <c r="Q247" s="4"/>
      <c r="R247" s="4"/>
      <c r="S247" s="9" t="str">
        <f>HYPERLINK("https://pbs.twimg.com/profile_images/1042732563138314240/wqRPjiv7.jpg","View")</f>
        <v>View</v>
      </c>
    </row>
    <row r="248" spans="1:19" ht="30">
      <c r="A248" s="8">
        <v>43371.622766203705</v>
      </c>
      <c r="B248" s="11" t="str">
        <f>HYPERLINK("https://twitter.com/f_azari","@f_azari")</f>
        <v>@f_azari</v>
      </c>
      <c r="C248" s="6" t="s">
        <v>7495</v>
      </c>
      <c r="D248" s="5" t="s">
        <v>7494</v>
      </c>
      <c r="E248" s="9" t="str">
        <f>HYPERLINK("https://twitter.com/f_azari/status/1045635930365792256","1045635930365792256")</f>
        <v>1045635930365792256</v>
      </c>
      <c r="F248" s="4"/>
      <c r="G248" s="4"/>
      <c r="H248" s="4"/>
      <c r="I248" s="10" t="str">
        <f>HYPERLINK("http://twitter.com/download/android","Twitter for Android")</f>
        <v>Twitter for Android</v>
      </c>
      <c r="J248" s="2">
        <v>517</v>
      </c>
      <c r="K248" s="2">
        <v>1940</v>
      </c>
      <c r="L248" s="2">
        <v>0</v>
      </c>
      <c r="M248" s="2"/>
      <c r="N248" s="8">
        <v>43043.889097222222</v>
      </c>
      <c r="O248" s="4" t="s">
        <v>7493</v>
      </c>
      <c r="P248" s="3" t="s">
        <v>7492</v>
      </c>
      <c r="Q248" s="4"/>
      <c r="R248" s="4"/>
      <c r="S248" s="9" t="str">
        <f>HYPERLINK("https://pbs.twimg.com/profile_images/1024630868084711424/slyE_dRg.jpg","View")</f>
        <v>View</v>
      </c>
    </row>
    <row r="249" spans="1:19" ht="30">
      <c r="A249" s="8">
        <v>43371.620312500003</v>
      </c>
      <c r="B249" s="11" t="str">
        <f>HYPERLINK("https://twitter.com/Bakterixaan","@Bakterixaan")</f>
        <v>@Bakterixaan</v>
      </c>
      <c r="C249" s="6" t="s">
        <v>7491</v>
      </c>
      <c r="D249" s="5" t="s">
        <v>7490</v>
      </c>
      <c r="E249" s="9" t="str">
        <f>HYPERLINK("https://twitter.com/Bakterixaan/status/1045635042712719360","1045635042712719360")</f>
        <v>1045635042712719360</v>
      </c>
      <c r="F249" s="4"/>
      <c r="G249" s="4"/>
      <c r="H249" s="4"/>
      <c r="I249" s="10" t="str">
        <f>HYPERLINK("http://twitter.com/download/iphone","Twitter for iPhone")</f>
        <v>Twitter for iPhone</v>
      </c>
      <c r="J249" s="2">
        <v>57</v>
      </c>
      <c r="K249" s="2">
        <v>303</v>
      </c>
      <c r="L249" s="2">
        <v>0</v>
      </c>
      <c r="M249" s="2"/>
      <c r="N249" s="8">
        <v>41059.629131944443</v>
      </c>
      <c r="O249" s="4" t="s">
        <v>7489</v>
      </c>
      <c r="P249" s="3" t="s">
        <v>7488</v>
      </c>
      <c r="Q249" s="10" t="s">
        <v>7487</v>
      </c>
      <c r="R249" s="4"/>
      <c r="S249" s="9" t="str">
        <f>HYPERLINK("https://pbs.twimg.com/profile_images/670206659617247232/OHJQ78Md.jpg","View")</f>
        <v>View</v>
      </c>
    </row>
    <row r="250" spans="1:19" ht="40">
      <c r="A250" s="8">
        <v>43371.612986111111</v>
      </c>
      <c r="B250" s="11" t="str">
        <f>HYPERLINK("https://twitter.com/Addalla_Pak","@Addalla_Pak")</f>
        <v>@Addalla_Pak</v>
      </c>
      <c r="C250" s="6" t="s">
        <v>7485</v>
      </c>
      <c r="D250" s="5" t="s">
        <v>7486</v>
      </c>
      <c r="E250" s="9" t="str">
        <f>HYPERLINK("https://twitter.com/Addalla_Pak/status/1045632388527804417","1045632388527804417")</f>
        <v>1045632388527804417</v>
      </c>
      <c r="F250" s="4"/>
      <c r="G250" s="4"/>
      <c r="H250" s="4"/>
      <c r="I250" s="10" t="str">
        <f>HYPERLINK("http://twitter.com/download/android","Twitter for Android")</f>
        <v>Twitter for Android</v>
      </c>
      <c r="J250" s="2">
        <v>126</v>
      </c>
      <c r="K250" s="2">
        <v>84</v>
      </c>
      <c r="L250" s="2">
        <v>0</v>
      </c>
      <c r="M250" s="2"/>
      <c r="N250" s="8">
        <v>42299.026921296296</v>
      </c>
      <c r="O250" s="4"/>
      <c r="P250" s="3"/>
      <c r="Q250" s="4"/>
      <c r="R250" s="4"/>
      <c r="S250" s="9" t="str">
        <f>HYPERLINK("https://pbs.twimg.com/profile_images/1027999149118173191/W7Sg-tQE.jpg","View")</f>
        <v>View</v>
      </c>
    </row>
    <row r="251" spans="1:19" ht="40">
      <c r="A251" s="8">
        <v>43371.610844907409</v>
      </c>
      <c r="B251" s="11" t="str">
        <f>HYPERLINK("https://twitter.com/Addalla_Pak","@Addalla_Pak")</f>
        <v>@Addalla_Pak</v>
      </c>
      <c r="C251" s="6" t="s">
        <v>7485</v>
      </c>
      <c r="D251" s="5" t="s">
        <v>7484</v>
      </c>
      <c r="E251" s="9" t="str">
        <f>HYPERLINK("https://twitter.com/Addalla_Pak/status/1045631612472496128","1045631612472496128")</f>
        <v>1045631612472496128</v>
      </c>
      <c r="F251" s="4"/>
      <c r="G251" s="4"/>
      <c r="H251" s="4"/>
      <c r="I251" s="10" t="str">
        <f>HYPERLINK("http://twitter.com/download/android","Twitter for Android")</f>
        <v>Twitter for Android</v>
      </c>
      <c r="J251" s="2">
        <v>126</v>
      </c>
      <c r="K251" s="2">
        <v>84</v>
      </c>
      <c r="L251" s="2">
        <v>0</v>
      </c>
      <c r="M251" s="2"/>
      <c r="N251" s="8">
        <v>42299.026921296296</v>
      </c>
      <c r="O251" s="4"/>
      <c r="P251" s="3"/>
      <c r="Q251" s="4"/>
      <c r="R251" s="4"/>
      <c r="S251" s="9" t="str">
        <f>HYPERLINK("https://pbs.twimg.com/profile_images/1027999149118173191/W7Sg-tQE.jpg","View")</f>
        <v>View</v>
      </c>
    </row>
    <row r="252" spans="1:19" ht="30">
      <c r="A252" s="8">
        <v>43371.610787037032</v>
      </c>
      <c r="B252" s="11" t="str">
        <f>HYPERLINK("https://twitter.com/GAWaDdat882p2gL","@GAWaDdat882p2gL")</f>
        <v>@GAWaDdat882p2gL</v>
      </c>
      <c r="C252" s="6" t="s">
        <v>7483</v>
      </c>
      <c r="D252" s="5" t="s">
        <v>7482</v>
      </c>
      <c r="E252" s="9" t="str">
        <f>HYPERLINK("https://twitter.com/GAWaDdat882p2gL/status/1045631588497858561","1045631588497858561")</f>
        <v>1045631588497858561</v>
      </c>
      <c r="F252" s="10" t="s">
        <v>7481</v>
      </c>
      <c r="G252" s="10" t="s">
        <v>7480</v>
      </c>
      <c r="H252" s="4"/>
      <c r="I252" s="10" t="str">
        <f>HYPERLINK("http://twitter.com/download/android","Twitter for Android")</f>
        <v>Twitter for Android</v>
      </c>
      <c r="J252" s="2">
        <v>34</v>
      </c>
      <c r="K252" s="2">
        <v>44</v>
      </c>
      <c r="L252" s="2">
        <v>0</v>
      </c>
      <c r="M252" s="2"/>
      <c r="N252" s="8">
        <v>43109.405914351853</v>
      </c>
      <c r="O252" s="4" t="s">
        <v>7479</v>
      </c>
      <c r="P252" s="3" t="s">
        <v>7478</v>
      </c>
      <c r="Q252" s="4"/>
      <c r="R252" s="4"/>
      <c r="S252" s="9" t="str">
        <f>HYPERLINK("https://pbs.twimg.com/profile_images/950622378471538689/i7vhKkdp.jpg","View")</f>
        <v>View</v>
      </c>
    </row>
    <row r="253" spans="1:19" ht="12.5">
      <c r="A253" s="8">
        <v>43371.609710648147</v>
      </c>
      <c r="B253" s="11" t="str">
        <f>HYPERLINK("https://twitter.com/Haanaa72","@Haanaa72")</f>
        <v>@Haanaa72</v>
      </c>
      <c r="C253" s="6" t="s">
        <v>1104</v>
      </c>
      <c r="D253" s="5" t="s">
        <v>7477</v>
      </c>
      <c r="E253" s="9" t="str">
        <f>HYPERLINK("https://twitter.com/Haanaa72/status/1045631199107055616","1045631199107055616")</f>
        <v>1045631199107055616</v>
      </c>
      <c r="F253" s="4"/>
      <c r="G253" s="4"/>
      <c r="H253" s="4"/>
      <c r="I253" s="10" t="str">
        <f>HYPERLINK("http://twitter.com/download/android","Twitter for Android")</f>
        <v>Twitter for Android</v>
      </c>
      <c r="J253" s="2">
        <v>414</v>
      </c>
      <c r="K253" s="2">
        <v>182</v>
      </c>
      <c r="L253" s="2">
        <v>2</v>
      </c>
      <c r="M253" s="2"/>
      <c r="N253" s="8">
        <v>43104.676030092596</v>
      </c>
      <c r="O253" s="4" t="s">
        <v>1101</v>
      </c>
      <c r="P253" s="3" t="s">
        <v>1100</v>
      </c>
      <c r="Q253" s="4"/>
      <c r="R253" s="4"/>
      <c r="S253" s="9" t="str">
        <f>HYPERLINK("https://pbs.twimg.com/profile_images/1039064853388951552/bmqz3GqB.jpg","View")</f>
        <v>View</v>
      </c>
    </row>
    <row r="254" spans="1:19" ht="30">
      <c r="A254" s="8">
        <v>43371.605509259258</v>
      </c>
      <c r="B254" s="11" t="str">
        <f>HYPERLINK("https://twitter.com/Mohsendalili","@Mohsendalili")</f>
        <v>@Mohsendalili</v>
      </c>
      <c r="C254" s="6" t="s">
        <v>7476</v>
      </c>
      <c r="D254" s="5" t="s">
        <v>7475</v>
      </c>
      <c r="E254" s="9" t="str">
        <f>HYPERLINK("https://twitter.com/Mohsendalili/status/1045629677514227712","1045629677514227712")</f>
        <v>1045629677514227712</v>
      </c>
      <c r="F254" s="4"/>
      <c r="G254" s="4"/>
      <c r="H254" s="4"/>
      <c r="I254" s="10" t="str">
        <f>HYPERLINK("http://twitter.com/download/android","Twitter for Android")</f>
        <v>Twitter for Android</v>
      </c>
      <c r="J254" s="2">
        <v>523</v>
      </c>
      <c r="K254" s="2">
        <v>226</v>
      </c>
      <c r="L254" s="2">
        <v>0</v>
      </c>
      <c r="M254" s="2"/>
      <c r="N254" s="8">
        <v>42567.534548611111</v>
      </c>
      <c r="O254" s="4" t="s">
        <v>200</v>
      </c>
      <c r="P254" s="3" t="s">
        <v>7474</v>
      </c>
      <c r="Q254" s="4"/>
      <c r="R254" s="4"/>
      <c r="S254" s="9" t="str">
        <f>HYPERLINK("https://pbs.twimg.com/profile_images/802421281438269441/aGtIIARp.jpg","View")</f>
        <v>View</v>
      </c>
    </row>
    <row r="255" spans="1:19" ht="20">
      <c r="A255" s="8">
        <v>43371.602256944447</v>
      </c>
      <c r="B255" s="11" t="str">
        <f>HYPERLINK("https://twitter.com/RezaeianRamin","@RezaeianRamin")</f>
        <v>@RezaeianRamin</v>
      </c>
      <c r="C255" s="6" t="s">
        <v>217</v>
      </c>
      <c r="D255" s="5" t="s">
        <v>7473</v>
      </c>
      <c r="E255" s="9" t="str">
        <f>HYPERLINK("https://twitter.com/RezaeianRamin/status/1045628496498823168","1045628496498823168")</f>
        <v>1045628496498823168</v>
      </c>
      <c r="F255" s="4"/>
      <c r="G255" s="10" t="s">
        <v>7472</v>
      </c>
      <c r="H255" s="4"/>
      <c r="I255" s="10" t="str">
        <f>HYPERLINK("http://twitter.com/download/android","Twitter for Android")</f>
        <v>Twitter for Android</v>
      </c>
      <c r="J255" s="2">
        <v>1639</v>
      </c>
      <c r="K255" s="2">
        <v>5</v>
      </c>
      <c r="L255" s="2">
        <v>14</v>
      </c>
      <c r="M255" s="2"/>
      <c r="N255" s="8">
        <v>42621.878194444449</v>
      </c>
      <c r="O255" s="4" t="s">
        <v>214</v>
      </c>
      <c r="P255" s="3" t="s">
        <v>213</v>
      </c>
      <c r="Q255" s="4"/>
      <c r="R255" s="4"/>
      <c r="S255" s="9" t="str">
        <f>HYPERLINK("https://pbs.twimg.com/profile_images/1011317707487305728/a3EX8bf2.jpg","View")</f>
        <v>View</v>
      </c>
    </row>
    <row r="256" spans="1:19" ht="30">
      <c r="A256" s="8">
        <v>43371.602222222224</v>
      </c>
      <c r="B256" s="11" t="str">
        <f>HYPERLINK("https://twitter.com/ArtLover1367","@ArtLover1367")</f>
        <v>@ArtLover1367</v>
      </c>
      <c r="C256" s="6" t="s">
        <v>1660</v>
      </c>
      <c r="D256" s="5" t="s">
        <v>7454</v>
      </c>
      <c r="E256" s="9" t="str">
        <f>HYPERLINK("https://twitter.com/ArtLover1367/status/1045628485224534016","1045628485224534016")</f>
        <v>1045628485224534016</v>
      </c>
      <c r="F256" s="4"/>
      <c r="G256" s="10" t="s">
        <v>7471</v>
      </c>
      <c r="H256" s="4"/>
      <c r="I256" s="10" t="str">
        <f>HYPERLINK("http://twitter.com","Twitter Web Client")</f>
        <v>Twitter Web Client</v>
      </c>
      <c r="J256" s="2">
        <v>3006</v>
      </c>
      <c r="K256" s="2">
        <v>657</v>
      </c>
      <c r="L256" s="2">
        <v>18</v>
      </c>
      <c r="M256" s="2"/>
      <c r="N256" s="8">
        <v>42573.976516203707</v>
      </c>
      <c r="O256" s="4"/>
      <c r="P256" s="3" t="s">
        <v>1658</v>
      </c>
      <c r="Q256" s="4"/>
      <c r="R256" s="4"/>
      <c r="S256" s="9" t="str">
        <f>HYPERLINK("https://pbs.twimg.com/profile_images/1042732563138314240/wqRPjiv7.jpg","View")</f>
        <v>View</v>
      </c>
    </row>
    <row r="257" spans="1:19" ht="12.5">
      <c r="A257" s="8">
        <v>43371.596168981487</v>
      </c>
      <c r="B257" s="11" t="str">
        <f>HYPERLINK("https://twitter.com/m_s_kamrani","@m_s_kamrani")</f>
        <v>@m_s_kamrani</v>
      </c>
      <c r="C257" s="6" t="s">
        <v>7470</v>
      </c>
      <c r="D257" s="5" t="s">
        <v>7469</v>
      </c>
      <c r="E257" s="9" t="str">
        <f>HYPERLINK("https://twitter.com/m_s_kamrani/status/1045626290395631616","1045626290395631616")</f>
        <v>1045626290395631616</v>
      </c>
      <c r="F257" s="4"/>
      <c r="G257" s="10" t="s">
        <v>7468</v>
      </c>
      <c r="H257" s="4"/>
      <c r="I257" s="10" t="str">
        <f>HYPERLINK("http://twitter.com/download/android","Twitter for Android")</f>
        <v>Twitter for Android</v>
      </c>
      <c r="J257" s="2">
        <v>32</v>
      </c>
      <c r="K257" s="2">
        <v>91</v>
      </c>
      <c r="L257" s="2">
        <v>0</v>
      </c>
      <c r="M257" s="2"/>
      <c r="N257" s="8">
        <v>41425.667280092595</v>
      </c>
      <c r="O257" s="4"/>
      <c r="P257" s="3" t="s">
        <v>7467</v>
      </c>
      <c r="Q257" s="4"/>
      <c r="R257" s="4"/>
      <c r="S257" s="9" t="str">
        <f>HYPERLINK("https://pbs.twimg.com/profile_images/620193571317153792/VuCx_ZaZ.jpg","View")</f>
        <v>View</v>
      </c>
    </row>
    <row r="258" spans="1:19" ht="40">
      <c r="A258" s="8">
        <v>43371.595092592594</v>
      </c>
      <c r="B258" s="11" t="str">
        <f>HYPERLINK("https://twitter.com/komeil1130","@komeil1130")</f>
        <v>@komeil1130</v>
      </c>
      <c r="C258" s="6" t="s">
        <v>7466</v>
      </c>
      <c r="D258" s="5" t="s">
        <v>7465</v>
      </c>
      <c r="E258" s="9" t="str">
        <f>HYPERLINK("https://twitter.com/komeil1130/status/1045625900547563521","1045625900547563521")</f>
        <v>1045625900547563521</v>
      </c>
      <c r="F258" s="4"/>
      <c r="G258" s="10" t="s">
        <v>7464</v>
      </c>
      <c r="H258" s="4"/>
      <c r="I258" s="10" t="str">
        <f>HYPERLINK("http://twitter.com/download/android","Twitter for Android")</f>
        <v>Twitter for Android</v>
      </c>
      <c r="J258" s="2">
        <v>1903</v>
      </c>
      <c r="K258" s="2">
        <v>259</v>
      </c>
      <c r="L258" s="2">
        <v>8</v>
      </c>
      <c r="M258" s="2"/>
      <c r="N258" s="8">
        <v>42607.573483796295</v>
      </c>
      <c r="O258" s="4" t="s">
        <v>7463</v>
      </c>
      <c r="P258" s="3" t="s">
        <v>7462</v>
      </c>
      <c r="Q258" s="10" t="s">
        <v>7461</v>
      </c>
      <c r="R258" s="4"/>
      <c r="S258" s="9" t="str">
        <f>HYPERLINK("https://pbs.twimg.com/profile_images/1035566100451213315/Yzsd-jEy.jpg","View")</f>
        <v>View</v>
      </c>
    </row>
    <row r="259" spans="1:19" ht="30">
      <c r="A259" s="8">
        <v>43371.594548611116</v>
      </c>
      <c r="B259" s="11" t="str">
        <f>HYPERLINK("https://twitter.com/Aryin12006497","@Aryin12006497")</f>
        <v>@Aryin12006497</v>
      </c>
      <c r="C259" s="6" t="s">
        <v>7460</v>
      </c>
      <c r="D259" s="5" t="s">
        <v>7459</v>
      </c>
      <c r="E259" s="9" t="str">
        <f>HYPERLINK("https://twitter.com/Aryin12006497/status/1045625706221383680","1045625706221383680")</f>
        <v>1045625706221383680</v>
      </c>
      <c r="F259" s="4"/>
      <c r="G259" s="4"/>
      <c r="H259" s="4"/>
      <c r="I259" s="10" t="str">
        <f>HYPERLINK("http://twitter.com/download/iphone","Twitter for iPhone")</f>
        <v>Twitter for iPhone</v>
      </c>
      <c r="J259" s="2">
        <v>5</v>
      </c>
      <c r="K259" s="2">
        <v>28</v>
      </c>
      <c r="L259" s="2">
        <v>0</v>
      </c>
      <c r="M259" s="2"/>
      <c r="N259" s="8">
        <v>43290.515810185185</v>
      </c>
      <c r="O259" s="4"/>
      <c r="P259" s="3" t="s">
        <v>7458</v>
      </c>
      <c r="Q259" s="4"/>
      <c r="R259" s="4"/>
      <c r="S259" s="9" t="str">
        <f>HYPERLINK("https://pbs.twimg.com/profile_images/1032944103028338689/BNKNmY1x.jpg","View")</f>
        <v>View</v>
      </c>
    </row>
    <row r="260" spans="1:19" ht="30">
      <c r="A260" s="8">
        <v>43371.591261574074</v>
      </c>
      <c r="B260" s="11" t="str">
        <f>HYPERLINK("https://twitter.com/harikham","@harikham")</f>
        <v>@harikham</v>
      </c>
      <c r="C260" s="6" t="s">
        <v>7457</v>
      </c>
      <c r="D260" s="5" t="s">
        <v>7456</v>
      </c>
      <c r="E260" s="9" t="str">
        <f>HYPERLINK("https://twitter.com/harikham/status/1045624512824324097","1045624512824324097")</f>
        <v>1045624512824324097</v>
      </c>
      <c r="F260" s="4"/>
      <c r="G260" s="4"/>
      <c r="H260" s="4"/>
      <c r="I260" s="10" t="str">
        <f>HYPERLINK("http://twitter.com/download/android","Twitter for Android")</f>
        <v>Twitter for Android</v>
      </c>
      <c r="J260" s="2">
        <v>43</v>
      </c>
      <c r="K260" s="2">
        <v>199</v>
      </c>
      <c r="L260" s="2">
        <v>0</v>
      </c>
      <c r="M260" s="2"/>
      <c r="N260" s="8">
        <v>42758.086006944446</v>
      </c>
      <c r="O260" s="4"/>
      <c r="P260" s="3" t="s">
        <v>7455</v>
      </c>
      <c r="Q260" s="4"/>
      <c r="R260" s="4"/>
      <c r="S260" s="9" t="str">
        <f>HYPERLINK("https://pbs.twimg.com/profile_images/956211787300528136/H7Qxm7SC.jpg","View")</f>
        <v>View</v>
      </c>
    </row>
    <row r="261" spans="1:19" ht="30">
      <c r="A261" s="8">
        <v>43371.590844907405</v>
      </c>
      <c r="B261" s="11" t="str">
        <f>HYPERLINK("https://twitter.com/ArtLover1367","@ArtLover1367")</f>
        <v>@ArtLover1367</v>
      </c>
      <c r="C261" s="6" t="s">
        <v>1660</v>
      </c>
      <c r="D261" s="5" t="s">
        <v>7454</v>
      </c>
      <c r="E261" s="9" t="str">
        <f>HYPERLINK("https://twitter.com/ArtLover1367/status/1045624364723515393","1045624364723515393")</f>
        <v>1045624364723515393</v>
      </c>
      <c r="F261" s="4"/>
      <c r="G261" s="10" t="s">
        <v>7453</v>
      </c>
      <c r="H261" s="4"/>
      <c r="I261" s="10" t="str">
        <f>HYPERLINK("http://twitter.com","Twitter Web Client")</f>
        <v>Twitter Web Client</v>
      </c>
      <c r="J261" s="2">
        <v>3005</v>
      </c>
      <c r="K261" s="2">
        <v>657</v>
      </c>
      <c r="L261" s="2">
        <v>17</v>
      </c>
      <c r="M261" s="2"/>
      <c r="N261" s="8">
        <v>42573.976516203707</v>
      </c>
      <c r="O261" s="4"/>
      <c r="P261" s="3" t="s">
        <v>1658</v>
      </c>
      <c r="Q261" s="4"/>
      <c r="R261" s="4"/>
      <c r="S261" s="9" t="str">
        <f>HYPERLINK("https://pbs.twimg.com/profile_images/1042732563138314240/wqRPjiv7.jpg","View")</f>
        <v>View</v>
      </c>
    </row>
    <row r="262" spans="1:19" ht="30">
      <c r="A262" s="8">
        <v>43371.59039351852</v>
      </c>
      <c r="B262" s="11" t="str">
        <f>HYPERLINK("https://twitter.com/mehdimahmudi","@mehdimahmudi")</f>
        <v>@mehdimahmudi</v>
      </c>
      <c r="C262" s="6" t="s">
        <v>7452</v>
      </c>
      <c r="D262" s="5" t="s">
        <v>7451</v>
      </c>
      <c r="E262" s="9" t="str">
        <f>HYPERLINK("https://twitter.com/mehdimahmudi/status/1045624199321190401","1045624199321190401")</f>
        <v>1045624199321190401</v>
      </c>
      <c r="F262" s="4"/>
      <c r="G262" s="4"/>
      <c r="H262" s="4"/>
      <c r="I262" s="10" t="str">
        <f>HYPERLINK("http://twitter.com","Twitter Web Client")</f>
        <v>Twitter Web Client</v>
      </c>
      <c r="J262" s="2">
        <v>7257</v>
      </c>
      <c r="K262" s="2">
        <v>1470</v>
      </c>
      <c r="L262" s="2">
        <v>198</v>
      </c>
      <c r="M262" s="2"/>
      <c r="N262" s="8">
        <v>41103.549502314811</v>
      </c>
      <c r="O262" s="4" t="s">
        <v>513</v>
      </c>
      <c r="P262" s="3" t="s">
        <v>7450</v>
      </c>
      <c r="Q262" s="10" t="s">
        <v>7449</v>
      </c>
      <c r="R262" s="4"/>
      <c r="S262" s="9" t="str">
        <f>HYPERLINK("https://pbs.twimg.com/profile_images/995934693949362176/J0z1knpD.jpg","View")</f>
        <v>View</v>
      </c>
    </row>
    <row r="263" spans="1:19" ht="30">
      <c r="A263" s="8">
        <v>43371.587314814809</v>
      </c>
      <c r="B263" s="11" t="str">
        <f>HYPERLINK("https://twitter.com/LadyLham","@LadyLham")</f>
        <v>@LadyLham</v>
      </c>
      <c r="C263" s="6" t="s">
        <v>5182</v>
      </c>
      <c r="D263" s="5" t="s">
        <v>7448</v>
      </c>
      <c r="E263" s="9" t="str">
        <f>HYPERLINK("https://twitter.com/LadyLham/status/1045623083435008000","1045623083435008000")</f>
        <v>1045623083435008000</v>
      </c>
      <c r="F263" s="4"/>
      <c r="G263" s="4"/>
      <c r="H263" s="4"/>
      <c r="I263" s="10" t="str">
        <f>HYPERLINK("http://twitter.com/download/iphone","Twitter for iPhone")</f>
        <v>Twitter for iPhone</v>
      </c>
      <c r="J263" s="2">
        <v>109</v>
      </c>
      <c r="K263" s="2">
        <v>43</v>
      </c>
      <c r="L263" s="2">
        <v>1</v>
      </c>
      <c r="M263" s="2"/>
      <c r="N263" s="8">
        <v>42721.490729166668</v>
      </c>
      <c r="O263" s="4" t="s">
        <v>414</v>
      </c>
      <c r="P263" s="3" t="s">
        <v>5180</v>
      </c>
      <c r="Q263" s="4"/>
      <c r="R263" s="4"/>
      <c r="S263" s="9" t="str">
        <f>HYPERLINK("https://pbs.twimg.com/profile_images/1044994977531654144/IXiDgzov.jpg","View")</f>
        <v>View</v>
      </c>
    </row>
    <row r="264" spans="1:19" ht="40">
      <c r="A264" s="8">
        <v>43371.58730324074</v>
      </c>
      <c r="B264" s="11" t="str">
        <f>HYPERLINK("https://twitter.com/Bikhabaroffline","@Bikhabaroffline")</f>
        <v>@Bikhabaroffline</v>
      </c>
      <c r="C264" s="6" t="s">
        <v>6465</v>
      </c>
      <c r="D264" s="5" t="s">
        <v>7447</v>
      </c>
      <c r="E264" s="9" t="str">
        <f>HYPERLINK("https://twitter.com/Bikhabaroffline/status/1045623080721272832","1045623080721272832")</f>
        <v>1045623080721272832</v>
      </c>
      <c r="F264" s="4"/>
      <c r="G264" s="4"/>
      <c r="H264" s="4"/>
      <c r="I264" s="10" t="str">
        <f>HYPERLINK("http://twitter.com/download/android","Twitter for Android")</f>
        <v>Twitter for Android</v>
      </c>
      <c r="J264" s="2">
        <v>23</v>
      </c>
      <c r="K264" s="2">
        <v>25</v>
      </c>
      <c r="L264" s="2">
        <v>0</v>
      </c>
      <c r="M264" s="2"/>
      <c r="N264" s="8">
        <v>42293.877152777779</v>
      </c>
      <c r="O264" s="4"/>
      <c r="P264" s="3" t="s">
        <v>6463</v>
      </c>
      <c r="Q264" s="4"/>
      <c r="R264" s="4"/>
      <c r="S264" s="9" t="str">
        <f>HYPERLINK("https://pbs.twimg.com/profile_images/1013860756671074305/LBt9GYqz.jpg","View")</f>
        <v>View</v>
      </c>
    </row>
    <row r="265" spans="1:19" ht="40">
      <c r="A265" s="8">
        <v>43371.585162037038</v>
      </c>
      <c r="B265" s="11" t="str">
        <f>HYPERLINK("https://twitter.com/FcEsteghlal","@FcEsteghlal")</f>
        <v>@FcEsteghlal</v>
      </c>
      <c r="C265" s="6" t="s">
        <v>2582</v>
      </c>
      <c r="D265" s="5" t="s">
        <v>7446</v>
      </c>
      <c r="E265" s="9" t="str">
        <f>HYPERLINK("https://twitter.com/FcEsteghlal/status/1045622303881678849","1045622303881678849")</f>
        <v>1045622303881678849</v>
      </c>
      <c r="F265" s="4"/>
      <c r="G265" s="10" t="s">
        <v>7445</v>
      </c>
      <c r="H265" s="4"/>
      <c r="I265" s="10" t="str">
        <f>HYPERLINK("https://mobile.twitter.com","Twitter Lite")</f>
        <v>Twitter Lite</v>
      </c>
      <c r="J265" s="2">
        <v>30059</v>
      </c>
      <c r="K265" s="2">
        <v>16</v>
      </c>
      <c r="L265" s="2">
        <v>94</v>
      </c>
      <c r="M265" s="2"/>
      <c r="N265" s="8">
        <v>40386.474282407406</v>
      </c>
      <c r="O265" s="4" t="s">
        <v>2579</v>
      </c>
      <c r="P265" s="3" t="s">
        <v>2578</v>
      </c>
      <c r="Q265" s="10" t="s">
        <v>2577</v>
      </c>
      <c r="R265" s="4"/>
      <c r="S265" s="9" t="str">
        <f>HYPERLINK("https://pbs.twimg.com/profile_images/873957969242804224/bHd1FU0k.jpg","View")</f>
        <v>View</v>
      </c>
    </row>
    <row r="266" spans="1:19" ht="80">
      <c r="A266" s="8">
        <v>43371.585046296299</v>
      </c>
      <c r="B266" s="11" t="str">
        <f>HYPERLINK("https://twitter.com/sahartolouee","@sahartolouee")</f>
        <v>@sahartolouee</v>
      </c>
      <c r="C266" s="6" t="s">
        <v>7444</v>
      </c>
      <c r="D266" s="5" t="s">
        <v>7443</v>
      </c>
      <c r="E266" s="9" t="str">
        <f>HYPERLINK("https://twitter.com/sahartolouee/status/1045622260386680832","1045622260386680832")</f>
        <v>1045622260386680832</v>
      </c>
      <c r="F266" s="10" t="s">
        <v>7442</v>
      </c>
      <c r="G266" s="4"/>
      <c r="H266" s="4"/>
      <c r="I266" s="10" t="str">
        <f>HYPERLINK("http://twitter.com/download/iphone","Twitter for iPhone")</f>
        <v>Twitter for iPhone</v>
      </c>
      <c r="J266" s="2">
        <v>14740</v>
      </c>
      <c r="K266" s="2">
        <v>505</v>
      </c>
      <c r="L266" s="2">
        <v>105</v>
      </c>
      <c r="M266" s="2" t="s">
        <v>1701</v>
      </c>
      <c r="N266" s="8">
        <v>39994.741956018523</v>
      </c>
      <c r="O266" s="4"/>
      <c r="P266" s="3" t="s">
        <v>7441</v>
      </c>
      <c r="Q266" s="10" t="s">
        <v>1250</v>
      </c>
      <c r="R266" s="4"/>
      <c r="S266" s="9" t="str">
        <f>HYPERLINK("https://pbs.twimg.com/profile_images/977999811742810113/8KsItvJC.jpg","View")</f>
        <v>View</v>
      </c>
    </row>
    <row r="267" spans="1:19" ht="20">
      <c r="A267" s="8">
        <v>43371.58493055556</v>
      </c>
      <c r="B267" s="11" t="str">
        <f>HYPERLINK("https://twitter.com/hazratnoah","@hazratnoah")</f>
        <v>@hazratnoah</v>
      </c>
      <c r="C267" s="6" t="s">
        <v>7440</v>
      </c>
      <c r="D267" s="5" t="s">
        <v>7439</v>
      </c>
      <c r="E267" s="9" t="str">
        <f>HYPERLINK("https://twitter.com/hazratnoah/status/1045622221174173699","1045622221174173699")</f>
        <v>1045622221174173699</v>
      </c>
      <c r="F267" s="4"/>
      <c r="G267" s="10" t="s">
        <v>7438</v>
      </c>
      <c r="H267" s="4"/>
      <c r="I267" s="10" t="str">
        <f>HYPERLINK("http://twitter.com/download/android","Twitter for Android")</f>
        <v>Twitter for Android</v>
      </c>
      <c r="J267" s="2">
        <v>80</v>
      </c>
      <c r="K267" s="2">
        <v>84</v>
      </c>
      <c r="L267" s="2">
        <v>1</v>
      </c>
      <c r="M267" s="2"/>
      <c r="N267" s="8">
        <v>43354.186018518521</v>
      </c>
      <c r="O267" s="4"/>
      <c r="P267" s="3" t="s">
        <v>7437</v>
      </c>
      <c r="Q267" s="4"/>
      <c r="R267" s="4"/>
      <c r="S267" s="9" t="str">
        <f>HYPERLINK("https://pbs.twimg.com/profile_images/1042887880719446016/D5wDQJyc.jpg","View")</f>
        <v>View</v>
      </c>
    </row>
    <row r="268" spans="1:19" ht="20">
      <c r="A268" s="8">
        <v>43371.584745370375</v>
      </c>
      <c r="B268" s="11" t="str">
        <f>HYPERLINK("https://twitter.com/a__l__iii","@a__l__iii")</f>
        <v>@a__l__iii</v>
      </c>
      <c r="C268" s="6" t="s">
        <v>7436</v>
      </c>
      <c r="D268" s="5" t="s">
        <v>7435</v>
      </c>
      <c r="E268" s="9" t="str">
        <f>HYPERLINK("https://twitter.com/a__l__iii/status/1045622153092235264","1045622153092235264")</f>
        <v>1045622153092235264</v>
      </c>
      <c r="F268" s="4"/>
      <c r="G268" s="10" t="s">
        <v>7434</v>
      </c>
      <c r="H268" s="4"/>
      <c r="I268" s="10" t="str">
        <f>HYPERLINK("http://twitter.com/download/iphone","Twitter for iPhone")</f>
        <v>Twitter for iPhone</v>
      </c>
      <c r="J268" s="2">
        <v>336</v>
      </c>
      <c r="K268" s="2">
        <v>139</v>
      </c>
      <c r="L268" s="2">
        <v>3</v>
      </c>
      <c r="M268" s="2"/>
      <c r="N268" s="8">
        <v>43262.621342592596</v>
      </c>
      <c r="O268" s="4" t="s">
        <v>10</v>
      </c>
      <c r="P268" s="3" t="s">
        <v>7433</v>
      </c>
      <c r="Q268" s="4"/>
      <c r="R268" s="4"/>
      <c r="S268" s="9" t="str">
        <f>HYPERLINK("https://pbs.twimg.com/profile_images/1044266919975636992/5ydFE5uY.jpg","View")</f>
        <v>View</v>
      </c>
    </row>
    <row r="269" spans="1:19" ht="20">
      <c r="A269" s="8">
        <v>43371.583252314813</v>
      </c>
      <c r="B269" s="11" t="str">
        <f>HYPERLINK("https://twitter.com/bernabeugirl","@bernabeugirl")</f>
        <v>@bernabeugirl</v>
      </c>
      <c r="C269" s="6" t="s">
        <v>7432</v>
      </c>
      <c r="D269" s="5" t="s">
        <v>7431</v>
      </c>
      <c r="E269" s="9" t="str">
        <f>HYPERLINK("https://twitter.com/bernabeugirl/status/1045621611221712896","1045621611221712896")</f>
        <v>1045621611221712896</v>
      </c>
      <c r="F269" s="4"/>
      <c r="G269" s="4"/>
      <c r="H269" s="4"/>
      <c r="I269" s="10" t="str">
        <f>HYPERLINK("http://twitter.com/download/android","Twitter for Android")</f>
        <v>Twitter for Android</v>
      </c>
      <c r="J269" s="2">
        <v>11</v>
      </c>
      <c r="K269" s="2">
        <v>31</v>
      </c>
      <c r="L269" s="2">
        <v>1</v>
      </c>
      <c r="M269" s="2"/>
      <c r="N269" s="8">
        <v>42995.878576388888</v>
      </c>
      <c r="O269" s="4"/>
      <c r="P269" s="3"/>
      <c r="Q269" s="4"/>
      <c r="R269" s="4"/>
      <c r="S269" s="9" t="str">
        <f>HYPERLINK("https://pbs.twimg.com/profile_images/993121543797526529/dzvpikm4.jpg","View")</f>
        <v>View</v>
      </c>
    </row>
    <row r="270" spans="1:19" ht="30">
      <c r="A270" s="8">
        <v>43371.581990740742</v>
      </c>
      <c r="B270" s="11" t="str">
        <f>HYPERLINK("https://twitter.com/MforMobin","@MforMobin")</f>
        <v>@MforMobin</v>
      </c>
      <c r="C270" s="6" t="s">
        <v>3012</v>
      </c>
      <c r="D270" s="5" t="s">
        <v>7430</v>
      </c>
      <c r="E270" s="9" t="str">
        <f>HYPERLINK("https://twitter.com/MforMobin/status/1045621153165762560","1045621153165762560")</f>
        <v>1045621153165762560</v>
      </c>
      <c r="F270" s="4"/>
      <c r="G270" s="4"/>
      <c r="H270" s="4"/>
      <c r="I270" s="10" t="str">
        <f>HYPERLINK("http://twitter.com","Twitter Web Client")</f>
        <v>Twitter Web Client</v>
      </c>
      <c r="J270" s="2">
        <v>49</v>
      </c>
      <c r="K270" s="2">
        <v>204</v>
      </c>
      <c r="L270" s="2">
        <v>0</v>
      </c>
      <c r="M270" s="2"/>
      <c r="N270" s="8">
        <v>43363.57913194444</v>
      </c>
      <c r="O270" s="4" t="s">
        <v>200</v>
      </c>
      <c r="P270" s="3" t="s">
        <v>3010</v>
      </c>
      <c r="Q270" s="10" t="s">
        <v>3009</v>
      </c>
      <c r="R270" s="4"/>
      <c r="S270" s="9" t="str">
        <f>HYPERLINK("https://pbs.twimg.com/profile_images/1045278718665474050/pObfU_l6.jpg","View")</f>
        <v>View</v>
      </c>
    </row>
    <row r="271" spans="1:19" ht="30">
      <c r="A271" s="8">
        <v>43371.581412037034</v>
      </c>
      <c r="B271" s="11" t="str">
        <f>HYPERLINK("https://twitter.com/mehdiroozkhosh","@mehdiroozkhosh")</f>
        <v>@mehdiroozkhosh</v>
      </c>
      <c r="C271" s="6" t="s">
        <v>4232</v>
      </c>
      <c r="D271" s="5" t="s">
        <v>7429</v>
      </c>
      <c r="E271" s="9" t="str">
        <f>HYPERLINK("https://twitter.com/mehdiroozkhosh/status/1045620946068033536","1045620946068033536")</f>
        <v>1045620946068033536</v>
      </c>
      <c r="F271" s="4"/>
      <c r="G271" s="4"/>
      <c r="H271" s="4"/>
      <c r="I271" s="10" t="str">
        <f>HYPERLINK("http://twitter.com/download/iphone","Twitter for iPhone")</f>
        <v>Twitter for iPhone</v>
      </c>
      <c r="J271" s="2">
        <v>970</v>
      </c>
      <c r="K271" s="2">
        <v>532</v>
      </c>
      <c r="L271" s="2">
        <v>5</v>
      </c>
      <c r="M271" s="2"/>
      <c r="N271" s="8">
        <v>42557.650474537033</v>
      </c>
      <c r="O271" s="4" t="s">
        <v>10</v>
      </c>
      <c r="P271" s="3" t="s">
        <v>4229</v>
      </c>
      <c r="Q271" s="10" t="s">
        <v>4228</v>
      </c>
      <c r="R271" s="4"/>
      <c r="S271" s="9" t="str">
        <f>HYPERLINK("https://pbs.twimg.com/profile_images/1044640161986957313/c2sBRJBj.jpg","View")</f>
        <v>View</v>
      </c>
    </row>
    <row r="272" spans="1:19" ht="30">
      <c r="A272" s="8">
        <v>43371.579305555555</v>
      </c>
      <c r="B272" s="11" t="str">
        <f>HYPERLINK("https://twitter.com/Ghahhar","@Ghahhar")</f>
        <v>@Ghahhar</v>
      </c>
      <c r="C272" s="6" t="s">
        <v>3667</v>
      </c>
      <c r="D272" s="5" t="s">
        <v>7428</v>
      </c>
      <c r="E272" s="9" t="str">
        <f>HYPERLINK("https://twitter.com/Ghahhar/status/1045620180280332289","1045620180280332289")</f>
        <v>1045620180280332289</v>
      </c>
      <c r="F272" s="4"/>
      <c r="G272" s="10" t="s">
        <v>7427</v>
      </c>
      <c r="H272" s="4"/>
      <c r="I272" s="10" t="str">
        <f>HYPERLINK("http://twitter.com/download/iphone","Twitter for iPhone")</f>
        <v>Twitter for iPhone</v>
      </c>
      <c r="J272" s="2">
        <v>3860</v>
      </c>
      <c r="K272" s="2">
        <v>320</v>
      </c>
      <c r="L272" s="2">
        <v>14</v>
      </c>
      <c r="M272" s="2"/>
      <c r="N272" s="8">
        <v>41135.69840277778</v>
      </c>
      <c r="O272" s="4"/>
      <c r="P272" s="3" t="s">
        <v>3664</v>
      </c>
      <c r="Q272" s="10" t="s">
        <v>3663</v>
      </c>
      <c r="R272" s="4"/>
      <c r="S272" s="9" t="str">
        <f>HYPERLINK("https://pbs.twimg.com/profile_images/1044020442330222592/7KcT8ECd.jpg","View")</f>
        <v>View</v>
      </c>
    </row>
    <row r="273" spans="1:19" ht="30">
      <c r="A273" s="8">
        <v>43371.5783912037</v>
      </c>
      <c r="B273" s="11" t="str">
        <f>HYPERLINK("https://twitter.com/Golzarfar","@Golzarfar")</f>
        <v>@Golzarfar</v>
      </c>
      <c r="C273" s="6" t="s">
        <v>7426</v>
      </c>
      <c r="D273" s="5" t="s">
        <v>7425</v>
      </c>
      <c r="E273" s="9" t="str">
        <f>HYPERLINK("https://twitter.com/Golzarfar/status/1045619849341341696","1045619849341341696")</f>
        <v>1045619849341341696</v>
      </c>
      <c r="F273" s="4"/>
      <c r="G273" s="4"/>
      <c r="H273" s="4"/>
      <c r="I273" s="10" t="str">
        <f>HYPERLINK("http://twitter.com/download/android","Twitter for Android")</f>
        <v>Twitter for Android</v>
      </c>
      <c r="J273" s="2">
        <v>361</v>
      </c>
      <c r="K273" s="2">
        <v>30</v>
      </c>
      <c r="L273" s="2">
        <v>0</v>
      </c>
      <c r="M273" s="2"/>
      <c r="N273" s="8">
        <v>40430.977673611109</v>
      </c>
      <c r="O273" s="4" t="s">
        <v>200</v>
      </c>
      <c r="P273" s="3" t="s">
        <v>7424</v>
      </c>
      <c r="Q273" s="10" t="s">
        <v>7423</v>
      </c>
      <c r="R273" s="4"/>
      <c r="S273" s="9" t="str">
        <f>HYPERLINK("https://pbs.twimg.com/profile_images/876846712803000322/vxb6lnc5.jpg","View")</f>
        <v>View</v>
      </c>
    </row>
    <row r="274" spans="1:19" ht="60">
      <c r="A274" s="8">
        <v>43371.576817129629</v>
      </c>
      <c r="B274" s="11" t="str">
        <f>HYPERLINK("https://twitter.com/hosseinmzf13","@hosseinmzf13")</f>
        <v>@hosseinmzf13</v>
      </c>
      <c r="C274" s="6" t="s">
        <v>7422</v>
      </c>
      <c r="D274" s="5" t="s">
        <v>7421</v>
      </c>
      <c r="E274" s="9" t="str">
        <f>HYPERLINK("https://twitter.com/hosseinmzf13/status/1045619280769945601","1045619280769945601")</f>
        <v>1045619280769945601</v>
      </c>
      <c r="F274" s="10" t="s">
        <v>7420</v>
      </c>
      <c r="G274" s="10" t="s">
        <v>7419</v>
      </c>
      <c r="H274" s="4"/>
      <c r="I274" s="10" t="str">
        <f>HYPERLINK("http://twitter.com/download/iphone","Twitter for iPhone")</f>
        <v>Twitter for iPhone</v>
      </c>
      <c r="J274" s="2">
        <v>1509</v>
      </c>
      <c r="K274" s="2">
        <v>544</v>
      </c>
      <c r="L274" s="2">
        <v>1</v>
      </c>
      <c r="M274" s="2"/>
      <c r="N274" s="8">
        <v>41184.325671296298</v>
      </c>
      <c r="O274" s="4" t="s">
        <v>10</v>
      </c>
      <c r="P274" s="3" t="s">
        <v>7418</v>
      </c>
      <c r="Q274" s="10" t="s">
        <v>7417</v>
      </c>
      <c r="R274" s="4"/>
      <c r="S274" s="9" t="str">
        <f>HYPERLINK("https://pbs.twimg.com/profile_images/1020917899589029889/rUJUDB3I.jpg","View")</f>
        <v>View</v>
      </c>
    </row>
    <row r="275" spans="1:19" ht="30">
      <c r="A275" s="8">
        <v>43371.576712962968</v>
      </c>
      <c r="B275" s="11" t="str">
        <f>HYPERLINK("https://twitter.com/aradfilm_ir","@aradfilm_ir")</f>
        <v>@aradfilm_ir</v>
      </c>
      <c r="C275" s="6" t="s">
        <v>7416</v>
      </c>
      <c r="D275" s="5" t="s">
        <v>7415</v>
      </c>
      <c r="E275" s="9" t="str">
        <f>HYPERLINK("https://twitter.com/aradfilm_ir/status/1045619243147046912","1045619243147046912")</f>
        <v>1045619243147046912</v>
      </c>
      <c r="F275" s="4"/>
      <c r="G275" s="4"/>
      <c r="H275" s="4"/>
      <c r="I275" s="10" t="str">
        <f>HYPERLINK("http://twitter.com","Twitter Web Client")</f>
        <v>Twitter Web Client</v>
      </c>
      <c r="J275" s="2">
        <v>828</v>
      </c>
      <c r="K275" s="2">
        <v>795</v>
      </c>
      <c r="L275" s="2">
        <v>3</v>
      </c>
      <c r="M275" s="2"/>
      <c r="N275" s="8">
        <v>41278.789502314816</v>
      </c>
      <c r="O275" s="4" t="s">
        <v>7414</v>
      </c>
      <c r="P275" s="3" t="s">
        <v>7413</v>
      </c>
      <c r="Q275" s="4"/>
      <c r="R275" s="4"/>
      <c r="S275" s="9" t="str">
        <f>HYPERLINK("https://pbs.twimg.com/profile_images/1029309959215951873/sY8dIv2C.jpg","View")</f>
        <v>View</v>
      </c>
    </row>
    <row r="276" spans="1:19" ht="20">
      <c r="A276" s="8">
        <v>43371.568402777775</v>
      </c>
      <c r="B276" s="11" t="str">
        <f>HYPERLINK("https://twitter.com/Reza_Hadavand","@Reza_Hadavand")</f>
        <v>@Reza_Hadavand</v>
      </c>
      <c r="C276" s="6" t="s">
        <v>7412</v>
      </c>
      <c r="D276" s="5" t="s">
        <v>7411</v>
      </c>
      <c r="E276" s="9" t="str">
        <f>HYPERLINK("https://twitter.com/Reza_Hadavand/status/1045616230470746112","1045616230470746112")</f>
        <v>1045616230470746112</v>
      </c>
      <c r="F276" s="4"/>
      <c r="G276" s="4"/>
      <c r="H276" s="4"/>
      <c r="I276" s="10" t="str">
        <f>HYPERLINK("https://mobile.twitter.com","Twitter Lite")</f>
        <v>Twitter Lite</v>
      </c>
      <c r="J276" s="2">
        <v>805</v>
      </c>
      <c r="K276" s="2">
        <v>408</v>
      </c>
      <c r="L276" s="2">
        <v>3</v>
      </c>
      <c r="M276" s="2"/>
      <c r="N276" s="8">
        <v>42858.423530092594</v>
      </c>
      <c r="O276" s="4" t="s">
        <v>62</v>
      </c>
      <c r="P276" s="3" t="s">
        <v>7410</v>
      </c>
      <c r="Q276" s="4"/>
      <c r="R276" s="4"/>
      <c r="S276" s="9" t="str">
        <f>HYPERLINK("https://pbs.twimg.com/profile_images/876675244269998080/g2RBeDea.jpg","View")</f>
        <v>View</v>
      </c>
    </row>
    <row r="277" spans="1:19" ht="50">
      <c r="A277" s="8">
        <v>43371.561527777776</v>
      </c>
      <c r="B277" s="11" t="str">
        <f>HYPERLINK("https://twitter.com/mj8166","@mj8166")</f>
        <v>@mj8166</v>
      </c>
      <c r="C277" s="6" t="s">
        <v>7409</v>
      </c>
      <c r="D277" s="5" t="s">
        <v>7408</v>
      </c>
      <c r="E277" s="9" t="str">
        <f>HYPERLINK("https://twitter.com/mj8166/status/1045613740119511041","1045613740119511041")</f>
        <v>1045613740119511041</v>
      </c>
      <c r="F277" s="10" t="s">
        <v>7407</v>
      </c>
      <c r="G277" s="4"/>
      <c r="H277" s="4"/>
      <c r="I277" s="10" t="str">
        <f>HYPERLINK("http://twitter.com/download/android","Twitter for Android")</f>
        <v>Twitter for Android</v>
      </c>
      <c r="J277" s="2">
        <v>103</v>
      </c>
      <c r="K277" s="2">
        <v>556</v>
      </c>
      <c r="L277" s="2">
        <v>0</v>
      </c>
      <c r="M277" s="2"/>
      <c r="N277" s="8">
        <v>42331.851631944446</v>
      </c>
      <c r="O277" s="4" t="s">
        <v>200</v>
      </c>
      <c r="P277" s="3"/>
      <c r="Q277" s="4"/>
      <c r="R277" s="4"/>
      <c r="S277" s="9" t="str">
        <f>HYPERLINK("https://pbs.twimg.com/profile_images/865843253714833408/psX-TtHi.jpg","View")</f>
        <v>View</v>
      </c>
    </row>
    <row r="278" spans="1:19" ht="30">
      <c r="A278" s="8">
        <v>43371.558124999996</v>
      </c>
      <c r="B278" s="11" t="str">
        <f>HYPERLINK("https://twitter.com/Mohsen_Zlf","@Mohsen_Zlf")</f>
        <v>@Mohsen_Zlf</v>
      </c>
      <c r="C278" s="6" t="s">
        <v>6861</v>
      </c>
      <c r="D278" s="5" t="s">
        <v>7406</v>
      </c>
      <c r="E278" s="9" t="str">
        <f>HYPERLINK("https://twitter.com/Mohsen_Zlf/status/1045612505874264066","1045612505874264066")</f>
        <v>1045612505874264066</v>
      </c>
      <c r="F278" s="4"/>
      <c r="G278" s="4"/>
      <c r="H278" s="4"/>
      <c r="I278" s="10" t="str">
        <f>HYPERLINK("http://twitter.com/download/android","Twitter for Android")</f>
        <v>Twitter for Android</v>
      </c>
      <c r="J278" s="2">
        <v>31</v>
      </c>
      <c r="K278" s="2">
        <v>69</v>
      </c>
      <c r="L278" s="2">
        <v>0</v>
      </c>
      <c r="M278" s="2"/>
      <c r="N278" s="8">
        <v>42850.363206018519</v>
      </c>
      <c r="O278" s="4" t="s">
        <v>62</v>
      </c>
      <c r="P278" s="3"/>
      <c r="Q278" s="4"/>
      <c r="R278" s="4"/>
      <c r="S278" s="9" t="str">
        <f>HYPERLINK("https://pbs.twimg.com/profile_images/1033616711566716928/M_qVxO0p.jpg","View")</f>
        <v>View</v>
      </c>
    </row>
    <row r="279" spans="1:19" ht="30">
      <c r="A279" s="8">
        <v>43371.553993055553</v>
      </c>
      <c r="B279" s="11" t="str">
        <f>HYPERLINK("https://twitter.com/shivalove286","@shivalove286")</f>
        <v>@shivalove286</v>
      </c>
      <c r="C279" s="6" t="s">
        <v>7405</v>
      </c>
      <c r="D279" s="5" t="s">
        <v>7404</v>
      </c>
      <c r="E279" s="9" t="str">
        <f>HYPERLINK("https://twitter.com/shivalove286/status/1045611006691614720","1045611006691614720")</f>
        <v>1045611006691614720</v>
      </c>
      <c r="F279" s="4"/>
      <c r="G279" s="10" t="s">
        <v>7403</v>
      </c>
      <c r="H279" s="4"/>
      <c r="I279" s="10" t="str">
        <f>HYPERLINK("http://twitter.com/download/iphone","Twitter for iPhone")</f>
        <v>Twitter for iPhone</v>
      </c>
      <c r="J279" s="2">
        <v>1424</v>
      </c>
      <c r="K279" s="2">
        <v>520</v>
      </c>
      <c r="L279" s="2">
        <v>8</v>
      </c>
      <c r="M279" s="2"/>
      <c r="N279" s="8">
        <v>42370.768726851849</v>
      </c>
      <c r="O279" s="4" t="s">
        <v>10</v>
      </c>
      <c r="P279" s="3" t="s">
        <v>7402</v>
      </c>
      <c r="Q279" s="4"/>
      <c r="R279" s="4"/>
      <c r="S279" s="9" t="str">
        <f>HYPERLINK("https://pbs.twimg.com/profile_images/1017656791314903041/3719qSF_.jpg","View")</f>
        <v>View</v>
      </c>
    </row>
    <row r="280" spans="1:19" ht="20">
      <c r="A280" s="8">
        <v>43371.552256944444</v>
      </c>
      <c r="B280" s="11" t="str">
        <f>HYPERLINK("https://twitter.com/mohamad_mirzaee","@mohamad_mirzaee")</f>
        <v>@mohamad_mirzaee</v>
      </c>
      <c r="C280" s="6" t="s">
        <v>7401</v>
      </c>
      <c r="D280" s="5" t="s">
        <v>7400</v>
      </c>
      <c r="E280" s="9" t="str">
        <f>HYPERLINK("https://twitter.com/mohamad_mirzaee/status/1045610380129636354","1045610380129636354")</f>
        <v>1045610380129636354</v>
      </c>
      <c r="F280" s="4"/>
      <c r="G280" s="10" t="s">
        <v>7399</v>
      </c>
      <c r="H280" s="4"/>
      <c r="I280" s="10" t="str">
        <f>HYPERLINK("http://twitter.com","Twitter Web Client")</f>
        <v>Twitter Web Client</v>
      </c>
      <c r="J280" s="2">
        <v>2304</v>
      </c>
      <c r="K280" s="2">
        <v>1027</v>
      </c>
      <c r="L280" s="2">
        <v>18</v>
      </c>
      <c r="M280" s="2"/>
      <c r="N280" s="8">
        <v>41759.529826388891</v>
      </c>
      <c r="O280" s="4" t="s">
        <v>7398</v>
      </c>
      <c r="P280" s="3" t="s">
        <v>7397</v>
      </c>
      <c r="Q280" s="4"/>
      <c r="R280" s="4"/>
      <c r="S280" s="9" t="str">
        <f>HYPERLINK("https://pbs.twimg.com/profile_images/923885970738548736/dNupMYO3.jpg","View")</f>
        <v>View</v>
      </c>
    </row>
    <row r="281" spans="1:19" ht="20">
      <c r="A281" s="8">
        <v>43371.549814814818</v>
      </c>
      <c r="B281" s="11" t="str">
        <f>HYPERLINK("https://twitter.com/Mahmoud_ST_","@Mahmoud_ST_")</f>
        <v>@Mahmoud_ST_</v>
      </c>
      <c r="C281" s="6" t="s">
        <v>7396</v>
      </c>
      <c r="D281" s="5" t="s">
        <v>7395</v>
      </c>
      <c r="E281" s="9" t="str">
        <f>HYPERLINK("https://twitter.com/Mahmoud_ST_/status/1045609494791835648","1045609494791835648")</f>
        <v>1045609494791835648</v>
      </c>
      <c r="F281" s="10" t="s">
        <v>7394</v>
      </c>
      <c r="G281" s="4"/>
      <c r="H281" s="4"/>
      <c r="I281" s="10" t="str">
        <f>HYPERLINK("http://twitter.com/download/android","Twitter for Android")</f>
        <v>Twitter for Android</v>
      </c>
      <c r="J281" s="2">
        <v>288</v>
      </c>
      <c r="K281" s="2">
        <v>348</v>
      </c>
      <c r="L281" s="2">
        <v>2</v>
      </c>
      <c r="M281" s="2"/>
      <c r="N281" s="8">
        <v>42034.006481481483</v>
      </c>
      <c r="O281" s="4" t="s">
        <v>72</v>
      </c>
      <c r="P281" s="3" t="s">
        <v>7393</v>
      </c>
      <c r="Q281" s="4"/>
      <c r="R281" s="4"/>
      <c r="S281" s="9" t="str">
        <f>HYPERLINK("https://pbs.twimg.com/profile_images/867018421950697474/KCNbozYC.jpg","View")</f>
        <v>View</v>
      </c>
    </row>
    <row r="282" spans="1:19" ht="30">
      <c r="A282" s="8">
        <v>43371.542604166665</v>
      </c>
      <c r="B282" s="11" t="str">
        <f>HYPERLINK("https://twitter.com/payam9prb","@payam9prb")</f>
        <v>@payam9prb</v>
      </c>
      <c r="C282" s="6" t="s">
        <v>7392</v>
      </c>
      <c r="D282" s="5" t="s">
        <v>7391</v>
      </c>
      <c r="E282" s="9" t="str">
        <f>HYPERLINK("https://twitter.com/payam9prb/status/1045606882818314240","1045606882818314240")</f>
        <v>1045606882818314240</v>
      </c>
      <c r="F282" s="4"/>
      <c r="G282" s="10" t="s">
        <v>7390</v>
      </c>
      <c r="H282" s="4"/>
      <c r="I282" s="10" t="str">
        <f>HYPERLINK("http://twitter.com","Twitter Web Client")</f>
        <v>Twitter Web Client</v>
      </c>
      <c r="J282" s="2">
        <v>25</v>
      </c>
      <c r="K282" s="2">
        <v>32</v>
      </c>
      <c r="L282" s="2">
        <v>0</v>
      </c>
      <c r="M282" s="2"/>
      <c r="N282" s="8">
        <v>40606.106759259259</v>
      </c>
      <c r="O282" s="4"/>
      <c r="P282" s="3" t="s">
        <v>7389</v>
      </c>
      <c r="Q282" s="10" t="s">
        <v>7388</v>
      </c>
      <c r="R282" s="4"/>
      <c r="S282" s="9" t="str">
        <f>HYPERLINK("https://pbs.twimg.com/profile_images/952576546954530816/y4aSuMqE.jpg","View")</f>
        <v>View</v>
      </c>
    </row>
    <row r="283" spans="1:19" ht="12.5">
      <c r="A283" s="8">
        <v>43371.541643518518</v>
      </c>
      <c r="B283" s="11" t="str">
        <f>HYPERLINK("https://twitter.com/farzamf2","@farzamf2")</f>
        <v>@farzamf2</v>
      </c>
      <c r="C283" s="6" t="s">
        <v>3091</v>
      </c>
      <c r="D283" s="5" t="s">
        <v>7387</v>
      </c>
      <c r="E283" s="9" t="str">
        <f>HYPERLINK("https://twitter.com/farzamf2/status/1045606531880931328","1045606531880931328")</f>
        <v>1045606531880931328</v>
      </c>
      <c r="F283" s="4"/>
      <c r="G283" s="10" t="s">
        <v>7386</v>
      </c>
      <c r="H283" s="4"/>
      <c r="I283" s="10" t="str">
        <f>HYPERLINK("http://twitter.com/download/iphone","Twitter for iPhone")</f>
        <v>Twitter for iPhone</v>
      </c>
      <c r="J283" s="2">
        <v>201</v>
      </c>
      <c r="K283" s="2">
        <v>54</v>
      </c>
      <c r="L283" s="2">
        <v>0</v>
      </c>
      <c r="M283" s="2"/>
      <c r="N283" s="8">
        <v>42862.455254629633</v>
      </c>
      <c r="O283" s="4"/>
      <c r="P283" s="3" t="s">
        <v>3089</v>
      </c>
      <c r="Q283" s="4"/>
      <c r="R283" s="4"/>
      <c r="S283" s="9" t="str">
        <f>HYPERLINK("https://pbs.twimg.com/profile_images/1042833091910356999/XNdlnuY8.jpg","View")</f>
        <v>View</v>
      </c>
    </row>
    <row r="284" spans="1:19" ht="12.5">
      <c r="A284" s="8">
        <v>43371.53974537037</v>
      </c>
      <c r="B284" s="11" t="str">
        <f>HYPERLINK("https://twitter.com/selebritti","@selebritti")</f>
        <v>@selebritti</v>
      </c>
      <c r="C284" s="6" t="s">
        <v>7385</v>
      </c>
      <c r="D284" s="5" t="s">
        <v>7384</v>
      </c>
      <c r="E284" s="9" t="str">
        <f>HYPERLINK("https://twitter.com/selebritti/status/1045605846825267200","1045605846825267200")</f>
        <v>1045605846825267200</v>
      </c>
      <c r="F284" s="4"/>
      <c r="G284" s="10" t="s">
        <v>7383</v>
      </c>
      <c r="H284" s="4"/>
      <c r="I284" s="10" t="str">
        <f>HYPERLINK("http://twitter.com/download/iphone","Twitter for iPhone")</f>
        <v>Twitter for iPhone</v>
      </c>
      <c r="J284" s="2">
        <v>2280</v>
      </c>
      <c r="K284" s="2">
        <v>2222</v>
      </c>
      <c r="L284" s="2">
        <v>3</v>
      </c>
      <c r="M284" s="2"/>
      <c r="N284" s="8">
        <v>43099.705833333333</v>
      </c>
      <c r="O284" s="4" t="s">
        <v>200</v>
      </c>
      <c r="P284" s="3" t="s">
        <v>7382</v>
      </c>
      <c r="Q284" s="4"/>
      <c r="R284" s="4"/>
      <c r="S284" s="9" t="str">
        <f>HYPERLINK("https://pbs.twimg.com/profile_images/967733635334987777/m1gIk72J.jpg","View")</f>
        <v>View</v>
      </c>
    </row>
    <row r="285" spans="1:19" ht="20">
      <c r="A285" s="8">
        <v>43371.535868055551</v>
      </c>
      <c r="B285" s="11" t="str">
        <f>HYPERLINK("https://twitter.com/vakili22a","@vakili22a")</f>
        <v>@vakili22a</v>
      </c>
      <c r="C285" s="6" t="s">
        <v>7381</v>
      </c>
      <c r="D285" s="5" t="s">
        <v>7380</v>
      </c>
      <c r="E285" s="9" t="str">
        <f>HYPERLINK("https://twitter.com/vakili22a/status/1045604439862726656","1045604439862726656")</f>
        <v>1045604439862726656</v>
      </c>
      <c r="F285" s="4"/>
      <c r="G285" s="4"/>
      <c r="H285" s="4"/>
      <c r="I285" s="10" t="str">
        <f>HYPERLINK("http://twitter.com/download/iphone","Twitter for iPhone")</f>
        <v>Twitter for iPhone</v>
      </c>
      <c r="J285" s="2">
        <v>89</v>
      </c>
      <c r="K285" s="2">
        <v>333</v>
      </c>
      <c r="L285" s="2">
        <v>0</v>
      </c>
      <c r="M285" s="2"/>
      <c r="N285" s="8">
        <v>42626.839525462958</v>
      </c>
      <c r="O285" s="4" t="s">
        <v>414</v>
      </c>
      <c r="P285" s="3" t="s">
        <v>7379</v>
      </c>
      <c r="Q285" s="4"/>
      <c r="R285" s="4"/>
      <c r="S285" s="9" t="str">
        <f>HYPERLINK("https://pbs.twimg.com/profile_images/775723143164006400/ZoZVxQG5.jpg","View")</f>
        <v>View</v>
      </c>
    </row>
    <row r="286" spans="1:19" ht="12.5">
      <c r="A286" s="8">
        <v>43371.529675925922</v>
      </c>
      <c r="B286" s="11" t="str">
        <f>HYPERLINK("https://twitter.com/MeysamYaghoobei","@MeysamYaghoobei")</f>
        <v>@MeysamYaghoobei</v>
      </c>
      <c r="C286" s="6" t="s">
        <v>7378</v>
      </c>
      <c r="D286" s="5" t="s">
        <v>7377</v>
      </c>
      <c r="E286" s="9" t="str">
        <f>HYPERLINK("https://twitter.com/MeysamYaghoobei/status/1045602197755564033","1045602197755564033")</f>
        <v>1045602197755564033</v>
      </c>
      <c r="F286" s="4"/>
      <c r="G286" s="10" t="s">
        <v>7376</v>
      </c>
      <c r="H286" s="4"/>
      <c r="I286" s="10" t="str">
        <f>HYPERLINK("https://about.twitter.com/products/tweetdeck","TweetDeck")</f>
        <v>TweetDeck</v>
      </c>
      <c r="J286" s="2">
        <v>337</v>
      </c>
      <c r="K286" s="2">
        <v>581</v>
      </c>
      <c r="L286" s="2">
        <v>16</v>
      </c>
      <c r="M286" s="2"/>
      <c r="N286" s="8">
        <v>41837.576099537036</v>
      </c>
      <c r="O286" s="4" t="s">
        <v>200</v>
      </c>
      <c r="P286" s="3" t="s">
        <v>7375</v>
      </c>
      <c r="Q286" s="10" t="s">
        <v>7374</v>
      </c>
      <c r="R286" s="4"/>
      <c r="S286" s="9" t="str">
        <f>HYPERLINK("https://pbs.twimg.com/profile_images/964497965208436737/1Sxha_Mk.jpg","View")</f>
        <v>View</v>
      </c>
    </row>
    <row r="287" spans="1:19" ht="40">
      <c r="A287" s="8">
        <v>43371.52961805556</v>
      </c>
      <c r="B287" s="11" t="str">
        <f>HYPERLINK("https://twitter.com/MHemmatiBo","@MHemmatiBo")</f>
        <v>@MHemmatiBo</v>
      </c>
      <c r="C287" s="6" t="s">
        <v>3108</v>
      </c>
      <c r="D287" s="5" t="s">
        <v>7373</v>
      </c>
      <c r="E287" s="9" t="str">
        <f>HYPERLINK("https://twitter.com/MHemmatiBo/status/1045602176494653440","1045602176494653440")</f>
        <v>1045602176494653440</v>
      </c>
      <c r="F287" s="4"/>
      <c r="G287" s="4"/>
      <c r="H287" s="4"/>
      <c r="I287" s="10" t="str">
        <f>HYPERLINK("http://twitter.com","Twitter Web Client")</f>
        <v>Twitter Web Client</v>
      </c>
      <c r="J287" s="2">
        <v>157</v>
      </c>
      <c r="K287" s="2">
        <v>135</v>
      </c>
      <c r="L287" s="2">
        <v>0</v>
      </c>
      <c r="M287" s="2"/>
      <c r="N287" s="8">
        <v>43336.599722222221</v>
      </c>
      <c r="O287" s="4"/>
      <c r="P287" s="3" t="s">
        <v>3106</v>
      </c>
      <c r="Q287" s="10" t="s">
        <v>3105</v>
      </c>
      <c r="R287" s="4"/>
      <c r="S287" s="9" t="str">
        <f>HYPERLINK("https://pbs.twimg.com/profile_images/1032930469460017157/-Mbl4urY.jpg","View")</f>
        <v>View</v>
      </c>
    </row>
    <row r="288" spans="1:19" ht="40">
      <c r="A288" s="8">
        <v>43371.524502314816</v>
      </c>
      <c r="B288" s="11" t="str">
        <f>HYPERLINK("https://twitter.com/SanaieShahoo","@SanaieShahoo")</f>
        <v>@SanaieShahoo</v>
      </c>
      <c r="C288" s="6" t="s">
        <v>7372</v>
      </c>
      <c r="D288" s="5" t="s">
        <v>7371</v>
      </c>
      <c r="E288" s="9" t="str">
        <f>HYPERLINK("https://twitter.com/SanaieShahoo/status/1045600319848280064","1045600319848280064")</f>
        <v>1045600319848280064</v>
      </c>
      <c r="F288" s="4"/>
      <c r="G288" s="4"/>
      <c r="H288" s="4"/>
      <c r="I288" s="10" t="str">
        <f>HYPERLINK("http://twitter.com/download/android","Twitter for Android")</f>
        <v>Twitter for Android</v>
      </c>
      <c r="J288" s="2">
        <v>33</v>
      </c>
      <c r="K288" s="2">
        <v>84</v>
      </c>
      <c r="L288" s="2">
        <v>0</v>
      </c>
      <c r="M288" s="2"/>
      <c r="N288" s="8">
        <v>43188.878321759257</v>
      </c>
      <c r="O288" s="4"/>
      <c r="P288" s="3"/>
      <c r="Q288" s="4"/>
      <c r="R288" s="4"/>
      <c r="S288" s="9" t="str">
        <f>HYPERLINK("https://pbs.twimg.com/profile_images/1016311136457822209/VYC5Eskv.jpg","View")</f>
        <v>View</v>
      </c>
    </row>
    <row r="289" spans="1:19" ht="30">
      <c r="A289" s="8">
        <v>43371.523958333331</v>
      </c>
      <c r="B289" s="11" t="str">
        <f>HYPERLINK("https://twitter.com/hadikhademi","@hadikhademi")</f>
        <v>@hadikhademi</v>
      </c>
      <c r="C289" s="6" t="s">
        <v>7370</v>
      </c>
      <c r="D289" s="5" t="s">
        <v>7369</v>
      </c>
      <c r="E289" s="9" t="str">
        <f>HYPERLINK("https://twitter.com/hadikhademi/status/1045600124032962560","1045600124032962560")</f>
        <v>1045600124032962560</v>
      </c>
      <c r="F289" s="4"/>
      <c r="G289" s="10" t="s">
        <v>7368</v>
      </c>
      <c r="H289" s="4"/>
      <c r="I289" s="10" t="str">
        <f>HYPERLINK("http://twitter.com/download/iphone","Twitter for iPhone")</f>
        <v>Twitter for iPhone</v>
      </c>
      <c r="J289" s="2">
        <v>13</v>
      </c>
      <c r="K289" s="2">
        <v>52</v>
      </c>
      <c r="L289" s="2">
        <v>0</v>
      </c>
      <c r="M289" s="2"/>
      <c r="N289" s="8">
        <v>40446.889583333337</v>
      </c>
      <c r="O289" s="4" t="s">
        <v>7367</v>
      </c>
      <c r="P289" s="3"/>
      <c r="Q289" s="4"/>
      <c r="R289" s="4"/>
      <c r="S289" s="9" t="str">
        <f>HYPERLINK("https://pbs.twimg.com/profile_images/991221167976534017/RNzyg6HG.jpg","View")</f>
        <v>View</v>
      </c>
    </row>
    <row r="290" spans="1:19" ht="40">
      <c r="A290" s="8">
        <v>43371.521932870368</v>
      </c>
      <c r="B290" s="11" t="str">
        <f>HYPERLINK("https://twitter.com/sheldon_derder","@sheldon_derder")</f>
        <v>@sheldon_derder</v>
      </c>
      <c r="C290" s="6" t="s">
        <v>1879</v>
      </c>
      <c r="D290" s="5" t="s">
        <v>7366</v>
      </c>
      <c r="E290" s="9" t="str">
        <f>HYPERLINK("https://twitter.com/sheldon_derder/status/1045599391548100608","1045599391548100608")</f>
        <v>1045599391548100608</v>
      </c>
      <c r="F290" s="4"/>
      <c r="G290" s="10" t="s">
        <v>7365</v>
      </c>
      <c r="H290" s="4"/>
      <c r="I290" s="10" t="str">
        <f>HYPERLINK("http://twitter.com/download/android","Twitter for Android")</f>
        <v>Twitter for Android</v>
      </c>
      <c r="J290" s="2">
        <v>712</v>
      </c>
      <c r="K290" s="2">
        <v>327</v>
      </c>
      <c r="L290" s="2">
        <v>12</v>
      </c>
      <c r="M290" s="2"/>
      <c r="N290" s="8">
        <v>41363.798645833333</v>
      </c>
      <c r="O290" s="4" t="s">
        <v>254</v>
      </c>
      <c r="P290" s="3" t="s">
        <v>1878</v>
      </c>
      <c r="Q290" s="4"/>
      <c r="R290" s="4"/>
      <c r="S290" s="9" t="str">
        <f>HYPERLINK("https://pbs.twimg.com/profile_images/868746557809717249/BNMUbrxn.jpg","View")</f>
        <v>View</v>
      </c>
    </row>
    <row r="291" spans="1:19" ht="30">
      <c r="A291" s="8">
        <v>43371.520844907413</v>
      </c>
      <c r="B291" s="11" t="str">
        <f>HYPERLINK("https://twitter.com/eaurpjmt","@eaurpjmt")</f>
        <v>@eaurpjmt</v>
      </c>
      <c r="C291" s="6" t="s">
        <v>7364</v>
      </c>
      <c r="D291" s="5" t="s">
        <v>7363</v>
      </c>
      <c r="E291" s="9" t="str">
        <f>HYPERLINK("https://twitter.com/eaurpjmt/status/1045598996016893952","1045598996016893952")</f>
        <v>1045598996016893952</v>
      </c>
      <c r="F291" s="4"/>
      <c r="G291" s="10" t="s">
        <v>7362</v>
      </c>
      <c r="H291" s="4"/>
      <c r="I291" s="10" t="str">
        <f>HYPERLINK("http://twitter.com/download/iphone","Twitter for iPhone")</f>
        <v>Twitter for iPhone</v>
      </c>
      <c r="J291" s="2">
        <v>1354</v>
      </c>
      <c r="K291" s="2">
        <v>1375</v>
      </c>
      <c r="L291" s="2">
        <v>2</v>
      </c>
      <c r="M291" s="2"/>
      <c r="N291" s="8">
        <v>42704.893078703702</v>
      </c>
      <c r="O291" s="4" t="s">
        <v>7361</v>
      </c>
      <c r="P291" s="3" t="s">
        <v>7360</v>
      </c>
      <c r="Q291" s="4"/>
      <c r="R291" s="4"/>
      <c r="S291" s="9" t="str">
        <f>HYPERLINK("https://pbs.twimg.com/profile_images/996402863919124481/hy2BgGVi.jpg","View")</f>
        <v>View</v>
      </c>
    </row>
    <row r="292" spans="1:19" ht="40">
      <c r="A292" s="8">
        <v>43371.51898148148</v>
      </c>
      <c r="B292" s="11" t="str">
        <f>HYPERLINK("https://twitter.com/fereshtevpt","@fereshtevpt")</f>
        <v>@fereshtevpt</v>
      </c>
      <c r="C292" s="6" t="s">
        <v>331</v>
      </c>
      <c r="D292" s="5" t="s">
        <v>7359</v>
      </c>
      <c r="E292" s="9" t="str">
        <f>HYPERLINK("https://twitter.com/fereshtevpt/status/1045598320675233792","1045598320675233792")</f>
        <v>1045598320675233792</v>
      </c>
      <c r="F292" s="4"/>
      <c r="G292" s="10" t="s">
        <v>7358</v>
      </c>
      <c r="H292" s="4"/>
      <c r="I292" s="10" t="str">
        <f>HYPERLINK("http://twitter.com/download/iphone","Twitter for iPhone")</f>
        <v>Twitter for iPhone</v>
      </c>
      <c r="J292" s="2">
        <v>2494</v>
      </c>
      <c r="K292" s="2">
        <v>2146</v>
      </c>
      <c r="L292" s="2">
        <v>6</v>
      </c>
      <c r="M292" s="2"/>
      <c r="N292" s="8">
        <v>43106.721226851849</v>
      </c>
      <c r="O292" s="4"/>
      <c r="P292" s="3" t="s">
        <v>329</v>
      </c>
      <c r="Q292" s="4"/>
      <c r="R292" s="4"/>
      <c r="S292" s="9" t="str">
        <f>HYPERLINK("https://pbs.twimg.com/profile_images/1037751959716016135/k__ynAL7.jpg","View")</f>
        <v>View</v>
      </c>
    </row>
    <row r="293" spans="1:19" ht="40">
      <c r="A293" s="8">
        <v>43371.518159722225</v>
      </c>
      <c r="B293" s="11" t="str">
        <f>HYPERLINK("https://twitter.com/Gabielbatigol","@Gabielbatigol")</f>
        <v>@Gabielbatigol</v>
      </c>
      <c r="C293" s="6" t="s">
        <v>7357</v>
      </c>
      <c r="D293" s="5" t="s">
        <v>7356</v>
      </c>
      <c r="E293" s="9" t="str">
        <f>HYPERLINK("https://twitter.com/Gabielbatigol/status/1045598022799970304","1045598022799970304")</f>
        <v>1045598022799970304</v>
      </c>
      <c r="F293" s="4"/>
      <c r="G293" s="10" t="s">
        <v>7355</v>
      </c>
      <c r="H293" s="4"/>
      <c r="I293" s="10" t="str">
        <f>HYPERLINK("http://twitter.com/download/android","Twitter for Android")</f>
        <v>Twitter for Android</v>
      </c>
      <c r="J293" s="2">
        <v>33</v>
      </c>
      <c r="K293" s="2">
        <v>101</v>
      </c>
      <c r="L293" s="2">
        <v>0</v>
      </c>
      <c r="M293" s="2"/>
      <c r="N293" s="8">
        <v>43214.825972222221</v>
      </c>
      <c r="O293" s="4"/>
      <c r="P293" s="3"/>
      <c r="Q293" s="4"/>
      <c r="R293" s="4"/>
      <c r="S293" s="9" t="str">
        <f>HYPERLINK("https://pbs.twimg.com/profile_images/1001105933215436800/BeAX3PX8.jpg","View")</f>
        <v>View</v>
      </c>
    </row>
    <row r="294" spans="1:19" ht="30">
      <c r="A294" s="8">
        <v>43371.517638888894</v>
      </c>
      <c r="B294" s="11" t="str">
        <f>HYPERLINK("https://twitter.com/Saeid712","@Saeid712")</f>
        <v>@Saeid712</v>
      </c>
      <c r="C294" s="6" t="s">
        <v>7345</v>
      </c>
      <c r="D294" s="5" t="s">
        <v>7354</v>
      </c>
      <c r="E294" s="9" t="str">
        <f>HYPERLINK("https://twitter.com/Saeid712/status/1045597835599785984","1045597835599785984")</f>
        <v>1045597835599785984</v>
      </c>
      <c r="F294" s="4"/>
      <c r="G294" s="4"/>
      <c r="H294" s="4"/>
      <c r="I294" s="10" t="str">
        <f>HYPERLINK("https://mobile.twitter.com","Twitter Lite")</f>
        <v>Twitter Lite</v>
      </c>
      <c r="J294" s="2">
        <v>1</v>
      </c>
      <c r="K294" s="2">
        <v>0</v>
      </c>
      <c r="L294" s="2">
        <v>0</v>
      </c>
      <c r="M294" s="2"/>
      <c r="N294" s="8">
        <v>43303.460740740746</v>
      </c>
      <c r="O294" s="4"/>
      <c r="P294" s="3"/>
      <c r="Q294" s="4"/>
      <c r="R294" s="4"/>
      <c r="S294" s="9" t="str">
        <f>HYPERLINK("https://pbs.twimg.com/profile_images/1020923065360965632/kwLfl1u2.jpg","View")</f>
        <v>View</v>
      </c>
    </row>
    <row r="295" spans="1:19" ht="40">
      <c r="A295" s="8">
        <v>43371.514236111107</v>
      </c>
      <c r="B295" s="11" t="str">
        <f>HYPERLINK("https://twitter.com/noah1363","@noah1363")</f>
        <v>@noah1363</v>
      </c>
      <c r="C295" s="6" t="s">
        <v>7353</v>
      </c>
      <c r="D295" s="5" t="s">
        <v>7352</v>
      </c>
      <c r="E295" s="9" t="str">
        <f>HYPERLINK("https://twitter.com/noah1363/status/1045596602491129856","1045596602491129856")</f>
        <v>1045596602491129856</v>
      </c>
      <c r="F295" s="4"/>
      <c r="G295" s="4"/>
      <c r="H295" s="4"/>
      <c r="I295" s="10" t="str">
        <f>HYPERLINK("http://twitter.com","Twitter Web Client")</f>
        <v>Twitter Web Client</v>
      </c>
      <c r="J295" s="2">
        <v>176</v>
      </c>
      <c r="K295" s="2">
        <v>426</v>
      </c>
      <c r="L295" s="2">
        <v>2</v>
      </c>
      <c r="M295" s="2"/>
      <c r="N295" s="8">
        <v>39594.508437500001</v>
      </c>
      <c r="O295" s="4"/>
      <c r="P295" s="3" t="s">
        <v>7351</v>
      </c>
      <c r="Q295" s="10" t="s">
        <v>7350</v>
      </c>
      <c r="R295" s="4"/>
      <c r="S295" s="9" t="str">
        <f>HYPERLINK("https://pbs.twimg.com/profile_images/1040188735382536193/dNRrv6kQ.jpg","View")</f>
        <v>View</v>
      </c>
    </row>
    <row r="296" spans="1:19" ht="40">
      <c r="A296" s="8">
        <v>43371.513819444444</v>
      </c>
      <c r="B296" s="11" t="str">
        <f>HYPERLINK("https://twitter.com/ebrahimirad","@ebrahimirad")</f>
        <v>@ebrahimirad</v>
      </c>
      <c r="C296" s="6" t="s">
        <v>7349</v>
      </c>
      <c r="D296" s="5" t="s">
        <v>7348</v>
      </c>
      <c r="E296" s="9" t="str">
        <f>HYPERLINK("https://twitter.com/ebrahimirad/status/1045596450007273472","1045596450007273472")</f>
        <v>1045596450007273472</v>
      </c>
      <c r="F296" s="4"/>
      <c r="G296" s="4"/>
      <c r="H296" s="4"/>
      <c r="I296" s="10" t="str">
        <f>HYPERLINK("http://twitter.com","Twitter Web Client")</f>
        <v>Twitter Web Client</v>
      </c>
      <c r="J296" s="2">
        <v>377</v>
      </c>
      <c r="K296" s="2">
        <v>277</v>
      </c>
      <c r="L296" s="2">
        <v>4</v>
      </c>
      <c r="M296" s="2"/>
      <c r="N296" s="8">
        <v>41620.824675925927</v>
      </c>
      <c r="O296" s="4" t="s">
        <v>10</v>
      </c>
      <c r="P296" s="3" t="s">
        <v>7347</v>
      </c>
      <c r="Q296" s="10" t="s">
        <v>7346</v>
      </c>
      <c r="R296" s="4"/>
      <c r="S296" s="9" t="str">
        <f>HYPERLINK("https://pbs.twimg.com/profile_images/947706101281239040/FDnjemDX.jpg","View")</f>
        <v>View</v>
      </c>
    </row>
    <row r="297" spans="1:19" ht="12.5">
      <c r="A297" s="8">
        <v>43371.511319444442</v>
      </c>
      <c r="B297" s="11" t="str">
        <f>HYPERLINK("https://twitter.com/Saeid712","@Saeid712")</f>
        <v>@Saeid712</v>
      </c>
      <c r="C297" s="6" t="s">
        <v>7345</v>
      </c>
      <c r="D297" s="5" t="s">
        <v>7344</v>
      </c>
      <c r="E297" s="9" t="str">
        <f>HYPERLINK("https://twitter.com/Saeid712/status/1045595542020067328","1045595542020067328")</f>
        <v>1045595542020067328</v>
      </c>
      <c r="F297" s="4"/>
      <c r="G297" s="4"/>
      <c r="H297" s="4"/>
      <c r="I297" s="10" t="str">
        <f>HYPERLINK("https://mobile.twitter.com","Twitter Lite")</f>
        <v>Twitter Lite</v>
      </c>
      <c r="J297" s="2">
        <v>1</v>
      </c>
      <c r="K297" s="2">
        <v>0</v>
      </c>
      <c r="L297" s="2">
        <v>0</v>
      </c>
      <c r="M297" s="2"/>
      <c r="N297" s="8">
        <v>43303.460740740746</v>
      </c>
      <c r="O297" s="4"/>
      <c r="P297" s="3"/>
      <c r="Q297" s="4"/>
      <c r="R297" s="4"/>
      <c r="S297" s="9" t="str">
        <f>HYPERLINK("https://pbs.twimg.com/profile_images/1020923065360965632/kwLfl1u2.jpg","View")</f>
        <v>View</v>
      </c>
    </row>
    <row r="298" spans="1:19" ht="40">
      <c r="A298" s="8">
        <v>43371.50949074074</v>
      </c>
      <c r="B298" s="11" t="str">
        <f>HYPERLINK("https://twitter.com/BHZ1353","@BHZ1353")</f>
        <v>@BHZ1353</v>
      </c>
      <c r="C298" s="6" t="s">
        <v>4275</v>
      </c>
      <c r="D298" s="5" t="s">
        <v>7343</v>
      </c>
      <c r="E298" s="9" t="str">
        <f>HYPERLINK("https://twitter.com/BHZ1353/status/1045594882658750464","1045594882658750464")</f>
        <v>1045594882658750464</v>
      </c>
      <c r="F298" s="10" t="s">
        <v>5912</v>
      </c>
      <c r="G298" s="10" t="s">
        <v>5081</v>
      </c>
      <c r="H298" s="4"/>
      <c r="I298" s="10" t="str">
        <f>HYPERLINK("http://twitter.com/download/android","Twitter for Android")</f>
        <v>Twitter for Android</v>
      </c>
      <c r="J298" s="2">
        <v>248</v>
      </c>
      <c r="K298" s="2">
        <v>330</v>
      </c>
      <c r="L298" s="2">
        <v>0</v>
      </c>
      <c r="M298" s="2"/>
      <c r="N298" s="8">
        <v>42917.578310185185</v>
      </c>
      <c r="O298" s="4" t="s">
        <v>200</v>
      </c>
      <c r="P298" s="3" t="s">
        <v>4273</v>
      </c>
      <c r="Q298" s="4"/>
      <c r="R298" s="4"/>
      <c r="S298" s="9" t="str">
        <f>HYPERLINK("https://pbs.twimg.com/profile_images/1016532563509305344/YJ0u0bsm.jpg","View")</f>
        <v>View</v>
      </c>
    </row>
    <row r="299" spans="1:19" ht="30">
      <c r="A299" s="8">
        <v>43371.507928240739</v>
      </c>
      <c r="B299" s="11" t="str">
        <f>HYPERLINK("https://twitter.com/bbcpersiansport","@bbcpersiansport")</f>
        <v>@bbcpersiansport</v>
      </c>
      <c r="C299" s="6" t="s">
        <v>4220</v>
      </c>
      <c r="D299" s="5" t="s">
        <v>7342</v>
      </c>
      <c r="E299" s="9" t="str">
        <f>HYPERLINK("https://twitter.com/bbcpersiansport/status/1045594313567154176","1045594313567154176")</f>
        <v>1045594313567154176</v>
      </c>
      <c r="F299" s="4"/>
      <c r="G299" s="10" t="s">
        <v>7341</v>
      </c>
      <c r="H299" s="4"/>
      <c r="I299" s="10" t="str">
        <f>HYPERLINK("http://twitter.com/download/iphone","Twitter for iPhone")</f>
        <v>Twitter for iPhone</v>
      </c>
      <c r="J299" s="2">
        <v>228728</v>
      </c>
      <c r="K299" s="2">
        <v>152</v>
      </c>
      <c r="L299" s="2">
        <v>310</v>
      </c>
      <c r="M299" s="2" t="s">
        <v>1701</v>
      </c>
      <c r="N299" s="8">
        <v>40318.713576388887</v>
      </c>
      <c r="O299" s="4"/>
      <c r="P299" s="3"/>
      <c r="Q299" s="10" t="s">
        <v>4217</v>
      </c>
      <c r="R299" s="4"/>
      <c r="S299" s="9" t="str">
        <f>HYPERLINK("https://pbs.twimg.com/profile_images/586219124562460672/qrgu5k3O.jpg","View")</f>
        <v>View</v>
      </c>
    </row>
    <row r="300" spans="1:19" ht="20">
      <c r="A300" s="8">
        <v>43371.506921296299</v>
      </c>
      <c r="B300" s="11" t="str">
        <f>HYPERLINK("https://twitter.com/amoomozi","@amoomozi")</f>
        <v>@amoomozi</v>
      </c>
      <c r="C300" s="6" t="s">
        <v>4831</v>
      </c>
      <c r="D300" s="5" t="s">
        <v>7340</v>
      </c>
      <c r="E300" s="9" t="str">
        <f>HYPERLINK("https://twitter.com/amoomozi/status/1045593950369636352","1045593950369636352")</f>
        <v>1045593950369636352</v>
      </c>
      <c r="F300" s="4"/>
      <c r="G300" s="4"/>
      <c r="H300" s="4"/>
      <c r="I300" s="10" t="str">
        <f>HYPERLINK("http://twitter.com","Twitter Web Client")</f>
        <v>Twitter Web Client</v>
      </c>
      <c r="J300" s="2">
        <v>1291</v>
      </c>
      <c r="K300" s="2">
        <v>1613</v>
      </c>
      <c r="L300" s="2">
        <v>1</v>
      </c>
      <c r="M300" s="2"/>
      <c r="N300" s="8">
        <v>40903.454571759255</v>
      </c>
      <c r="O300" s="4"/>
      <c r="P300" s="3" t="s">
        <v>4829</v>
      </c>
      <c r="Q300" s="4"/>
      <c r="R300" s="4"/>
      <c r="S300" s="9" t="str">
        <f>HYPERLINK("https://pbs.twimg.com/profile_images/896781566944264193/iqX9sJTf.jpg","View")</f>
        <v>View</v>
      </c>
    </row>
    <row r="301" spans="1:19" ht="40">
      <c r="A301" s="8">
        <v>43371.506273148145</v>
      </c>
      <c r="B301" s="11" t="str">
        <f>HYPERLINK("https://twitter.com/dadash_ghiami","@dadash_ghiami")</f>
        <v>@dadash_ghiami</v>
      </c>
      <c r="C301" s="6" t="s">
        <v>7335</v>
      </c>
      <c r="D301" s="5" t="s">
        <v>7339</v>
      </c>
      <c r="E301" s="9" t="str">
        <f>HYPERLINK("https://twitter.com/dadash_ghiami/status/1045593713987203074","1045593713987203074")</f>
        <v>1045593713987203074</v>
      </c>
      <c r="F301" s="4"/>
      <c r="G301" s="10" t="s">
        <v>7338</v>
      </c>
      <c r="H301" s="4"/>
      <c r="I301" s="10" t="str">
        <f>HYPERLINK("http://twitter.com","Twitter Web Client")</f>
        <v>Twitter Web Client</v>
      </c>
      <c r="J301" s="2">
        <v>4997</v>
      </c>
      <c r="K301" s="2">
        <v>5339</v>
      </c>
      <c r="L301" s="2">
        <v>15</v>
      </c>
      <c r="M301" s="2"/>
      <c r="N301" s="8">
        <v>42829.079212962963</v>
      </c>
      <c r="O301" s="4"/>
      <c r="P301" s="3" t="s">
        <v>7332</v>
      </c>
      <c r="Q301" s="4"/>
      <c r="R301" s="4"/>
      <c r="S301" s="9" t="str">
        <f>HYPERLINK("https://pbs.twimg.com/profile_images/851501920611180545/sTLjJdmL.jpg","View")</f>
        <v>View</v>
      </c>
    </row>
    <row r="302" spans="1:19" ht="12.5">
      <c r="A302" s="8">
        <v>43371.50001157407</v>
      </c>
      <c r="B302" s="11" t="str">
        <f>HYPERLINK("https://twitter.com/mirrzaaaa","@mirrzaaaa")</f>
        <v>@mirrzaaaa</v>
      </c>
      <c r="C302" s="6" t="s">
        <v>7337</v>
      </c>
      <c r="D302" s="5" t="s">
        <v>3681</v>
      </c>
      <c r="E302" s="9" t="str">
        <f>HYPERLINK("https://twitter.com/mirrzaaaa/status/1045591443912486912","1045591443912486912")</f>
        <v>1045591443912486912</v>
      </c>
      <c r="F302" s="4"/>
      <c r="G302" s="10" t="s">
        <v>7336</v>
      </c>
      <c r="H302" s="4"/>
      <c r="I302" s="10" t="str">
        <f>HYPERLINK("http://twitter.com/download/android","Twitter for Android")</f>
        <v>Twitter for Android</v>
      </c>
      <c r="J302" s="2">
        <v>3</v>
      </c>
      <c r="K302" s="2">
        <v>12</v>
      </c>
      <c r="L302" s="2">
        <v>0</v>
      </c>
      <c r="M302" s="2"/>
      <c r="N302" s="8">
        <v>43172.491527777776</v>
      </c>
      <c r="O302" s="4"/>
      <c r="P302" s="3"/>
      <c r="Q302" s="4"/>
      <c r="R302" s="4"/>
      <c r="S302" s="9" t="str">
        <f>HYPERLINK("https://pbs.twimg.com/profile_images/973498570178482176/f7UT52Ux.jpg","View")</f>
        <v>View</v>
      </c>
    </row>
    <row r="303" spans="1:19" ht="30">
      <c r="A303" s="8">
        <v>43371.499212962968</v>
      </c>
      <c r="B303" s="11" t="str">
        <f>HYPERLINK("https://twitter.com/dadash_ghiami","@dadash_ghiami")</f>
        <v>@dadash_ghiami</v>
      </c>
      <c r="C303" s="6" t="s">
        <v>7335</v>
      </c>
      <c r="D303" s="5" t="s">
        <v>7334</v>
      </c>
      <c r="E303" s="9" t="str">
        <f>HYPERLINK("https://twitter.com/dadash_ghiami/status/1045591155616952320","1045591155616952320")</f>
        <v>1045591155616952320</v>
      </c>
      <c r="F303" s="4"/>
      <c r="G303" s="10" t="s">
        <v>7333</v>
      </c>
      <c r="H303" s="4"/>
      <c r="I303" s="10" t="str">
        <f>HYPERLINK("http://twitter.com","Twitter Web Client")</f>
        <v>Twitter Web Client</v>
      </c>
      <c r="J303" s="2">
        <v>4997</v>
      </c>
      <c r="K303" s="2">
        <v>5339</v>
      </c>
      <c r="L303" s="2">
        <v>15</v>
      </c>
      <c r="M303" s="2"/>
      <c r="N303" s="8">
        <v>42829.079212962963</v>
      </c>
      <c r="O303" s="4"/>
      <c r="P303" s="3" t="s">
        <v>7332</v>
      </c>
      <c r="Q303" s="4"/>
      <c r="R303" s="4"/>
      <c r="S303" s="9" t="str">
        <f>HYPERLINK("https://pbs.twimg.com/profile_images/851501920611180545/sTLjJdmL.jpg","View")</f>
        <v>View</v>
      </c>
    </row>
    <row r="304" spans="1:19" ht="20">
      <c r="A304" s="8">
        <v>43371.498703703706</v>
      </c>
      <c r="B304" s="11" t="str">
        <f>HYPERLINK("https://twitter.com/mojtaba06405943","@mojtaba06405943")</f>
        <v>@mojtaba06405943</v>
      </c>
      <c r="C304" s="6" t="s">
        <v>7331</v>
      </c>
      <c r="D304" s="5" t="s">
        <v>7330</v>
      </c>
      <c r="E304" s="9" t="str">
        <f>HYPERLINK("https://twitter.com/mojtaba06405943/status/1045590972174934021","1045590972174934021")</f>
        <v>1045590972174934021</v>
      </c>
      <c r="F304" s="4"/>
      <c r="G304" s="4"/>
      <c r="H304" s="4"/>
      <c r="I304" s="10" t="str">
        <f>HYPERLINK("http://twitter.com","Twitter Web Client")</f>
        <v>Twitter Web Client</v>
      </c>
      <c r="J304" s="2">
        <v>13</v>
      </c>
      <c r="K304" s="2">
        <v>18</v>
      </c>
      <c r="L304" s="2">
        <v>0</v>
      </c>
      <c r="M304" s="2"/>
      <c r="N304" s="8">
        <v>43364.482488425929</v>
      </c>
      <c r="O304" s="4"/>
      <c r="P304" s="3" t="s">
        <v>7329</v>
      </c>
      <c r="Q304" s="4"/>
      <c r="R304" s="4"/>
      <c r="S304" s="9" t="str">
        <f>HYPERLINK("https://pbs.twimg.com/profile_images/1043033571739353088/D_GhIqbj.jpg","View")</f>
        <v>View</v>
      </c>
    </row>
    <row r="305" spans="1:19" ht="30">
      <c r="A305" s="8">
        <v>43371.49527777778</v>
      </c>
      <c r="B305" s="11" t="str">
        <f>HYPERLINK("https://twitter.com/piroozinews","@piroozinews")</f>
        <v>@piroozinews</v>
      </c>
      <c r="C305" s="6" t="s">
        <v>764</v>
      </c>
      <c r="D305" s="5" t="s">
        <v>7328</v>
      </c>
      <c r="E305" s="9" t="str">
        <f>HYPERLINK("https://twitter.com/piroozinews/status/1045589728706408448","1045589728706408448")</f>
        <v>1045589728706408448</v>
      </c>
      <c r="F305" s="4"/>
      <c r="G305" s="10" t="s">
        <v>7327</v>
      </c>
      <c r="H305" s="4"/>
      <c r="I305" s="10" t="str">
        <f>HYPERLINK("http://twitter.com/download/android","Twitter for Android")</f>
        <v>Twitter for Android</v>
      </c>
      <c r="J305" s="2">
        <v>28742</v>
      </c>
      <c r="K305" s="2">
        <v>31</v>
      </c>
      <c r="L305" s="2">
        <v>244</v>
      </c>
      <c r="M305" s="2"/>
      <c r="N305" s="8">
        <v>42343.636840277773</v>
      </c>
      <c r="O305" s="4" t="s">
        <v>762</v>
      </c>
      <c r="P305" s="3" t="s">
        <v>761</v>
      </c>
      <c r="Q305" s="10" t="s">
        <v>760</v>
      </c>
      <c r="R305" s="4"/>
      <c r="S305" s="9" t="str">
        <f>HYPERLINK("https://pbs.twimg.com/profile_images/1014483613310570497/0eFAC3lV.jpg","View")</f>
        <v>View</v>
      </c>
    </row>
    <row r="306" spans="1:19" ht="30">
      <c r="A306" s="8">
        <v>43371.492743055554</v>
      </c>
      <c r="B306" s="11" t="str">
        <f>HYPERLINK("https://twitter.com/hamshahrinews","@hamshahrinews")</f>
        <v>@hamshahrinews</v>
      </c>
      <c r="C306" s="6" t="s">
        <v>2739</v>
      </c>
      <c r="D306" s="5" t="s">
        <v>7326</v>
      </c>
      <c r="E306" s="9" t="str">
        <f>HYPERLINK("https://twitter.com/hamshahrinews/status/1045588813807058944","1045588813807058944")</f>
        <v>1045588813807058944</v>
      </c>
      <c r="F306" s="4"/>
      <c r="G306" s="4"/>
      <c r="H306" s="4"/>
      <c r="I306" s="10" t="str">
        <f>HYPERLINK("http://twitter.com","Twitter Web Client")</f>
        <v>Twitter Web Client</v>
      </c>
      <c r="J306" s="2">
        <v>2000</v>
      </c>
      <c r="K306" s="2">
        <v>13</v>
      </c>
      <c r="L306" s="2">
        <v>47</v>
      </c>
      <c r="M306" s="2"/>
      <c r="N306" s="8">
        <v>42984.575752314813</v>
      </c>
      <c r="O306" s="4" t="s">
        <v>10</v>
      </c>
      <c r="P306" s="3" t="s">
        <v>2736</v>
      </c>
      <c r="Q306" s="10" t="s">
        <v>2735</v>
      </c>
      <c r="R306" s="4"/>
      <c r="S306" s="9" t="str">
        <f>HYPERLINK("https://pbs.twimg.com/profile_images/918008480631533568/-awyAU90.jpg","View")</f>
        <v>View</v>
      </c>
    </row>
    <row r="307" spans="1:19" ht="20">
      <c r="A307" s="8">
        <v>43371.492141203707</v>
      </c>
      <c r="B307" s="11" t="str">
        <f>HYPERLINK("https://twitter.com/naslezohor","@naslezohor")</f>
        <v>@naslezohor</v>
      </c>
      <c r="C307" s="6" t="s">
        <v>7325</v>
      </c>
      <c r="D307" s="5" t="s">
        <v>7324</v>
      </c>
      <c r="E307" s="9" t="str">
        <f>HYPERLINK("https://twitter.com/naslezohor/status/1045588593920659457","1045588593920659457")</f>
        <v>1045588593920659457</v>
      </c>
      <c r="F307" s="4"/>
      <c r="G307" s="4"/>
      <c r="H307" s="4"/>
      <c r="I307" s="10" t="str">
        <f>HYPERLINK("http://twitter.com/download/android","Twitter for Android")</f>
        <v>Twitter for Android</v>
      </c>
      <c r="J307" s="2">
        <v>7</v>
      </c>
      <c r="K307" s="2">
        <v>19</v>
      </c>
      <c r="L307" s="2">
        <v>0</v>
      </c>
      <c r="M307" s="2"/>
      <c r="N307" s="8">
        <v>43282.951388888891</v>
      </c>
      <c r="O307" s="4"/>
      <c r="P307" s="3" t="s">
        <v>7323</v>
      </c>
      <c r="Q307" s="4"/>
      <c r="R307" s="4"/>
      <c r="S307" s="2" t="s">
        <v>259</v>
      </c>
    </row>
    <row r="308" spans="1:19" ht="70">
      <c r="A308" s="8">
        <v>43371.491319444445</v>
      </c>
      <c r="B308" s="11" t="str">
        <f>HYPERLINK("https://twitter.com/yafarmo","@yafarmo")</f>
        <v>@yafarmo</v>
      </c>
      <c r="C308" s="6" t="s">
        <v>7322</v>
      </c>
      <c r="D308" s="5" t="s">
        <v>7321</v>
      </c>
      <c r="E308" s="9" t="str">
        <f>HYPERLINK("https://twitter.com/yafarmo/status/1045588294548041728","1045588294548041728")</f>
        <v>1045588294548041728</v>
      </c>
      <c r="F308" s="4" t="s">
        <v>7320</v>
      </c>
      <c r="G308" s="4"/>
      <c r="H308" s="4"/>
      <c r="I308" s="10" t="str">
        <f>HYPERLINK("http://twitter.com/download/android","Twitter for Android")</f>
        <v>Twitter for Android</v>
      </c>
      <c r="J308" s="2">
        <v>105</v>
      </c>
      <c r="K308" s="2">
        <v>326</v>
      </c>
      <c r="L308" s="2">
        <v>3</v>
      </c>
      <c r="M308" s="2"/>
      <c r="N308" s="8">
        <v>39875.383831018517</v>
      </c>
      <c r="O308" s="4"/>
      <c r="P308" s="3"/>
      <c r="Q308" s="4"/>
      <c r="R308" s="4"/>
      <c r="S308" s="9" t="str">
        <f>HYPERLINK("https://pbs.twimg.com/profile_images/573012698507689984/SgTCVd2y.jpeg","View")</f>
        <v>View</v>
      </c>
    </row>
    <row r="309" spans="1:19" ht="70">
      <c r="A309" s="8">
        <v>43371.490081018521</v>
      </c>
      <c r="B309" s="11" t="str">
        <f>HYPERLINK("https://twitter.com/MahdiOmrani","@MahdiOmrani")</f>
        <v>@MahdiOmrani</v>
      </c>
      <c r="C309" s="6" t="s">
        <v>7319</v>
      </c>
      <c r="D309" s="5" t="s">
        <v>7318</v>
      </c>
      <c r="E309" s="9" t="str">
        <f>HYPERLINK("https://twitter.com/MahdiOmrani/status/1045587845728034816","1045587845728034816")</f>
        <v>1045587845728034816</v>
      </c>
      <c r="F309" s="10" t="s">
        <v>7317</v>
      </c>
      <c r="G309" s="4"/>
      <c r="H309" s="4"/>
      <c r="I309" s="10" t="str">
        <f>HYPERLINK("http://twitter.com/download/android","Twitter for Android")</f>
        <v>Twitter for Android</v>
      </c>
      <c r="J309" s="2">
        <v>287</v>
      </c>
      <c r="K309" s="2">
        <v>269</v>
      </c>
      <c r="L309" s="2">
        <v>11</v>
      </c>
      <c r="M309" s="2"/>
      <c r="N309" s="8">
        <v>40735.948449074072</v>
      </c>
      <c r="O309" s="4" t="s">
        <v>10</v>
      </c>
      <c r="P309" s="3" t="s">
        <v>7316</v>
      </c>
      <c r="Q309" s="10" t="s">
        <v>7315</v>
      </c>
      <c r="R309" s="4"/>
      <c r="S309" s="9" t="str">
        <f>HYPERLINK("https://pbs.twimg.com/profile_images/976134962633207808/evWAlT2w.jpg","View")</f>
        <v>View</v>
      </c>
    </row>
    <row r="310" spans="1:19" ht="40">
      <c r="A310" s="8">
        <v>43371.489432870367</v>
      </c>
      <c r="B310" s="11" t="str">
        <f>HYPERLINK("https://twitter.com/_r4ptor","@_r4ptor")</f>
        <v>@_r4ptor</v>
      </c>
      <c r="C310" s="6" t="s">
        <v>7314</v>
      </c>
      <c r="D310" s="5" t="s">
        <v>7313</v>
      </c>
      <c r="E310" s="9" t="str">
        <f>HYPERLINK("https://twitter.com/_r4ptor/status/1045587614106030082","1045587614106030082")</f>
        <v>1045587614106030082</v>
      </c>
      <c r="F310" s="4"/>
      <c r="G310" s="4"/>
      <c r="H310" s="4"/>
      <c r="I310" s="10" t="str">
        <f>HYPERLINK("http://twitter.com/download/android","Twitter for Android")</f>
        <v>Twitter for Android</v>
      </c>
      <c r="J310" s="2">
        <v>1069</v>
      </c>
      <c r="K310" s="2">
        <v>1099</v>
      </c>
      <c r="L310" s="2">
        <v>3</v>
      </c>
      <c r="M310" s="2"/>
      <c r="N310" s="8">
        <v>41385.977210648147</v>
      </c>
      <c r="O310" s="4" t="s">
        <v>7312</v>
      </c>
      <c r="P310" s="3" t="s">
        <v>7311</v>
      </c>
      <c r="Q310" s="4"/>
      <c r="R310" s="4"/>
      <c r="S310" s="9" t="str">
        <f>HYPERLINK("https://pbs.twimg.com/profile_images/1020273041283190785/fXflFubd.jpg","View")</f>
        <v>View</v>
      </c>
    </row>
    <row r="311" spans="1:19" ht="50">
      <c r="A311" s="8">
        <v>43371.487511574072</v>
      </c>
      <c r="B311" s="11" t="str">
        <f>HYPERLINK("https://twitter.com/samaansari13","@samaansari13")</f>
        <v>@samaansari13</v>
      </c>
      <c r="C311" s="6" t="s">
        <v>7310</v>
      </c>
      <c r="D311" s="5" t="s">
        <v>7309</v>
      </c>
      <c r="E311" s="9" t="str">
        <f>HYPERLINK("https://twitter.com/samaansari13/status/1045586914177425408","1045586914177425408")</f>
        <v>1045586914177425408</v>
      </c>
      <c r="F311" s="4"/>
      <c r="G311" s="4"/>
      <c r="H311" s="4"/>
      <c r="I311" s="10" t="str">
        <f>HYPERLINK("http://twitter.com/download/android","Twitter for Android")</f>
        <v>Twitter for Android</v>
      </c>
      <c r="J311" s="2">
        <v>658</v>
      </c>
      <c r="K311" s="2">
        <v>1041</v>
      </c>
      <c r="L311" s="2">
        <v>0</v>
      </c>
      <c r="M311" s="2"/>
      <c r="N311" s="8">
        <v>43161.956747685181</v>
      </c>
      <c r="O311" s="4"/>
      <c r="P311" s="3" t="s">
        <v>7308</v>
      </c>
      <c r="Q311" s="4"/>
      <c r="R311" s="4"/>
      <c r="S311" s="9" t="str">
        <f>HYPERLINK("https://pbs.twimg.com/profile_images/1042520210186686466/FuWbvIwK.jpg","View")</f>
        <v>View</v>
      </c>
    </row>
    <row r="312" spans="1:19" ht="20">
      <c r="A312" s="8">
        <v>43371.485914351855</v>
      </c>
      <c r="B312" s="11" t="str">
        <f>HYPERLINK("https://twitter.com/agharezzz","@agharezzz")</f>
        <v>@agharezzz</v>
      </c>
      <c r="C312" s="6" t="s">
        <v>5162</v>
      </c>
      <c r="D312" s="5" t="s">
        <v>7307</v>
      </c>
      <c r="E312" s="9" t="str">
        <f>HYPERLINK("https://twitter.com/agharezzz/status/1045586338530185216","1045586338530185216")</f>
        <v>1045586338530185216</v>
      </c>
      <c r="F312" s="4"/>
      <c r="G312" s="10" t="s">
        <v>7306</v>
      </c>
      <c r="H312" s="4"/>
      <c r="I312" s="10" t="str">
        <f>HYPERLINK("http://twitter.com/download/iphone","Twitter for iPhone")</f>
        <v>Twitter for iPhone</v>
      </c>
      <c r="J312" s="2">
        <v>143</v>
      </c>
      <c r="K312" s="2">
        <v>61</v>
      </c>
      <c r="L312" s="2">
        <v>0</v>
      </c>
      <c r="M312" s="2"/>
      <c r="N312" s="8">
        <v>41071.534629629634</v>
      </c>
      <c r="O312" s="4" t="s">
        <v>10</v>
      </c>
      <c r="P312" s="3" t="s">
        <v>5160</v>
      </c>
      <c r="Q312" s="4"/>
      <c r="R312" s="4"/>
      <c r="S312" s="9" t="str">
        <f>HYPERLINK("https://pbs.twimg.com/profile_images/746020116488413184/so_wo-C0.jpg","View")</f>
        <v>View</v>
      </c>
    </row>
    <row r="313" spans="1:19" ht="12.5">
      <c r="A313" s="8">
        <v>43371.482511574075</v>
      </c>
      <c r="B313" s="11" t="str">
        <f>HYPERLINK("https://twitter.com/dashasghar","@dashasghar")</f>
        <v>@dashasghar</v>
      </c>
      <c r="C313" s="6" t="s">
        <v>7305</v>
      </c>
      <c r="D313" s="5" t="s">
        <v>7304</v>
      </c>
      <c r="E313" s="9" t="str">
        <f>HYPERLINK("https://twitter.com/dashasghar/status/1045585106138779648","1045585106138779648")</f>
        <v>1045585106138779648</v>
      </c>
      <c r="F313" s="4"/>
      <c r="G313" s="4"/>
      <c r="H313" s="4"/>
      <c r="I313" s="10" t="str">
        <f>HYPERLINK("http://twitter.com","Twitter Web Client")</f>
        <v>Twitter Web Client</v>
      </c>
      <c r="J313" s="2">
        <v>5189</v>
      </c>
      <c r="K313" s="2">
        <v>5353</v>
      </c>
      <c r="L313" s="2">
        <v>2</v>
      </c>
      <c r="M313" s="2"/>
      <c r="N313" s="8">
        <v>43265.685462962967</v>
      </c>
      <c r="O313" s="4"/>
      <c r="P313" s="3" t="s">
        <v>7303</v>
      </c>
      <c r="Q313" s="4"/>
      <c r="R313" s="4"/>
      <c r="S313" s="9" t="str">
        <f>HYPERLINK("https://pbs.twimg.com/profile_images/1012279205424443392/cxrX31SB.jpg","View")</f>
        <v>View</v>
      </c>
    </row>
    <row r="314" spans="1:19" ht="50">
      <c r="A314" s="8">
        <v>43371.480428240742</v>
      </c>
      <c r="B314" s="11" t="str">
        <f>HYPERLINK("https://twitter.com/itsme0721","@itsme0721")</f>
        <v>@itsme0721</v>
      </c>
      <c r="C314" s="6" t="s">
        <v>7302</v>
      </c>
      <c r="D314" s="5" t="s">
        <v>7301</v>
      </c>
      <c r="E314" s="9" t="str">
        <f>HYPERLINK("https://twitter.com/itsme0721/status/1045584350757220352","1045584350757220352")</f>
        <v>1045584350757220352</v>
      </c>
      <c r="F314" s="10" t="s">
        <v>7300</v>
      </c>
      <c r="G314" s="10" t="s">
        <v>7299</v>
      </c>
      <c r="H314" s="4"/>
      <c r="I314" s="10" t="str">
        <f>HYPERLINK("http://twitter.com/download/android","Twitter for Android")</f>
        <v>Twitter for Android</v>
      </c>
      <c r="J314" s="2">
        <v>87</v>
      </c>
      <c r="K314" s="2">
        <v>145</v>
      </c>
      <c r="L314" s="2">
        <v>0</v>
      </c>
      <c r="M314" s="2"/>
      <c r="N314" s="8">
        <v>41636.950509259259</v>
      </c>
      <c r="O314" s="4"/>
      <c r="P314" s="3"/>
      <c r="Q314" s="4"/>
      <c r="R314" s="4"/>
      <c r="S314" s="9" t="str">
        <f>HYPERLINK("https://pbs.twimg.com/profile_images/747979970815889408/UtSm9HYK.jpg","View")</f>
        <v>View</v>
      </c>
    </row>
    <row r="315" spans="1:19" ht="30">
      <c r="A315" s="8">
        <v>43371.478587962964</v>
      </c>
      <c r="B315" s="11" t="str">
        <f>HYPERLINK("https://twitter.com/PerspolisFCIran","@PerspolisFCIran")</f>
        <v>@PerspolisFCIran</v>
      </c>
      <c r="C315" s="6" t="s">
        <v>314</v>
      </c>
      <c r="D315" s="5" t="s">
        <v>7298</v>
      </c>
      <c r="E315" s="9" t="str">
        <f>HYPERLINK("https://twitter.com/PerspolisFCIran/status/1045583680700370944","1045583680700370944")</f>
        <v>1045583680700370944</v>
      </c>
      <c r="F315" s="4"/>
      <c r="G315" s="4"/>
      <c r="H315" s="4"/>
      <c r="I315" s="10" t="str">
        <f>HYPERLINK("http://twitter.com/download/iphone","Twitter for iPhone")</f>
        <v>Twitter for iPhone</v>
      </c>
      <c r="J315" s="2">
        <v>55352</v>
      </c>
      <c r="K315" s="2">
        <v>17</v>
      </c>
      <c r="L315" s="2">
        <v>86</v>
      </c>
      <c r="M315" s="2"/>
      <c r="N315" s="8">
        <v>41046.775138888886</v>
      </c>
      <c r="O315" s="4" t="s">
        <v>311</v>
      </c>
      <c r="P315" s="3" t="s">
        <v>310</v>
      </c>
      <c r="Q315" s="10" t="s">
        <v>309</v>
      </c>
      <c r="R315" s="4"/>
      <c r="S315" s="9" t="str">
        <f>HYPERLINK("https://pbs.twimg.com/profile_images/857246758069567488/yDozVZti.jpg","View")</f>
        <v>View</v>
      </c>
    </row>
    <row r="316" spans="1:19" ht="20">
      <c r="A316" s="8">
        <v>43371.478125000001</v>
      </c>
      <c r="B316" s="11" t="str">
        <f>HYPERLINK("https://twitter.com/meysammoussavy","@meysammoussavy")</f>
        <v>@meysammoussavy</v>
      </c>
      <c r="C316" s="6" t="s">
        <v>7297</v>
      </c>
      <c r="D316" s="5" t="s">
        <v>7296</v>
      </c>
      <c r="E316" s="9" t="str">
        <f>HYPERLINK("https://twitter.com/meysammoussavy/status/1045583515381895168","1045583515381895168")</f>
        <v>1045583515381895168</v>
      </c>
      <c r="F316" s="4"/>
      <c r="G316" s="4"/>
      <c r="H316" s="4"/>
      <c r="I316" s="10" t="str">
        <f>HYPERLINK("http://twitter.com/download/android","Twitter for Android")</f>
        <v>Twitter for Android</v>
      </c>
      <c r="J316" s="2">
        <v>9</v>
      </c>
      <c r="K316" s="2">
        <v>17</v>
      </c>
      <c r="L316" s="2">
        <v>0</v>
      </c>
      <c r="M316" s="2"/>
      <c r="N316" s="8">
        <v>41397.976712962962</v>
      </c>
      <c r="O316" s="4" t="s">
        <v>7295</v>
      </c>
      <c r="P316" s="3"/>
      <c r="Q316" s="10" t="s">
        <v>7294</v>
      </c>
      <c r="R316" s="4"/>
      <c r="S316" s="9" t="str">
        <f>HYPERLINK("https://pbs.twimg.com/profile_images/996084582574448644/TMtkuHHv.jpg","View")</f>
        <v>View</v>
      </c>
    </row>
    <row r="317" spans="1:19" ht="20">
      <c r="A317" s="8">
        <v>43371.477638888886</v>
      </c>
      <c r="B317" s="11" t="str">
        <f>HYPERLINK("https://twitter.com/Sz_Sicily","@Sz_Sicily")</f>
        <v>@Sz_Sicily</v>
      </c>
      <c r="C317" s="6" t="s">
        <v>4492</v>
      </c>
      <c r="D317" s="5" t="s">
        <v>7293</v>
      </c>
      <c r="E317" s="9" t="str">
        <f>HYPERLINK("https://twitter.com/Sz_Sicily/status/1045583337488887809","1045583337488887809")</f>
        <v>1045583337488887809</v>
      </c>
      <c r="F317" s="4"/>
      <c r="G317" s="4"/>
      <c r="H317" s="4"/>
      <c r="I317" s="10" t="str">
        <f>HYPERLINK("http://twitter.com/download/android","Twitter for Android")</f>
        <v>Twitter for Android</v>
      </c>
      <c r="J317" s="2">
        <v>1002</v>
      </c>
      <c r="K317" s="2">
        <v>148</v>
      </c>
      <c r="L317" s="2">
        <v>6</v>
      </c>
      <c r="M317" s="2"/>
      <c r="N317" s="8">
        <v>41551.67796296296</v>
      </c>
      <c r="O317" s="4" t="s">
        <v>4490</v>
      </c>
      <c r="P317" s="3" t="s">
        <v>4489</v>
      </c>
      <c r="Q317" s="4"/>
      <c r="R317" s="4"/>
      <c r="S317" s="9" t="str">
        <f>HYPERLINK("https://pbs.twimg.com/profile_images/1044541175804440576/M7IAsvI6.jpg","View")</f>
        <v>View</v>
      </c>
    </row>
    <row r="318" spans="1:19" ht="30">
      <c r="A318" s="8">
        <v>43371.474131944444</v>
      </c>
      <c r="B318" s="11" t="str">
        <f>HYPERLINK("https://twitter.com/mrjilaei","@mrjilaei")</f>
        <v>@mrjilaei</v>
      </c>
      <c r="C318" s="6" t="s">
        <v>7292</v>
      </c>
      <c r="D318" s="5" t="s">
        <v>7291</v>
      </c>
      <c r="E318" s="9" t="str">
        <f>HYPERLINK("https://twitter.com/mrjilaei/status/1045582068024070144","1045582068024070144")</f>
        <v>1045582068024070144</v>
      </c>
      <c r="F318" s="4"/>
      <c r="G318" s="4"/>
      <c r="H318" s="4"/>
      <c r="I318" s="10" t="str">
        <f>HYPERLINK("http://twitter.com/download/android","Twitter for Android")</f>
        <v>Twitter for Android</v>
      </c>
      <c r="J318" s="2">
        <v>121</v>
      </c>
      <c r="K318" s="2">
        <v>107</v>
      </c>
      <c r="L318" s="2">
        <v>0</v>
      </c>
      <c r="M318" s="2"/>
      <c r="N318" s="8">
        <v>42509.823657407411</v>
      </c>
      <c r="O318" s="4"/>
      <c r="P318" s="3" t="s">
        <v>7290</v>
      </c>
      <c r="Q318" s="4"/>
      <c r="R318" s="4"/>
      <c r="S318" s="9" t="str">
        <f>HYPERLINK("https://pbs.twimg.com/profile_images/959837761988644864/PJ_fXcpE.jpg","View")</f>
        <v>View</v>
      </c>
    </row>
    <row r="319" spans="1:19" ht="20">
      <c r="A319" s="8">
        <v>43371.47252314815</v>
      </c>
      <c r="B319" s="11" t="str">
        <f>HYPERLINK("https://twitter.com/Mas0udii","@Mas0udii")</f>
        <v>@Mas0udii</v>
      </c>
      <c r="C319" s="6" t="s">
        <v>3064</v>
      </c>
      <c r="D319" s="5" t="s">
        <v>7289</v>
      </c>
      <c r="E319" s="9" t="str">
        <f>HYPERLINK("https://twitter.com/Mas0udii/status/1045581485254877184","1045581485254877184")</f>
        <v>1045581485254877184</v>
      </c>
      <c r="F319" s="4"/>
      <c r="G319" s="4"/>
      <c r="H319" s="4"/>
      <c r="I319" s="10" t="str">
        <f>HYPERLINK("http://twitter.com","Twitter Web Client")</f>
        <v>Twitter Web Client</v>
      </c>
      <c r="J319" s="2">
        <v>2013</v>
      </c>
      <c r="K319" s="2">
        <v>2033</v>
      </c>
      <c r="L319" s="2">
        <v>5</v>
      </c>
      <c r="M319" s="2"/>
      <c r="N319" s="8">
        <v>41398.998831018514</v>
      </c>
      <c r="O319" s="4" t="s">
        <v>3061</v>
      </c>
      <c r="P319" s="3" t="s">
        <v>3060</v>
      </c>
      <c r="Q319" s="4"/>
      <c r="R319" s="4"/>
      <c r="S319" s="9" t="str">
        <f>HYPERLINK("https://pbs.twimg.com/profile_images/1033411265723596805/Rq8BGa4k.jpg","View")</f>
        <v>View</v>
      </c>
    </row>
    <row r="320" spans="1:19" ht="40">
      <c r="A320" s="8">
        <v>43371.471770833334</v>
      </c>
      <c r="B320" s="11" t="str">
        <f>HYPERLINK("https://twitter.com/afshin_r_m","@afshin_r_m")</f>
        <v>@afshin_r_m</v>
      </c>
      <c r="C320" s="6" t="s">
        <v>7288</v>
      </c>
      <c r="D320" s="5" t="s">
        <v>7287</v>
      </c>
      <c r="E320" s="9" t="str">
        <f>HYPERLINK("https://twitter.com/afshin_r_m/status/1045581213807910913","1045581213807910913")</f>
        <v>1045581213807910913</v>
      </c>
      <c r="F320" s="10" t="s">
        <v>7286</v>
      </c>
      <c r="G320" s="10" t="s">
        <v>7285</v>
      </c>
      <c r="H320" s="4"/>
      <c r="I320" s="10" t="str">
        <f>HYPERLINK("http://twitter.com/download/android","Twitter for Android")</f>
        <v>Twitter for Android</v>
      </c>
      <c r="J320" s="2">
        <v>175</v>
      </c>
      <c r="K320" s="2">
        <v>310</v>
      </c>
      <c r="L320" s="2">
        <v>2</v>
      </c>
      <c r="M320" s="2"/>
      <c r="N320" s="8">
        <v>42524.862430555557</v>
      </c>
      <c r="O320" s="4" t="s">
        <v>62</v>
      </c>
      <c r="P320" s="3"/>
      <c r="Q320" s="4"/>
      <c r="R320" s="4"/>
      <c r="S320" s="9" t="str">
        <f>HYPERLINK("https://pbs.twimg.com/profile_images/914395725311725568/IMD4_AAx.jpg","View")</f>
        <v>View</v>
      </c>
    </row>
    <row r="321" spans="1:19" ht="40">
      <c r="A321" s="8">
        <v>43371.469930555555</v>
      </c>
      <c r="B321" s="11" t="str">
        <f>HYPERLINK("https://twitter.com/omid_seyfi","@omid_seyfi")</f>
        <v>@omid_seyfi</v>
      </c>
      <c r="C321" s="6" t="s">
        <v>7284</v>
      </c>
      <c r="D321" s="5" t="s">
        <v>7283</v>
      </c>
      <c r="E321" s="9" t="str">
        <f>HYPERLINK("https://twitter.com/omid_seyfi/status/1045580544468226048","1045580544468226048")</f>
        <v>1045580544468226048</v>
      </c>
      <c r="F321" s="4"/>
      <c r="G321" s="10" t="s">
        <v>7282</v>
      </c>
      <c r="H321" s="4"/>
      <c r="I321" s="10" t="str">
        <f>HYPERLINK("https://mobile.twitter.com","Twitter Lite")</f>
        <v>Twitter Lite</v>
      </c>
      <c r="J321" s="2">
        <v>12</v>
      </c>
      <c r="K321" s="2">
        <v>27</v>
      </c>
      <c r="L321" s="2">
        <v>0</v>
      </c>
      <c r="M321" s="2"/>
      <c r="N321" s="8">
        <v>42504.976388888885</v>
      </c>
      <c r="O321" s="4" t="s">
        <v>72</v>
      </c>
      <c r="P321" s="3" t="s">
        <v>4068</v>
      </c>
      <c r="Q321" s="4"/>
      <c r="R321" s="4"/>
      <c r="S321" s="9" t="str">
        <f>HYPERLINK("https://pbs.twimg.com/profile_images/1045417787634651137/hzIzGEoh.jpg","View")</f>
        <v>View</v>
      </c>
    </row>
    <row r="322" spans="1:19" ht="30">
      <c r="A322" s="8">
        <v>43371.469629629632</v>
      </c>
      <c r="B322" s="11" t="str">
        <f>HYPERLINK("https://twitter.com/mahdi_azi9","@mahdi_azi9")</f>
        <v>@mahdi_azi9</v>
      </c>
      <c r="C322" s="6" t="s">
        <v>4333</v>
      </c>
      <c r="D322" s="5" t="s">
        <v>7281</v>
      </c>
      <c r="E322" s="9" t="str">
        <f>HYPERLINK("https://twitter.com/mahdi_azi9/status/1045580434191585281","1045580434191585281")</f>
        <v>1045580434191585281</v>
      </c>
      <c r="F322" s="4"/>
      <c r="G322" s="4"/>
      <c r="H322" s="4"/>
      <c r="I322" s="10" t="str">
        <f>HYPERLINK("http://twitter.com/download/android","Twitter for Android")</f>
        <v>Twitter for Android</v>
      </c>
      <c r="J322" s="2">
        <v>112</v>
      </c>
      <c r="K322" s="2">
        <v>255</v>
      </c>
      <c r="L322" s="2">
        <v>0</v>
      </c>
      <c r="M322" s="2"/>
      <c r="N322" s="8">
        <v>43338.801782407405</v>
      </c>
      <c r="O322" s="4" t="s">
        <v>4330</v>
      </c>
      <c r="P322" s="3" t="s">
        <v>4329</v>
      </c>
      <c r="Q322" s="4"/>
      <c r="R322" s="4"/>
      <c r="S322" s="9" t="str">
        <f>HYPERLINK("https://pbs.twimg.com/profile_images/1044732506820489217/yXb3q-ci.jpg","View")</f>
        <v>View</v>
      </c>
    </row>
    <row r="323" spans="1:19" ht="20">
      <c r="A323" s="8">
        <v>43371.468356481477</v>
      </c>
      <c r="B323" s="11" t="str">
        <f>HYPERLINK("https://twitter.com/sadegh_alavi313","@sadegh_alavi313")</f>
        <v>@sadegh_alavi313</v>
      </c>
      <c r="C323" s="6" t="s">
        <v>7280</v>
      </c>
      <c r="D323" s="5" t="s">
        <v>7279</v>
      </c>
      <c r="E323" s="9" t="str">
        <f>HYPERLINK("https://twitter.com/sadegh_alavi313/status/1045579973073997824","1045579973073997824")</f>
        <v>1045579973073997824</v>
      </c>
      <c r="F323" s="4"/>
      <c r="G323" s="4"/>
      <c r="H323" s="4"/>
      <c r="I323" s="10" t="str">
        <f>HYPERLINK("http://twitter.com/download/android","Twitter for Android")</f>
        <v>Twitter for Android</v>
      </c>
      <c r="J323" s="2">
        <v>203</v>
      </c>
      <c r="K323" s="2">
        <v>489</v>
      </c>
      <c r="L323" s="2">
        <v>0</v>
      </c>
      <c r="M323" s="2"/>
      <c r="N323" s="8">
        <v>43143.92768518519</v>
      </c>
      <c r="O323" s="4" t="s">
        <v>62</v>
      </c>
      <c r="P323" s="3" t="s">
        <v>7278</v>
      </c>
      <c r="Q323" s="4"/>
      <c r="R323" s="4"/>
      <c r="S323" s="9" t="str">
        <f>HYPERLINK("https://pbs.twimg.com/profile_images/1011242702325903361/R-3v9DHp.jpg","View")</f>
        <v>View</v>
      </c>
    </row>
    <row r="324" spans="1:19" ht="30">
      <c r="A324" s="8">
        <v>43371.466053240743</v>
      </c>
      <c r="B324" s="11" t="str">
        <f>HYPERLINK("https://twitter.com/fuckedupchill","@fuckedupchill")</f>
        <v>@fuckedupchill</v>
      </c>
      <c r="C324" s="6" t="s">
        <v>7277</v>
      </c>
      <c r="D324" s="5" t="s">
        <v>7276</v>
      </c>
      <c r="E324" s="9" t="str">
        <f>HYPERLINK("https://twitter.com/fuckedupchill/status/1045579140953526273","1045579140953526273")</f>
        <v>1045579140953526273</v>
      </c>
      <c r="F324" s="4"/>
      <c r="G324" s="4"/>
      <c r="H324" s="4"/>
      <c r="I324" s="10" t="str">
        <f>HYPERLINK("http://twitter.com/download/android","Twitter for Android")</f>
        <v>Twitter for Android</v>
      </c>
      <c r="J324" s="2">
        <v>345</v>
      </c>
      <c r="K324" s="2">
        <v>367</v>
      </c>
      <c r="L324" s="2">
        <v>1</v>
      </c>
      <c r="M324" s="2"/>
      <c r="N324" s="8">
        <v>42582.900636574079</v>
      </c>
      <c r="O324" s="4" t="s">
        <v>7275</v>
      </c>
      <c r="P324" s="3" t="s">
        <v>7274</v>
      </c>
      <c r="Q324" s="10" t="s">
        <v>7273</v>
      </c>
      <c r="R324" s="4"/>
      <c r="S324" s="9" t="str">
        <f>HYPERLINK("https://pbs.twimg.com/profile_images/1038170035334905856/2i_0a490.jpg","View")</f>
        <v>View</v>
      </c>
    </row>
    <row r="325" spans="1:19" ht="12.5">
      <c r="A325" s="8">
        <v>43371.462511574078</v>
      </c>
      <c r="B325" s="11" t="str">
        <f>HYPERLINK("https://twitter.com/majid_hesaraki","@majid_hesaraki")</f>
        <v>@majid_hesaraki</v>
      </c>
      <c r="C325" s="6" t="s">
        <v>7272</v>
      </c>
      <c r="D325" s="5" t="s">
        <v>7271</v>
      </c>
      <c r="E325" s="9" t="str">
        <f>HYPERLINK("https://twitter.com/majid_hesaraki/status/1045577857873969152","1045577857873969152")</f>
        <v>1045577857873969152</v>
      </c>
      <c r="F325" s="4"/>
      <c r="G325" s="4"/>
      <c r="H325" s="4"/>
      <c r="I325" s="10" t="str">
        <f>HYPERLINK("http://twitter.com/download/android","Twitter for Android")</f>
        <v>Twitter for Android</v>
      </c>
      <c r="J325" s="2">
        <v>223</v>
      </c>
      <c r="K325" s="2">
        <v>256</v>
      </c>
      <c r="L325" s="2">
        <v>0</v>
      </c>
      <c r="M325" s="2"/>
      <c r="N325" s="8">
        <v>42866.568333333329</v>
      </c>
      <c r="O325" s="4" t="s">
        <v>62</v>
      </c>
      <c r="P325" s="3" t="s">
        <v>7270</v>
      </c>
      <c r="Q325" s="4"/>
      <c r="R325" s="4"/>
      <c r="S325" s="9" t="str">
        <f>HYPERLINK("https://pbs.twimg.com/profile_images/1013741877634453505/9S7jmW6f.jpg","View")</f>
        <v>View</v>
      </c>
    </row>
    <row r="326" spans="1:19" ht="12.5">
      <c r="A326" s="8">
        <v>43371.452581018515</v>
      </c>
      <c r="B326" s="11" t="str">
        <f>HYPERLINK("https://twitter.com/bhnzea","@bhnzea")</f>
        <v>@bhnzea</v>
      </c>
      <c r="C326" s="6" t="s">
        <v>5526</v>
      </c>
      <c r="D326" s="5" t="s">
        <v>7269</v>
      </c>
      <c r="E326" s="9" t="str">
        <f>HYPERLINK("https://twitter.com/bhnzea/status/1045574258959642624","1045574258959642624")</f>
        <v>1045574258959642624</v>
      </c>
      <c r="F326" s="4"/>
      <c r="G326" s="10" t="s">
        <v>7268</v>
      </c>
      <c r="H326" s="4"/>
      <c r="I326" s="10" t="str">
        <f>HYPERLINK("http://twitter.com/download/android","Twitter for Android")</f>
        <v>Twitter for Android</v>
      </c>
      <c r="J326" s="2">
        <v>936</v>
      </c>
      <c r="K326" s="2">
        <v>139</v>
      </c>
      <c r="L326" s="2">
        <v>13</v>
      </c>
      <c r="M326" s="2"/>
      <c r="N326" s="8">
        <v>42544.572164351848</v>
      </c>
      <c r="O326" s="4"/>
      <c r="P326" s="3" t="s">
        <v>5524</v>
      </c>
      <c r="Q326" s="4"/>
      <c r="R326" s="4"/>
      <c r="S326" s="9" t="str">
        <f>HYPERLINK("https://pbs.twimg.com/profile_images/1044253139518574592/E3SNW18a.jpg","View")</f>
        <v>View</v>
      </c>
    </row>
    <row r="327" spans="1:19" ht="40">
      <c r="A327" s="8">
        <v>43371.451921296291</v>
      </c>
      <c r="B327" s="11" t="str">
        <f>HYPERLINK("https://twitter.com/yjcagency","@yjcagency")</f>
        <v>@yjcagency</v>
      </c>
      <c r="C327" s="6" t="s">
        <v>88</v>
      </c>
      <c r="D327" s="5" t="s">
        <v>7267</v>
      </c>
      <c r="E327" s="9" t="str">
        <f>HYPERLINK("https://twitter.com/yjcagency/status/1045574017128828929","1045574017128828929")</f>
        <v>1045574017128828929</v>
      </c>
      <c r="F327" s="4"/>
      <c r="G327" s="4"/>
      <c r="H327" s="4"/>
      <c r="I327" s="10" t="str">
        <f>HYPERLINK("http://twitter.com/download/android","Twitter for Android")</f>
        <v>Twitter for Android</v>
      </c>
      <c r="J327" s="2">
        <v>11405</v>
      </c>
      <c r="K327" s="2">
        <v>3</v>
      </c>
      <c r="L327" s="2">
        <v>63</v>
      </c>
      <c r="M327" s="2"/>
      <c r="N327" s="8">
        <v>42691.645821759259</v>
      </c>
      <c r="O327" s="4" t="s">
        <v>85</v>
      </c>
      <c r="P327" s="3" t="s">
        <v>84</v>
      </c>
      <c r="Q327" s="10" t="s">
        <v>83</v>
      </c>
      <c r="R327" s="4"/>
      <c r="S327" s="9" t="str">
        <f>HYPERLINK("https://pbs.twimg.com/profile_images/1039447384940531714/s7Ntm7-U.jpg","View")</f>
        <v>View</v>
      </c>
    </row>
    <row r="328" spans="1:19" ht="40">
      <c r="A328" s="8">
        <v>43371.449166666665</v>
      </c>
      <c r="B328" s="11" t="str">
        <f>HYPERLINK("https://twitter.com/mehrdadkhalili4","@mehrdadkhalili4")</f>
        <v>@mehrdadkhalili4</v>
      </c>
      <c r="C328" s="6" t="s">
        <v>7266</v>
      </c>
      <c r="D328" s="5" t="s">
        <v>7265</v>
      </c>
      <c r="E328" s="9" t="str">
        <f>HYPERLINK("https://twitter.com/mehrdadkhalili4/status/1045573019752697856","1045573019752697856")</f>
        <v>1045573019752697856</v>
      </c>
      <c r="F328" s="4"/>
      <c r="G328" s="4"/>
      <c r="H328" s="4"/>
      <c r="I328" s="10" t="str">
        <f>HYPERLINK("http://twitter.com/download/iphone","Twitter for iPhone")</f>
        <v>Twitter for iPhone</v>
      </c>
      <c r="J328" s="2">
        <v>174</v>
      </c>
      <c r="K328" s="2">
        <v>114</v>
      </c>
      <c r="L328" s="2">
        <v>0</v>
      </c>
      <c r="M328" s="2"/>
      <c r="N328" s="8">
        <v>41600.622187499997</v>
      </c>
      <c r="O328" s="4" t="s">
        <v>5228</v>
      </c>
      <c r="P328" s="3" t="s">
        <v>7264</v>
      </c>
      <c r="Q328" s="10" t="s">
        <v>7263</v>
      </c>
      <c r="R328" s="4"/>
      <c r="S328" s="9" t="str">
        <f>HYPERLINK("https://pbs.twimg.com/profile_images/1000484565125947392/pqWWOUWE.jpg","View")</f>
        <v>View</v>
      </c>
    </row>
    <row r="329" spans="1:19" ht="20">
      <c r="A329" s="8">
        <v>43371.445625</v>
      </c>
      <c r="B329" s="11" t="str">
        <f>HYPERLINK("https://twitter.com/khabar_fouri","@khabar_fouri")</f>
        <v>@khabar_fouri</v>
      </c>
      <c r="C329" s="6" t="s">
        <v>7253</v>
      </c>
      <c r="D329" s="5" t="s">
        <v>7262</v>
      </c>
      <c r="E329" s="9" t="str">
        <f>HYPERLINK("https://twitter.com/khabar_fouri/status/1045571738661277697","1045571738661277697")</f>
        <v>1045571738661277697</v>
      </c>
      <c r="F329" s="4"/>
      <c r="G329" s="10" t="s">
        <v>7261</v>
      </c>
      <c r="H329" s="4"/>
      <c r="I329" s="10" t="str">
        <f>HYPERLINK("https://ifttt.com","IFTTT")</f>
        <v>IFTTT</v>
      </c>
      <c r="J329" s="2">
        <v>7277</v>
      </c>
      <c r="K329" s="2">
        <v>402</v>
      </c>
      <c r="L329" s="2">
        <v>60</v>
      </c>
      <c r="M329" s="2"/>
      <c r="N329" s="8">
        <v>42456.032500000001</v>
      </c>
      <c r="O329" s="4" t="s">
        <v>200</v>
      </c>
      <c r="P329" s="3" t="s">
        <v>7251</v>
      </c>
      <c r="Q329" s="10" t="s">
        <v>7250</v>
      </c>
      <c r="R329" s="4"/>
      <c r="S329" s="9" t="str">
        <f>HYPERLINK("https://pbs.twimg.com/profile_images/897180106023735297/wE0VHgmO.jpg","View")</f>
        <v>View</v>
      </c>
    </row>
    <row r="330" spans="1:19" ht="20">
      <c r="A330" s="8">
        <v>43371.4455787037</v>
      </c>
      <c r="B330" s="11" t="str">
        <f>HYPERLINK("https://twitter.com/khabar_fouri","@khabar_fouri")</f>
        <v>@khabar_fouri</v>
      </c>
      <c r="C330" s="6" t="s">
        <v>7253</v>
      </c>
      <c r="D330" s="5" t="s">
        <v>7257</v>
      </c>
      <c r="E330" s="9" t="str">
        <f>HYPERLINK("https://twitter.com/khabar_fouri/status/1045571721162641408","1045571721162641408")</f>
        <v>1045571721162641408</v>
      </c>
      <c r="F330" s="4"/>
      <c r="G330" s="10" t="s">
        <v>7260</v>
      </c>
      <c r="H330" s="4"/>
      <c r="I330" s="10" t="str">
        <f>HYPERLINK("https://ifttt.com","IFTTT")</f>
        <v>IFTTT</v>
      </c>
      <c r="J330" s="2">
        <v>7277</v>
      </c>
      <c r="K330" s="2">
        <v>402</v>
      </c>
      <c r="L330" s="2">
        <v>60</v>
      </c>
      <c r="M330" s="2"/>
      <c r="N330" s="8">
        <v>42456.032500000001</v>
      </c>
      <c r="O330" s="4" t="s">
        <v>200</v>
      </c>
      <c r="P330" s="3" t="s">
        <v>7251</v>
      </c>
      <c r="Q330" s="10" t="s">
        <v>7250</v>
      </c>
      <c r="R330" s="4"/>
      <c r="S330" s="9" t="str">
        <f>HYPERLINK("https://pbs.twimg.com/profile_images/897180106023735297/wE0VHgmO.jpg","View")</f>
        <v>View</v>
      </c>
    </row>
    <row r="331" spans="1:19" ht="30">
      <c r="A331" s="8">
        <v>43371.443831018521</v>
      </c>
      <c r="B331" s="11" t="str">
        <f>HYPERLINK("https://twitter.com/khabar_fouri","@khabar_fouri")</f>
        <v>@khabar_fouri</v>
      </c>
      <c r="C331" s="6" t="s">
        <v>7253</v>
      </c>
      <c r="D331" s="5" t="s">
        <v>7259</v>
      </c>
      <c r="E331" s="9" t="str">
        <f>HYPERLINK("https://twitter.com/khabar_fouri/status/1045571085117399040","1045571085117399040")</f>
        <v>1045571085117399040</v>
      </c>
      <c r="F331" s="4"/>
      <c r="G331" s="10" t="s">
        <v>7258</v>
      </c>
      <c r="H331" s="4"/>
      <c r="I331" s="10" t="str">
        <f>HYPERLINK("https://ifttt.com","IFTTT")</f>
        <v>IFTTT</v>
      </c>
      <c r="J331" s="2">
        <v>7277</v>
      </c>
      <c r="K331" s="2">
        <v>402</v>
      </c>
      <c r="L331" s="2">
        <v>60</v>
      </c>
      <c r="M331" s="2"/>
      <c r="N331" s="8">
        <v>42456.032500000001</v>
      </c>
      <c r="O331" s="4" t="s">
        <v>200</v>
      </c>
      <c r="P331" s="3" t="s">
        <v>7251</v>
      </c>
      <c r="Q331" s="10" t="s">
        <v>7250</v>
      </c>
      <c r="R331" s="4"/>
      <c r="S331" s="9" t="str">
        <f>HYPERLINK("https://pbs.twimg.com/profile_images/897180106023735297/wE0VHgmO.jpg","View")</f>
        <v>View</v>
      </c>
    </row>
    <row r="332" spans="1:19" ht="20">
      <c r="A332" s="8">
        <v>43371.443078703705</v>
      </c>
      <c r="B332" s="11" t="str">
        <f>HYPERLINK("https://twitter.com/khabar_fouri","@khabar_fouri")</f>
        <v>@khabar_fouri</v>
      </c>
      <c r="C332" s="6" t="s">
        <v>7253</v>
      </c>
      <c r="D332" s="5" t="s">
        <v>7257</v>
      </c>
      <c r="E332" s="9" t="str">
        <f>HYPERLINK("https://twitter.com/khabar_fouri/status/1045570814886727680","1045570814886727680")</f>
        <v>1045570814886727680</v>
      </c>
      <c r="F332" s="4"/>
      <c r="G332" s="10" t="s">
        <v>7256</v>
      </c>
      <c r="H332" s="4"/>
      <c r="I332" s="10" t="str">
        <f>HYPERLINK("https://ifttt.com","IFTTT")</f>
        <v>IFTTT</v>
      </c>
      <c r="J332" s="2">
        <v>7277</v>
      </c>
      <c r="K332" s="2">
        <v>402</v>
      </c>
      <c r="L332" s="2">
        <v>60</v>
      </c>
      <c r="M332" s="2"/>
      <c r="N332" s="8">
        <v>42456.032500000001</v>
      </c>
      <c r="O332" s="4" t="s">
        <v>200</v>
      </c>
      <c r="P332" s="3" t="s">
        <v>7251</v>
      </c>
      <c r="Q332" s="10" t="s">
        <v>7250</v>
      </c>
      <c r="R332" s="4"/>
      <c r="S332" s="9" t="str">
        <f>HYPERLINK("https://pbs.twimg.com/profile_images/897180106023735297/wE0VHgmO.jpg","View")</f>
        <v>View</v>
      </c>
    </row>
    <row r="333" spans="1:19" ht="20">
      <c r="A333" s="8">
        <v>43371.441990740743</v>
      </c>
      <c r="B333" s="11" t="str">
        <f>HYPERLINK("https://twitter.com/khabar_fouri","@khabar_fouri")</f>
        <v>@khabar_fouri</v>
      </c>
      <c r="C333" s="6" t="s">
        <v>7253</v>
      </c>
      <c r="D333" s="5" t="s">
        <v>7255</v>
      </c>
      <c r="E333" s="9" t="str">
        <f>HYPERLINK("https://twitter.com/khabar_fouri/status/1045570418931904512","1045570418931904512")</f>
        <v>1045570418931904512</v>
      </c>
      <c r="F333" s="4"/>
      <c r="G333" s="4"/>
      <c r="H333" s="4"/>
      <c r="I333" s="10" t="str">
        <f>HYPERLINK("https://ifttt.com","IFTTT")</f>
        <v>IFTTT</v>
      </c>
      <c r="J333" s="2">
        <v>7277</v>
      </c>
      <c r="K333" s="2">
        <v>402</v>
      </c>
      <c r="L333" s="2">
        <v>60</v>
      </c>
      <c r="M333" s="2"/>
      <c r="N333" s="8">
        <v>42456.032500000001</v>
      </c>
      <c r="O333" s="4" t="s">
        <v>200</v>
      </c>
      <c r="P333" s="3" t="s">
        <v>7251</v>
      </c>
      <c r="Q333" s="10" t="s">
        <v>7250</v>
      </c>
      <c r="R333" s="4"/>
      <c r="S333" s="9" t="str">
        <f>HYPERLINK("https://pbs.twimg.com/profile_images/897180106023735297/wE0VHgmO.jpg","View")</f>
        <v>View</v>
      </c>
    </row>
    <row r="334" spans="1:19" ht="20">
      <c r="A334" s="8">
        <v>43371.441979166666</v>
      </c>
      <c r="B334" s="11" t="str">
        <f>HYPERLINK("https://twitter.com/khabar_fouri","@khabar_fouri")</f>
        <v>@khabar_fouri</v>
      </c>
      <c r="C334" s="6" t="s">
        <v>7253</v>
      </c>
      <c r="D334" s="5" t="s">
        <v>7254</v>
      </c>
      <c r="E334" s="9" t="str">
        <f>HYPERLINK("https://twitter.com/khabar_fouri/status/1045570414326493184","1045570414326493184")</f>
        <v>1045570414326493184</v>
      </c>
      <c r="F334" s="4"/>
      <c r="G334" s="4"/>
      <c r="H334" s="4"/>
      <c r="I334" s="10" t="str">
        <f>HYPERLINK("https://ifttt.com","IFTTT")</f>
        <v>IFTTT</v>
      </c>
      <c r="J334" s="2">
        <v>7277</v>
      </c>
      <c r="K334" s="2">
        <v>402</v>
      </c>
      <c r="L334" s="2">
        <v>60</v>
      </c>
      <c r="M334" s="2"/>
      <c r="N334" s="8">
        <v>42456.032500000001</v>
      </c>
      <c r="O334" s="4" t="s">
        <v>200</v>
      </c>
      <c r="P334" s="3" t="s">
        <v>7251</v>
      </c>
      <c r="Q334" s="10" t="s">
        <v>7250</v>
      </c>
      <c r="R334" s="4"/>
      <c r="S334" s="9" t="str">
        <f>HYPERLINK("https://pbs.twimg.com/profile_images/897180106023735297/wE0VHgmO.jpg","View")</f>
        <v>View</v>
      </c>
    </row>
    <row r="335" spans="1:19" ht="20">
      <c r="A335" s="8">
        <v>43371.441944444443</v>
      </c>
      <c r="B335" s="11" t="str">
        <f>HYPERLINK("https://twitter.com/khabar_fouri","@khabar_fouri")</f>
        <v>@khabar_fouri</v>
      </c>
      <c r="C335" s="6" t="s">
        <v>7253</v>
      </c>
      <c r="D335" s="5" t="s">
        <v>7252</v>
      </c>
      <c r="E335" s="9" t="str">
        <f>HYPERLINK("https://twitter.com/khabar_fouri/status/1045570402716651521","1045570402716651521")</f>
        <v>1045570402716651521</v>
      </c>
      <c r="F335" s="4"/>
      <c r="G335" s="4"/>
      <c r="H335" s="4"/>
      <c r="I335" s="10" t="str">
        <f>HYPERLINK("https://ifttt.com","IFTTT")</f>
        <v>IFTTT</v>
      </c>
      <c r="J335" s="2">
        <v>7277</v>
      </c>
      <c r="K335" s="2">
        <v>402</v>
      </c>
      <c r="L335" s="2">
        <v>60</v>
      </c>
      <c r="M335" s="2"/>
      <c r="N335" s="8">
        <v>42456.032500000001</v>
      </c>
      <c r="O335" s="4" t="s">
        <v>200</v>
      </c>
      <c r="P335" s="3" t="s">
        <v>7251</v>
      </c>
      <c r="Q335" s="10" t="s">
        <v>7250</v>
      </c>
      <c r="R335" s="4"/>
      <c r="S335" s="9" t="str">
        <f>HYPERLINK("https://pbs.twimg.com/profile_images/897180106023735297/wE0VHgmO.jpg","View")</f>
        <v>View</v>
      </c>
    </row>
    <row r="336" spans="1:19" ht="40">
      <c r="A336" s="8">
        <v>43371.441782407404</v>
      </c>
      <c r="B336" s="11" t="str">
        <f>HYPERLINK("https://twitter.com/mr_tifusi","@mr_tifusi")</f>
        <v>@mr_tifusi</v>
      </c>
      <c r="C336" s="6" t="s">
        <v>2676</v>
      </c>
      <c r="D336" s="5" t="s">
        <v>7249</v>
      </c>
      <c r="E336" s="9" t="str">
        <f>HYPERLINK("https://twitter.com/mr_tifusi/status/1045570342876516354","1045570342876516354")</f>
        <v>1045570342876516354</v>
      </c>
      <c r="F336" s="4"/>
      <c r="G336" s="4"/>
      <c r="H336" s="4"/>
      <c r="I336" s="10" t="str">
        <f>HYPERLINK("http://twitter.com/download/iphone","Twitter for iPhone")</f>
        <v>Twitter for iPhone</v>
      </c>
      <c r="J336" s="2">
        <v>373</v>
      </c>
      <c r="K336" s="2">
        <v>399</v>
      </c>
      <c r="L336" s="2">
        <v>0</v>
      </c>
      <c r="M336" s="2"/>
      <c r="N336" s="8">
        <v>42907.913738425923</v>
      </c>
      <c r="O336" s="4"/>
      <c r="P336" s="3" t="s">
        <v>2674</v>
      </c>
      <c r="Q336" s="4"/>
      <c r="R336" s="4"/>
      <c r="S336" s="9" t="str">
        <f>HYPERLINK("https://pbs.twimg.com/profile_images/998522572353429504/ckU5rUtL.jpg","View")</f>
        <v>View</v>
      </c>
    </row>
    <row r="337" spans="1:19" ht="12.5">
      <c r="A337" s="8">
        <v>43371.436111111107</v>
      </c>
      <c r="B337" s="11" t="str">
        <f>HYPERLINK("https://twitter.com/m_pishnamazi","@m_pishnamazi")</f>
        <v>@m_pishnamazi</v>
      </c>
      <c r="C337" s="6" t="s">
        <v>7248</v>
      </c>
      <c r="D337" s="5" t="s">
        <v>7247</v>
      </c>
      <c r="E337" s="9" t="str">
        <f>HYPERLINK("https://twitter.com/m_pishnamazi/status/1045568288342855680","1045568288342855680")</f>
        <v>1045568288342855680</v>
      </c>
      <c r="F337" s="4"/>
      <c r="G337" s="4"/>
      <c r="H337" s="4"/>
      <c r="I337" s="10" t="str">
        <f>HYPERLINK("http://twitter.com/download/android","Twitter for Android")</f>
        <v>Twitter for Android</v>
      </c>
      <c r="J337" s="2">
        <v>2919</v>
      </c>
      <c r="K337" s="2">
        <v>2668</v>
      </c>
      <c r="L337" s="2">
        <v>5</v>
      </c>
      <c r="M337" s="2"/>
      <c r="N337" s="8">
        <v>42941.516875000001</v>
      </c>
      <c r="O337" s="4"/>
      <c r="P337" s="3" t="s">
        <v>7246</v>
      </c>
      <c r="Q337" s="4"/>
      <c r="R337" s="4"/>
      <c r="S337" s="9" t="str">
        <f>HYPERLINK("https://pbs.twimg.com/profile_images/993016524842684416/zaj0bgi-.jpg","View")</f>
        <v>View</v>
      </c>
    </row>
    <row r="338" spans="1:19" ht="40">
      <c r="A338" s="8">
        <v>43371.435648148152</v>
      </c>
      <c r="B338" s="11" t="str">
        <f>HYPERLINK("https://twitter.com/Red777Boy","@Red777Boy")</f>
        <v>@Red777Boy</v>
      </c>
      <c r="C338" s="6" t="s">
        <v>7245</v>
      </c>
      <c r="D338" s="5" t="s">
        <v>7244</v>
      </c>
      <c r="E338" s="9" t="str">
        <f>HYPERLINK("https://twitter.com/Red777Boy/status/1045568121468325888","1045568121468325888")</f>
        <v>1045568121468325888</v>
      </c>
      <c r="F338" s="4"/>
      <c r="G338" s="4"/>
      <c r="H338" s="4"/>
      <c r="I338" s="10" t="str">
        <f>HYPERLINK("http://twitter.com/download/android","Twitter for Android")</f>
        <v>Twitter for Android</v>
      </c>
      <c r="J338" s="2">
        <v>704</v>
      </c>
      <c r="K338" s="2">
        <v>1541</v>
      </c>
      <c r="L338" s="2">
        <v>1</v>
      </c>
      <c r="M338" s="2"/>
      <c r="N338" s="8">
        <v>42753.514687499999</v>
      </c>
      <c r="O338" s="4" t="s">
        <v>200</v>
      </c>
      <c r="P338" s="3" t="s">
        <v>7243</v>
      </c>
      <c r="Q338" s="4"/>
      <c r="R338" s="4"/>
      <c r="S338" s="9" t="str">
        <f>HYPERLINK("https://pbs.twimg.com/profile_images/989619490290913280/epGPGXbi.jpg","View")</f>
        <v>View</v>
      </c>
    </row>
    <row r="339" spans="1:19" ht="40">
      <c r="A339" s="8">
        <v>43371.432615740741</v>
      </c>
      <c r="B339" s="11" t="str">
        <f>HYPERLINK("https://twitter.com/HodaAlyamani","@HodaAlyamani")</f>
        <v>@HodaAlyamani</v>
      </c>
      <c r="C339" s="6" t="s">
        <v>7242</v>
      </c>
      <c r="D339" s="5" t="s">
        <v>7241</v>
      </c>
      <c r="E339" s="9" t="str">
        <f>HYPERLINK("https://twitter.com/HodaAlyamani/status/1045567022971723776","1045567022971723776")</f>
        <v>1045567022971723776</v>
      </c>
      <c r="F339" s="4"/>
      <c r="G339" s="4"/>
      <c r="H339" s="4"/>
      <c r="I339" s="10" t="str">
        <f>HYPERLINK("http://twitter.com/download/android","Twitter for Android")</f>
        <v>Twitter for Android</v>
      </c>
      <c r="J339" s="2">
        <v>460</v>
      </c>
      <c r="K339" s="2">
        <v>1382</v>
      </c>
      <c r="L339" s="2">
        <v>3</v>
      </c>
      <c r="M339" s="2"/>
      <c r="N339" s="8">
        <v>42606.717164351852</v>
      </c>
      <c r="O339" s="4"/>
      <c r="P339" s="3" t="s">
        <v>7240</v>
      </c>
      <c r="Q339" s="10" t="s">
        <v>6820</v>
      </c>
      <c r="R339" s="4"/>
      <c r="S339" s="9" t="str">
        <f>HYPERLINK("https://pbs.twimg.com/profile_images/768431577282084864/uh4tgYVL.jpg","View")</f>
        <v>View</v>
      </c>
    </row>
    <row r="340" spans="1:19" ht="30">
      <c r="A340" s="8">
        <v>43371.429895833338</v>
      </c>
      <c r="B340" s="11" t="str">
        <f>HYPERLINK("https://twitter.com/samy_kian1","@samy_kian1")</f>
        <v>@samy_kian1</v>
      </c>
      <c r="C340" s="6" t="s">
        <v>2673</v>
      </c>
      <c r="D340" s="5" t="s">
        <v>7239</v>
      </c>
      <c r="E340" s="9" t="str">
        <f>HYPERLINK("https://twitter.com/samy_kian1/status/1045566038170120193","1045566038170120193")</f>
        <v>1045566038170120193</v>
      </c>
      <c r="F340" s="4"/>
      <c r="G340" s="10" t="s">
        <v>7238</v>
      </c>
      <c r="H340" s="4"/>
      <c r="I340" s="10" t="str">
        <f>HYPERLINK("http://twitter.com/download/android","Twitter for Android")</f>
        <v>Twitter for Android</v>
      </c>
      <c r="J340" s="2">
        <v>727</v>
      </c>
      <c r="K340" s="2">
        <v>1705</v>
      </c>
      <c r="L340" s="2">
        <v>0</v>
      </c>
      <c r="M340" s="2"/>
      <c r="N340" s="8">
        <v>43329.723935185189</v>
      </c>
      <c r="O340" s="4"/>
      <c r="P340" s="3" t="s">
        <v>2671</v>
      </c>
      <c r="Q340" s="4"/>
      <c r="R340" s="4"/>
      <c r="S340" s="9" t="str">
        <f>HYPERLINK("https://pbs.twimg.com/profile_images/1045224416861290496/r5Hh9Awc.jpg","View")</f>
        <v>View</v>
      </c>
    </row>
    <row r="341" spans="1:19" ht="40">
      <c r="A341" s="8">
        <v>43371.426678240736</v>
      </c>
      <c r="B341" s="11" t="str">
        <f>HYPERLINK("https://twitter.com/bahmanbabazade","@bahmanbabazade")</f>
        <v>@bahmanbabazade</v>
      </c>
      <c r="C341" s="6" t="s">
        <v>871</v>
      </c>
      <c r="D341" s="5" t="s">
        <v>7237</v>
      </c>
      <c r="E341" s="9" t="str">
        <f>HYPERLINK("https://twitter.com/bahmanbabazade/status/1045564869066575872","1045564869066575872")</f>
        <v>1045564869066575872</v>
      </c>
      <c r="F341" s="4"/>
      <c r="G341" s="10" t="s">
        <v>7236</v>
      </c>
      <c r="H341" s="4"/>
      <c r="I341" s="10" t="str">
        <f>HYPERLINK("http://twitter.com/download/android","Twitter for Android")</f>
        <v>Twitter for Android</v>
      </c>
      <c r="J341" s="2">
        <v>1825</v>
      </c>
      <c r="K341" s="2">
        <v>448</v>
      </c>
      <c r="L341" s="2">
        <v>22</v>
      </c>
      <c r="M341" s="2"/>
      <c r="N341" s="8">
        <v>41997.028449074074</v>
      </c>
      <c r="O341" s="4" t="s">
        <v>870</v>
      </c>
      <c r="P341" s="3" t="s">
        <v>869</v>
      </c>
      <c r="Q341" s="4"/>
      <c r="R341" s="4"/>
      <c r="S341" s="9" t="str">
        <f>HYPERLINK("https://pbs.twimg.com/profile_images/547501257976315904/zJNVaQ6k.jpeg","View")</f>
        <v>View</v>
      </c>
    </row>
    <row r="342" spans="1:19" ht="20">
      <c r="A342" s="8">
        <v>43371.40388888889</v>
      </c>
      <c r="B342" s="11" t="str">
        <f>HYPERLINK("https://twitter.com/Maahbaano","@Maahbaano")</f>
        <v>@Maahbaano</v>
      </c>
      <c r="C342" s="6" t="s">
        <v>7235</v>
      </c>
      <c r="D342" s="5" t="s">
        <v>7234</v>
      </c>
      <c r="E342" s="9" t="str">
        <f>HYPERLINK("https://twitter.com/Maahbaano/status/1045556610637156352","1045556610637156352")</f>
        <v>1045556610637156352</v>
      </c>
      <c r="F342" s="4"/>
      <c r="G342" s="4"/>
      <c r="H342" s="4"/>
      <c r="I342" s="10" t="str">
        <f>HYPERLINK("http://twitter.com/download/iphone","Twitter for iPhone")</f>
        <v>Twitter for iPhone</v>
      </c>
      <c r="J342" s="2">
        <v>627</v>
      </c>
      <c r="K342" s="2">
        <v>526</v>
      </c>
      <c r="L342" s="2">
        <v>4</v>
      </c>
      <c r="M342" s="2"/>
      <c r="N342" s="8">
        <v>40932.754988425928</v>
      </c>
      <c r="O342" s="4" t="s">
        <v>7233</v>
      </c>
      <c r="P342" s="3" t="s">
        <v>7232</v>
      </c>
      <c r="Q342" s="4"/>
      <c r="R342" s="4"/>
      <c r="S342" s="9" t="str">
        <f>HYPERLINK("https://pbs.twimg.com/profile_images/1028264726575370240/zY5-gWb8.jpg","View")</f>
        <v>View</v>
      </c>
    </row>
    <row r="343" spans="1:19" ht="30">
      <c r="A343" s="8">
        <v>43371.403113425928</v>
      </c>
      <c r="B343" s="11" t="str">
        <f>HYPERLINK("https://twitter.com/maisamsafari","@maisamsafari")</f>
        <v>@maisamsafari</v>
      </c>
      <c r="C343" s="6" t="s">
        <v>7231</v>
      </c>
      <c r="D343" s="5" t="s">
        <v>7230</v>
      </c>
      <c r="E343" s="9" t="str">
        <f>HYPERLINK("https://twitter.com/maisamsafari/status/1045556329518182400","1045556329518182400")</f>
        <v>1045556329518182400</v>
      </c>
      <c r="F343" s="4"/>
      <c r="G343" s="4"/>
      <c r="H343" s="4"/>
      <c r="I343" s="10" t="str">
        <f>HYPERLINK("http://twitter.com/download/android","Twitter for Android")</f>
        <v>Twitter for Android</v>
      </c>
      <c r="J343" s="2">
        <v>3514</v>
      </c>
      <c r="K343" s="2">
        <v>4233</v>
      </c>
      <c r="L343" s="2">
        <v>4</v>
      </c>
      <c r="M343" s="2"/>
      <c r="N343" s="8">
        <v>41484.50440972222</v>
      </c>
      <c r="O343" s="4" t="s">
        <v>7229</v>
      </c>
      <c r="P343" s="3" t="s">
        <v>7228</v>
      </c>
      <c r="Q343" s="10" t="s">
        <v>7227</v>
      </c>
      <c r="R343" s="4"/>
      <c r="S343" s="9" t="str">
        <f>HYPERLINK("https://pbs.twimg.com/profile_images/1039736486671867909/vkKspgrT.jpg","View")</f>
        <v>View</v>
      </c>
    </row>
    <row r="344" spans="1:19" ht="30">
      <c r="A344" s="8">
        <v>43371.396493055552</v>
      </c>
      <c r="B344" s="11" t="str">
        <f>HYPERLINK("https://twitter.com/ta_eslahgara","@ta_eslahgara")</f>
        <v>@ta_eslahgara</v>
      </c>
      <c r="C344" s="6" t="s">
        <v>3519</v>
      </c>
      <c r="D344" s="5" t="s">
        <v>7226</v>
      </c>
      <c r="E344" s="9" t="str">
        <f>HYPERLINK("https://twitter.com/ta_eslahgara/status/1045553933882667008","1045553933882667008")</f>
        <v>1045553933882667008</v>
      </c>
      <c r="F344" s="4"/>
      <c r="G344" s="4"/>
      <c r="H344" s="4"/>
      <c r="I344" s="10" t="str">
        <f>HYPERLINK("http://twitter.com/download/android","Twitter for Android")</f>
        <v>Twitter for Android</v>
      </c>
      <c r="J344" s="2">
        <v>4658</v>
      </c>
      <c r="K344" s="2">
        <v>3099</v>
      </c>
      <c r="L344" s="2">
        <v>8</v>
      </c>
      <c r="M344" s="2"/>
      <c r="N344" s="8">
        <v>43131.895914351851</v>
      </c>
      <c r="O344" s="4" t="s">
        <v>62</v>
      </c>
      <c r="P344" s="3" t="s">
        <v>7225</v>
      </c>
      <c r="Q344" s="10" t="s">
        <v>3516</v>
      </c>
      <c r="R344" s="4"/>
      <c r="S344" s="9" t="str">
        <f>HYPERLINK("https://pbs.twimg.com/profile_images/1026030574073507840/IeJVmyhD.jpg","View")</f>
        <v>View</v>
      </c>
    </row>
    <row r="345" spans="1:19" ht="12.5">
      <c r="A345" s="8">
        <v>43371.393460648149</v>
      </c>
      <c r="B345" s="11" t="str">
        <f>HYPERLINK("https://twitter.com/farshadazami","@farshadazami")</f>
        <v>@farshadazami</v>
      </c>
      <c r="C345" s="6" t="s">
        <v>7224</v>
      </c>
      <c r="D345" s="5" t="s">
        <v>7223</v>
      </c>
      <c r="E345" s="9" t="str">
        <f>HYPERLINK("https://twitter.com/farshadazami/status/1045552833632890880","1045552833632890880")</f>
        <v>1045552833632890880</v>
      </c>
      <c r="F345" s="4"/>
      <c r="G345" s="4"/>
      <c r="H345" s="4"/>
      <c r="I345" s="10" t="str">
        <f>HYPERLINK("http://twitter.com/download/iphone","Twitter for iPhone")</f>
        <v>Twitter for iPhone</v>
      </c>
      <c r="J345" s="2">
        <v>170</v>
      </c>
      <c r="K345" s="2">
        <v>358</v>
      </c>
      <c r="L345" s="2">
        <v>0</v>
      </c>
      <c r="M345" s="2"/>
      <c r="N345" s="8">
        <v>41534.61445601852</v>
      </c>
      <c r="O345" s="4" t="s">
        <v>7222</v>
      </c>
      <c r="P345" s="3" t="s">
        <v>5988</v>
      </c>
      <c r="Q345" s="10" t="s">
        <v>7221</v>
      </c>
      <c r="R345" s="4"/>
      <c r="S345" s="9" t="str">
        <f>HYPERLINK("https://pbs.twimg.com/profile_images/915157785263968256/Z4HkMJif.jpg","View")</f>
        <v>View</v>
      </c>
    </row>
    <row r="346" spans="1:19" ht="30">
      <c r="A346" s="8">
        <v>43371.381990740745</v>
      </c>
      <c r="B346" s="11" t="str">
        <f>HYPERLINK("https://twitter.com/ghobar14","@ghobar14")</f>
        <v>@ghobar14</v>
      </c>
      <c r="C346" s="6" t="s">
        <v>7220</v>
      </c>
      <c r="D346" s="5" t="s">
        <v>7219</v>
      </c>
      <c r="E346" s="9" t="str">
        <f>HYPERLINK("https://twitter.com/ghobar14/status/1045548678524686336","1045548678524686336")</f>
        <v>1045548678524686336</v>
      </c>
      <c r="F346" s="4"/>
      <c r="G346" s="4"/>
      <c r="H346" s="4"/>
      <c r="I346" s="10" t="str">
        <f>HYPERLINK("http://twitter.com/download/android","Twitter for Android")</f>
        <v>Twitter for Android</v>
      </c>
      <c r="J346" s="2">
        <v>129</v>
      </c>
      <c r="K346" s="2">
        <v>101</v>
      </c>
      <c r="L346" s="2">
        <v>0</v>
      </c>
      <c r="M346" s="2"/>
      <c r="N346" s="8">
        <v>43325.687534722223</v>
      </c>
      <c r="O346" s="4"/>
      <c r="P346" s="3" t="s">
        <v>7218</v>
      </c>
      <c r="Q346" s="4"/>
      <c r="R346" s="4"/>
      <c r="S346" s="9" t="str">
        <f>HYPERLINK("https://pbs.twimg.com/profile_images/1037709493180747776/QyHwxgUJ.jpg","View")</f>
        <v>View</v>
      </c>
    </row>
    <row r="347" spans="1:19" ht="40">
      <c r="A347" s="8">
        <v>43371.380370370374</v>
      </c>
      <c r="B347" s="11" t="str">
        <f>HYPERLINK("https://twitter.com/mostaghis","@mostaghis")</f>
        <v>@mostaghis</v>
      </c>
      <c r="C347" s="6" t="s">
        <v>7217</v>
      </c>
      <c r="D347" s="5" t="s">
        <v>7216</v>
      </c>
      <c r="E347" s="9" t="str">
        <f>HYPERLINK("https://twitter.com/mostaghis/status/1045548091221463040","1045548091221463040")</f>
        <v>1045548091221463040</v>
      </c>
      <c r="F347" s="4"/>
      <c r="G347" s="4"/>
      <c r="H347" s="4"/>
      <c r="I347" s="10" t="str">
        <f>HYPERLINK("http://twitter.com/download/android","Twitter for Android")</f>
        <v>Twitter for Android</v>
      </c>
      <c r="J347" s="2">
        <v>1133</v>
      </c>
      <c r="K347" s="2">
        <v>1114</v>
      </c>
      <c r="L347" s="2">
        <v>0</v>
      </c>
      <c r="M347" s="2"/>
      <c r="N347" s="8">
        <v>43323.236898148149</v>
      </c>
      <c r="O347" s="4" t="s">
        <v>7215</v>
      </c>
      <c r="P347" s="3" t="s">
        <v>7214</v>
      </c>
      <c r="Q347" s="10" t="s">
        <v>7213</v>
      </c>
      <c r="R347" s="4"/>
      <c r="S347" s="9" t="str">
        <f>HYPERLINK("https://pbs.twimg.com/profile_images/1043578635771424768/OSI4wgIo.jpg","View")</f>
        <v>View</v>
      </c>
    </row>
    <row r="348" spans="1:19" ht="30">
      <c r="A348" s="8">
        <v>43371.37881944445</v>
      </c>
      <c r="B348" s="11" t="str">
        <f>HYPERLINK("https://twitter.com/Majidtavakoli93","@Majidtavakoli93")</f>
        <v>@Majidtavakoli93</v>
      </c>
      <c r="C348" s="6" t="s">
        <v>7212</v>
      </c>
      <c r="D348" s="5" t="s">
        <v>7211</v>
      </c>
      <c r="E348" s="9" t="str">
        <f>HYPERLINK("https://twitter.com/Majidtavakoli93/status/1045547526282248192","1045547526282248192")</f>
        <v>1045547526282248192</v>
      </c>
      <c r="F348" s="4"/>
      <c r="G348" s="4"/>
      <c r="H348" s="4"/>
      <c r="I348" s="10" t="str">
        <f>HYPERLINK("http://twitter.com/download/iphone","Twitter for iPhone")</f>
        <v>Twitter for iPhone</v>
      </c>
      <c r="J348" s="2">
        <v>431</v>
      </c>
      <c r="K348" s="2">
        <v>46</v>
      </c>
      <c r="L348" s="2">
        <v>3</v>
      </c>
      <c r="M348" s="2"/>
      <c r="N348" s="8">
        <v>42569.897581018522</v>
      </c>
      <c r="O348" s="4"/>
      <c r="P348" s="3" t="s">
        <v>7210</v>
      </c>
      <c r="Q348" s="4"/>
      <c r="R348" s="4"/>
      <c r="S348" s="9" t="str">
        <f>HYPERLINK("https://pbs.twimg.com/profile_images/1010597825963544576/j0t9r5rD.jpg","View")</f>
        <v>View</v>
      </c>
    </row>
    <row r="349" spans="1:19" ht="12.5">
      <c r="A349" s="8">
        <v>43371.378113425926</v>
      </c>
      <c r="B349" s="11" t="str">
        <f>HYPERLINK("https://twitter.com/Gladiator_SAH","@Gladiator_SAH")</f>
        <v>@Gladiator_SAH</v>
      </c>
      <c r="C349" s="6" t="s">
        <v>7209</v>
      </c>
      <c r="D349" s="5" t="s">
        <v>7208</v>
      </c>
      <c r="E349" s="9" t="str">
        <f>HYPERLINK("https://twitter.com/Gladiator_SAH/status/1045547273277632513","1045547273277632513")</f>
        <v>1045547273277632513</v>
      </c>
      <c r="F349" s="4"/>
      <c r="G349" s="10" t="s">
        <v>7207</v>
      </c>
      <c r="H349" s="4"/>
      <c r="I349" s="10" t="str">
        <f>HYPERLINK("http://twitter.com/download/iphone","Twitter for iPhone")</f>
        <v>Twitter for iPhone</v>
      </c>
      <c r="J349" s="2">
        <v>1</v>
      </c>
      <c r="K349" s="2">
        <v>12</v>
      </c>
      <c r="L349" s="2">
        <v>0</v>
      </c>
      <c r="M349" s="2"/>
      <c r="N349" s="8">
        <v>43363.699965277774</v>
      </c>
      <c r="O349" s="4"/>
      <c r="P349" s="3" t="s">
        <v>7206</v>
      </c>
      <c r="Q349" s="4"/>
      <c r="R349" s="4"/>
      <c r="S349" s="9" t="str">
        <f>HYPERLINK("https://pbs.twimg.com/profile_images/1042750391237201921/HXQ3y7Pv.jpg","View")</f>
        <v>View</v>
      </c>
    </row>
    <row r="350" spans="1:19" ht="20">
      <c r="A350" s="8">
        <v>43371.377453703702</v>
      </c>
      <c r="B350" s="11" t="str">
        <f>HYPERLINK("https://twitter.com/pourya","@pourya")</f>
        <v>@pourya</v>
      </c>
      <c r="C350" s="6" t="s">
        <v>7205</v>
      </c>
      <c r="D350" s="5" t="s">
        <v>7204</v>
      </c>
      <c r="E350" s="9" t="str">
        <f>HYPERLINK("https://twitter.com/pourya/status/1045547032994168833","1045547032994168833")</f>
        <v>1045547032994168833</v>
      </c>
      <c r="F350" s="4"/>
      <c r="G350" s="4"/>
      <c r="H350" s="4"/>
      <c r="I350" s="10" t="str">
        <f>HYPERLINK("http://twitter.com","Twitter Web Client")</f>
        <v>Twitter Web Client</v>
      </c>
      <c r="J350" s="2">
        <v>3761</v>
      </c>
      <c r="K350" s="2">
        <v>1042</v>
      </c>
      <c r="L350" s="2">
        <v>27</v>
      </c>
      <c r="M350" s="2"/>
      <c r="N350" s="8">
        <v>42219.998032407406</v>
      </c>
      <c r="O350" s="4" t="s">
        <v>7203</v>
      </c>
      <c r="P350" s="3" t="s">
        <v>7202</v>
      </c>
      <c r="Q350" s="4"/>
      <c r="R350" s="4"/>
      <c r="S350" s="9" t="str">
        <f>HYPERLINK("https://pbs.twimg.com/profile_images/1010305898013585408/v8F-YMPK.jpg","View")</f>
        <v>View</v>
      </c>
    </row>
    <row r="351" spans="1:19" ht="20">
      <c r="A351" s="8">
        <v>43371.374201388884</v>
      </c>
      <c r="B351" s="11" t="str">
        <f>HYPERLINK("https://twitter.com/shirdaal","@shirdaal")</f>
        <v>@shirdaal</v>
      </c>
      <c r="C351" s="6" t="s">
        <v>7201</v>
      </c>
      <c r="D351" s="5" t="s">
        <v>7200</v>
      </c>
      <c r="E351" s="9" t="str">
        <f>HYPERLINK("https://twitter.com/shirdaal/status/1045545854751379457","1045545854751379457")</f>
        <v>1045545854751379457</v>
      </c>
      <c r="F351" s="4"/>
      <c r="G351" s="4"/>
      <c r="H351" s="4"/>
      <c r="I351" s="10" t="str">
        <f>HYPERLINK("http://twitter.com/download/android","Twitter for Android")</f>
        <v>Twitter for Android</v>
      </c>
      <c r="J351" s="2">
        <v>228</v>
      </c>
      <c r="K351" s="2">
        <v>456</v>
      </c>
      <c r="L351" s="2">
        <v>0</v>
      </c>
      <c r="M351" s="2"/>
      <c r="N351" s="8">
        <v>43301.001921296294</v>
      </c>
      <c r="O351" s="4"/>
      <c r="P351" s="3" t="s">
        <v>7199</v>
      </c>
      <c r="Q351" s="4"/>
      <c r="R351" s="4"/>
      <c r="S351" s="9" t="str">
        <f>HYPERLINK("https://pbs.twimg.com/profile_images/1032871057189814272/zJnI2iod.jpg","View")</f>
        <v>View</v>
      </c>
    </row>
    <row r="352" spans="1:19" ht="40">
      <c r="A352" s="8">
        <v>43371.373599537037</v>
      </c>
      <c r="B352" s="11" t="str">
        <f>HYPERLINK("https://twitter.com/Meysam_Royasaz","@Meysam_Royasaz")</f>
        <v>@Meysam_Royasaz</v>
      </c>
      <c r="C352" s="6" t="s">
        <v>7195</v>
      </c>
      <c r="D352" s="5" t="s">
        <v>7198</v>
      </c>
      <c r="E352" s="9" t="str">
        <f>HYPERLINK("https://twitter.com/Meysam_Royasaz/status/1045545634114281472","1045545634114281472")</f>
        <v>1045545634114281472</v>
      </c>
      <c r="F352" s="4"/>
      <c r="G352" s="4"/>
      <c r="H352" s="4"/>
      <c r="I352" s="10" t="str">
        <f>HYPERLINK("http://twitter.com/download/iphone","Twitter for iPhone")</f>
        <v>Twitter for iPhone</v>
      </c>
      <c r="J352" s="2">
        <v>2168</v>
      </c>
      <c r="K352" s="2">
        <v>959</v>
      </c>
      <c r="L352" s="2">
        <v>51</v>
      </c>
      <c r="M352" s="2"/>
      <c r="N352" s="8">
        <v>41018.740624999999</v>
      </c>
      <c r="O352" s="4"/>
      <c r="P352" s="3" t="s">
        <v>7193</v>
      </c>
      <c r="Q352" s="10" t="s">
        <v>7192</v>
      </c>
      <c r="R352" s="4"/>
      <c r="S352" s="9" t="str">
        <f>HYPERLINK("https://pbs.twimg.com/profile_images/984339408454389762/384lf5YV.jpg","View")</f>
        <v>View</v>
      </c>
    </row>
    <row r="353" spans="1:19" ht="30">
      <c r="A353" s="8">
        <v>43371.372581018513</v>
      </c>
      <c r="B353" s="11" t="str">
        <f>HYPERLINK("https://twitter.com/MamedAqooo","@MamedAqooo")</f>
        <v>@MamedAqooo</v>
      </c>
      <c r="C353" s="6" t="s">
        <v>373</v>
      </c>
      <c r="D353" s="5" t="s">
        <v>7197</v>
      </c>
      <c r="E353" s="9" t="str">
        <f>HYPERLINK("https://twitter.com/MamedAqooo/status/1045545268354191361","1045545268354191361")</f>
        <v>1045545268354191361</v>
      </c>
      <c r="F353" s="4"/>
      <c r="G353" s="10" t="s">
        <v>7196</v>
      </c>
      <c r="H353" s="4"/>
      <c r="I353" s="10" t="str">
        <f>HYPERLINK("http://twitter.com","Twitter Web Client")</f>
        <v>Twitter Web Client</v>
      </c>
      <c r="J353" s="2">
        <v>306</v>
      </c>
      <c r="K353" s="2">
        <v>220</v>
      </c>
      <c r="L353" s="2">
        <v>3</v>
      </c>
      <c r="M353" s="2"/>
      <c r="N353" s="8">
        <v>42898.052245370374</v>
      </c>
      <c r="O353" s="4" t="s">
        <v>371</v>
      </c>
      <c r="P353" s="3" t="s">
        <v>370</v>
      </c>
      <c r="Q353" s="4"/>
      <c r="R353" s="4"/>
      <c r="S353" s="9" t="str">
        <f>HYPERLINK("https://pbs.twimg.com/profile_images/1045239566108708864/DMxktkfX.jpg","View")</f>
        <v>View</v>
      </c>
    </row>
    <row r="354" spans="1:19" ht="40">
      <c r="A354" s="8">
        <v>43371.372476851851</v>
      </c>
      <c r="B354" s="11" t="str">
        <f>HYPERLINK("https://twitter.com/Meysam_Royasaz","@Meysam_Royasaz")</f>
        <v>@Meysam_Royasaz</v>
      </c>
      <c r="C354" s="6" t="s">
        <v>7195</v>
      </c>
      <c r="D354" s="5" t="s">
        <v>7194</v>
      </c>
      <c r="E354" s="9" t="str">
        <f>HYPERLINK("https://twitter.com/Meysam_Royasaz/status/1045545228290191360","1045545228290191360")</f>
        <v>1045545228290191360</v>
      </c>
      <c r="F354" s="4"/>
      <c r="G354" s="4"/>
      <c r="H354" s="4"/>
      <c r="I354" s="10" t="str">
        <f>HYPERLINK("http://twitter.com/download/iphone","Twitter for iPhone")</f>
        <v>Twitter for iPhone</v>
      </c>
      <c r="J354" s="2">
        <v>2168</v>
      </c>
      <c r="K354" s="2">
        <v>959</v>
      </c>
      <c r="L354" s="2">
        <v>51</v>
      </c>
      <c r="M354" s="2"/>
      <c r="N354" s="8">
        <v>41018.740624999999</v>
      </c>
      <c r="O354" s="4"/>
      <c r="P354" s="3" t="s">
        <v>7193</v>
      </c>
      <c r="Q354" s="10" t="s">
        <v>7192</v>
      </c>
      <c r="R354" s="4"/>
      <c r="S354" s="9" t="str">
        <f>HYPERLINK("https://pbs.twimg.com/profile_images/984339408454389762/384lf5YV.jpg","View")</f>
        <v>View</v>
      </c>
    </row>
    <row r="355" spans="1:19" ht="40">
      <c r="A355" s="8">
        <v>43371.369201388894</v>
      </c>
      <c r="B355" s="11" t="str">
        <f>HYPERLINK("https://twitter.com/Mkamyars7","@Mkamyars7")</f>
        <v>@Mkamyars7</v>
      </c>
      <c r="C355" s="6" t="s">
        <v>7191</v>
      </c>
      <c r="D355" s="5" t="s">
        <v>7190</v>
      </c>
      <c r="E355" s="9" t="str">
        <f>HYPERLINK("https://twitter.com/Mkamyars7/status/1045544043583852544","1045544043583852544")</f>
        <v>1045544043583852544</v>
      </c>
      <c r="F355" s="4"/>
      <c r="G355" s="4"/>
      <c r="H355" s="4"/>
      <c r="I355" s="10" t="str">
        <f>HYPERLINK("http://twitter.com/#!/download/ipad","Twitter for iPad")</f>
        <v>Twitter for iPad</v>
      </c>
      <c r="J355" s="2">
        <v>466</v>
      </c>
      <c r="K355" s="2">
        <v>460</v>
      </c>
      <c r="L355" s="2">
        <v>0</v>
      </c>
      <c r="M355" s="2"/>
      <c r="N355" s="8">
        <v>42725.888912037037</v>
      </c>
      <c r="O355" s="4"/>
      <c r="P355" s="3" t="s">
        <v>7189</v>
      </c>
      <c r="Q355" s="4"/>
      <c r="R355" s="4"/>
      <c r="S355" s="9" t="str">
        <f>HYPERLINK("https://pbs.twimg.com/profile_images/1035463082754146304/Cx0ZEEjs.jpg","View")</f>
        <v>View</v>
      </c>
    </row>
    <row r="356" spans="1:19" ht="40">
      <c r="A356" s="8">
        <v>43371.365972222222</v>
      </c>
      <c r="B356" s="11" t="str">
        <f>HYPERLINK("https://twitter.com/s_p_hossini","@s_p_hossini")</f>
        <v>@s_p_hossini</v>
      </c>
      <c r="C356" s="6" t="s">
        <v>7188</v>
      </c>
      <c r="D356" s="5" t="s">
        <v>7187</v>
      </c>
      <c r="E356" s="9" t="str">
        <f>HYPERLINK("https://twitter.com/s_p_hossini/status/1045542869702979585","1045542869702979585")</f>
        <v>1045542869702979585</v>
      </c>
      <c r="F356" s="10" t="s">
        <v>5105</v>
      </c>
      <c r="G356" s="4"/>
      <c r="H356" s="4"/>
      <c r="I356" s="10" t="str">
        <f>HYPERLINK("http://twitter.com/download/android","Twitter for Android")</f>
        <v>Twitter for Android</v>
      </c>
      <c r="J356" s="2">
        <v>3922</v>
      </c>
      <c r="K356" s="2">
        <v>2348</v>
      </c>
      <c r="L356" s="2">
        <v>3</v>
      </c>
      <c r="M356" s="2"/>
      <c r="N356" s="8">
        <v>42953.631504629629</v>
      </c>
      <c r="O356" s="4"/>
      <c r="P356" s="3" t="s">
        <v>7186</v>
      </c>
      <c r="Q356" s="4"/>
      <c r="R356" s="4"/>
      <c r="S356" s="9" t="str">
        <f>HYPERLINK("https://pbs.twimg.com/profile_images/1041241940380004352/HgNkOGbi.jpg","View")</f>
        <v>View</v>
      </c>
    </row>
    <row r="357" spans="1:19" ht="30">
      <c r="A357" s="8">
        <v>43371.363865740743</v>
      </c>
      <c r="B357" s="11" t="str">
        <f>HYPERLINK("https://twitter.com/Plusboy7916","@Plusboy7916")</f>
        <v>@Plusboy7916</v>
      </c>
      <c r="C357" s="6" t="s">
        <v>7185</v>
      </c>
      <c r="D357" s="5" t="s">
        <v>7184</v>
      </c>
      <c r="E357" s="9" t="str">
        <f>HYPERLINK("https://twitter.com/Plusboy7916/status/1045542109347041282","1045542109347041282")</f>
        <v>1045542109347041282</v>
      </c>
      <c r="F357" s="4"/>
      <c r="G357" s="4"/>
      <c r="H357" s="4"/>
      <c r="I357" s="10" t="str">
        <f>HYPERLINK("https://mobile.twitter.com","Twitter Lite")</f>
        <v>Twitter Lite</v>
      </c>
      <c r="J357" s="2">
        <v>1030</v>
      </c>
      <c r="K357" s="2">
        <v>1238</v>
      </c>
      <c r="L357" s="2">
        <v>1</v>
      </c>
      <c r="M357" s="2"/>
      <c r="N357" s="8">
        <v>43103.001979166671</v>
      </c>
      <c r="O357" s="4"/>
      <c r="P357" s="3" t="s">
        <v>7183</v>
      </c>
      <c r="Q357" s="4"/>
      <c r="R357" s="4"/>
      <c r="S357" s="9" t="str">
        <f>HYPERLINK("https://pbs.twimg.com/profile_images/1040635816144457731/rKJPcQWc.jpg","View")</f>
        <v>View</v>
      </c>
    </row>
    <row r="358" spans="1:19" ht="20">
      <c r="A358" s="8">
        <v>43371.349548611106</v>
      </c>
      <c r="B358" s="11" t="str">
        <f>HYPERLINK("https://twitter.com/mahdiboostan","@mahdiboostan")</f>
        <v>@mahdiboostan</v>
      </c>
      <c r="C358" s="6" t="s">
        <v>7182</v>
      </c>
      <c r="D358" s="5" t="s">
        <v>7181</v>
      </c>
      <c r="E358" s="9" t="str">
        <f>HYPERLINK("https://twitter.com/mahdiboostan/status/1045536920586063872","1045536920586063872")</f>
        <v>1045536920586063872</v>
      </c>
      <c r="F358" s="4"/>
      <c r="G358" s="4"/>
      <c r="H358" s="4"/>
      <c r="I358" s="10" t="str">
        <f>HYPERLINK("http://twitter.com/download/android","Twitter for Android")</f>
        <v>Twitter for Android</v>
      </c>
      <c r="J358" s="2">
        <v>1012</v>
      </c>
      <c r="K358" s="2">
        <v>1375</v>
      </c>
      <c r="L358" s="2">
        <v>3</v>
      </c>
      <c r="M358" s="2"/>
      <c r="N358" s="8">
        <v>42948.763981481483</v>
      </c>
      <c r="O358" s="4" t="s">
        <v>7180</v>
      </c>
      <c r="P358" s="3" t="s">
        <v>7179</v>
      </c>
      <c r="Q358" s="10" t="s">
        <v>7178</v>
      </c>
      <c r="R358" s="4"/>
      <c r="S358" s="9" t="str">
        <f>HYPERLINK("https://pbs.twimg.com/profile_images/1037934366356393984/aq2IBde9.jpg","View")</f>
        <v>View</v>
      </c>
    </row>
    <row r="359" spans="1:19" ht="20">
      <c r="A359" s="8">
        <v>43371.348379629635</v>
      </c>
      <c r="B359" s="11" t="str">
        <f>HYPERLINK("https://twitter.com/alilahoot","@alilahoot")</f>
        <v>@alilahoot</v>
      </c>
      <c r="C359" s="6" t="s">
        <v>7177</v>
      </c>
      <c r="D359" s="5" t="s">
        <v>7176</v>
      </c>
      <c r="E359" s="9" t="str">
        <f>HYPERLINK("https://twitter.com/alilahoot/status/1045536496265105408","1045536496265105408")</f>
        <v>1045536496265105408</v>
      </c>
      <c r="F359" s="4"/>
      <c r="G359" s="4"/>
      <c r="H359" s="4"/>
      <c r="I359" s="10" t="str">
        <f>HYPERLINK("http://twitter.com/download/android","Twitter for Android")</f>
        <v>Twitter for Android</v>
      </c>
      <c r="J359" s="2">
        <v>112</v>
      </c>
      <c r="K359" s="2">
        <v>228</v>
      </c>
      <c r="L359" s="2">
        <v>3</v>
      </c>
      <c r="M359" s="2"/>
      <c r="N359" s="8">
        <v>39992.899965277778</v>
      </c>
      <c r="O359" s="4" t="s">
        <v>7175</v>
      </c>
      <c r="P359" s="3" t="s">
        <v>7174</v>
      </c>
      <c r="Q359" s="4"/>
      <c r="R359" s="4"/>
      <c r="S359" s="9" t="str">
        <f>HYPERLINK("https://pbs.twimg.com/profile_images/979799014240653315/0_e1z9oT.jpg","View")</f>
        <v>View</v>
      </c>
    </row>
    <row r="360" spans="1:19" ht="30">
      <c r="A360" s="8">
        <v>43371.320092592592</v>
      </c>
      <c r="B360" s="11" t="str">
        <f>HYPERLINK("https://twitter.com/My_2it","@My_2it")</f>
        <v>@My_2it</v>
      </c>
      <c r="C360" s="6" t="s">
        <v>7173</v>
      </c>
      <c r="D360" s="5" t="s">
        <v>7172</v>
      </c>
      <c r="E360" s="9" t="str">
        <f>HYPERLINK("https://twitter.com/My_2it/status/1045526247298732032","1045526247298732032")</f>
        <v>1045526247298732032</v>
      </c>
      <c r="F360" s="4"/>
      <c r="G360" s="4"/>
      <c r="H360" s="4"/>
      <c r="I360" s="10" t="str">
        <f>HYPERLINK("http://twitter.com/download/android","Twitter for Android")</f>
        <v>Twitter for Android</v>
      </c>
      <c r="J360" s="2">
        <v>112</v>
      </c>
      <c r="K360" s="2">
        <v>93</v>
      </c>
      <c r="L360" s="2">
        <v>0</v>
      </c>
      <c r="M360" s="2"/>
      <c r="N360" s="8">
        <v>43045.415277777778</v>
      </c>
      <c r="O360" s="4" t="s">
        <v>7171</v>
      </c>
      <c r="P360" s="3" t="s">
        <v>7170</v>
      </c>
      <c r="Q360" s="4"/>
      <c r="R360" s="4"/>
      <c r="S360" s="9" t="str">
        <f>HYPERLINK("https://pbs.twimg.com/profile_images/927437040148414465/diI3Fixc.jpg","View")</f>
        <v>View</v>
      </c>
    </row>
    <row r="361" spans="1:19" ht="30">
      <c r="A361" s="8">
        <v>43371.303171296298</v>
      </c>
      <c r="B361" s="11" t="str">
        <f>HYPERLINK("https://twitter.com/rzt_ali","@rzt_ali")</f>
        <v>@rzt_ali</v>
      </c>
      <c r="C361" s="6" t="s">
        <v>7169</v>
      </c>
      <c r="D361" s="5" t="s">
        <v>7168</v>
      </c>
      <c r="E361" s="9" t="str">
        <f>HYPERLINK("https://twitter.com/rzt_ali/status/1045520111505985536","1045520111505985536")</f>
        <v>1045520111505985536</v>
      </c>
      <c r="F361" s="4"/>
      <c r="G361" s="4"/>
      <c r="H361" s="4"/>
      <c r="I361" s="10" t="str">
        <f>HYPERLINK("http://twitter.com/download/iphone","Twitter for iPhone")</f>
        <v>Twitter for iPhone</v>
      </c>
      <c r="J361" s="2">
        <v>23</v>
      </c>
      <c r="K361" s="2">
        <v>60</v>
      </c>
      <c r="L361" s="2">
        <v>0</v>
      </c>
      <c r="M361" s="2"/>
      <c r="N361" s="8">
        <v>43231.332812499997</v>
      </c>
      <c r="O361" s="4" t="s">
        <v>10</v>
      </c>
      <c r="P361" s="3" t="s">
        <v>7167</v>
      </c>
      <c r="Q361" s="10" t="s">
        <v>7166</v>
      </c>
      <c r="R361" s="4"/>
      <c r="S361" s="9" t="str">
        <f>HYPERLINK("https://pbs.twimg.com/profile_images/994785429626019843/HIEWh6K8.jpg","View")</f>
        <v>View</v>
      </c>
    </row>
    <row r="362" spans="1:19" ht="40">
      <c r="A362" s="8">
        <v>43371.294444444444</v>
      </c>
      <c r="B362" s="11" t="str">
        <f>HYPERLINK("https://twitter.com/esnzare","@esnzare")</f>
        <v>@esnzare</v>
      </c>
      <c r="C362" s="6" t="s">
        <v>6855</v>
      </c>
      <c r="D362" s="5" t="s">
        <v>7165</v>
      </c>
      <c r="E362" s="9" t="str">
        <f>HYPERLINK("https://twitter.com/esnzare/status/1045516951295070208","1045516951295070208")</f>
        <v>1045516951295070208</v>
      </c>
      <c r="F362" s="4"/>
      <c r="G362" s="10" t="s">
        <v>7164</v>
      </c>
      <c r="H362" s="4"/>
      <c r="I362" s="10" t="str">
        <f>HYPERLINK("http://twitter.com/download/android","Twitter for Android")</f>
        <v>Twitter for Android</v>
      </c>
      <c r="J362" s="2">
        <v>24</v>
      </c>
      <c r="K362" s="2">
        <v>13</v>
      </c>
      <c r="L362" s="2">
        <v>0</v>
      </c>
      <c r="M362" s="2"/>
      <c r="N362" s="8">
        <v>42676.572962962964</v>
      </c>
      <c r="O362" s="4" t="s">
        <v>10</v>
      </c>
      <c r="P362" s="3" t="s">
        <v>6853</v>
      </c>
      <c r="Q362" s="4"/>
      <c r="R362" s="4"/>
      <c r="S362" s="9" t="str">
        <f>HYPERLINK("https://pbs.twimg.com/profile_images/886229488312254466/kVxgme5O.jpg","View")</f>
        <v>View</v>
      </c>
    </row>
    <row r="363" spans="1:19" ht="50">
      <c r="A363" s="8">
        <v>43371.265879629631</v>
      </c>
      <c r="B363" s="11" t="str">
        <f>HYPERLINK("https://twitter.com/firefir07515955","@firefir07515955")</f>
        <v>@firefir07515955</v>
      </c>
      <c r="C363" s="6" t="s">
        <v>7161</v>
      </c>
      <c r="D363" s="5" t="s">
        <v>7163</v>
      </c>
      <c r="E363" s="9" t="str">
        <f>HYPERLINK("https://twitter.com/firefir07515955/status/1045506600444792832","1045506600444792832")</f>
        <v>1045506600444792832</v>
      </c>
      <c r="F363" s="4"/>
      <c r="G363" s="4"/>
      <c r="H363" s="4"/>
      <c r="I363" s="10" t="str">
        <f>HYPERLINK("http://twitter.com/download/android","Twitter for Android")</f>
        <v>Twitter for Android</v>
      </c>
      <c r="J363" s="2">
        <v>666</v>
      </c>
      <c r="K363" s="2">
        <v>905</v>
      </c>
      <c r="L363" s="2">
        <v>5</v>
      </c>
      <c r="M363" s="2"/>
      <c r="N363" s="8">
        <v>42718.887754629628</v>
      </c>
      <c r="O363" s="4"/>
      <c r="P363" s="3" t="s">
        <v>7159</v>
      </c>
      <c r="Q363" s="4"/>
      <c r="R363" s="4"/>
      <c r="S363" s="9" t="str">
        <f>HYPERLINK("https://pbs.twimg.com/profile_images/814178797171843072/Ugvl6wgj.jpg","View")</f>
        <v>View</v>
      </c>
    </row>
    <row r="364" spans="1:19" ht="50">
      <c r="A364" s="8">
        <v>43371.265694444446</v>
      </c>
      <c r="B364" s="11" t="str">
        <f>HYPERLINK("https://twitter.com/firefir07515955","@firefir07515955")</f>
        <v>@firefir07515955</v>
      </c>
      <c r="C364" s="6" t="s">
        <v>7161</v>
      </c>
      <c r="D364" s="5" t="s">
        <v>7162</v>
      </c>
      <c r="E364" s="9" t="str">
        <f>HYPERLINK("https://twitter.com/firefir07515955/status/1045506534204149767","1045506534204149767")</f>
        <v>1045506534204149767</v>
      </c>
      <c r="F364" s="4"/>
      <c r="G364" s="4"/>
      <c r="H364" s="4"/>
      <c r="I364" s="10" t="str">
        <f>HYPERLINK("http://twitter.com/download/android","Twitter for Android")</f>
        <v>Twitter for Android</v>
      </c>
      <c r="J364" s="2">
        <v>666</v>
      </c>
      <c r="K364" s="2">
        <v>905</v>
      </c>
      <c r="L364" s="2">
        <v>5</v>
      </c>
      <c r="M364" s="2"/>
      <c r="N364" s="8">
        <v>42718.887754629628</v>
      </c>
      <c r="O364" s="4"/>
      <c r="P364" s="3" t="s">
        <v>7159</v>
      </c>
      <c r="Q364" s="4"/>
      <c r="R364" s="4"/>
      <c r="S364" s="9" t="str">
        <f>HYPERLINK("https://pbs.twimg.com/profile_images/814178797171843072/Ugvl6wgj.jpg","View")</f>
        <v>View</v>
      </c>
    </row>
    <row r="365" spans="1:19" ht="50">
      <c r="A365" s="8">
        <v>43371.265567129631</v>
      </c>
      <c r="B365" s="11" t="str">
        <f>HYPERLINK("https://twitter.com/firefir07515955","@firefir07515955")</f>
        <v>@firefir07515955</v>
      </c>
      <c r="C365" s="6" t="s">
        <v>7161</v>
      </c>
      <c r="D365" s="5" t="s">
        <v>7160</v>
      </c>
      <c r="E365" s="9" t="str">
        <f>HYPERLINK("https://twitter.com/firefir07515955/status/1045506484791123968","1045506484791123968")</f>
        <v>1045506484791123968</v>
      </c>
      <c r="F365" s="4"/>
      <c r="G365" s="4"/>
      <c r="H365" s="4"/>
      <c r="I365" s="10" t="str">
        <f>HYPERLINK("http://twitter.com/download/android","Twitter for Android")</f>
        <v>Twitter for Android</v>
      </c>
      <c r="J365" s="2">
        <v>666</v>
      </c>
      <c r="K365" s="2">
        <v>905</v>
      </c>
      <c r="L365" s="2">
        <v>5</v>
      </c>
      <c r="M365" s="2"/>
      <c r="N365" s="8">
        <v>42718.887754629628</v>
      </c>
      <c r="O365" s="4"/>
      <c r="P365" s="3" t="s">
        <v>7159</v>
      </c>
      <c r="Q365" s="4"/>
      <c r="R365" s="4"/>
      <c r="S365" s="9" t="str">
        <f>HYPERLINK("https://pbs.twimg.com/profile_images/814178797171843072/Ugvl6wgj.jpg","View")</f>
        <v>View</v>
      </c>
    </row>
    <row r="366" spans="1:19" ht="12.5">
      <c r="A366" s="8">
        <v>43371.237025462964</v>
      </c>
      <c r="B366" s="11" t="str">
        <f>HYPERLINK("https://twitter.com/m__darvishi","@m__darvishi")</f>
        <v>@m__darvishi</v>
      </c>
      <c r="C366" s="6" t="s">
        <v>7156</v>
      </c>
      <c r="D366" s="5" t="s">
        <v>7158</v>
      </c>
      <c r="E366" s="9" t="str">
        <f>HYPERLINK("https://twitter.com/m__darvishi/status/1045496141473894400","1045496141473894400")</f>
        <v>1045496141473894400</v>
      </c>
      <c r="F366" s="4"/>
      <c r="G366" s="10" t="s">
        <v>7157</v>
      </c>
      <c r="H366" s="4"/>
      <c r="I366" s="10" t="str">
        <f>HYPERLINK("http://twitter.com/download/android","Twitter for Android")</f>
        <v>Twitter for Android</v>
      </c>
      <c r="J366" s="2">
        <v>125</v>
      </c>
      <c r="K366" s="2">
        <v>96</v>
      </c>
      <c r="L366" s="2">
        <v>0</v>
      </c>
      <c r="M366" s="2"/>
      <c r="N366" s="8">
        <v>42915.564386574071</v>
      </c>
      <c r="O366" s="4" t="s">
        <v>7153</v>
      </c>
      <c r="P366" s="3" t="s">
        <v>7152</v>
      </c>
      <c r="Q366" s="4"/>
      <c r="R366" s="4"/>
      <c r="S366" s="9" t="str">
        <f>HYPERLINK("https://pbs.twimg.com/profile_images/1038653212654493696/Ji-I9E1U.jpg","View")</f>
        <v>View</v>
      </c>
    </row>
    <row r="367" spans="1:19" ht="20">
      <c r="A367" s="8">
        <v>43371.234803240739</v>
      </c>
      <c r="B367" s="11" t="str">
        <f>HYPERLINK("https://twitter.com/m__darvishi","@m__darvishi")</f>
        <v>@m__darvishi</v>
      </c>
      <c r="C367" s="6" t="s">
        <v>7156</v>
      </c>
      <c r="D367" s="5" t="s">
        <v>7155</v>
      </c>
      <c r="E367" s="9" t="str">
        <f>HYPERLINK("https://twitter.com/m__darvishi/status/1045495337589362690","1045495337589362690")</f>
        <v>1045495337589362690</v>
      </c>
      <c r="F367" s="4"/>
      <c r="G367" s="10" t="s">
        <v>7154</v>
      </c>
      <c r="H367" s="4"/>
      <c r="I367" s="10" t="str">
        <f>HYPERLINK("http://twitter.com/download/android","Twitter for Android")</f>
        <v>Twitter for Android</v>
      </c>
      <c r="J367" s="2">
        <v>125</v>
      </c>
      <c r="K367" s="2">
        <v>96</v>
      </c>
      <c r="L367" s="2">
        <v>0</v>
      </c>
      <c r="M367" s="2"/>
      <c r="N367" s="8">
        <v>42915.564386574071</v>
      </c>
      <c r="O367" s="4" t="s">
        <v>7153</v>
      </c>
      <c r="P367" s="3" t="s">
        <v>7152</v>
      </c>
      <c r="Q367" s="4"/>
      <c r="R367" s="4"/>
      <c r="S367" s="9" t="str">
        <f>HYPERLINK("https://pbs.twimg.com/profile_images/1038653212654493696/Ji-I9E1U.jpg","View")</f>
        <v>View</v>
      </c>
    </row>
    <row r="368" spans="1:19" ht="20">
      <c r="A368" s="8">
        <v>43371.229895833334</v>
      </c>
      <c r="B368" s="11" t="str">
        <f>HYPERLINK("https://twitter.com/PhyFisher","@PhyFisher")</f>
        <v>@PhyFisher</v>
      </c>
      <c r="C368" s="6" t="s">
        <v>7151</v>
      </c>
      <c r="D368" s="5" t="s">
        <v>7150</v>
      </c>
      <c r="E368" s="9" t="str">
        <f>HYPERLINK("https://twitter.com/PhyFisher/status/1045493557233168384","1045493557233168384")</f>
        <v>1045493557233168384</v>
      </c>
      <c r="F368" s="4"/>
      <c r="G368" s="4"/>
      <c r="H368" s="4"/>
      <c r="I368" s="10" t="str">
        <f>HYPERLINK("http://twitter.com/download/android","Twitter for Android")</f>
        <v>Twitter for Android</v>
      </c>
      <c r="J368" s="2">
        <v>75</v>
      </c>
      <c r="K368" s="2">
        <v>57</v>
      </c>
      <c r="L368" s="2">
        <v>0</v>
      </c>
      <c r="M368" s="2"/>
      <c r="N368" s="8">
        <v>43013.540532407409</v>
      </c>
      <c r="O368" s="4" t="s">
        <v>7149</v>
      </c>
      <c r="P368" s="3" t="s">
        <v>7148</v>
      </c>
      <c r="Q368" s="4"/>
      <c r="R368" s="4"/>
      <c r="S368" s="9" t="str">
        <f>HYPERLINK("https://pbs.twimg.com/profile_images/930729332774973440/46aZtQ2f.jpg","View")</f>
        <v>View</v>
      </c>
    </row>
    <row r="369" spans="1:19" ht="12.5">
      <c r="A369" s="8">
        <v>43371.215833333335</v>
      </c>
      <c r="B369" s="11" t="str">
        <f>HYPERLINK("https://twitter.com/mr_nobody56700","@mr_nobody56700")</f>
        <v>@mr_nobody56700</v>
      </c>
      <c r="C369" s="6" t="s">
        <v>7147</v>
      </c>
      <c r="D369" s="5" t="s">
        <v>7146</v>
      </c>
      <c r="E369" s="9" t="str">
        <f>HYPERLINK("https://twitter.com/mr_nobody56700/status/1045488461749399555","1045488461749399555")</f>
        <v>1045488461749399555</v>
      </c>
      <c r="F369" s="4"/>
      <c r="G369" s="4"/>
      <c r="H369" s="4"/>
      <c r="I369" s="10" t="str">
        <f>HYPERLINK("http://twitter.com/download/iphone","Twitter for iPhone")</f>
        <v>Twitter for iPhone</v>
      </c>
      <c r="J369" s="2">
        <v>0</v>
      </c>
      <c r="K369" s="2">
        <v>9</v>
      </c>
      <c r="L369" s="2">
        <v>0</v>
      </c>
      <c r="M369" s="2"/>
      <c r="N369" s="8">
        <v>43368.887349537035</v>
      </c>
      <c r="O369" s="4" t="s">
        <v>7145</v>
      </c>
      <c r="P369" s="3" t="s">
        <v>7144</v>
      </c>
      <c r="Q369" s="4"/>
      <c r="R369" s="4"/>
      <c r="S369" s="9" t="str">
        <f>HYPERLINK("https://pbs.twimg.com/profile_images/1044650139569344514/3VPy0Jku.jpg","View")</f>
        <v>View</v>
      </c>
    </row>
    <row r="370" spans="1:19" ht="20">
      <c r="A370" s="8">
        <v>43371.199525462958</v>
      </c>
      <c r="B370" s="11" t="str">
        <f>HYPERLINK("https://twitter.com/ho3ein1012","@ho3ein1012")</f>
        <v>@ho3ein1012</v>
      </c>
      <c r="C370" s="6" t="s">
        <v>7143</v>
      </c>
      <c r="D370" s="5" t="s">
        <v>7142</v>
      </c>
      <c r="E370" s="9" t="str">
        <f>HYPERLINK("https://twitter.com/ho3ein1012/status/1045482552419586048","1045482552419586048")</f>
        <v>1045482552419586048</v>
      </c>
      <c r="F370" s="4"/>
      <c r="G370" s="4"/>
      <c r="H370" s="4"/>
      <c r="I370" s="10" t="str">
        <f>HYPERLINK("http://twitter.com/download/android","Twitter for Android")</f>
        <v>Twitter for Android</v>
      </c>
      <c r="J370" s="2">
        <v>326</v>
      </c>
      <c r="K370" s="2">
        <v>280</v>
      </c>
      <c r="L370" s="2">
        <v>3</v>
      </c>
      <c r="M370" s="2"/>
      <c r="N370" s="8">
        <v>42900.356828703705</v>
      </c>
      <c r="O370" s="4" t="s">
        <v>7141</v>
      </c>
      <c r="P370" s="3" t="s">
        <v>7140</v>
      </c>
      <c r="Q370" s="10" t="s">
        <v>7139</v>
      </c>
      <c r="R370" s="4"/>
      <c r="S370" s="9" t="str">
        <f>HYPERLINK("https://pbs.twimg.com/profile_images/874851362999336960/jnk64wAm.jpg","View")</f>
        <v>View</v>
      </c>
    </row>
    <row r="371" spans="1:19" ht="40">
      <c r="A371" s="8">
        <v>43371.180497685185</v>
      </c>
      <c r="B371" s="11" t="str">
        <f>HYPERLINK("https://twitter.com/evita32029930","@evita32029930")</f>
        <v>@evita32029930</v>
      </c>
      <c r="C371" s="6" t="s">
        <v>587</v>
      </c>
      <c r="D371" s="5" t="s">
        <v>7138</v>
      </c>
      <c r="E371" s="9" t="str">
        <f>HYPERLINK("https://twitter.com/evita32029930/status/1045475657428299776","1045475657428299776")</f>
        <v>1045475657428299776</v>
      </c>
      <c r="F371" s="4"/>
      <c r="G371" s="10" t="s">
        <v>7137</v>
      </c>
      <c r="H371" s="4"/>
      <c r="I371" s="10" t="str">
        <f>HYPERLINK("http://twitter.com/download/iphone","Twitter for iPhone")</f>
        <v>Twitter for iPhone</v>
      </c>
      <c r="J371" s="2">
        <v>105</v>
      </c>
      <c r="K371" s="2">
        <v>103</v>
      </c>
      <c r="L371" s="2">
        <v>0</v>
      </c>
      <c r="M371" s="2"/>
      <c r="N371" s="8">
        <v>43316.479027777779</v>
      </c>
      <c r="O371" s="4"/>
      <c r="P371" s="3" t="s">
        <v>586</v>
      </c>
      <c r="Q371" s="4"/>
      <c r="R371" s="4"/>
      <c r="S371" s="9" t="str">
        <f>HYPERLINK("https://pbs.twimg.com/profile_images/1043636545675190272/x4wVcuOH.jpg","View")</f>
        <v>View</v>
      </c>
    </row>
    <row r="372" spans="1:19" ht="30">
      <c r="A372" s="8">
        <v>43371.14770833333</v>
      </c>
      <c r="B372" s="11" t="str">
        <f>HYPERLINK("https://twitter.com/ehlamdoon","@ehlamdoon")</f>
        <v>@ehlamdoon</v>
      </c>
      <c r="C372" s="6" t="s">
        <v>7136</v>
      </c>
      <c r="D372" s="5" t="s">
        <v>7135</v>
      </c>
      <c r="E372" s="9" t="str">
        <f>HYPERLINK("https://twitter.com/ehlamdoon/status/1045463774428352517","1045463774428352517")</f>
        <v>1045463774428352517</v>
      </c>
      <c r="F372" s="4"/>
      <c r="G372" s="10" t="s">
        <v>7134</v>
      </c>
      <c r="H372" s="4"/>
      <c r="I372" s="10" t="str">
        <f>HYPERLINK("http://twitter.com/download/iphone","Twitter for iPhone")</f>
        <v>Twitter for iPhone</v>
      </c>
      <c r="J372" s="2">
        <v>1217</v>
      </c>
      <c r="K372" s="2">
        <v>273</v>
      </c>
      <c r="L372" s="2">
        <v>12</v>
      </c>
      <c r="M372" s="2"/>
      <c r="N372" s="8">
        <v>42783.897129629629</v>
      </c>
      <c r="O372" s="4" t="s">
        <v>7133</v>
      </c>
      <c r="P372" s="3" t="s">
        <v>7132</v>
      </c>
      <c r="Q372" s="10" t="s">
        <v>7131</v>
      </c>
      <c r="R372" s="4"/>
      <c r="S372" s="9" t="str">
        <f>HYPERLINK("https://pbs.twimg.com/profile_images/1045417038812856321/zpR40Ar2.jpg","View")</f>
        <v>View</v>
      </c>
    </row>
    <row r="373" spans="1:19" ht="20">
      <c r="A373" s="8">
        <v>43371.135694444441</v>
      </c>
      <c r="B373" s="11" t="str">
        <f>HYPERLINK("https://twitter.com/hossipsg","@hossipsg")</f>
        <v>@hossipsg</v>
      </c>
      <c r="C373" s="6" t="s">
        <v>7130</v>
      </c>
      <c r="D373" s="5" t="s">
        <v>7129</v>
      </c>
      <c r="E373" s="9" t="str">
        <f>HYPERLINK("https://twitter.com/hossipsg/status/1045459421940387840","1045459421940387840")</f>
        <v>1045459421940387840</v>
      </c>
      <c r="F373" s="4"/>
      <c r="G373" s="10" t="s">
        <v>7128</v>
      </c>
      <c r="H373" s="4"/>
      <c r="I373" s="10" t="str">
        <f>HYPERLINK("http://twitter.com/download/android","Twitter for Android")</f>
        <v>Twitter for Android</v>
      </c>
      <c r="J373" s="2">
        <v>119</v>
      </c>
      <c r="K373" s="2">
        <v>122</v>
      </c>
      <c r="L373" s="2">
        <v>1</v>
      </c>
      <c r="M373" s="2"/>
      <c r="N373" s="8">
        <v>43251.095462962963</v>
      </c>
      <c r="O373" s="4" t="s">
        <v>7127</v>
      </c>
      <c r="P373" s="3" t="s">
        <v>7126</v>
      </c>
      <c r="Q373" s="4"/>
      <c r="R373" s="4"/>
      <c r="S373" s="9" t="str">
        <f>HYPERLINK("https://pbs.twimg.com/profile_images/1045443934510612480/GORQ2uma.jpg","View")</f>
        <v>View</v>
      </c>
    </row>
    <row r="374" spans="1:19" ht="40">
      <c r="A374" s="8">
        <v>43371.128784722227</v>
      </c>
      <c r="B374" s="11" t="str">
        <f>HYPERLINK("https://twitter.com/misskhanooom","@misskhanooom")</f>
        <v>@misskhanooom</v>
      </c>
      <c r="C374" s="6" t="s">
        <v>4001</v>
      </c>
      <c r="D374" s="5" t="s">
        <v>7125</v>
      </c>
      <c r="E374" s="9" t="str">
        <f>HYPERLINK("https://twitter.com/misskhanooom/status/1045456918628589568","1045456918628589568")</f>
        <v>1045456918628589568</v>
      </c>
      <c r="F374" s="4"/>
      <c r="G374" s="4"/>
      <c r="H374" s="4"/>
      <c r="I374" s="10" t="str">
        <f>HYPERLINK("http://twitter.com/download/android","Twitter for Android")</f>
        <v>Twitter for Android</v>
      </c>
      <c r="J374" s="2">
        <v>613</v>
      </c>
      <c r="K374" s="2">
        <v>704</v>
      </c>
      <c r="L374" s="2">
        <v>1</v>
      </c>
      <c r="M374" s="2"/>
      <c r="N374" s="8">
        <v>43080.976145833338</v>
      </c>
      <c r="O374" s="4"/>
      <c r="P374" s="3"/>
      <c r="Q374" s="4"/>
      <c r="R374" s="4"/>
      <c r="S374" s="9" t="str">
        <f>HYPERLINK("https://pbs.twimg.com/profile_images/1022474763963387904/A9G-my-8.jpg","View")</f>
        <v>View</v>
      </c>
    </row>
    <row r="375" spans="1:19" ht="20">
      <c r="A375" s="8">
        <v>43371.12605324074</v>
      </c>
      <c r="B375" s="11" t="str">
        <f>HYPERLINK("https://twitter.com/Mrvitka2","@Mrvitka2")</f>
        <v>@Mrvitka2</v>
      </c>
      <c r="C375" s="6" t="s">
        <v>7124</v>
      </c>
      <c r="D375" s="5" t="s">
        <v>7123</v>
      </c>
      <c r="E375" s="9" t="str">
        <f>HYPERLINK("https://twitter.com/Mrvitka2/status/1045455926478733313","1045455926478733313")</f>
        <v>1045455926478733313</v>
      </c>
      <c r="F375" s="4"/>
      <c r="G375" s="4"/>
      <c r="H375" s="4"/>
      <c r="I375" s="10" t="str">
        <f>HYPERLINK("http://twitter.com/download/android","Twitter for Android")</f>
        <v>Twitter for Android</v>
      </c>
      <c r="J375" s="2">
        <v>9</v>
      </c>
      <c r="K375" s="2">
        <v>114</v>
      </c>
      <c r="L375" s="2">
        <v>0</v>
      </c>
      <c r="M375" s="2"/>
      <c r="N375" s="8">
        <v>43363.765138888892</v>
      </c>
      <c r="O375" s="4"/>
      <c r="P375" s="3" t="s">
        <v>7122</v>
      </c>
      <c r="Q375" s="4"/>
      <c r="R375" s="4"/>
      <c r="S375" s="9" t="str">
        <f>HYPERLINK("https://pbs.twimg.com/profile_images/1042790267168927749/yCnqrVcV.jpg","View")</f>
        <v>View</v>
      </c>
    </row>
    <row r="376" spans="1:19" ht="50">
      <c r="A376" s="8">
        <v>43371.125752314816</v>
      </c>
      <c r="B376" s="11" t="str">
        <f>HYPERLINK("https://twitter.com/noore_khoda","@noore_khoda")</f>
        <v>@noore_khoda</v>
      </c>
      <c r="C376" s="6" t="s">
        <v>6834</v>
      </c>
      <c r="D376" s="5" t="s">
        <v>7121</v>
      </c>
      <c r="E376" s="9" t="str">
        <f>HYPERLINK("https://twitter.com/noore_khoda/status/1045455817623961600","1045455817623961600")</f>
        <v>1045455817623961600</v>
      </c>
      <c r="F376" s="4"/>
      <c r="G376" s="4"/>
      <c r="H376" s="4"/>
      <c r="I376" s="10" t="str">
        <f>HYPERLINK("http://twitter.com/download/android","Twitter for Android")</f>
        <v>Twitter for Android</v>
      </c>
      <c r="J376" s="2">
        <v>277</v>
      </c>
      <c r="K376" s="2">
        <v>269</v>
      </c>
      <c r="L376" s="2">
        <v>0</v>
      </c>
      <c r="M376" s="2"/>
      <c r="N376" s="8">
        <v>43115.377233796295</v>
      </c>
      <c r="O376" s="4"/>
      <c r="P376" s="3" t="s">
        <v>6830</v>
      </c>
      <c r="Q376" s="10" t="s">
        <v>6829</v>
      </c>
      <c r="R376" s="4"/>
      <c r="S376" s="9" t="str">
        <f>HYPERLINK("https://pbs.twimg.com/profile_images/952780904950362112/NFEC4_e6.jpg","View")</f>
        <v>View</v>
      </c>
    </row>
    <row r="377" spans="1:19" ht="30">
      <c r="A377" s="8">
        <v>43371.125381944439</v>
      </c>
      <c r="B377" s="11" t="str">
        <f>HYPERLINK("https://twitter.com/Egon_Schiele1","@Egon_Schiele1")</f>
        <v>@Egon_Schiele1</v>
      </c>
      <c r="C377" s="6" t="s">
        <v>7120</v>
      </c>
      <c r="D377" s="5" t="s">
        <v>7119</v>
      </c>
      <c r="E377" s="9" t="str">
        <f>HYPERLINK("https://twitter.com/Egon_Schiele1/status/1045455684438032384","1045455684438032384")</f>
        <v>1045455684438032384</v>
      </c>
      <c r="F377" s="4"/>
      <c r="G377" s="10" t="s">
        <v>7118</v>
      </c>
      <c r="H377" s="4"/>
      <c r="I377" s="10" t="str">
        <f>HYPERLINK("http://twitter.com/download/android","Twitter for Android")</f>
        <v>Twitter for Android</v>
      </c>
      <c r="J377" s="2">
        <v>375</v>
      </c>
      <c r="K377" s="2">
        <v>351</v>
      </c>
      <c r="L377" s="2">
        <v>1</v>
      </c>
      <c r="M377" s="2"/>
      <c r="N377" s="8">
        <v>40906.740219907406</v>
      </c>
      <c r="O377" s="4" t="s">
        <v>7117</v>
      </c>
      <c r="P377" s="3" t="s">
        <v>7116</v>
      </c>
      <c r="Q377" s="4"/>
      <c r="R377" s="4"/>
      <c r="S377" s="9" t="str">
        <f>HYPERLINK("https://pbs.twimg.com/profile_images/1041049838366928896/wXoAKhTh.jpg","View")</f>
        <v>View</v>
      </c>
    </row>
    <row r="378" spans="1:19" ht="50">
      <c r="A378" s="8">
        <v>43371.124143518522</v>
      </c>
      <c r="B378" s="11" t="str">
        <f>HYPERLINK("https://twitter.com/noore_khoda","@noore_khoda")</f>
        <v>@noore_khoda</v>
      </c>
      <c r="C378" s="6" t="s">
        <v>6834</v>
      </c>
      <c r="D378" s="5" t="s">
        <v>7115</v>
      </c>
      <c r="E378" s="9" t="str">
        <f>HYPERLINK("https://twitter.com/noore_khoda/status/1045455235379068928","1045455235379068928")</f>
        <v>1045455235379068928</v>
      </c>
      <c r="F378" s="4"/>
      <c r="G378" s="4"/>
      <c r="H378" s="4"/>
      <c r="I378" s="10" t="str">
        <f>HYPERLINK("http://twitter.com/download/android","Twitter for Android")</f>
        <v>Twitter for Android</v>
      </c>
      <c r="J378" s="2">
        <v>277</v>
      </c>
      <c r="K378" s="2">
        <v>269</v>
      </c>
      <c r="L378" s="2">
        <v>0</v>
      </c>
      <c r="M378" s="2"/>
      <c r="N378" s="8">
        <v>43115.377233796295</v>
      </c>
      <c r="O378" s="4"/>
      <c r="P378" s="3" t="s">
        <v>6830</v>
      </c>
      <c r="Q378" s="10" t="s">
        <v>6829</v>
      </c>
      <c r="R378" s="4"/>
      <c r="S378" s="9" t="str">
        <f>HYPERLINK("https://pbs.twimg.com/profile_images/952780904950362112/NFEC4_e6.jpg","View")</f>
        <v>View</v>
      </c>
    </row>
    <row r="379" spans="1:19" ht="50">
      <c r="A379" s="8">
        <v>43371.12327546296</v>
      </c>
      <c r="B379" s="11" t="str">
        <f>HYPERLINK("https://twitter.com/trenditter","@trenditter")</f>
        <v>@trenditter</v>
      </c>
      <c r="C379" s="6" t="s">
        <v>6565</v>
      </c>
      <c r="D379" s="5" t="s">
        <v>7114</v>
      </c>
      <c r="E379" s="9" t="str">
        <f>HYPERLINK("https://twitter.com/trenditter/status/1045454922706300928","1045454922706300928")</f>
        <v>1045454922706300928</v>
      </c>
      <c r="F379" s="4"/>
      <c r="G379" s="4"/>
      <c r="H379" s="4"/>
      <c r="I379" s="10" t="str">
        <f>HYPERLINK("https://vahedinia.me","BestOfTwitterFa")</f>
        <v>BestOfTwitterFa</v>
      </c>
      <c r="J379" s="2">
        <v>5491</v>
      </c>
      <c r="K379" s="2">
        <v>31</v>
      </c>
      <c r="L379" s="2">
        <v>42</v>
      </c>
      <c r="M379" s="2"/>
      <c r="N379" s="8">
        <v>42824.77443287037</v>
      </c>
      <c r="O379" s="4" t="s">
        <v>6563</v>
      </c>
      <c r="P379" s="3" t="s">
        <v>6562</v>
      </c>
      <c r="Q379" s="10" t="s">
        <v>6561</v>
      </c>
      <c r="R379" s="4"/>
      <c r="S379" s="9" t="str">
        <f>HYPERLINK("https://pbs.twimg.com/profile_images/847507136720637953/mQCv6V9W.jpg","View")</f>
        <v>View</v>
      </c>
    </row>
    <row r="380" spans="1:19" ht="50">
      <c r="A380" s="8">
        <v>43371.122476851851</v>
      </c>
      <c r="B380" s="11" t="str">
        <f>HYPERLINK("https://twitter.com/noore_khoda","@noore_khoda")</f>
        <v>@noore_khoda</v>
      </c>
      <c r="C380" s="6" t="s">
        <v>6834</v>
      </c>
      <c r="D380" s="5" t="s">
        <v>7113</v>
      </c>
      <c r="E380" s="9" t="str">
        <f>HYPERLINK("https://twitter.com/noore_khoda/status/1045454633869750273","1045454633869750273")</f>
        <v>1045454633869750273</v>
      </c>
      <c r="F380" s="4"/>
      <c r="G380" s="4"/>
      <c r="H380" s="4"/>
      <c r="I380" s="10" t="str">
        <f>HYPERLINK("http://twitter.com/download/android","Twitter for Android")</f>
        <v>Twitter for Android</v>
      </c>
      <c r="J380" s="2">
        <v>277</v>
      </c>
      <c r="K380" s="2">
        <v>269</v>
      </c>
      <c r="L380" s="2">
        <v>0</v>
      </c>
      <c r="M380" s="2"/>
      <c r="N380" s="8">
        <v>43115.377233796295</v>
      </c>
      <c r="O380" s="4"/>
      <c r="P380" s="3" t="s">
        <v>6830</v>
      </c>
      <c r="Q380" s="10" t="s">
        <v>6829</v>
      </c>
      <c r="R380" s="4"/>
      <c r="S380" s="9" t="str">
        <f>HYPERLINK("https://pbs.twimg.com/profile_images/952780904950362112/NFEC4_e6.jpg","View")</f>
        <v>View</v>
      </c>
    </row>
    <row r="381" spans="1:19" ht="40">
      <c r="A381" s="8">
        <v>43371.121145833335</v>
      </c>
      <c r="B381" s="11" t="str">
        <f>HYPERLINK("https://twitter.com/behrouzafshar","@behrouzafshar")</f>
        <v>@behrouzafshar</v>
      </c>
      <c r="C381" s="6" t="s">
        <v>7112</v>
      </c>
      <c r="D381" s="5" t="s">
        <v>7111</v>
      </c>
      <c r="E381" s="9" t="str">
        <f>HYPERLINK("https://twitter.com/behrouzafshar/status/1045454150073495552","1045454150073495552")</f>
        <v>1045454150073495552</v>
      </c>
      <c r="F381" s="4"/>
      <c r="G381" s="4"/>
      <c r="H381" s="4"/>
      <c r="I381" s="10" t="str">
        <f>HYPERLINK("http://twitter.com/#!/download/ipad","Twitter for iPad")</f>
        <v>Twitter for iPad</v>
      </c>
      <c r="J381" s="2">
        <v>136</v>
      </c>
      <c r="K381" s="2">
        <v>88</v>
      </c>
      <c r="L381" s="2">
        <v>0</v>
      </c>
      <c r="M381" s="2"/>
      <c r="N381" s="8">
        <v>39990.140092592592</v>
      </c>
      <c r="O381" s="4"/>
      <c r="P381" s="3"/>
      <c r="Q381" s="4"/>
      <c r="R381" s="4"/>
      <c r="S381" s="9" t="str">
        <f>HYPERLINK("https://pbs.twimg.com/profile_images/1023505479513899009/D3rEpBTJ.jpg","View")</f>
        <v>View</v>
      </c>
    </row>
    <row r="382" spans="1:19" ht="50">
      <c r="A382" s="8">
        <v>43371.120532407411</v>
      </c>
      <c r="B382" s="11" t="str">
        <f>HYPERLINK("https://twitter.com/noore_khoda","@noore_khoda")</f>
        <v>@noore_khoda</v>
      </c>
      <c r="C382" s="6" t="s">
        <v>6834</v>
      </c>
      <c r="D382" s="5" t="s">
        <v>7110</v>
      </c>
      <c r="E382" s="9" t="str">
        <f>HYPERLINK("https://twitter.com/noore_khoda/status/1045453928475881473","1045453928475881473")</f>
        <v>1045453928475881473</v>
      </c>
      <c r="F382" s="4"/>
      <c r="G382" s="4"/>
      <c r="H382" s="4"/>
      <c r="I382" s="10" t="str">
        <f>HYPERLINK("http://twitter.com/download/android","Twitter for Android")</f>
        <v>Twitter for Android</v>
      </c>
      <c r="J382" s="2">
        <v>277</v>
      </c>
      <c r="K382" s="2">
        <v>269</v>
      </c>
      <c r="L382" s="2">
        <v>0</v>
      </c>
      <c r="M382" s="2"/>
      <c r="N382" s="8">
        <v>43115.377233796295</v>
      </c>
      <c r="O382" s="4"/>
      <c r="P382" s="3" t="s">
        <v>6830</v>
      </c>
      <c r="Q382" s="10" t="s">
        <v>6829</v>
      </c>
      <c r="R382" s="4"/>
      <c r="S382" s="9" t="str">
        <f>HYPERLINK("https://pbs.twimg.com/profile_images/952780904950362112/NFEC4_e6.jpg","View")</f>
        <v>View</v>
      </c>
    </row>
    <row r="383" spans="1:19" ht="50">
      <c r="A383" s="8">
        <v>43371.119722222225</v>
      </c>
      <c r="B383" s="11" t="str">
        <f>HYPERLINK("https://twitter.com/noore_khoda","@noore_khoda")</f>
        <v>@noore_khoda</v>
      </c>
      <c r="C383" s="6" t="s">
        <v>6834</v>
      </c>
      <c r="D383" s="5" t="s">
        <v>7109</v>
      </c>
      <c r="E383" s="9" t="str">
        <f>HYPERLINK("https://twitter.com/noore_khoda/status/1045453633259819008","1045453633259819008")</f>
        <v>1045453633259819008</v>
      </c>
      <c r="F383" s="4"/>
      <c r="G383" s="4"/>
      <c r="H383" s="4"/>
      <c r="I383" s="10" t="str">
        <f>HYPERLINK("http://twitter.com/download/android","Twitter for Android")</f>
        <v>Twitter for Android</v>
      </c>
      <c r="J383" s="2">
        <v>277</v>
      </c>
      <c r="K383" s="2">
        <v>269</v>
      </c>
      <c r="L383" s="2">
        <v>0</v>
      </c>
      <c r="M383" s="2"/>
      <c r="N383" s="8">
        <v>43115.377233796295</v>
      </c>
      <c r="O383" s="4"/>
      <c r="P383" s="3" t="s">
        <v>6830</v>
      </c>
      <c r="Q383" s="10" t="s">
        <v>6829</v>
      </c>
      <c r="R383" s="4"/>
      <c r="S383" s="9" t="str">
        <f>HYPERLINK("https://pbs.twimg.com/profile_images/952780904950362112/NFEC4_e6.jpg","View")</f>
        <v>View</v>
      </c>
    </row>
    <row r="384" spans="1:19" ht="30">
      <c r="A384" s="8">
        <v>43371.118067129632</v>
      </c>
      <c r="B384" s="11" t="str">
        <f>HYPERLINK("https://twitter.com/sad___ism","@sad___ism")</f>
        <v>@sad___ism</v>
      </c>
      <c r="C384" s="6" t="s">
        <v>7108</v>
      </c>
      <c r="D384" s="5" t="s">
        <v>7107</v>
      </c>
      <c r="E384" s="9" t="str">
        <f>HYPERLINK("https://twitter.com/sad___ism/status/1045453032094355456","1045453032094355456")</f>
        <v>1045453032094355456</v>
      </c>
      <c r="F384" s="4"/>
      <c r="G384" s="4"/>
      <c r="H384" s="4"/>
      <c r="I384" s="10" t="str">
        <f>HYPERLINK("http://twitter.com/download/android","Twitter for Android")</f>
        <v>Twitter for Android</v>
      </c>
      <c r="J384" s="2">
        <v>442</v>
      </c>
      <c r="K384" s="2">
        <v>449</v>
      </c>
      <c r="L384" s="2">
        <v>0</v>
      </c>
      <c r="M384" s="2"/>
      <c r="N384" s="8">
        <v>43362.692523148144</v>
      </c>
      <c r="O384" s="4" t="s">
        <v>7106</v>
      </c>
      <c r="P384" s="3" t="s">
        <v>7105</v>
      </c>
      <c r="Q384" s="10" t="s">
        <v>7104</v>
      </c>
      <c r="R384" s="4"/>
      <c r="S384" s="9" t="str">
        <f>HYPERLINK("https://pbs.twimg.com/profile_images/1042525274569625600/M-AajUoI.jpg","View")</f>
        <v>View</v>
      </c>
    </row>
    <row r="385" spans="1:19" ht="40">
      <c r="A385" s="8">
        <v>43371.112500000003</v>
      </c>
      <c r="B385" s="11" t="str">
        <f>HYPERLINK("https://twitter.com/Amir37448044","@Amir37448044")</f>
        <v>@Amir37448044</v>
      </c>
      <c r="C385" s="6" t="s">
        <v>7103</v>
      </c>
      <c r="D385" s="5" t="s">
        <v>7102</v>
      </c>
      <c r="E385" s="9" t="str">
        <f>HYPERLINK("https://twitter.com/Amir37448044/status/1045451017620533249","1045451017620533249")</f>
        <v>1045451017620533249</v>
      </c>
      <c r="F385" s="4"/>
      <c r="G385" s="10" t="s">
        <v>7101</v>
      </c>
      <c r="H385" s="4"/>
      <c r="I385" s="10" t="str">
        <f>HYPERLINK("http://twitter.com/download/android","Twitter for Android")</f>
        <v>Twitter for Android</v>
      </c>
      <c r="J385" s="2">
        <v>343</v>
      </c>
      <c r="K385" s="2">
        <v>542</v>
      </c>
      <c r="L385" s="2">
        <v>0</v>
      </c>
      <c r="M385" s="2"/>
      <c r="N385" s="8">
        <v>42988.089328703703</v>
      </c>
      <c r="O385" s="4" t="s">
        <v>7100</v>
      </c>
      <c r="P385" s="3"/>
      <c r="Q385" s="4"/>
      <c r="R385" s="4"/>
      <c r="S385" s="9" t="str">
        <f>HYPERLINK("https://pbs.twimg.com/profile_images/1006510280816381952/9asEmMvv.jpg","View")</f>
        <v>View</v>
      </c>
    </row>
    <row r="386" spans="1:19" ht="12.5">
      <c r="A386" s="8">
        <v>43371.10802083333</v>
      </c>
      <c r="B386" s="11" t="str">
        <f>HYPERLINK("https://twitter.com/hossein_Rshnfkr","@hossein_Rshnfkr")</f>
        <v>@hossein_Rshnfkr</v>
      </c>
      <c r="C386" s="6" t="s">
        <v>7097</v>
      </c>
      <c r="D386" s="5" t="s">
        <v>7099</v>
      </c>
      <c r="E386" s="9" t="str">
        <f>HYPERLINK("https://twitter.com/hossein_Rshnfkr/status/1045449393439166464","1045449393439166464")</f>
        <v>1045449393439166464</v>
      </c>
      <c r="F386" s="4"/>
      <c r="G386" s="4"/>
      <c r="H386" s="4"/>
      <c r="I386" s="10" t="str">
        <f>HYPERLINK("http://twitter.com/download/android","Twitter for Android")</f>
        <v>Twitter for Android</v>
      </c>
      <c r="J386" s="2">
        <v>0</v>
      </c>
      <c r="K386" s="2">
        <v>13</v>
      </c>
      <c r="L386" s="2">
        <v>0</v>
      </c>
      <c r="M386" s="2"/>
      <c r="N386" s="8">
        <v>43349.115335648152</v>
      </c>
      <c r="O386" s="4"/>
      <c r="P386" s="3"/>
      <c r="Q386" s="4"/>
      <c r="R386" s="4"/>
      <c r="S386" s="9" t="str">
        <f>HYPERLINK("https://pbs.twimg.com/profile_images/1045278170969182211/EzqzYz3s.jpg","View")</f>
        <v>View</v>
      </c>
    </row>
    <row r="387" spans="1:19" ht="20">
      <c r="A387" s="8">
        <v>43371.107395833329</v>
      </c>
      <c r="B387" s="11" t="str">
        <f>HYPERLINK("https://twitter.com/hossein_Rshnfkr","@hossein_Rshnfkr")</f>
        <v>@hossein_Rshnfkr</v>
      </c>
      <c r="C387" s="6" t="s">
        <v>7097</v>
      </c>
      <c r="D387" s="5" t="s">
        <v>7098</v>
      </c>
      <c r="E387" s="9" t="str">
        <f>HYPERLINK("https://twitter.com/hossein_Rshnfkr/status/1045449164807708679","1045449164807708679")</f>
        <v>1045449164807708679</v>
      </c>
      <c r="F387" s="4"/>
      <c r="G387" s="4"/>
      <c r="H387" s="4"/>
      <c r="I387" s="10" t="str">
        <f>HYPERLINK("http://twitter.com/download/android","Twitter for Android")</f>
        <v>Twitter for Android</v>
      </c>
      <c r="J387" s="2">
        <v>0</v>
      </c>
      <c r="K387" s="2">
        <v>13</v>
      </c>
      <c r="L387" s="2">
        <v>0</v>
      </c>
      <c r="M387" s="2"/>
      <c r="N387" s="8">
        <v>43349.115335648152</v>
      </c>
      <c r="O387" s="4"/>
      <c r="P387" s="3"/>
      <c r="Q387" s="4"/>
      <c r="R387" s="4"/>
      <c r="S387" s="9" t="str">
        <f>HYPERLINK("https://pbs.twimg.com/profile_images/1045278170969182211/EzqzYz3s.jpg","View")</f>
        <v>View</v>
      </c>
    </row>
    <row r="388" spans="1:19" ht="12.5">
      <c r="A388" s="8">
        <v>43371.106620370367</v>
      </c>
      <c r="B388" s="11" t="str">
        <f>HYPERLINK("https://twitter.com/hossein_Rshnfkr","@hossein_Rshnfkr")</f>
        <v>@hossein_Rshnfkr</v>
      </c>
      <c r="C388" s="6" t="s">
        <v>7097</v>
      </c>
      <c r="D388" s="5" t="s">
        <v>7096</v>
      </c>
      <c r="E388" s="9" t="str">
        <f>HYPERLINK("https://twitter.com/hossein_Rshnfkr/status/1045448884900769792","1045448884900769792")</f>
        <v>1045448884900769792</v>
      </c>
      <c r="F388" s="4"/>
      <c r="G388" s="4"/>
      <c r="H388" s="4"/>
      <c r="I388" s="10" t="str">
        <f>HYPERLINK("http://twitter.com/download/android","Twitter for Android")</f>
        <v>Twitter for Android</v>
      </c>
      <c r="J388" s="2">
        <v>0</v>
      </c>
      <c r="K388" s="2">
        <v>13</v>
      </c>
      <c r="L388" s="2">
        <v>0</v>
      </c>
      <c r="M388" s="2"/>
      <c r="N388" s="8">
        <v>43349.115335648152</v>
      </c>
      <c r="O388" s="4"/>
      <c r="P388" s="3"/>
      <c r="Q388" s="4"/>
      <c r="R388" s="4"/>
      <c r="S388" s="9" t="str">
        <f>HYPERLINK("https://pbs.twimg.com/profile_images/1045278170969182211/EzqzYz3s.jpg","View")</f>
        <v>View</v>
      </c>
    </row>
    <row r="389" spans="1:19" ht="30">
      <c r="A389" s="8">
        <v>43371.101863425924</v>
      </c>
      <c r="B389" s="11" t="str">
        <f>HYPERLINK("https://twitter.com/BaranBanoo2","@BaranBanoo2")</f>
        <v>@BaranBanoo2</v>
      </c>
      <c r="C389" s="6" t="s">
        <v>7095</v>
      </c>
      <c r="D389" s="5" t="s">
        <v>7094</v>
      </c>
      <c r="E389" s="9" t="str">
        <f>HYPERLINK("https://twitter.com/BaranBanoo2/status/1045447160584699910","1045447160584699910")</f>
        <v>1045447160584699910</v>
      </c>
      <c r="F389" s="4"/>
      <c r="G389" s="4"/>
      <c r="H389" s="4"/>
      <c r="I389" s="10" t="str">
        <f>HYPERLINK("http://twitter.com/download/iphone","Twitter for iPhone")</f>
        <v>Twitter for iPhone</v>
      </c>
      <c r="J389" s="2">
        <v>170</v>
      </c>
      <c r="K389" s="2">
        <v>285</v>
      </c>
      <c r="L389" s="2">
        <v>1</v>
      </c>
      <c r="M389" s="2"/>
      <c r="N389" s="8">
        <v>43225.574687500004</v>
      </c>
      <c r="O389" s="4"/>
      <c r="P389" s="3"/>
      <c r="Q389" s="4"/>
      <c r="R389" s="4"/>
      <c r="S389" s="9" t="str">
        <f>HYPERLINK("https://pbs.twimg.com/profile_images/1017657769023954945/Hisq77zX.jpg","View")</f>
        <v>View</v>
      </c>
    </row>
    <row r="390" spans="1:19" ht="30">
      <c r="A390" s="8">
        <v>43371.101087962961</v>
      </c>
      <c r="B390" s="11" t="str">
        <f>HYPERLINK("https://twitter.com/alef_kaf","@alef_kaf")</f>
        <v>@alef_kaf</v>
      </c>
      <c r="C390" s="6" t="s">
        <v>7093</v>
      </c>
      <c r="D390" s="5" t="s">
        <v>7092</v>
      </c>
      <c r="E390" s="9" t="str">
        <f>HYPERLINK("https://twitter.com/alef_kaf/status/1045446881437003776","1045446881437003776")</f>
        <v>1045446881437003776</v>
      </c>
      <c r="F390" s="4"/>
      <c r="G390" s="4"/>
      <c r="H390" s="4"/>
      <c r="I390" s="10" t="str">
        <f>HYPERLINK("http://twitter.com/download/android","Twitter for Android")</f>
        <v>Twitter for Android</v>
      </c>
      <c r="J390" s="2">
        <v>258</v>
      </c>
      <c r="K390" s="2">
        <v>115</v>
      </c>
      <c r="L390" s="2">
        <v>1</v>
      </c>
      <c r="M390" s="2"/>
      <c r="N390" s="8">
        <v>41850.885347222225</v>
      </c>
      <c r="O390" s="4" t="s">
        <v>7091</v>
      </c>
      <c r="P390" s="3" t="s">
        <v>7090</v>
      </c>
      <c r="Q390" s="10" t="s">
        <v>7089</v>
      </c>
      <c r="R390" s="4"/>
      <c r="S390" s="9" t="str">
        <f>HYPERLINK("https://pbs.twimg.com/profile_images/1031656966555348994/dywo-qMx.jpg","View")</f>
        <v>View</v>
      </c>
    </row>
    <row r="391" spans="1:19" ht="30">
      <c r="A391" s="8">
        <v>43371.098148148143</v>
      </c>
      <c r="B391" s="11" t="str">
        <f>HYPERLINK("https://twitter.com/MaziiarEA","@MaziiarEA")</f>
        <v>@MaziiarEA</v>
      </c>
      <c r="C391" s="6" t="s">
        <v>7088</v>
      </c>
      <c r="D391" s="5" t="s">
        <v>7087</v>
      </c>
      <c r="E391" s="9" t="str">
        <f>HYPERLINK("https://twitter.com/MaziiarEA/status/1045445817010552832","1045445817010552832")</f>
        <v>1045445817010552832</v>
      </c>
      <c r="F391" s="4"/>
      <c r="G391" s="4"/>
      <c r="H391" s="4"/>
      <c r="I391" s="10" t="str">
        <f>HYPERLINK("http://twitter.com/download/iphone","Twitter for iPhone")</f>
        <v>Twitter for iPhone</v>
      </c>
      <c r="J391" s="2">
        <v>227</v>
      </c>
      <c r="K391" s="2">
        <v>667</v>
      </c>
      <c r="L391" s="2">
        <v>7</v>
      </c>
      <c r="M391" s="2"/>
      <c r="N391" s="8">
        <v>40992.031423611115</v>
      </c>
      <c r="O391" s="4" t="s">
        <v>1493</v>
      </c>
      <c r="P391" s="3" t="s">
        <v>7086</v>
      </c>
      <c r="Q391" s="4"/>
      <c r="R391" s="4"/>
      <c r="S391" s="9" t="str">
        <f>HYPERLINK("https://pbs.twimg.com/profile_images/1004347355863252992/867tbkIC.jpg","View")</f>
        <v>View</v>
      </c>
    </row>
    <row r="392" spans="1:19" ht="50">
      <c r="A392" s="8">
        <v>43371.098055555558</v>
      </c>
      <c r="B392" s="11" t="str">
        <f>HYPERLINK("https://twitter.com/Hojjat10313","@Hojjat10313")</f>
        <v>@Hojjat10313</v>
      </c>
      <c r="C392" s="6" t="s">
        <v>7078</v>
      </c>
      <c r="D392" s="5" t="s">
        <v>7085</v>
      </c>
      <c r="E392" s="9" t="str">
        <f>HYPERLINK("https://twitter.com/Hojjat10313/status/1045445780218220545","1045445780218220545")</f>
        <v>1045445780218220545</v>
      </c>
      <c r="F392" s="4"/>
      <c r="G392" s="4"/>
      <c r="H392" s="4"/>
      <c r="I392" s="10" t="str">
        <f>HYPERLINK("http://twitter.com/download/android","Twitter for Android")</f>
        <v>Twitter for Android</v>
      </c>
      <c r="J392" s="2">
        <v>734</v>
      </c>
      <c r="K392" s="2">
        <v>761</v>
      </c>
      <c r="L392" s="2">
        <v>0</v>
      </c>
      <c r="M392" s="2"/>
      <c r="N392" s="8">
        <v>43065.439340277779</v>
      </c>
      <c r="O392" s="4"/>
      <c r="P392" s="3" t="s">
        <v>7076</v>
      </c>
      <c r="Q392" s="10" t="s">
        <v>7075</v>
      </c>
      <c r="R392" s="4"/>
      <c r="S392" s="9" t="str">
        <f>HYPERLINK("https://pbs.twimg.com/profile_images/1033997083550904320/UJvSvcSc.jpg","View")</f>
        <v>View</v>
      </c>
    </row>
    <row r="393" spans="1:19" ht="50">
      <c r="A393" s="8">
        <v>43371.097719907411</v>
      </c>
      <c r="B393" s="11" t="str">
        <f>HYPERLINK("https://twitter.com/Hojjat10313","@Hojjat10313")</f>
        <v>@Hojjat10313</v>
      </c>
      <c r="C393" s="6" t="s">
        <v>7078</v>
      </c>
      <c r="D393" s="5" t="s">
        <v>7084</v>
      </c>
      <c r="E393" s="9" t="str">
        <f>HYPERLINK("https://twitter.com/Hojjat10313/status/1045445661670461440","1045445661670461440")</f>
        <v>1045445661670461440</v>
      </c>
      <c r="F393" s="4"/>
      <c r="G393" s="4"/>
      <c r="H393" s="4"/>
      <c r="I393" s="10" t="str">
        <f>HYPERLINK("http://twitter.com/download/android","Twitter for Android")</f>
        <v>Twitter for Android</v>
      </c>
      <c r="J393" s="2">
        <v>734</v>
      </c>
      <c r="K393" s="2">
        <v>761</v>
      </c>
      <c r="L393" s="2">
        <v>0</v>
      </c>
      <c r="M393" s="2"/>
      <c r="N393" s="8">
        <v>43065.439340277779</v>
      </c>
      <c r="O393" s="4"/>
      <c r="P393" s="3" t="s">
        <v>7076</v>
      </c>
      <c r="Q393" s="10" t="s">
        <v>7075</v>
      </c>
      <c r="R393" s="4"/>
      <c r="S393" s="9" t="str">
        <f>HYPERLINK("https://pbs.twimg.com/profile_images/1033997083550904320/UJvSvcSc.jpg","View")</f>
        <v>View</v>
      </c>
    </row>
    <row r="394" spans="1:19" ht="40">
      <c r="A394" s="8">
        <v>43371.097638888888</v>
      </c>
      <c r="B394" s="11" t="str">
        <f>HYPERLINK("https://twitter.com/mobarezevatan","@mobarezevatan")</f>
        <v>@mobarezevatan</v>
      </c>
      <c r="C394" s="6" t="s">
        <v>7083</v>
      </c>
      <c r="D394" s="5" t="s">
        <v>7082</v>
      </c>
      <c r="E394" s="9" t="str">
        <f>HYPERLINK("https://twitter.com/mobarezevatan/status/1045445629860827137","1045445629860827137")</f>
        <v>1045445629860827137</v>
      </c>
      <c r="F394" s="4"/>
      <c r="G394" s="10" t="s">
        <v>7081</v>
      </c>
      <c r="H394" s="4"/>
      <c r="I394" s="10" t="str">
        <f>HYPERLINK("http://twitter.com/download/android","Twitter for Android")</f>
        <v>Twitter for Android</v>
      </c>
      <c r="J394" s="2">
        <v>26</v>
      </c>
      <c r="K394" s="2">
        <v>52</v>
      </c>
      <c r="L394" s="2">
        <v>0</v>
      </c>
      <c r="M394" s="2"/>
      <c r="N394" s="8">
        <v>43299.556493055556</v>
      </c>
      <c r="O394" s="4" t="s">
        <v>7080</v>
      </c>
      <c r="P394" s="3" t="s">
        <v>7079</v>
      </c>
      <c r="Q394" s="4"/>
      <c r="R394" s="4"/>
      <c r="S394" s="9" t="str">
        <f>HYPERLINK("https://pbs.twimg.com/profile_images/1034358111358930944/feMGbNNk.jpg","View")</f>
        <v>View</v>
      </c>
    </row>
    <row r="395" spans="1:19" ht="50">
      <c r="A395" s="8">
        <v>43371.097500000003</v>
      </c>
      <c r="B395" s="11" t="str">
        <f>HYPERLINK("https://twitter.com/Hojjat10313","@Hojjat10313")</f>
        <v>@Hojjat10313</v>
      </c>
      <c r="C395" s="6" t="s">
        <v>7078</v>
      </c>
      <c r="D395" s="5" t="s">
        <v>7077</v>
      </c>
      <c r="E395" s="9" t="str">
        <f>HYPERLINK("https://twitter.com/Hojjat10313/status/1045445581781577730","1045445581781577730")</f>
        <v>1045445581781577730</v>
      </c>
      <c r="F395" s="4"/>
      <c r="G395" s="4"/>
      <c r="H395" s="4"/>
      <c r="I395" s="10" t="str">
        <f>HYPERLINK("http://twitter.com/download/android","Twitter for Android")</f>
        <v>Twitter for Android</v>
      </c>
      <c r="J395" s="2">
        <v>734</v>
      </c>
      <c r="K395" s="2">
        <v>761</v>
      </c>
      <c r="L395" s="2">
        <v>0</v>
      </c>
      <c r="M395" s="2"/>
      <c r="N395" s="8">
        <v>43065.439340277779</v>
      </c>
      <c r="O395" s="4"/>
      <c r="P395" s="3" t="s">
        <v>7076</v>
      </c>
      <c r="Q395" s="10" t="s">
        <v>7075</v>
      </c>
      <c r="R395" s="4"/>
      <c r="S395" s="9" t="str">
        <f>HYPERLINK("https://pbs.twimg.com/profile_images/1033997083550904320/UJvSvcSc.jpg","View")</f>
        <v>View</v>
      </c>
    </row>
    <row r="396" spans="1:19" ht="20">
      <c r="A396" s="8">
        <v>43371.096412037034</v>
      </c>
      <c r="B396" s="11" t="str">
        <f>HYPERLINK("https://twitter.com/Matrixsistian","@Matrixsistian")</f>
        <v>@Matrixsistian</v>
      </c>
      <c r="C396" s="6" t="s">
        <v>7068</v>
      </c>
      <c r="D396" s="5" t="s">
        <v>7074</v>
      </c>
      <c r="E396" s="9" t="str">
        <f>HYPERLINK("https://twitter.com/Matrixsistian/status/1045445187294679040","1045445187294679040")</f>
        <v>1045445187294679040</v>
      </c>
      <c r="F396" s="4"/>
      <c r="G396" s="4"/>
      <c r="H396" s="4"/>
      <c r="I396" s="10" t="str">
        <f>HYPERLINK("http://twitter.com/download/iphone","Twitter for iPhone")</f>
        <v>Twitter for iPhone</v>
      </c>
      <c r="J396" s="2">
        <v>2298</v>
      </c>
      <c r="K396" s="2">
        <v>784</v>
      </c>
      <c r="L396" s="2">
        <v>38</v>
      </c>
      <c r="M396" s="2"/>
      <c r="N396" s="8">
        <v>42522.117372685185</v>
      </c>
      <c r="O396" s="4" t="s">
        <v>10</v>
      </c>
      <c r="P396" s="3" t="s">
        <v>7066</v>
      </c>
      <c r="Q396" s="4"/>
      <c r="R396" s="4"/>
      <c r="S396" s="9" t="str">
        <f>HYPERLINK("https://pbs.twimg.com/profile_images/1044983371988959232/FvZfM4kN.jpg","View")</f>
        <v>View</v>
      </c>
    </row>
    <row r="397" spans="1:19" ht="30">
      <c r="A397" s="8">
        <v>43371.096203703702</v>
      </c>
      <c r="B397" s="11" t="str">
        <f>HYPERLINK("https://twitter.com/gigili63","@gigili63")</f>
        <v>@gigili63</v>
      </c>
      <c r="C397" s="6" t="s">
        <v>7073</v>
      </c>
      <c r="D397" s="5" t="s">
        <v>7072</v>
      </c>
      <c r="E397" s="9" t="str">
        <f>HYPERLINK("https://twitter.com/gigili63/status/1045445112476708864","1045445112476708864")</f>
        <v>1045445112476708864</v>
      </c>
      <c r="F397" s="4"/>
      <c r="G397" s="4"/>
      <c r="H397" s="4"/>
      <c r="I397" s="10" t="str">
        <f>HYPERLINK("http://twitter.com/download/android","Twitter for Android")</f>
        <v>Twitter for Android</v>
      </c>
      <c r="J397" s="2">
        <v>496</v>
      </c>
      <c r="K397" s="2">
        <v>5003</v>
      </c>
      <c r="L397" s="2">
        <v>1</v>
      </c>
      <c r="M397" s="2"/>
      <c r="N397" s="8">
        <v>42853.799849537041</v>
      </c>
      <c r="O397" s="4" t="s">
        <v>1183</v>
      </c>
      <c r="P397" s="3" t="s">
        <v>7071</v>
      </c>
      <c r="Q397" s="10" t="s">
        <v>7070</v>
      </c>
      <c r="R397" s="4"/>
      <c r="S397" s="9" t="str">
        <f>HYPERLINK("https://pbs.twimg.com/profile_images/873201408807493634/HhFbZQOo.jpg","View")</f>
        <v>View</v>
      </c>
    </row>
    <row r="398" spans="1:19" ht="12.5">
      <c r="A398" s="8">
        <v>43371.09579861111</v>
      </c>
      <c r="B398" s="11" t="str">
        <f>HYPERLINK("https://twitter.com/king_yashar","@king_yashar")</f>
        <v>@king_yashar</v>
      </c>
      <c r="C398" s="6" t="s">
        <v>3528</v>
      </c>
      <c r="D398" s="5" t="s">
        <v>7069</v>
      </c>
      <c r="E398" s="9" t="str">
        <f>HYPERLINK("https://twitter.com/king_yashar/status/1045444963113349127","1045444963113349127")</f>
        <v>1045444963113349127</v>
      </c>
      <c r="F398" s="4"/>
      <c r="G398" s="4"/>
      <c r="H398" s="4"/>
      <c r="I398" s="10" t="str">
        <f>HYPERLINK("http://twitter.com/download/android","Twitter for Android")</f>
        <v>Twitter for Android</v>
      </c>
      <c r="J398" s="2">
        <v>186</v>
      </c>
      <c r="K398" s="2">
        <v>802</v>
      </c>
      <c r="L398" s="2">
        <v>0</v>
      </c>
      <c r="M398" s="2"/>
      <c r="N398" s="8">
        <v>42895.811990740738</v>
      </c>
      <c r="O398" s="4" t="s">
        <v>200</v>
      </c>
      <c r="P398" s="3"/>
      <c r="Q398" s="4"/>
      <c r="R398" s="4"/>
      <c r="S398" s="9" t="str">
        <f>HYPERLINK("https://pbs.twimg.com/profile_images/973182763657584640/bfnAKJBF.jpg","View")</f>
        <v>View</v>
      </c>
    </row>
    <row r="399" spans="1:19" ht="20">
      <c r="A399" s="8">
        <v>43371.094305555554</v>
      </c>
      <c r="B399" s="11" t="str">
        <f>HYPERLINK("https://twitter.com/Matrixsistian","@Matrixsistian")</f>
        <v>@Matrixsistian</v>
      </c>
      <c r="C399" s="6" t="s">
        <v>7068</v>
      </c>
      <c r="D399" s="5" t="s">
        <v>7067</v>
      </c>
      <c r="E399" s="9" t="str">
        <f>HYPERLINK("https://twitter.com/Matrixsistian/status/1045444424728236032","1045444424728236032")</f>
        <v>1045444424728236032</v>
      </c>
      <c r="F399" s="4"/>
      <c r="G399" s="4"/>
      <c r="H399" s="4"/>
      <c r="I399" s="10" t="str">
        <f>HYPERLINK("http://twitter.com/download/iphone","Twitter for iPhone")</f>
        <v>Twitter for iPhone</v>
      </c>
      <c r="J399" s="2">
        <v>2298</v>
      </c>
      <c r="K399" s="2">
        <v>784</v>
      </c>
      <c r="L399" s="2">
        <v>38</v>
      </c>
      <c r="M399" s="2"/>
      <c r="N399" s="8">
        <v>42522.117372685185</v>
      </c>
      <c r="O399" s="4" t="s">
        <v>10</v>
      </c>
      <c r="P399" s="3" t="s">
        <v>7066</v>
      </c>
      <c r="Q399" s="4"/>
      <c r="R399" s="4"/>
      <c r="S399" s="9" t="str">
        <f>HYPERLINK("https://pbs.twimg.com/profile_images/1044983371988959232/FvZfM4kN.jpg","View")</f>
        <v>View</v>
      </c>
    </row>
    <row r="400" spans="1:19" ht="20">
      <c r="A400" s="8">
        <v>43371.090601851851</v>
      </c>
      <c r="B400" s="11" t="str">
        <f>HYPERLINK("https://twitter.com/HDeilam","@HDeilam")</f>
        <v>@HDeilam</v>
      </c>
      <c r="C400" s="6" t="s">
        <v>5546</v>
      </c>
      <c r="D400" s="5" t="s">
        <v>7065</v>
      </c>
      <c r="E400" s="9" t="str">
        <f>HYPERLINK("https://twitter.com/HDeilam/status/1045443082337087488","1045443082337087488")</f>
        <v>1045443082337087488</v>
      </c>
      <c r="F400" s="4"/>
      <c r="G400" s="4"/>
      <c r="H400" s="4"/>
      <c r="I400" s="10" t="str">
        <f>HYPERLINK("http://twitter.com/download/android","Twitter for Android")</f>
        <v>Twitter for Android</v>
      </c>
      <c r="J400" s="2">
        <v>44</v>
      </c>
      <c r="K400" s="2">
        <v>139</v>
      </c>
      <c r="L400" s="2">
        <v>0</v>
      </c>
      <c r="M400" s="2"/>
      <c r="N400" s="8">
        <v>43215.870370370365</v>
      </c>
      <c r="O400" s="4"/>
      <c r="P400" s="3"/>
      <c r="Q400" s="4"/>
      <c r="R400" s="4"/>
      <c r="S400" s="9" t="str">
        <f>HYPERLINK("https://pbs.twimg.com/profile_images/1005408869852442625/XX6geESh.jpg","View")</f>
        <v>View</v>
      </c>
    </row>
    <row r="401" spans="1:19" ht="20">
      <c r="A401" s="8">
        <v>43371.088090277779</v>
      </c>
      <c r="B401" s="11" t="str">
        <f>HYPERLINK("https://twitter.com/M_khaleghiiii","@M_khaleghiiii")</f>
        <v>@M_khaleghiiii</v>
      </c>
      <c r="C401" s="6" t="s">
        <v>705</v>
      </c>
      <c r="D401" s="5" t="s">
        <v>7064</v>
      </c>
      <c r="E401" s="9" t="str">
        <f>HYPERLINK("https://twitter.com/M_khaleghiiii/status/1045442170365378560","1045442170365378560")</f>
        <v>1045442170365378560</v>
      </c>
      <c r="F401" s="4"/>
      <c r="G401" s="4"/>
      <c r="H401" s="4"/>
      <c r="I401" s="10" t="str">
        <f>HYPERLINK("http://twitter.com/download/android","Twitter for Android")</f>
        <v>Twitter for Android</v>
      </c>
      <c r="J401" s="2">
        <v>15</v>
      </c>
      <c r="K401" s="2">
        <v>81</v>
      </c>
      <c r="L401" s="2">
        <v>0</v>
      </c>
      <c r="M401" s="2"/>
      <c r="N401" s="8">
        <v>43324.738796296297</v>
      </c>
      <c r="O401" s="4" t="s">
        <v>200</v>
      </c>
      <c r="P401" s="3" t="s">
        <v>7063</v>
      </c>
      <c r="Q401" s="4"/>
      <c r="R401" s="4"/>
      <c r="S401" s="9" t="str">
        <f>HYPERLINK("https://pbs.twimg.com/profile_images/1028633925462241280/A9Oh4MFI.jpg","View")</f>
        <v>View</v>
      </c>
    </row>
    <row r="402" spans="1:19" ht="40">
      <c r="A402" s="8">
        <v>43371.087997685187</v>
      </c>
      <c r="B402" s="11" t="str">
        <f>HYPERLINK("https://twitter.com/behzad_talebi","@behzad_talebi")</f>
        <v>@behzad_talebi</v>
      </c>
      <c r="C402" s="6" t="s">
        <v>7062</v>
      </c>
      <c r="D402" s="5" t="s">
        <v>7061</v>
      </c>
      <c r="E402" s="9" t="str">
        <f>HYPERLINK("https://twitter.com/behzad_talebi/status/1045442136802512897","1045442136802512897")</f>
        <v>1045442136802512897</v>
      </c>
      <c r="F402" s="10" t="s">
        <v>7060</v>
      </c>
      <c r="G402" s="4"/>
      <c r="H402" s="4"/>
      <c r="I402" s="10" t="str">
        <f>HYPERLINK("http://twitter.com/download/android","Twitter for Android")</f>
        <v>Twitter for Android</v>
      </c>
      <c r="J402" s="2">
        <v>162</v>
      </c>
      <c r="K402" s="2">
        <v>127</v>
      </c>
      <c r="L402" s="2">
        <v>2</v>
      </c>
      <c r="M402" s="2"/>
      <c r="N402" s="8">
        <v>41652.653483796297</v>
      </c>
      <c r="O402" s="4" t="s">
        <v>10</v>
      </c>
      <c r="P402" s="3" t="s">
        <v>7059</v>
      </c>
      <c r="Q402" s="4"/>
      <c r="R402" s="4"/>
      <c r="S402" s="9" t="str">
        <f>HYPERLINK("https://pbs.twimg.com/profile_images/585917968388718594/ENdTOs-7.jpg","View")</f>
        <v>View</v>
      </c>
    </row>
    <row r="403" spans="1:19" ht="30">
      <c r="A403" s="8">
        <v>43371.087719907402</v>
      </c>
      <c r="B403" s="11" t="str">
        <f>HYPERLINK("https://twitter.com/mehranpoem","@mehranpoem")</f>
        <v>@mehranpoem</v>
      </c>
      <c r="C403" s="6" t="s">
        <v>7058</v>
      </c>
      <c r="D403" s="5" t="s">
        <v>7057</v>
      </c>
      <c r="E403" s="9" t="str">
        <f>HYPERLINK("https://twitter.com/mehranpoem/status/1045442037305225216","1045442037305225216")</f>
        <v>1045442037305225216</v>
      </c>
      <c r="F403" s="10" t="s">
        <v>7056</v>
      </c>
      <c r="G403" s="4"/>
      <c r="H403" s="4"/>
      <c r="I403" s="10" t="str">
        <f>HYPERLINK("http://twitter.com","Twitter Web Client")</f>
        <v>Twitter Web Client</v>
      </c>
      <c r="J403" s="2">
        <v>462</v>
      </c>
      <c r="K403" s="2">
        <v>343</v>
      </c>
      <c r="L403" s="2">
        <v>1</v>
      </c>
      <c r="M403" s="2"/>
      <c r="N403" s="8">
        <v>42814.775624999995</v>
      </c>
      <c r="O403" s="4"/>
      <c r="P403" s="3" t="s">
        <v>7055</v>
      </c>
      <c r="Q403" s="4"/>
      <c r="R403" s="4"/>
      <c r="S403" s="9" t="str">
        <f>HYPERLINK("https://pbs.twimg.com/profile_images/1009753309966622720/kir5xeNU.jpg","View")</f>
        <v>View</v>
      </c>
    </row>
    <row r="404" spans="1:19" ht="50">
      <c r="A404" s="8">
        <v>43371.08756944444</v>
      </c>
      <c r="B404" s="11" t="str">
        <f>HYPERLINK("https://twitter.com/shamsolshomoos","@shamsolshomoos")</f>
        <v>@shamsolshomoos</v>
      </c>
      <c r="C404" s="6" t="s">
        <v>7050</v>
      </c>
      <c r="D404" s="5" t="s">
        <v>7054</v>
      </c>
      <c r="E404" s="9" t="str">
        <f>HYPERLINK("https://twitter.com/shamsolshomoos/status/1045441981445541888","1045441981445541888")</f>
        <v>1045441981445541888</v>
      </c>
      <c r="F404" s="4"/>
      <c r="G404" s="4"/>
      <c r="H404" s="4"/>
      <c r="I404" s="10" t="str">
        <f>HYPERLINK("http://twitter.com/download/android","Twitter for Android")</f>
        <v>Twitter for Android</v>
      </c>
      <c r="J404" s="2">
        <v>88</v>
      </c>
      <c r="K404" s="2">
        <v>49</v>
      </c>
      <c r="L404" s="2">
        <v>0</v>
      </c>
      <c r="M404" s="2"/>
      <c r="N404" s="8">
        <v>43051.993715277778</v>
      </c>
      <c r="O404" s="4"/>
      <c r="P404" s="3"/>
      <c r="Q404" s="4"/>
      <c r="R404" s="4"/>
      <c r="S404" s="2" t="s">
        <v>259</v>
      </c>
    </row>
    <row r="405" spans="1:19" ht="50">
      <c r="A405" s="8">
        <v>43371.087048611109</v>
      </c>
      <c r="B405" s="11" t="str">
        <f>HYPERLINK("https://twitter.com/shamsolshomoos","@shamsolshomoos")</f>
        <v>@shamsolshomoos</v>
      </c>
      <c r="C405" s="6" t="s">
        <v>7050</v>
      </c>
      <c r="D405" s="5" t="s">
        <v>7053</v>
      </c>
      <c r="E405" s="9" t="str">
        <f>HYPERLINK("https://twitter.com/shamsolshomoos/status/1045441792596946944","1045441792596946944")</f>
        <v>1045441792596946944</v>
      </c>
      <c r="F405" s="4"/>
      <c r="G405" s="4"/>
      <c r="H405" s="4"/>
      <c r="I405" s="10" t="str">
        <f>HYPERLINK("http://twitter.com/download/android","Twitter for Android")</f>
        <v>Twitter for Android</v>
      </c>
      <c r="J405" s="2">
        <v>88</v>
      </c>
      <c r="K405" s="2">
        <v>49</v>
      </c>
      <c r="L405" s="2">
        <v>0</v>
      </c>
      <c r="M405" s="2"/>
      <c r="N405" s="8">
        <v>43051.993715277778</v>
      </c>
      <c r="O405" s="4"/>
      <c r="P405" s="3"/>
      <c r="Q405" s="4"/>
      <c r="R405" s="4"/>
      <c r="S405" s="2" t="s">
        <v>259</v>
      </c>
    </row>
    <row r="406" spans="1:19" ht="50">
      <c r="A406" s="8">
        <v>43371.086817129632</v>
      </c>
      <c r="B406" s="11" t="str">
        <f>HYPERLINK("https://twitter.com/shamsolshomoos","@shamsolshomoos")</f>
        <v>@shamsolshomoos</v>
      </c>
      <c r="C406" s="6" t="s">
        <v>7050</v>
      </c>
      <c r="D406" s="5" t="s">
        <v>7052</v>
      </c>
      <c r="E406" s="9" t="str">
        <f>HYPERLINK("https://twitter.com/shamsolshomoos/status/1045441709042266114","1045441709042266114")</f>
        <v>1045441709042266114</v>
      </c>
      <c r="F406" s="4"/>
      <c r="G406" s="4"/>
      <c r="H406" s="4"/>
      <c r="I406" s="10" t="str">
        <f>HYPERLINK("http://twitter.com/download/android","Twitter for Android")</f>
        <v>Twitter for Android</v>
      </c>
      <c r="J406" s="2">
        <v>88</v>
      </c>
      <c r="K406" s="2">
        <v>49</v>
      </c>
      <c r="L406" s="2">
        <v>0</v>
      </c>
      <c r="M406" s="2"/>
      <c r="N406" s="8">
        <v>43051.993715277778</v>
      </c>
      <c r="O406" s="4"/>
      <c r="P406" s="3"/>
      <c r="Q406" s="4"/>
      <c r="R406" s="4"/>
      <c r="S406" s="2" t="s">
        <v>259</v>
      </c>
    </row>
    <row r="407" spans="1:19" ht="50">
      <c r="A407" s="8">
        <v>43371.086597222224</v>
      </c>
      <c r="B407" s="11" t="str">
        <f>HYPERLINK("https://twitter.com/shamsolshomoos","@shamsolshomoos")</f>
        <v>@shamsolshomoos</v>
      </c>
      <c r="C407" s="6" t="s">
        <v>7050</v>
      </c>
      <c r="D407" s="5" t="s">
        <v>7051</v>
      </c>
      <c r="E407" s="9" t="str">
        <f>HYPERLINK("https://twitter.com/shamsolshomoos/status/1045441628113121286","1045441628113121286")</f>
        <v>1045441628113121286</v>
      </c>
      <c r="F407" s="4"/>
      <c r="G407" s="4"/>
      <c r="H407" s="4"/>
      <c r="I407" s="10" t="str">
        <f>HYPERLINK("http://twitter.com/download/android","Twitter for Android")</f>
        <v>Twitter for Android</v>
      </c>
      <c r="J407" s="2">
        <v>88</v>
      </c>
      <c r="K407" s="2">
        <v>49</v>
      </c>
      <c r="L407" s="2">
        <v>0</v>
      </c>
      <c r="M407" s="2"/>
      <c r="N407" s="8">
        <v>43051.993715277778</v>
      </c>
      <c r="O407" s="4"/>
      <c r="P407" s="3"/>
      <c r="Q407" s="4"/>
      <c r="R407" s="4"/>
      <c r="S407" s="2" t="s">
        <v>259</v>
      </c>
    </row>
    <row r="408" spans="1:19" ht="50">
      <c r="A408" s="8">
        <v>43371.086423611108</v>
      </c>
      <c r="B408" s="11" t="str">
        <f>HYPERLINK("https://twitter.com/shamsolshomoos","@shamsolshomoos")</f>
        <v>@shamsolshomoos</v>
      </c>
      <c r="C408" s="6" t="s">
        <v>7050</v>
      </c>
      <c r="D408" s="5" t="s">
        <v>7049</v>
      </c>
      <c r="E408" s="9" t="str">
        <f>HYPERLINK("https://twitter.com/shamsolshomoos/status/1045441567312564224","1045441567312564224")</f>
        <v>1045441567312564224</v>
      </c>
      <c r="F408" s="4"/>
      <c r="G408" s="4"/>
      <c r="H408" s="4"/>
      <c r="I408" s="10" t="str">
        <f>HYPERLINK("http://twitter.com/download/android","Twitter for Android")</f>
        <v>Twitter for Android</v>
      </c>
      <c r="J408" s="2">
        <v>88</v>
      </c>
      <c r="K408" s="2">
        <v>49</v>
      </c>
      <c r="L408" s="2">
        <v>0</v>
      </c>
      <c r="M408" s="2"/>
      <c r="N408" s="8">
        <v>43051.993715277778</v>
      </c>
      <c r="O408" s="4"/>
      <c r="P408" s="3"/>
      <c r="Q408" s="4"/>
      <c r="R408" s="4"/>
      <c r="S408" s="2" t="s">
        <v>259</v>
      </c>
    </row>
    <row r="409" spans="1:19" ht="20">
      <c r="A409" s="8">
        <v>43371.084537037037</v>
      </c>
      <c r="B409" s="11" t="str">
        <f>HYPERLINK("https://twitter.com/Alihalterism","@Alihalterism")</f>
        <v>@Alihalterism</v>
      </c>
      <c r="C409" s="6" t="s">
        <v>7048</v>
      </c>
      <c r="D409" s="5" t="s">
        <v>7047</v>
      </c>
      <c r="E409" s="9" t="str">
        <f>HYPERLINK("https://twitter.com/Alihalterism/status/1045440882542096384","1045440882542096384")</f>
        <v>1045440882542096384</v>
      </c>
      <c r="F409" s="4"/>
      <c r="G409" s="10" t="s">
        <v>7046</v>
      </c>
      <c r="H409" s="4"/>
      <c r="I409" s="10" t="str">
        <f>HYPERLINK("http://twitter.com/download/android","Twitter for Android")</f>
        <v>Twitter for Android</v>
      </c>
      <c r="J409" s="2">
        <v>30</v>
      </c>
      <c r="K409" s="2">
        <v>67</v>
      </c>
      <c r="L409" s="2">
        <v>0</v>
      </c>
      <c r="M409" s="2"/>
      <c r="N409" s="8">
        <v>41664.766053240739</v>
      </c>
      <c r="O409" s="4"/>
      <c r="P409" s="3" t="s">
        <v>7045</v>
      </c>
      <c r="Q409" s="4"/>
      <c r="R409" s="4"/>
      <c r="S409" s="9" t="str">
        <f>HYPERLINK("https://pbs.twimg.com/profile_images/858975372251193344/PSgEERlX.jpg","View")</f>
        <v>View</v>
      </c>
    </row>
    <row r="410" spans="1:19" ht="20">
      <c r="A410" s="8">
        <v>43371.076712962968</v>
      </c>
      <c r="B410" s="11" t="str">
        <f>HYPERLINK("https://twitter.com/mobin_bm","@mobin_bm")</f>
        <v>@mobin_bm</v>
      </c>
      <c r="C410" s="6" t="s">
        <v>7044</v>
      </c>
      <c r="D410" s="5" t="s">
        <v>7043</v>
      </c>
      <c r="E410" s="9" t="str">
        <f>HYPERLINK("https://twitter.com/mobin_bm/status/1045438049113571329","1045438049113571329")</f>
        <v>1045438049113571329</v>
      </c>
      <c r="F410" s="4"/>
      <c r="G410" s="4"/>
      <c r="H410" s="4"/>
      <c r="I410" s="10" t="str">
        <f>HYPERLINK("http://twitter.com/download/android","Twitter for Android")</f>
        <v>Twitter for Android</v>
      </c>
      <c r="J410" s="2">
        <v>38</v>
      </c>
      <c r="K410" s="2">
        <v>106</v>
      </c>
      <c r="L410" s="2">
        <v>0</v>
      </c>
      <c r="M410" s="2"/>
      <c r="N410" s="8">
        <v>42765.083750000005</v>
      </c>
      <c r="O410" s="4"/>
      <c r="P410" s="3"/>
      <c r="Q410" s="4"/>
      <c r="R410" s="4"/>
      <c r="S410" s="9" t="str">
        <f>HYPERLINK("https://pbs.twimg.com/profile_images/867767241198252032/8rVx0F-z.jpg","View")</f>
        <v>View</v>
      </c>
    </row>
    <row r="411" spans="1:19" ht="40">
      <c r="A411" s="8">
        <v>43371.075902777782</v>
      </c>
      <c r="B411" s="11" t="str">
        <f>HYPERLINK("https://twitter.com/gholamnejadm","@gholamnejadm")</f>
        <v>@gholamnejadm</v>
      </c>
      <c r="C411" s="6" t="s">
        <v>7042</v>
      </c>
      <c r="D411" s="5" t="s">
        <v>7041</v>
      </c>
      <c r="E411" s="9" t="str">
        <f>HYPERLINK("https://twitter.com/gholamnejadm/status/1045437752630808576","1045437752630808576")</f>
        <v>1045437752630808576</v>
      </c>
      <c r="F411" s="4"/>
      <c r="G411" s="4"/>
      <c r="H411" s="4"/>
      <c r="I411" s="10" t="str">
        <f>HYPERLINK("http://twitter.com/download/android","Twitter for Android")</f>
        <v>Twitter for Android</v>
      </c>
      <c r="J411" s="2">
        <v>43</v>
      </c>
      <c r="K411" s="2">
        <v>27</v>
      </c>
      <c r="L411" s="2">
        <v>0</v>
      </c>
      <c r="M411" s="2"/>
      <c r="N411" s="8">
        <v>42046.522256944445</v>
      </c>
      <c r="O411" s="4" t="s">
        <v>72</v>
      </c>
      <c r="P411" s="3" t="s">
        <v>7040</v>
      </c>
      <c r="Q411" s="4"/>
      <c r="R411" s="4"/>
      <c r="S411" s="9" t="str">
        <f>HYPERLINK("https://pbs.twimg.com/profile_images/1045442581608452101/n93l5tDU.jpg","View")</f>
        <v>View</v>
      </c>
    </row>
    <row r="412" spans="1:19" ht="40">
      <c r="A412" s="8">
        <v>43371.073657407411</v>
      </c>
      <c r="B412" s="11" t="str">
        <f>HYPERLINK("https://twitter.com/ShahinNahid","@ShahinNahid")</f>
        <v>@ShahinNahid</v>
      </c>
      <c r="C412" s="6" t="s">
        <v>7039</v>
      </c>
      <c r="D412" s="5" t="s">
        <v>7038</v>
      </c>
      <c r="E412" s="9" t="str">
        <f>HYPERLINK("https://twitter.com/ShahinNahid/status/1045436941519527936","1045436941519527936")</f>
        <v>1045436941519527936</v>
      </c>
      <c r="F412" s="4"/>
      <c r="G412" s="10" t="s">
        <v>7037</v>
      </c>
      <c r="H412" s="4"/>
      <c r="I412" s="10" t="str">
        <f>HYPERLINK("http://twitter.com/download/android","Twitter for Android")</f>
        <v>Twitter for Android</v>
      </c>
      <c r="J412" s="2">
        <v>1223</v>
      </c>
      <c r="K412" s="2">
        <v>1777</v>
      </c>
      <c r="L412" s="2">
        <v>1</v>
      </c>
      <c r="M412" s="2"/>
      <c r="N412" s="8">
        <v>41446.764062499999</v>
      </c>
      <c r="O412" s="4"/>
      <c r="P412" s="3"/>
      <c r="Q412" s="4"/>
      <c r="R412" s="4"/>
      <c r="S412" s="9" t="str">
        <f>HYPERLINK("https://pbs.twimg.com/profile_images/926253561033342981/iG3LY_A9.jpg","View")</f>
        <v>View</v>
      </c>
    </row>
    <row r="413" spans="1:19" ht="30">
      <c r="A413" s="8">
        <v>43371.073009259257</v>
      </c>
      <c r="B413" s="11" t="str">
        <f>HYPERLINK("https://twitter.com/Chand_leer","@Chand_leer")</f>
        <v>@Chand_leer</v>
      </c>
      <c r="C413" s="6" t="s">
        <v>7036</v>
      </c>
      <c r="D413" s="5" t="s">
        <v>7035</v>
      </c>
      <c r="E413" s="9" t="str">
        <f>HYPERLINK("https://twitter.com/Chand_leer/status/1045436707179548673","1045436707179548673")</f>
        <v>1045436707179548673</v>
      </c>
      <c r="F413" s="4"/>
      <c r="G413" s="4"/>
      <c r="H413" s="4"/>
      <c r="I413" s="10" t="str">
        <f>HYPERLINK("http://twitter.com","Twitter Web Client")</f>
        <v>Twitter Web Client</v>
      </c>
      <c r="J413" s="2">
        <v>681</v>
      </c>
      <c r="K413" s="2">
        <v>707</v>
      </c>
      <c r="L413" s="2">
        <v>2</v>
      </c>
      <c r="M413" s="2"/>
      <c r="N413" s="8">
        <v>43126.747662037036</v>
      </c>
      <c r="O413" s="4" t="s">
        <v>7034</v>
      </c>
      <c r="P413" s="3" t="s">
        <v>7033</v>
      </c>
      <c r="Q413" s="4"/>
      <c r="R413" s="4"/>
      <c r="S413" s="9" t="str">
        <f>HYPERLINK("https://pbs.twimg.com/profile_images/997131392843698176/Pa_mq9C0.jpg","View")</f>
        <v>View</v>
      </c>
    </row>
    <row r="414" spans="1:19" ht="20">
      <c r="A414" s="8">
        <v>43371.071608796294</v>
      </c>
      <c r="B414" s="11" t="str">
        <f>HYPERLINK("https://twitter.com/Hamid68Rz","@Hamid68Rz")</f>
        <v>@Hamid68Rz</v>
      </c>
      <c r="C414" s="6" t="s">
        <v>7032</v>
      </c>
      <c r="D414" s="5" t="s">
        <v>7031</v>
      </c>
      <c r="E414" s="9" t="str">
        <f>HYPERLINK("https://twitter.com/Hamid68Rz/status/1045436198104301569","1045436198104301569")</f>
        <v>1045436198104301569</v>
      </c>
      <c r="F414" s="4"/>
      <c r="G414" s="4"/>
      <c r="H414" s="4"/>
      <c r="I414" s="10" t="str">
        <f>HYPERLINK("https://mobile.twitter.com","Twitter Lite")</f>
        <v>Twitter Lite</v>
      </c>
      <c r="J414" s="2">
        <v>70</v>
      </c>
      <c r="K414" s="2">
        <v>207</v>
      </c>
      <c r="L414" s="2">
        <v>0</v>
      </c>
      <c r="M414" s="2"/>
      <c r="N414" s="8">
        <v>43252.149826388893</v>
      </c>
      <c r="O414" s="4"/>
      <c r="P414" s="3" t="s">
        <v>7030</v>
      </c>
      <c r="Q414" s="4"/>
      <c r="R414" s="4"/>
      <c r="S414" s="9" t="str">
        <f>HYPERLINK("https://pbs.twimg.com/profile_images/1002326830269980672/k0gzJ2A1.jpg","View")</f>
        <v>View</v>
      </c>
    </row>
    <row r="415" spans="1:19" ht="40">
      <c r="A415" s="8">
        <v>43371.071550925924</v>
      </c>
      <c r="B415" s="11" t="str">
        <f>HYPERLINK("https://twitter.com/bakhtiari_moh","@bakhtiari_moh")</f>
        <v>@bakhtiari_moh</v>
      </c>
      <c r="C415" s="6" t="s">
        <v>7029</v>
      </c>
      <c r="D415" s="5" t="s">
        <v>7028</v>
      </c>
      <c r="E415" s="9" t="str">
        <f>HYPERLINK("https://twitter.com/bakhtiari_moh/status/1045436177308938240","1045436177308938240")</f>
        <v>1045436177308938240</v>
      </c>
      <c r="F415" s="10" t="s">
        <v>5105</v>
      </c>
      <c r="G415" s="4"/>
      <c r="H415" s="4"/>
      <c r="I415" s="10" t="str">
        <f>HYPERLINK("http://twitter.com/download/iphone","Twitter for iPhone")</f>
        <v>Twitter for iPhone</v>
      </c>
      <c r="J415" s="2">
        <v>1228</v>
      </c>
      <c r="K415" s="2">
        <v>916</v>
      </c>
      <c r="L415" s="2">
        <v>2</v>
      </c>
      <c r="M415" s="2"/>
      <c r="N415" s="8">
        <v>40555.554814814815</v>
      </c>
      <c r="O415" s="4" t="s">
        <v>7027</v>
      </c>
      <c r="P415" s="3" t="s">
        <v>7026</v>
      </c>
      <c r="Q415" s="10" t="s">
        <v>7025</v>
      </c>
      <c r="R415" s="4"/>
      <c r="S415" s="9" t="str">
        <f>HYPERLINK("https://pbs.twimg.com/profile_images/934736301881950208/MXz9oOd1.jpg","View")</f>
        <v>View</v>
      </c>
    </row>
    <row r="416" spans="1:19" ht="80">
      <c r="A416" s="8">
        <v>43371.06695601852</v>
      </c>
      <c r="B416" s="11" t="str">
        <f>HYPERLINK("https://twitter.com/iran_sara","@iran_sara")</f>
        <v>@iran_sara</v>
      </c>
      <c r="C416" s="6" t="s">
        <v>6004</v>
      </c>
      <c r="D416" s="5" t="s">
        <v>7024</v>
      </c>
      <c r="E416" s="9" t="str">
        <f>HYPERLINK("https://twitter.com/iran_sara/status/1045434510790324225","1045434510790324225")</f>
        <v>1045434510790324225</v>
      </c>
      <c r="F416" s="10" t="s">
        <v>7023</v>
      </c>
      <c r="G416" s="10" t="s">
        <v>7022</v>
      </c>
      <c r="H416" s="4"/>
      <c r="I416" s="10" t="str">
        <f>HYPERLINK("http://twitter.com/download/android","Twitter for Android")</f>
        <v>Twitter for Android</v>
      </c>
      <c r="J416" s="2">
        <v>121</v>
      </c>
      <c r="K416" s="2">
        <v>180</v>
      </c>
      <c r="L416" s="2">
        <v>0</v>
      </c>
      <c r="M416" s="2"/>
      <c r="N416" s="8">
        <v>43317.675266203703</v>
      </c>
      <c r="O416" s="4" t="s">
        <v>673</v>
      </c>
      <c r="P416" s="3" t="s">
        <v>6002</v>
      </c>
      <c r="Q416" s="4"/>
      <c r="R416" s="4"/>
      <c r="S416" s="9" t="str">
        <f>HYPERLINK("https://pbs.twimg.com/profile_images/1026089989904453633/YQqd4yUV.jpg","View")</f>
        <v>View</v>
      </c>
    </row>
    <row r="417" spans="1:19" ht="12.5">
      <c r="A417" s="8">
        <v>43371.066516203704</v>
      </c>
      <c r="B417" s="11" t="str">
        <f>HYPERLINK("https://twitter.com/MLotfi_98","@MLotfi_98")</f>
        <v>@MLotfi_98</v>
      </c>
      <c r="C417" s="6" t="s">
        <v>1633</v>
      </c>
      <c r="D417" s="5" t="s">
        <v>7021</v>
      </c>
      <c r="E417" s="9" t="str">
        <f>HYPERLINK("https://twitter.com/MLotfi_98/status/1045434353801711616","1045434353801711616")</f>
        <v>1045434353801711616</v>
      </c>
      <c r="F417" s="4"/>
      <c r="G417" s="10" t="s">
        <v>7020</v>
      </c>
      <c r="H417" s="4"/>
      <c r="I417" s="10" t="str">
        <f>HYPERLINK("http://twitter.com","Twitter Web Client")</f>
        <v>Twitter Web Client</v>
      </c>
      <c r="J417" s="2">
        <v>20</v>
      </c>
      <c r="K417" s="2">
        <v>40</v>
      </c>
      <c r="L417" s="2">
        <v>0</v>
      </c>
      <c r="M417" s="2"/>
      <c r="N417" s="8">
        <v>43353.483946759261</v>
      </c>
      <c r="O417" s="4" t="s">
        <v>1630</v>
      </c>
      <c r="P417" s="3" t="s">
        <v>1629</v>
      </c>
      <c r="Q417" s="4"/>
      <c r="R417" s="4"/>
      <c r="S417" s="9" t="str">
        <f>HYPERLINK("https://pbs.twimg.com/profile_images/1039058062106144768/tlSAhpH2.jpg","View")</f>
        <v>View</v>
      </c>
    </row>
    <row r="418" spans="1:19" ht="30">
      <c r="A418" s="8">
        <v>43371.065810185188</v>
      </c>
      <c r="B418" s="11" t="str">
        <f>HYPERLINK("https://twitter.com/DalghakIrani","@DalghakIrani")</f>
        <v>@DalghakIrani</v>
      </c>
      <c r="C418" s="6" t="s">
        <v>3831</v>
      </c>
      <c r="D418" s="5" t="s">
        <v>7019</v>
      </c>
      <c r="E418" s="9" t="str">
        <f>HYPERLINK("https://twitter.com/DalghakIrani/status/1045434098624450561","1045434098624450561")</f>
        <v>1045434098624450561</v>
      </c>
      <c r="F418" s="4"/>
      <c r="G418" s="4"/>
      <c r="H418" s="4"/>
      <c r="I418" s="10" t="str">
        <f>HYPERLINK("http://twitter.com/download/iphone","Twitter for iPhone")</f>
        <v>Twitter for iPhone</v>
      </c>
      <c r="J418" s="2">
        <v>1069</v>
      </c>
      <c r="K418" s="2">
        <v>631</v>
      </c>
      <c r="L418" s="2">
        <v>5</v>
      </c>
      <c r="M418" s="2"/>
      <c r="N418" s="8">
        <v>41504.594212962962</v>
      </c>
      <c r="O418" s="4" t="s">
        <v>31</v>
      </c>
      <c r="P418" s="3" t="s">
        <v>3829</v>
      </c>
      <c r="Q418" s="10" t="s">
        <v>3828</v>
      </c>
      <c r="R418" s="4"/>
      <c r="S418" s="9" t="str">
        <f>HYPERLINK("https://pbs.twimg.com/profile_images/939146036798517248/f8s5BAPT.jpg","View")</f>
        <v>View</v>
      </c>
    </row>
    <row r="419" spans="1:19" ht="40">
      <c r="A419" s="8">
        <v>43371.063472222224</v>
      </c>
      <c r="B419" s="11" t="str">
        <f>HYPERLINK("https://twitter.com/wanderw55322681","@wanderw55322681")</f>
        <v>@wanderw55322681</v>
      </c>
      <c r="C419" s="6" t="s">
        <v>7018</v>
      </c>
      <c r="D419" s="5" t="s">
        <v>7017</v>
      </c>
      <c r="E419" s="9" t="str">
        <f>HYPERLINK("https://twitter.com/wanderw55322681/status/1045433249546276867","1045433249546276867")</f>
        <v>1045433249546276867</v>
      </c>
      <c r="F419" s="4"/>
      <c r="G419" s="10" t="s">
        <v>7016</v>
      </c>
      <c r="H419" s="4"/>
      <c r="I419" s="10" t="str">
        <f>HYPERLINK("http://twitter.com/download/android","Twitter for Android")</f>
        <v>Twitter for Android</v>
      </c>
      <c r="J419" s="2">
        <v>6</v>
      </c>
      <c r="K419" s="2">
        <v>4</v>
      </c>
      <c r="L419" s="2">
        <v>0</v>
      </c>
      <c r="M419" s="2"/>
      <c r="N419" s="8">
        <v>43360.671539351853</v>
      </c>
      <c r="O419" s="4"/>
      <c r="P419" s="3" t="s">
        <v>7015</v>
      </c>
      <c r="Q419" s="4"/>
      <c r="R419" s="4"/>
      <c r="S419" s="9" t="str">
        <f>HYPERLINK("https://pbs.twimg.com/profile_images/1041663243704561665/hC_x84Fd.jpg","View")</f>
        <v>View</v>
      </c>
    </row>
    <row r="420" spans="1:19" ht="40">
      <c r="A420" s="8">
        <v>43371.062638888892</v>
      </c>
      <c r="B420" s="11" t="str">
        <f>HYPERLINK("https://twitter.com/BestFarsi","@BestFarsi")</f>
        <v>@BestFarsi</v>
      </c>
      <c r="C420" s="6" t="s">
        <v>7014</v>
      </c>
      <c r="D420" s="5" t="s">
        <v>7013</v>
      </c>
      <c r="E420" s="9" t="str">
        <f>HYPERLINK("https://twitter.com/BestFarsi/status/1045432946440720387","1045432946440720387")</f>
        <v>1045432946440720387</v>
      </c>
      <c r="F420" s="4"/>
      <c r="G420" s="4"/>
      <c r="H420" s="4"/>
      <c r="I420" s="10" t="str">
        <f>HYPERLINK("https://bestfarsi.com","Best Farsi Project")</f>
        <v>Best Farsi Project</v>
      </c>
      <c r="J420" s="2">
        <v>8831</v>
      </c>
      <c r="K420" s="2">
        <v>1209</v>
      </c>
      <c r="L420" s="2">
        <v>52</v>
      </c>
      <c r="M420" s="2"/>
      <c r="N420" s="8">
        <v>42971.128634259258</v>
      </c>
      <c r="O420" s="4"/>
      <c r="P420" s="3" t="s">
        <v>7012</v>
      </c>
      <c r="Q420" s="10" t="s">
        <v>7011</v>
      </c>
      <c r="R420" s="4"/>
      <c r="S420" s="9" t="str">
        <f>HYPERLINK("https://pbs.twimg.com/profile_images/972998668302172160/19eihMHI.jpg","View")</f>
        <v>View</v>
      </c>
    </row>
    <row r="421" spans="1:19" ht="20">
      <c r="A421" s="8">
        <v>43371.060995370368</v>
      </c>
      <c r="B421" s="11" t="str">
        <f>HYPERLINK("https://twitter.com/HessamSa","@HessamSa")</f>
        <v>@HessamSa</v>
      </c>
      <c r="C421" s="6" t="s">
        <v>7010</v>
      </c>
      <c r="D421" s="5" t="s">
        <v>7009</v>
      </c>
      <c r="E421" s="9" t="str">
        <f>HYPERLINK("https://twitter.com/HessamSa/status/1045432351310770176","1045432351310770176")</f>
        <v>1045432351310770176</v>
      </c>
      <c r="F421" s="4"/>
      <c r="G421" s="4"/>
      <c r="H421" s="4"/>
      <c r="I421" s="10" t="str">
        <f>HYPERLINK("http://twitter.com/download/iphone","Twitter for iPhone")</f>
        <v>Twitter for iPhone</v>
      </c>
      <c r="J421" s="2">
        <v>211</v>
      </c>
      <c r="K421" s="2">
        <v>187</v>
      </c>
      <c r="L421" s="2">
        <v>2</v>
      </c>
      <c r="M421" s="2"/>
      <c r="N421" s="8">
        <v>41405.778599537036</v>
      </c>
      <c r="O421" s="4"/>
      <c r="P421" s="3" t="s">
        <v>7008</v>
      </c>
      <c r="Q421" s="4"/>
      <c r="R421" s="4"/>
      <c r="S421" s="9" t="str">
        <f>HYPERLINK("https://pbs.twimg.com/profile_images/929542877528682497/h4VSOzge.jpg","View")</f>
        <v>View</v>
      </c>
    </row>
    <row r="422" spans="1:19" ht="40">
      <c r="A422" s="8">
        <v>43371.058657407411</v>
      </c>
      <c r="B422" s="11" t="str">
        <f>HYPERLINK("https://twitter.com/armen7791","@armen7791")</f>
        <v>@armen7791</v>
      </c>
      <c r="C422" s="6" t="s">
        <v>7007</v>
      </c>
      <c r="D422" s="5" t="s">
        <v>7006</v>
      </c>
      <c r="E422" s="9" t="str">
        <f>HYPERLINK("https://twitter.com/armen7791/status/1045431503570837505","1045431503570837505")</f>
        <v>1045431503570837505</v>
      </c>
      <c r="F422" s="4"/>
      <c r="G422" s="10" t="s">
        <v>7005</v>
      </c>
      <c r="H422" s="4"/>
      <c r="I422" s="10" t="str">
        <f>HYPERLINK("http://twitter.com/download/android","Twitter for Android")</f>
        <v>Twitter for Android</v>
      </c>
      <c r="J422" s="2">
        <v>476</v>
      </c>
      <c r="K422" s="2">
        <v>361</v>
      </c>
      <c r="L422" s="2">
        <v>3</v>
      </c>
      <c r="M422" s="2"/>
      <c r="N422" s="8">
        <v>41090.832881944443</v>
      </c>
      <c r="O422" s="4"/>
      <c r="P422" s="3" t="s">
        <v>7004</v>
      </c>
      <c r="Q422" s="10" t="s">
        <v>209</v>
      </c>
      <c r="R422" s="4"/>
      <c r="S422" s="9" t="str">
        <f>HYPERLINK("https://pbs.twimg.com/profile_images/928247097429774336/LqRApycl.jpg","View")</f>
        <v>View</v>
      </c>
    </row>
    <row r="423" spans="1:19" ht="30">
      <c r="A423" s="8">
        <v>43371.058194444442</v>
      </c>
      <c r="B423" s="11" t="str">
        <f>HYPERLINK("https://twitter.com/mehdikia","@mehdikia")</f>
        <v>@mehdikia</v>
      </c>
      <c r="C423" s="6" t="s">
        <v>768</v>
      </c>
      <c r="D423" s="5" t="s">
        <v>7003</v>
      </c>
      <c r="E423" s="9" t="str">
        <f>HYPERLINK("https://twitter.com/mehdikia/status/1045431337711280130","1045431337711280130")</f>
        <v>1045431337711280130</v>
      </c>
      <c r="F423" s="4"/>
      <c r="G423" s="4"/>
      <c r="H423" s="4"/>
      <c r="I423" s="10" t="str">
        <f>HYPERLINK("http://twitter.com/download/android","Twitter for Android")</f>
        <v>Twitter for Android</v>
      </c>
      <c r="J423" s="2">
        <v>641</v>
      </c>
      <c r="K423" s="2">
        <v>922</v>
      </c>
      <c r="L423" s="2">
        <v>4</v>
      </c>
      <c r="M423" s="2"/>
      <c r="N423" s="8">
        <v>39686.530694444446</v>
      </c>
      <c r="O423" s="4" t="s">
        <v>62</v>
      </c>
      <c r="P423" s="3" t="s">
        <v>765</v>
      </c>
      <c r="Q423" s="4"/>
      <c r="R423" s="4"/>
      <c r="S423" s="9" t="str">
        <f>HYPERLINK("https://pbs.twimg.com/profile_images/1039287562211340288/cG7GSAOF.jpg","View")</f>
        <v>View</v>
      </c>
    </row>
    <row r="424" spans="1:19" ht="20">
      <c r="A424" s="8">
        <v>43371.057638888888</v>
      </c>
      <c r="B424" s="11" t="str">
        <f>HYPERLINK("https://twitter.com/hamed_sh80","@hamed_sh80")</f>
        <v>@hamed_sh80</v>
      </c>
      <c r="C424" s="6" t="s">
        <v>6111</v>
      </c>
      <c r="D424" s="5" t="s">
        <v>7002</v>
      </c>
      <c r="E424" s="9" t="str">
        <f>HYPERLINK("https://twitter.com/hamed_sh80/status/1045431134065184768","1045431134065184768")</f>
        <v>1045431134065184768</v>
      </c>
      <c r="F424" s="4"/>
      <c r="G424" s="10" t="s">
        <v>7001</v>
      </c>
      <c r="H424" s="4"/>
      <c r="I424" s="10" t="str">
        <f>HYPERLINK("http://twitter.com/download/android","Twitter for Android")</f>
        <v>Twitter for Android</v>
      </c>
      <c r="J424" s="2">
        <v>210</v>
      </c>
      <c r="K424" s="2">
        <v>168</v>
      </c>
      <c r="L424" s="2">
        <v>0</v>
      </c>
      <c r="M424" s="2"/>
      <c r="N424" s="8">
        <v>42644.394363425927</v>
      </c>
      <c r="O424" s="4"/>
      <c r="P424" s="3"/>
      <c r="Q424" s="10" t="s">
        <v>6107</v>
      </c>
      <c r="R424" s="4"/>
      <c r="S424" s="9" t="str">
        <f>HYPERLINK("https://pbs.twimg.com/profile_images/1045431782756114432/zYilwIJ9.jpg","View")</f>
        <v>View</v>
      </c>
    </row>
    <row r="425" spans="1:19" ht="30">
      <c r="A425" s="8">
        <v>43371.057592592595</v>
      </c>
      <c r="B425" s="11" t="str">
        <f>HYPERLINK("https://twitter.com/Beti535","@Beti535")</f>
        <v>@Beti535</v>
      </c>
      <c r="C425" s="6" t="s">
        <v>7000</v>
      </c>
      <c r="D425" s="5" t="s">
        <v>6999</v>
      </c>
      <c r="E425" s="9" t="str">
        <f>HYPERLINK("https://twitter.com/Beti535/status/1045431119376789509","1045431119376789509")</f>
        <v>1045431119376789509</v>
      </c>
      <c r="F425" s="4"/>
      <c r="G425" s="4"/>
      <c r="H425" s="4"/>
      <c r="I425" s="10" t="str">
        <f>HYPERLINK("http://twitter.com/download/iphone","Twitter for iPhone")</f>
        <v>Twitter for iPhone</v>
      </c>
      <c r="J425" s="2">
        <v>585</v>
      </c>
      <c r="K425" s="2">
        <v>581</v>
      </c>
      <c r="L425" s="2">
        <v>0</v>
      </c>
      <c r="M425" s="2"/>
      <c r="N425" s="8">
        <v>43301.071840277778</v>
      </c>
      <c r="O425" s="4" t="s">
        <v>10</v>
      </c>
      <c r="P425" s="3" t="s">
        <v>6998</v>
      </c>
      <c r="Q425" s="4"/>
      <c r="R425" s="4"/>
      <c r="S425" s="9" t="str">
        <f>HYPERLINK("https://pbs.twimg.com/profile_images/1028363160456228866/LV6f06Zu.jpg","View")</f>
        <v>View</v>
      </c>
    </row>
    <row r="426" spans="1:19" ht="20">
      <c r="A426" s="8">
        <v>43371.057233796295</v>
      </c>
      <c r="B426" s="11" t="str">
        <f>HYPERLINK("https://twitter.com/manofseven","@manofseven")</f>
        <v>@manofseven</v>
      </c>
      <c r="C426" s="6" t="s">
        <v>6997</v>
      </c>
      <c r="D426" s="5" t="s">
        <v>6996</v>
      </c>
      <c r="E426" s="9" t="str">
        <f>HYPERLINK("https://twitter.com/manofseven/status/1045430987121930240","1045430987121930240")</f>
        <v>1045430987121930240</v>
      </c>
      <c r="F426" s="4"/>
      <c r="G426" s="4"/>
      <c r="H426" s="4"/>
      <c r="I426" s="10" t="str">
        <f>HYPERLINK("http://twitter.com","Twitter Web Client")</f>
        <v>Twitter Web Client</v>
      </c>
      <c r="J426" s="2">
        <v>57</v>
      </c>
      <c r="K426" s="2">
        <v>200</v>
      </c>
      <c r="L426" s="2">
        <v>4</v>
      </c>
      <c r="M426" s="2"/>
      <c r="N426" s="8">
        <v>42673.081782407404</v>
      </c>
      <c r="O426" s="4" t="s">
        <v>6487</v>
      </c>
      <c r="P426" s="3" t="s">
        <v>6995</v>
      </c>
      <c r="Q426" s="4"/>
      <c r="R426" s="4"/>
      <c r="S426" s="9" t="str">
        <f>HYPERLINK("https://pbs.twimg.com/profile_images/792496974276726784/8paGRBId.jpg","View")</f>
        <v>View</v>
      </c>
    </row>
    <row r="427" spans="1:19" ht="12.5">
      <c r="A427" s="8">
        <v>43371.056979166664</v>
      </c>
      <c r="B427" s="11" t="str">
        <f>HYPERLINK("https://twitter.com/MpHossein","@MpHossein")</f>
        <v>@MpHossein</v>
      </c>
      <c r="C427" s="6" t="s">
        <v>6994</v>
      </c>
      <c r="D427" s="5" t="s">
        <v>6993</v>
      </c>
      <c r="E427" s="9" t="str">
        <f>HYPERLINK("https://twitter.com/MpHossein/status/1045430895560126465","1045430895560126465")</f>
        <v>1045430895560126465</v>
      </c>
      <c r="F427" s="4"/>
      <c r="G427" s="4"/>
      <c r="H427" s="4"/>
      <c r="I427" s="10" t="str">
        <f>HYPERLINK("http://twitter.com/download/iphone","Twitter for iPhone")</f>
        <v>Twitter for iPhone</v>
      </c>
      <c r="J427" s="2">
        <v>31</v>
      </c>
      <c r="K427" s="2">
        <v>69</v>
      </c>
      <c r="L427" s="2">
        <v>1</v>
      </c>
      <c r="M427" s="2"/>
      <c r="N427" s="8">
        <v>41800.093032407407</v>
      </c>
      <c r="O427" s="4"/>
      <c r="P427" s="3"/>
      <c r="Q427" s="4"/>
      <c r="R427" s="4"/>
      <c r="S427" s="9" t="str">
        <f>HYPERLINK("https://pbs.twimg.com/profile_images/999350500905574400/o1j7-nY1.jpg","View")</f>
        <v>View</v>
      </c>
    </row>
    <row r="428" spans="1:19" ht="40">
      <c r="A428" s="8">
        <v>43371.055625000001</v>
      </c>
      <c r="B428" s="11" t="str">
        <f>HYPERLINK("https://twitter.com/noore_khoda","@noore_khoda")</f>
        <v>@noore_khoda</v>
      </c>
      <c r="C428" s="6" t="s">
        <v>6834</v>
      </c>
      <c r="D428" s="5" t="s">
        <v>6992</v>
      </c>
      <c r="E428" s="9" t="str">
        <f>HYPERLINK("https://twitter.com/noore_khoda/status/1045430407532097536","1045430407532097536")</f>
        <v>1045430407532097536</v>
      </c>
      <c r="F428" s="10" t="s">
        <v>6832</v>
      </c>
      <c r="G428" s="10" t="s">
        <v>6991</v>
      </c>
      <c r="H428" s="4"/>
      <c r="I428" s="10" t="str">
        <f>HYPERLINK("http://twitter.com/download/android","Twitter for Android")</f>
        <v>Twitter for Android</v>
      </c>
      <c r="J428" s="2">
        <v>277</v>
      </c>
      <c r="K428" s="2">
        <v>269</v>
      </c>
      <c r="L428" s="2">
        <v>0</v>
      </c>
      <c r="M428" s="2"/>
      <c r="N428" s="8">
        <v>43115.377233796295</v>
      </c>
      <c r="O428" s="4"/>
      <c r="P428" s="3" t="s">
        <v>6830</v>
      </c>
      <c r="Q428" s="10" t="s">
        <v>6829</v>
      </c>
      <c r="R428" s="4"/>
      <c r="S428" s="9" t="str">
        <f>HYPERLINK("https://pbs.twimg.com/profile_images/952780904950362112/NFEC4_e6.jpg","View")</f>
        <v>View</v>
      </c>
    </row>
    <row r="429" spans="1:19" ht="30">
      <c r="A429" s="8">
        <v>43371.05537037037</v>
      </c>
      <c r="B429" s="11" t="str">
        <f>HYPERLINK("https://twitter.com/rmanouchehzadeh","@rmanouchehzadeh")</f>
        <v>@rmanouchehzadeh</v>
      </c>
      <c r="C429" s="6" t="s">
        <v>6990</v>
      </c>
      <c r="D429" s="5" t="s">
        <v>6989</v>
      </c>
      <c r="E429" s="9" t="str">
        <f>HYPERLINK("https://twitter.com/rmanouchehzadeh/status/1045430312845668352","1045430312845668352")</f>
        <v>1045430312845668352</v>
      </c>
      <c r="F429" s="4"/>
      <c r="G429" s="4"/>
      <c r="H429" s="4"/>
      <c r="I429" s="10" t="str">
        <f>HYPERLINK("http://twitter.com/download/iphone","Twitter for iPhone")</f>
        <v>Twitter for iPhone</v>
      </c>
      <c r="J429" s="2">
        <v>147</v>
      </c>
      <c r="K429" s="2">
        <v>82</v>
      </c>
      <c r="L429" s="2">
        <v>1</v>
      </c>
      <c r="M429" s="2"/>
      <c r="N429" s="8">
        <v>39993.741226851853</v>
      </c>
      <c r="O429" s="4" t="s">
        <v>10</v>
      </c>
      <c r="P429" s="3">
        <v>1980</v>
      </c>
      <c r="Q429" s="10" t="s">
        <v>6988</v>
      </c>
      <c r="R429" s="4"/>
      <c r="S429" s="9" t="str">
        <f>HYPERLINK("https://pbs.twimg.com/profile_images/1013533176596135937/dD36LsXo.jpg","View")</f>
        <v>View</v>
      </c>
    </row>
    <row r="430" spans="1:19" ht="20">
      <c r="A430" s="8">
        <v>43371.054872685185</v>
      </c>
      <c r="B430" s="11" t="str">
        <f>HYPERLINK("https://twitter.com/Farhad__Am","@Farhad__Am")</f>
        <v>@Farhad__Am</v>
      </c>
      <c r="C430" s="6" t="s">
        <v>6987</v>
      </c>
      <c r="D430" s="5" t="s">
        <v>6986</v>
      </c>
      <c r="E430" s="9" t="str">
        <f>HYPERLINK("https://twitter.com/Farhad__Am/status/1045430131857215488","1045430131857215488")</f>
        <v>1045430131857215488</v>
      </c>
      <c r="F430" s="4"/>
      <c r="G430" s="4"/>
      <c r="H430" s="4"/>
      <c r="I430" s="10" t="str">
        <f>HYPERLINK("http://twitter.com/#!/download/ipad","Twitter for iPad")</f>
        <v>Twitter for iPad</v>
      </c>
      <c r="J430" s="2">
        <v>311</v>
      </c>
      <c r="K430" s="2">
        <v>371</v>
      </c>
      <c r="L430" s="2">
        <v>1</v>
      </c>
      <c r="M430" s="2"/>
      <c r="N430" s="8">
        <v>42831.892280092594</v>
      </c>
      <c r="O430" s="4" t="s">
        <v>72</v>
      </c>
      <c r="P430" s="3" t="s">
        <v>6985</v>
      </c>
      <c r="Q430" s="4"/>
      <c r="R430" s="4"/>
      <c r="S430" s="9" t="str">
        <f>HYPERLINK("https://pbs.twimg.com/profile_images/976583894333100032/Wsq5Myeg.jpg","View")</f>
        <v>View</v>
      </c>
    </row>
    <row r="431" spans="1:19" ht="40">
      <c r="A431" s="8">
        <v>43371.054479166662</v>
      </c>
      <c r="B431" s="11" t="str">
        <f>HYPERLINK("https://twitter.com/noore_khoda","@noore_khoda")</f>
        <v>@noore_khoda</v>
      </c>
      <c r="C431" s="6" t="s">
        <v>6834</v>
      </c>
      <c r="D431" s="5" t="s">
        <v>6984</v>
      </c>
      <c r="E431" s="9" t="str">
        <f>HYPERLINK("https://twitter.com/noore_khoda/status/1045429989863297024","1045429989863297024")</f>
        <v>1045429989863297024</v>
      </c>
      <c r="F431" s="10" t="s">
        <v>6832</v>
      </c>
      <c r="G431" s="10" t="s">
        <v>6983</v>
      </c>
      <c r="H431" s="4"/>
      <c r="I431" s="10" t="str">
        <f>HYPERLINK("http://twitter.com/download/android","Twitter for Android")</f>
        <v>Twitter for Android</v>
      </c>
      <c r="J431" s="2">
        <v>278</v>
      </c>
      <c r="K431" s="2">
        <v>269</v>
      </c>
      <c r="L431" s="2">
        <v>0</v>
      </c>
      <c r="M431" s="2"/>
      <c r="N431" s="8">
        <v>43115.377233796295</v>
      </c>
      <c r="O431" s="4"/>
      <c r="P431" s="3" t="s">
        <v>6830</v>
      </c>
      <c r="Q431" s="10" t="s">
        <v>6829</v>
      </c>
      <c r="R431" s="4"/>
      <c r="S431" s="9" t="str">
        <f>HYPERLINK("https://pbs.twimg.com/profile_images/952780904950362112/NFEC4_e6.jpg","View")</f>
        <v>View</v>
      </c>
    </row>
    <row r="432" spans="1:19" ht="40">
      <c r="A432" s="8">
        <v>43371.054409722223</v>
      </c>
      <c r="B432" s="11" t="str">
        <f>HYPERLINK("https://twitter.com/mojtabakhademi9","@mojtabakhademi9")</f>
        <v>@mojtabakhademi9</v>
      </c>
      <c r="C432" s="6" t="s">
        <v>6982</v>
      </c>
      <c r="D432" s="5" t="s">
        <v>6981</v>
      </c>
      <c r="E432" s="9" t="str">
        <f>HYPERLINK("https://twitter.com/mojtabakhademi9/status/1045429966018695168","1045429966018695168")</f>
        <v>1045429966018695168</v>
      </c>
      <c r="F432" s="4"/>
      <c r="G432" s="4"/>
      <c r="H432" s="4"/>
      <c r="I432" s="10" t="str">
        <f>HYPERLINK("http://twitter.com/download/android","Twitter for Android")</f>
        <v>Twitter for Android</v>
      </c>
      <c r="J432" s="2">
        <v>17</v>
      </c>
      <c r="K432" s="2">
        <v>57</v>
      </c>
      <c r="L432" s="2">
        <v>0</v>
      </c>
      <c r="M432" s="2"/>
      <c r="N432" s="8">
        <v>41854.461898148147</v>
      </c>
      <c r="O432" s="4"/>
      <c r="P432" s="3"/>
      <c r="Q432" s="4"/>
      <c r="R432" s="4"/>
      <c r="S432" s="9" t="str">
        <f>HYPERLINK("https://pbs.twimg.com/profile_images/1031779599024357376/-9dXQ8mK.jpg","View")</f>
        <v>View</v>
      </c>
    </row>
    <row r="433" spans="1:19" ht="40">
      <c r="A433" s="8">
        <v>43371.053576388891</v>
      </c>
      <c r="B433" s="11" t="str">
        <f>HYPERLINK("https://twitter.com/freedom92979546","@freedom92979546")</f>
        <v>@freedom92979546</v>
      </c>
      <c r="C433" s="6" t="s">
        <v>6254</v>
      </c>
      <c r="D433" s="5" t="s">
        <v>6980</v>
      </c>
      <c r="E433" s="9" t="str">
        <f>HYPERLINK("https://twitter.com/freedom92979546/status/1045429662569172992","1045429662569172992")</f>
        <v>1045429662569172992</v>
      </c>
      <c r="F433" s="4"/>
      <c r="G433" s="10" t="s">
        <v>6979</v>
      </c>
      <c r="H433" s="4"/>
      <c r="I433" s="10" t="str">
        <f>HYPERLINK("http://twitter.com/download/iphone","Twitter for iPhone")</f>
        <v>Twitter for iPhone</v>
      </c>
      <c r="J433" s="2">
        <v>1324</v>
      </c>
      <c r="K433" s="2">
        <v>1572</v>
      </c>
      <c r="L433" s="2">
        <v>1</v>
      </c>
      <c r="M433" s="2"/>
      <c r="N433" s="8">
        <v>43151.590254629627</v>
      </c>
      <c r="O433" s="4"/>
      <c r="P433" s="3" t="s">
        <v>6252</v>
      </c>
      <c r="Q433" s="4"/>
      <c r="R433" s="4"/>
      <c r="S433" s="9" t="str">
        <f>HYPERLINK("https://pbs.twimg.com/profile_images/1001690335955881986/HX_rNsDf.jpg","View")</f>
        <v>View</v>
      </c>
    </row>
    <row r="434" spans="1:19" ht="12.5">
      <c r="A434" s="8">
        <v>43371.053032407406</v>
      </c>
      <c r="B434" s="11" t="str">
        <f>HYPERLINK("https://twitter.com/Baker_street22B","@Baker_street22B")</f>
        <v>@Baker_street22B</v>
      </c>
      <c r="C434" s="6" t="s">
        <v>6932</v>
      </c>
      <c r="D434" s="5" t="s">
        <v>6978</v>
      </c>
      <c r="E434" s="9" t="str">
        <f>HYPERLINK("https://twitter.com/Baker_street22B/status/1045429467827589121","1045429467827589121")</f>
        <v>1045429467827589121</v>
      </c>
      <c r="F434" s="4"/>
      <c r="G434" s="4"/>
      <c r="H434" s="4"/>
      <c r="I434" s="10" t="str">
        <f>HYPERLINK("http://twitter.com/download/android","Twitter for Android")</f>
        <v>Twitter for Android</v>
      </c>
      <c r="J434" s="2">
        <v>1188</v>
      </c>
      <c r="K434" s="2">
        <v>1106</v>
      </c>
      <c r="L434" s="2">
        <v>1</v>
      </c>
      <c r="M434" s="2"/>
      <c r="N434" s="8">
        <v>42964.610601851848</v>
      </c>
      <c r="O434" s="4"/>
      <c r="P434" s="3" t="s">
        <v>6930</v>
      </c>
      <c r="Q434" s="4"/>
      <c r="R434" s="4"/>
      <c r="S434" s="9" t="str">
        <f>HYPERLINK("https://pbs.twimg.com/profile_images/975669912298577920/rLBahMWs.jpg","View")</f>
        <v>View</v>
      </c>
    </row>
    <row r="435" spans="1:19" ht="40">
      <c r="A435" s="8">
        <v>43371.052986111114</v>
      </c>
      <c r="B435" s="11" t="str">
        <f>HYPERLINK("https://twitter.com/omidparsa1","@omidparsa1")</f>
        <v>@omidparsa1</v>
      </c>
      <c r="C435" s="6" t="s">
        <v>2406</v>
      </c>
      <c r="D435" s="5" t="s">
        <v>6977</v>
      </c>
      <c r="E435" s="9" t="str">
        <f>HYPERLINK("https://twitter.com/omidparsa1/status/1045429450542845954","1045429450542845954")</f>
        <v>1045429450542845954</v>
      </c>
      <c r="F435" s="4"/>
      <c r="G435" s="10" t="s">
        <v>6976</v>
      </c>
      <c r="H435" s="4"/>
      <c r="I435" s="10" t="str">
        <f>HYPERLINK("http://twitter.com/download/iphone","Twitter for iPhone")</f>
        <v>Twitter for iPhone</v>
      </c>
      <c r="J435" s="2">
        <v>395</v>
      </c>
      <c r="K435" s="2">
        <v>285</v>
      </c>
      <c r="L435" s="2">
        <v>1</v>
      </c>
      <c r="M435" s="2"/>
      <c r="N435" s="8">
        <v>40868.718692129631</v>
      </c>
      <c r="O435" s="4" t="s">
        <v>2403</v>
      </c>
      <c r="P435" s="3" t="s">
        <v>2402</v>
      </c>
      <c r="Q435" s="4"/>
      <c r="R435" s="4"/>
      <c r="S435" s="9" t="str">
        <f>HYPERLINK("https://pbs.twimg.com/profile_images/1043362983177609216/VUnPiQNb.jpg","View")</f>
        <v>View</v>
      </c>
    </row>
    <row r="436" spans="1:19" ht="12.5">
      <c r="A436" s="8">
        <v>43371.052766203706</v>
      </c>
      <c r="B436" s="11" t="str">
        <f>HYPERLINK("https://twitter.com/Amin_Burek","@Amin_Burek")</f>
        <v>@Amin_Burek</v>
      </c>
      <c r="C436" s="6" t="s">
        <v>6975</v>
      </c>
      <c r="D436" s="5" t="s">
        <v>6974</v>
      </c>
      <c r="E436" s="9" t="str">
        <f>HYPERLINK("https://twitter.com/Amin_Burek/status/1045429368280023040","1045429368280023040")</f>
        <v>1045429368280023040</v>
      </c>
      <c r="F436" s="4"/>
      <c r="G436" s="10" t="s">
        <v>6973</v>
      </c>
      <c r="H436" s="4"/>
      <c r="I436" s="10" t="str">
        <f>HYPERLINK("http://twitter.com/download/android","Twitter for Android")</f>
        <v>Twitter for Android</v>
      </c>
      <c r="J436" s="2">
        <v>205</v>
      </c>
      <c r="K436" s="2">
        <v>181</v>
      </c>
      <c r="L436" s="2">
        <v>0</v>
      </c>
      <c r="M436" s="2"/>
      <c r="N436" s="8">
        <v>41883.076203703706</v>
      </c>
      <c r="O436" s="4" t="s">
        <v>6972</v>
      </c>
      <c r="P436" s="3" t="s">
        <v>6971</v>
      </c>
      <c r="Q436" s="10" t="s">
        <v>6970</v>
      </c>
      <c r="R436" s="4"/>
      <c r="S436" s="9" t="str">
        <f>HYPERLINK("https://pbs.twimg.com/profile_images/1045055427426299905/dt5tbQEp.jpg","View")</f>
        <v>View</v>
      </c>
    </row>
    <row r="437" spans="1:19" ht="50">
      <c r="A437" s="8">
        <v>43371.052164351851</v>
      </c>
      <c r="B437" s="11" t="str">
        <f>HYPERLINK("https://twitter.com/yamohamad13","@yamohamad13")</f>
        <v>@yamohamad13</v>
      </c>
      <c r="C437" s="6" t="s">
        <v>6967</v>
      </c>
      <c r="D437" s="5" t="s">
        <v>6969</v>
      </c>
      <c r="E437" s="9" t="str">
        <f>HYPERLINK("https://twitter.com/yamohamad13/status/1045429152764108800","1045429152764108800")</f>
        <v>1045429152764108800</v>
      </c>
      <c r="F437" s="4"/>
      <c r="G437" s="4"/>
      <c r="H437" s="4"/>
      <c r="I437" s="10" t="str">
        <f>HYPERLINK("http://twitter.com/download/android","Twitter for Android")</f>
        <v>Twitter for Android</v>
      </c>
      <c r="J437" s="2">
        <v>30</v>
      </c>
      <c r="K437" s="2">
        <v>60</v>
      </c>
      <c r="L437" s="2">
        <v>0</v>
      </c>
      <c r="M437" s="2"/>
      <c r="N437" s="8">
        <v>43350.773981481485</v>
      </c>
      <c r="O437" s="4"/>
      <c r="P437" s="3" t="s">
        <v>6965</v>
      </c>
      <c r="Q437" s="4"/>
      <c r="R437" s="4"/>
      <c r="S437" s="9" t="str">
        <f>HYPERLINK("https://pbs.twimg.com/profile_images/1038168543563526152/cINUYTRV.jpg","View")</f>
        <v>View</v>
      </c>
    </row>
    <row r="438" spans="1:19" ht="50">
      <c r="A438" s="8">
        <v>43371.051817129628</v>
      </c>
      <c r="B438" s="11" t="str">
        <f>HYPERLINK("https://twitter.com/yamohamad13","@yamohamad13")</f>
        <v>@yamohamad13</v>
      </c>
      <c r="C438" s="6" t="s">
        <v>6967</v>
      </c>
      <c r="D438" s="5" t="s">
        <v>6968</v>
      </c>
      <c r="E438" s="9" t="str">
        <f>HYPERLINK("https://twitter.com/yamohamad13/status/1045429025659920385","1045429025659920385")</f>
        <v>1045429025659920385</v>
      </c>
      <c r="F438" s="4"/>
      <c r="G438" s="4"/>
      <c r="H438" s="4"/>
      <c r="I438" s="10" t="str">
        <f>HYPERLINK("http://twitter.com/download/android","Twitter for Android")</f>
        <v>Twitter for Android</v>
      </c>
      <c r="J438" s="2">
        <v>30</v>
      </c>
      <c r="K438" s="2">
        <v>60</v>
      </c>
      <c r="L438" s="2">
        <v>0</v>
      </c>
      <c r="M438" s="2"/>
      <c r="N438" s="8">
        <v>43350.773981481485</v>
      </c>
      <c r="O438" s="4"/>
      <c r="P438" s="3" t="s">
        <v>6965</v>
      </c>
      <c r="Q438" s="4"/>
      <c r="R438" s="4"/>
      <c r="S438" s="9" t="str">
        <f>HYPERLINK("https://pbs.twimg.com/profile_images/1038168543563526152/cINUYTRV.jpg","View")</f>
        <v>View</v>
      </c>
    </row>
    <row r="439" spans="1:19" ht="50">
      <c r="A439" s="8">
        <v>43371.051585648151</v>
      </c>
      <c r="B439" s="11" t="str">
        <f>HYPERLINK("https://twitter.com/yamohamad13","@yamohamad13")</f>
        <v>@yamohamad13</v>
      </c>
      <c r="C439" s="6" t="s">
        <v>6967</v>
      </c>
      <c r="D439" s="5" t="s">
        <v>6966</v>
      </c>
      <c r="E439" s="9" t="str">
        <f>HYPERLINK("https://twitter.com/yamohamad13/status/1045428941681545216","1045428941681545216")</f>
        <v>1045428941681545216</v>
      </c>
      <c r="F439" s="4"/>
      <c r="G439" s="4"/>
      <c r="H439" s="4"/>
      <c r="I439" s="10" t="str">
        <f>HYPERLINK("http://twitter.com/download/android","Twitter for Android")</f>
        <v>Twitter for Android</v>
      </c>
      <c r="J439" s="2">
        <v>30</v>
      </c>
      <c r="K439" s="2">
        <v>60</v>
      </c>
      <c r="L439" s="2">
        <v>0</v>
      </c>
      <c r="M439" s="2"/>
      <c r="N439" s="8">
        <v>43350.773981481485</v>
      </c>
      <c r="O439" s="4"/>
      <c r="P439" s="3" t="s">
        <v>6965</v>
      </c>
      <c r="Q439" s="4"/>
      <c r="R439" s="4"/>
      <c r="S439" s="9" t="str">
        <f>HYPERLINK("https://pbs.twimg.com/profile_images/1038168543563526152/cINUYTRV.jpg","View")</f>
        <v>View</v>
      </c>
    </row>
    <row r="440" spans="1:19" ht="50">
      <c r="A440" s="8">
        <v>43371.051365740743</v>
      </c>
      <c r="B440" s="11" t="str">
        <f>HYPERLINK("https://twitter.com/yamohamad13","@yamohamad13")</f>
        <v>@yamohamad13</v>
      </c>
      <c r="C440" s="6" t="s">
        <v>6967</v>
      </c>
      <c r="D440" s="5" t="s">
        <v>6966</v>
      </c>
      <c r="E440" s="9" t="str">
        <f>HYPERLINK("https://twitter.com/yamohamad13/status/1045428862811811841","1045428862811811841")</f>
        <v>1045428862811811841</v>
      </c>
      <c r="F440" s="4"/>
      <c r="G440" s="4"/>
      <c r="H440" s="4"/>
      <c r="I440" s="10" t="str">
        <f>HYPERLINK("http://twitter.com/download/android","Twitter for Android")</f>
        <v>Twitter for Android</v>
      </c>
      <c r="J440" s="2">
        <v>30</v>
      </c>
      <c r="K440" s="2">
        <v>60</v>
      </c>
      <c r="L440" s="2">
        <v>0</v>
      </c>
      <c r="M440" s="2"/>
      <c r="N440" s="8">
        <v>43350.773981481485</v>
      </c>
      <c r="O440" s="4"/>
      <c r="P440" s="3" t="s">
        <v>6965</v>
      </c>
      <c r="Q440" s="4"/>
      <c r="R440" s="4"/>
      <c r="S440" s="9" t="str">
        <f>HYPERLINK("https://pbs.twimg.com/profile_images/1038168543563526152/cINUYTRV.jpg","View")</f>
        <v>View</v>
      </c>
    </row>
    <row r="441" spans="1:19" ht="40">
      <c r="A441" s="8">
        <v>43371.051296296297</v>
      </c>
      <c r="B441" s="11" t="str">
        <f>HYPERLINK("https://twitter.com/Hamed_khalili8","@Hamed_khalili8")</f>
        <v>@Hamed_khalili8</v>
      </c>
      <c r="C441" s="6" t="s">
        <v>6964</v>
      </c>
      <c r="D441" s="5" t="s">
        <v>6963</v>
      </c>
      <c r="E441" s="9" t="str">
        <f>HYPERLINK("https://twitter.com/Hamed_khalili8/status/1045428837792849920","1045428837792849920")</f>
        <v>1045428837792849920</v>
      </c>
      <c r="F441" s="4"/>
      <c r="G441" s="4"/>
      <c r="H441" s="4"/>
      <c r="I441" s="10" t="str">
        <f>HYPERLINK("http://twitter.com/download/android","Twitter for Android")</f>
        <v>Twitter for Android</v>
      </c>
      <c r="J441" s="2">
        <v>25</v>
      </c>
      <c r="K441" s="2">
        <v>26</v>
      </c>
      <c r="L441" s="2">
        <v>0</v>
      </c>
      <c r="M441" s="2"/>
      <c r="N441" s="8">
        <v>43222.696909722217</v>
      </c>
      <c r="O441" s="4" t="s">
        <v>10</v>
      </c>
      <c r="P441" s="3" t="s">
        <v>6962</v>
      </c>
      <c r="Q441" s="4"/>
      <c r="R441" s="4"/>
      <c r="S441" s="9" t="str">
        <f>HYPERLINK("https://pbs.twimg.com/profile_images/991692370524688384/I67PM_cW.jpg","View")</f>
        <v>View</v>
      </c>
    </row>
    <row r="442" spans="1:19" ht="30">
      <c r="A442" s="8">
        <v>43371.051226851851</v>
      </c>
      <c r="B442" s="11" t="str">
        <f>HYPERLINK("https://twitter.com/504d0cada516462","@504d0cada516462")</f>
        <v>@504d0cada516462</v>
      </c>
      <c r="C442" s="6" t="s">
        <v>6961</v>
      </c>
      <c r="D442" s="5" t="s">
        <v>6960</v>
      </c>
      <c r="E442" s="9" t="str">
        <f>HYPERLINK("https://twitter.com/504d0cada516462/status/1045428813289713664","1045428813289713664")</f>
        <v>1045428813289713664</v>
      </c>
      <c r="F442" s="4"/>
      <c r="G442" s="4"/>
      <c r="H442" s="4"/>
      <c r="I442" s="10" t="str">
        <f>HYPERLINK("http://twitter.com/download/android","Twitter for Android")</f>
        <v>Twitter for Android</v>
      </c>
      <c r="J442" s="2">
        <v>612</v>
      </c>
      <c r="K442" s="2">
        <v>1167</v>
      </c>
      <c r="L442" s="2">
        <v>0</v>
      </c>
      <c r="M442" s="2"/>
      <c r="N442" s="8">
        <v>41955.853773148148</v>
      </c>
      <c r="O442" s="4" t="s">
        <v>6959</v>
      </c>
      <c r="P442" s="3" t="s">
        <v>6958</v>
      </c>
      <c r="Q442" s="10" t="s">
        <v>6957</v>
      </c>
      <c r="R442" s="4"/>
      <c r="S442" s="9" t="str">
        <f>HYPERLINK("https://pbs.twimg.com/profile_images/1030291811720486912/w2e5vHIJ.jpg","View")</f>
        <v>View</v>
      </c>
    </row>
    <row r="443" spans="1:19" ht="30">
      <c r="A443" s="8">
        <v>43371.048356481479</v>
      </c>
      <c r="B443" s="11" t="str">
        <f>HYPERLINK("https://twitter.com/alitasnim2020","@alitasnim2020")</f>
        <v>@alitasnim2020</v>
      </c>
      <c r="C443" s="6" t="s">
        <v>6956</v>
      </c>
      <c r="D443" s="5" t="s">
        <v>6955</v>
      </c>
      <c r="E443" s="9" t="str">
        <f>HYPERLINK("https://twitter.com/alitasnim2020/status/1045427772829515776","1045427772829515776")</f>
        <v>1045427772829515776</v>
      </c>
      <c r="F443" s="4"/>
      <c r="G443" s="10" t="s">
        <v>6954</v>
      </c>
      <c r="H443" s="4"/>
      <c r="I443" s="10" t="str">
        <f>HYPERLINK("http://twitter.com","Twitter Web Client")</f>
        <v>Twitter Web Client</v>
      </c>
      <c r="J443" s="2">
        <v>4104</v>
      </c>
      <c r="K443" s="2">
        <v>5004</v>
      </c>
      <c r="L443" s="2">
        <v>7</v>
      </c>
      <c r="M443" s="2"/>
      <c r="N443" s="8">
        <v>42886.889664351853</v>
      </c>
      <c r="O443" s="4" t="s">
        <v>648</v>
      </c>
      <c r="P443" s="3" t="s">
        <v>6953</v>
      </c>
      <c r="Q443" s="4"/>
      <c r="R443" s="4"/>
      <c r="S443" s="9" t="str">
        <f>HYPERLINK("https://pbs.twimg.com/profile_images/1039793454321229826/sh_QlveV.jpg","View")</f>
        <v>View</v>
      </c>
    </row>
    <row r="444" spans="1:19" ht="20">
      <c r="A444" s="8">
        <v>43371.046712962961</v>
      </c>
      <c r="B444" s="11" t="str">
        <f>HYPERLINK("https://twitter.com/AmirReza_Mzi","@AmirReza_Mzi")</f>
        <v>@AmirReza_Mzi</v>
      </c>
      <c r="C444" s="6" t="s">
        <v>6952</v>
      </c>
      <c r="D444" s="5" t="s">
        <v>6951</v>
      </c>
      <c r="E444" s="9" t="str">
        <f>HYPERLINK("https://twitter.com/AmirReza_Mzi/status/1045427175309086722","1045427175309086722")</f>
        <v>1045427175309086722</v>
      </c>
      <c r="F444" s="4"/>
      <c r="G444" s="4"/>
      <c r="H444" s="4"/>
      <c r="I444" s="10" t="str">
        <f>HYPERLINK("http://twitter.com/download/android","Twitter for Android")</f>
        <v>Twitter for Android</v>
      </c>
      <c r="J444" s="2">
        <v>8</v>
      </c>
      <c r="K444" s="2">
        <v>29</v>
      </c>
      <c r="L444" s="2">
        <v>0</v>
      </c>
      <c r="M444" s="2"/>
      <c r="N444" s="8">
        <v>41525.87804398148</v>
      </c>
      <c r="O444" s="4" t="s">
        <v>10</v>
      </c>
      <c r="P444" s="3" t="s">
        <v>6950</v>
      </c>
      <c r="Q444" s="4"/>
      <c r="R444" s="4"/>
      <c r="S444" s="9" t="str">
        <f>HYPERLINK("https://pbs.twimg.com/profile_images/805506602786816004/BnXEG_Vo.jpg","View")</f>
        <v>View</v>
      </c>
    </row>
    <row r="445" spans="1:19" ht="40">
      <c r="A445" s="8">
        <v>43371.045381944445</v>
      </c>
      <c r="B445" s="11" t="str">
        <f>HYPERLINK("https://twitter.com/omid_seyfi","@omid_seyfi")</f>
        <v>@omid_seyfi</v>
      </c>
      <c r="C445" s="6" t="s">
        <v>6949</v>
      </c>
      <c r="D445" s="5" t="s">
        <v>6948</v>
      </c>
      <c r="E445" s="9" t="str">
        <f>HYPERLINK("https://twitter.com/omid_seyfi/status/1045426695686279169","1045426695686279169")</f>
        <v>1045426695686279169</v>
      </c>
      <c r="F445" s="4"/>
      <c r="G445" s="10" t="s">
        <v>6947</v>
      </c>
      <c r="H445" s="4"/>
      <c r="I445" s="10" t="str">
        <f>HYPERLINK("https://mobile.twitter.com","Twitter Lite")</f>
        <v>Twitter Lite</v>
      </c>
      <c r="J445" s="2">
        <v>12</v>
      </c>
      <c r="K445" s="2">
        <v>27</v>
      </c>
      <c r="L445" s="2">
        <v>0</v>
      </c>
      <c r="M445" s="2"/>
      <c r="N445" s="8">
        <v>42504.976388888885</v>
      </c>
      <c r="O445" s="4" t="s">
        <v>72</v>
      </c>
      <c r="P445" s="3" t="s">
        <v>4068</v>
      </c>
      <c r="Q445" s="4"/>
      <c r="R445" s="4"/>
      <c r="S445" s="9" t="str">
        <f>HYPERLINK("https://pbs.twimg.com/profile_images/1045417787634651137/hzIzGEoh.jpg","View")</f>
        <v>View</v>
      </c>
    </row>
    <row r="446" spans="1:19" ht="40">
      <c r="A446" s="8">
        <v>43371.044131944444</v>
      </c>
      <c r="B446" s="11" t="str">
        <f>HYPERLINK("https://twitter.com/ArtLover1367","@ArtLover1367")</f>
        <v>@ArtLover1367</v>
      </c>
      <c r="C446" s="6" t="s">
        <v>1660</v>
      </c>
      <c r="D446" s="5" t="s">
        <v>6946</v>
      </c>
      <c r="E446" s="9" t="str">
        <f>HYPERLINK("https://twitter.com/ArtLover1367/status/1045426240579137536","1045426240579137536")</f>
        <v>1045426240579137536</v>
      </c>
      <c r="F446" s="4"/>
      <c r="G446" s="4"/>
      <c r="H446" s="4"/>
      <c r="I446" s="10" t="str">
        <f>HYPERLINK("http://twitter.com","Twitter Web Client")</f>
        <v>Twitter Web Client</v>
      </c>
      <c r="J446" s="2">
        <v>2998</v>
      </c>
      <c r="K446" s="2">
        <v>656</v>
      </c>
      <c r="L446" s="2">
        <v>17</v>
      </c>
      <c r="M446" s="2"/>
      <c r="N446" s="8">
        <v>42573.976516203707</v>
      </c>
      <c r="O446" s="4"/>
      <c r="P446" s="3" t="s">
        <v>1658</v>
      </c>
      <c r="Q446" s="4"/>
      <c r="R446" s="4"/>
      <c r="S446" s="9" t="str">
        <f>HYPERLINK("https://pbs.twimg.com/profile_images/1042732563138314240/wqRPjiv7.jpg","View")</f>
        <v>View</v>
      </c>
    </row>
    <row r="447" spans="1:19" ht="40">
      <c r="A447" s="8">
        <v>43371.043703703705</v>
      </c>
      <c r="B447" s="11" t="str">
        <f>HYPERLINK("https://twitter.com/farzam_ma","@farzam_ma")</f>
        <v>@farzam_ma</v>
      </c>
      <c r="C447" s="6" t="s">
        <v>6945</v>
      </c>
      <c r="D447" s="5" t="s">
        <v>6944</v>
      </c>
      <c r="E447" s="9" t="str">
        <f>HYPERLINK("https://twitter.com/farzam_ma/status/1045426085301809152","1045426085301809152")</f>
        <v>1045426085301809152</v>
      </c>
      <c r="F447" s="4"/>
      <c r="G447" s="4"/>
      <c r="H447" s="4"/>
      <c r="I447" s="10" t="str">
        <f>HYPERLINK("http://twitter.com/download/iphone","Twitter for iPhone")</f>
        <v>Twitter for iPhone</v>
      </c>
      <c r="J447" s="2">
        <v>147</v>
      </c>
      <c r="K447" s="2">
        <v>65</v>
      </c>
      <c r="L447" s="2">
        <v>0</v>
      </c>
      <c r="M447" s="2"/>
      <c r="N447" s="8">
        <v>43292.704050925924</v>
      </c>
      <c r="O447" s="4" t="s">
        <v>254</v>
      </c>
      <c r="P447" s="3" t="s">
        <v>6943</v>
      </c>
      <c r="Q447" s="4"/>
      <c r="R447" s="4"/>
      <c r="S447" s="9" t="str">
        <f>HYPERLINK("https://pbs.twimg.com/profile_images/1017390089792577536/P5DqOqsM.jpg","View")</f>
        <v>View</v>
      </c>
    </row>
    <row r="448" spans="1:19" ht="20">
      <c r="A448" s="8">
        <v>43371.043402777781</v>
      </c>
      <c r="B448" s="11" t="str">
        <f>HYPERLINK("https://twitter.com/Niiiiiiishhh","@Niiiiiiishhh")</f>
        <v>@Niiiiiiishhh</v>
      </c>
      <c r="C448" s="6" t="s">
        <v>1020</v>
      </c>
      <c r="D448" s="5" t="s">
        <v>6942</v>
      </c>
      <c r="E448" s="9" t="str">
        <f>HYPERLINK("https://twitter.com/Niiiiiiishhh/status/1045425977034248194","1045425977034248194")</f>
        <v>1045425977034248194</v>
      </c>
      <c r="F448" s="4"/>
      <c r="G448" s="4"/>
      <c r="H448" s="4"/>
      <c r="I448" s="10" t="str">
        <f>HYPERLINK("http://twitter.com/download/android","Twitter for Android")</f>
        <v>Twitter for Android</v>
      </c>
      <c r="J448" s="2">
        <v>6675</v>
      </c>
      <c r="K448" s="2">
        <v>6164</v>
      </c>
      <c r="L448" s="2">
        <v>10</v>
      </c>
      <c r="M448" s="2"/>
      <c r="N448" s="8">
        <v>42258.061249999999</v>
      </c>
      <c r="O448" s="4" t="s">
        <v>1019</v>
      </c>
      <c r="P448" s="3" t="s">
        <v>1018</v>
      </c>
      <c r="Q448" s="4"/>
      <c r="R448" s="4"/>
      <c r="S448" s="9" t="str">
        <f>HYPERLINK("https://pbs.twimg.com/profile_images/973300232124420096/QQ57rT9p.jpg","View")</f>
        <v>View</v>
      </c>
    </row>
    <row r="449" spans="1:19" ht="40">
      <c r="A449" s="8">
        <v>43371.042997685188</v>
      </c>
      <c r="B449" s="11" t="str">
        <f>HYPERLINK("https://twitter.com/iran_sara","@iran_sara")</f>
        <v>@iran_sara</v>
      </c>
      <c r="C449" s="6" t="s">
        <v>6004</v>
      </c>
      <c r="D449" s="5" t="s">
        <v>6941</v>
      </c>
      <c r="E449" s="9" t="str">
        <f>HYPERLINK("https://twitter.com/iran_sara/status/1045425829252132864","1045425829252132864")</f>
        <v>1045425829252132864</v>
      </c>
      <c r="F449" s="4"/>
      <c r="G449" s="4"/>
      <c r="H449" s="4"/>
      <c r="I449" s="10" t="str">
        <f>HYPERLINK("http://twitter.com/download/android","Twitter for Android")</f>
        <v>Twitter for Android</v>
      </c>
      <c r="J449" s="2">
        <v>120</v>
      </c>
      <c r="K449" s="2">
        <v>179</v>
      </c>
      <c r="L449" s="2">
        <v>0</v>
      </c>
      <c r="M449" s="2"/>
      <c r="N449" s="8">
        <v>43317.675266203703</v>
      </c>
      <c r="O449" s="4" t="s">
        <v>673</v>
      </c>
      <c r="P449" s="3" t="s">
        <v>6002</v>
      </c>
      <c r="Q449" s="4"/>
      <c r="R449" s="4"/>
      <c r="S449" s="9" t="str">
        <f>HYPERLINK("https://pbs.twimg.com/profile_images/1026089989904453633/YQqd4yUV.jpg","View")</f>
        <v>View</v>
      </c>
    </row>
    <row r="450" spans="1:19" ht="40">
      <c r="A450" s="8">
        <v>43371.041863425926</v>
      </c>
      <c r="B450" s="11" t="str">
        <f>HYPERLINK("https://twitter.com/littlemarat","@littlemarat")</f>
        <v>@littlemarat</v>
      </c>
      <c r="C450" s="6" t="s">
        <v>6940</v>
      </c>
      <c r="D450" s="5" t="s">
        <v>6939</v>
      </c>
      <c r="E450" s="9" t="str">
        <f>HYPERLINK("https://twitter.com/littlemarat/status/1045425417564377089","1045425417564377089")</f>
        <v>1045425417564377089</v>
      </c>
      <c r="F450" s="4"/>
      <c r="G450" s="10" t="s">
        <v>6938</v>
      </c>
      <c r="H450" s="4"/>
      <c r="I450" s="10" t="str">
        <f>HYPERLINK("http://twitter.com/download/android","Twitter for Android")</f>
        <v>Twitter for Android</v>
      </c>
      <c r="J450" s="2">
        <v>43</v>
      </c>
      <c r="K450" s="2">
        <v>158</v>
      </c>
      <c r="L450" s="2">
        <v>0</v>
      </c>
      <c r="M450" s="2"/>
      <c r="N450" s="8">
        <v>42864.153773148151</v>
      </c>
      <c r="O450" s="4"/>
      <c r="P450" s="3" t="s">
        <v>6937</v>
      </c>
      <c r="Q450" s="4"/>
      <c r="R450" s="4"/>
      <c r="S450" s="9" t="str">
        <f>HYPERLINK("https://pbs.twimg.com/profile_images/1043442145796005890/FnIe0d6b.jpg","View")</f>
        <v>View</v>
      </c>
    </row>
    <row r="451" spans="1:19" ht="20">
      <c r="A451" s="8">
        <v>43371.041550925926</v>
      </c>
      <c r="B451" s="11" t="str">
        <f>HYPERLINK("https://twitter.com/shahriyar_bayat","@shahriyar_bayat")</f>
        <v>@shahriyar_bayat</v>
      </c>
      <c r="C451" s="6" t="s">
        <v>6936</v>
      </c>
      <c r="D451" s="5" t="s">
        <v>6935</v>
      </c>
      <c r="E451" s="9" t="str">
        <f>HYPERLINK("https://twitter.com/shahriyar_bayat/status/1045425303835869184","1045425303835869184")</f>
        <v>1045425303835869184</v>
      </c>
      <c r="F451" s="4"/>
      <c r="G451" s="4"/>
      <c r="H451" s="4"/>
      <c r="I451" s="10" t="str">
        <f>HYPERLINK("http://twitter.com/download/android","Twitter for Android")</f>
        <v>Twitter for Android</v>
      </c>
      <c r="J451" s="2">
        <v>131</v>
      </c>
      <c r="K451" s="2">
        <v>449</v>
      </c>
      <c r="L451" s="2">
        <v>0</v>
      </c>
      <c r="M451" s="2"/>
      <c r="N451" s="8">
        <v>42744.309201388889</v>
      </c>
      <c r="O451" s="4"/>
      <c r="P451" s="3" t="s">
        <v>6934</v>
      </c>
      <c r="Q451" s="10" t="s">
        <v>6933</v>
      </c>
      <c r="R451" s="4"/>
      <c r="S451" s="9" t="str">
        <f>HYPERLINK("https://pbs.twimg.com/profile_images/1038759337810911232/zdahl0i1.jpg","View")</f>
        <v>View</v>
      </c>
    </row>
    <row r="452" spans="1:19" ht="12.5">
      <c r="A452" s="8">
        <v>43371.040648148148</v>
      </c>
      <c r="B452" s="11" t="str">
        <f>HYPERLINK("https://twitter.com/Baker_street22B","@Baker_street22B")</f>
        <v>@Baker_street22B</v>
      </c>
      <c r="C452" s="6" t="s">
        <v>6932</v>
      </c>
      <c r="D452" s="5" t="s">
        <v>6931</v>
      </c>
      <c r="E452" s="9" t="str">
        <f>HYPERLINK("https://twitter.com/Baker_street22B/status/1045424979830083586","1045424979830083586")</f>
        <v>1045424979830083586</v>
      </c>
      <c r="F452" s="4"/>
      <c r="G452" s="4"/>
      <c r="H452" s="4"/>
      <c r="I452" s="10" t="str">
        <f>HYPERLINK("http://twitter.com/download/android","Twitter for Android")</f>
        <v>Twitter for Android</v>
      </c>
      <c r="J452" s="2">
        <v>1188</v>
      </c>
      <c r="K452" s="2">
        <v>1106</v>
      </c>
      <c r="L452" s="2">
        <v>1</v>
      </c>
      <c r="M452" s="2"/>
      <c r="N452" s="8">
        <v>42964.610601851848</v>
      </c>
      <c r="O452" s="4"/>
      <c r="P452" s="3" t="s">
        <v>6930</v>
      </c>
      <c r="Q452" s="4"/>
      <c r="R452" s="4"/>
      <c r="S452" s="9" t="str">
        <f>HYPERLINK("https://pbs.twimg.com/profile_images/975669912298577920/rLBahMWs.jpg","View")</f>
        <v>View</v>
      </c>
    </row>
    <row r="453" spans="1:19" ht="12.5">
      <c r="A453" s="8">
        <v>43371.039560185185</v>
      </c>
      <c r="B453" s="11" t="str">
        <f>HYPERLINK("https://twitter.com/mortezaa_m","@mortezaa_m")</f>
        <v>@mortezaa_m</v>
      </c>
      <c r="C453" s="6" t="s">
        <v>6929</v>
      </c>
      <c r="D453" s="5" t="s">
        <v>6928</v>
      </c>
      <c r="E453" s="9" t="str">
        <f>HYPERLINK("https://twitter.com/mortezaa_m/status/1045424582419779589","1045424582419779589")</f>
        <v>1045424582419779589</v>
      </c>
      <c r="F453" s="4"/>
      <c r="G453" s="4"/>
      <c r="H453" s="4"/>
      <c r="I453" s="10" t="str">
        <f>HYPERLINK("http://twitter.com/#!/download/ipad","Twitter for iPad")</f>
        <v>Twitter for iPad</v>
      </c>
      <c r="J453" s="2">
        <v>1066</v>
      </c>
      <c r="K453" s="2">
        <v>902</v>
      </c>
      <c r="L453" s="2">
        <v>7</v>
      </c>
      <c r="M453" s="2"/>
      <c r="N453" s="8">
        <v>40007.004386574074</v>
      </c>
      <c r="O453" s="4" t="s">
        <v>72</v>
      </c>
      <c r="P453" s="3" t="s">
        <v>6927</v>
      </c>
      <c r="Q453" s="4"/>
      <c r="R453" s="4"/>
      <c r="S453" s="9" t="str">
        <f>HYPERLINK("https://pbs.twimg.com/profile_images/1043375975982084097/OILAHNFq.jpg","View")</f>
        <v>View</v>
      </c>
    </row>
    <row r="454" spans="1:19" ht="30">
      <c r="A454" s="8">
        <v>43371.038275462968</v>
      </c>
      <c r="B454" s="11" t="str">
        <f>HYPERLINK("https://twitter.com/ManMeysam","@ManMeysam")</f>
        <v>@ManMeysam</v>
      </c>
      <c r="C454" s="6" t="s">
        <v>472</v>
      </c>
      <c r="D454" s="5" t="s">
        <v>6926</v>
      </c>
      <c r="E454" s="9" t="str">
        <f>HYPERLINK("https://twitter.com/ManMeysam/status/1045424120379461633","1045424120379461633")</f>
        <v>1045424120379461633</v>
      </c>
      <c r="F454" s="4"/>
      <c r="G454" s="4"/>
      <c r="H454" s="4"/>
      <c r="I454" s="10" t="str">
        <f>HYPERLINK("http://twitter.com/download/android","Twitter for Android")</f>
        <v>Twitter for Android</v>
      </c>
      <c r="J454" s="2">
        <v>739</v>
      </c>
      <c r="K454" s="2">
        <v>90</v>
      </c>
      <c r="L454" s="2">
        <v>2</v>
      </c>
      <c r="M454" s="2"/>
      <c r="N454" s="8">
        <v>43080.934756944444</v>
      </c>
      <c r="O454" s="4"/>
      <c r="P454" s="3" t="s">
        <v>470</v>
      </c>
      <c r="Q454" s="4"/>
      <c r="R454" s="4"/>
      <c r="S454" s="9" t="str">
        <f>HYPERLINK("https://pbs.twimg.com/profile_images/990240817024589824/h1PmTrjf.jpg","View")</f>
        <v>View</v>
      </c>
    </row>
    <row r="455" spans="1:19" ht="12.5">
      <c r="A455" s="8">
        <v>43371.037048611106</v>
      </c>
      <c r="B455" s="11" t="str">
        <f>HYPERLINK("https://twitter.com/maryam777ram","@maryam777ram")</f>
        <v>@maryam777ram</v>
      </c>
      <c r="C455" s="6" t="s">
        <v>6866</v>
      </c>
      <c r="D455" s="5" t="s">
        <v>6925</v>
      </c>
      <c r="E455" s="9" t="str">
        <f>HYPERLINK("https://twitter.com/maryam777ram/status/1045423675565125634","1045423675565125634")</f>
        <v>1045423675565125634</v>
      </c>
      <c r="F455" s="4"/>
      <c r="G455" s="4"/>
      <c r="H455" s="4"/>
      <c r="I455" s="10" t="str">
        <f>HYPERLINK("http://twitter.com/download/iphone","Twitter for iPhone")</f>
        <v>Twitter for iPhone</v>
      </c>
      <c r="J455" s="2">
        <v>417</v>
      </c>
      <c r="K455" s="2">
        <v>467</v>
      </c>
      <c r="L455" s="2">
        <v>0</v>
      </c>
      <c r="M455" s="2"/>
      <c r="N455" s="8">
        <v>41236.521215277782</v>
      </c>
      <c r="O455" s="4" t="s">
        <v>6864</v>
      </c>
      <c r="P455" s="3" t="s">
        <v>6863</v>
      </c>
      <c r="Q455" s="4"/>
      <c r="R455" s="4"/>
      <c r="S455" s="9" t="str">
        <f>HYPERLINK("https://pbs.twimg.com/profile_images/1044007055596695553/R4sPBDG0.jpg","View")</f>
        <v>View</v>
      </c>
    </row>
    <row r="456" spans="1:19" ht="40">
      <c r="A456" s="8">
        <v>43371.035231481481</v>
      </c>
      <c r="B456" s="11" t="str">
        <f>HYPERLINK("https://twitter.com/vahidac3131","@vahidac3131")</f>
        <v>@vahidac3131</v>
      </c>
      <c r="C456" s="6" t="s">
        <v>6924</v>
      </c>
      <c r="D456" s="5" t="s">
        <v>6923</v>
      </c>
      <c r="E456" s="9" t="str">
        <f>HYPERLINK("https://twitter.com/vahidac3131/status/1045423016711245825","1045423016711245825")</f>
        <v>1045423016711245825</v>
      </c>
      <c r="F456" s="4"/>
      <c r="G456" s="4"/>
      <c r="H456" s="4"/>
      <c r="I456" s="10" t="str">
        <f>HYPERLINK("http://twitter.com/download/android","Twitter for Android")</f>
        <v>Twitter for Android</v>
      </c>
      <c r="J456" s="2">
        <v>30</v>
      </c>
      <c r="K456" s="2">
        <v>109</v>
      </c>
      <c r="L456" s="2">
        <v>0</v>
      </c>
      <c r="M456" s="2"/>
      <c r="N456" s="8">
        <v>43356.31449074074</v>
      </c>
      <c r="O456" s="4"/>
      <c r="P456" s="3" t="s">
        <v>6922</v>
      </c>
      <c r="Q456" s="4"/>
      <c r="R456" s="4"/>
      <c r="S456" s="9" t="str">
        <f>HYPERLINK("https://pbs.twimg.com/profile_images/1040578630999527424/mUu2DzSy.jpg","View")</f>
        <v>View</v>
      </c>
    </row>
    <row r="457" spans="1:19" ht="30">
      <c r="A457" s="8">
        <v>43371.03502314815</v>
      </c>
      <c r="B457" s="11" t="str">
        <f>HYPERLINK("https://twitter.com/payfara","@payfara")</f>
        <v>@payfara</v>
      </c>
      <c r="C457" s="6" t="s">
        <v>6921</v>
      </c>
      <c r="D457" s="5" t="s">
        <v>6920</v>
      </c>
      <c r="E457" s="9" t="str">
        <f>HYPERLINK("https://twitter.com/payfara/status/1045422941188567041","1045422941188567041")</f>
        <v>1045422941188567041</v>
      </c>
      <c r="F457" s="4"/>
      <c r="G457" s="10" t="s">
        <v>6919</v>
      </c>
      <c r="H457" s="4"/>
      <c r="I457" s="10" t="str">
        <f>HYPERLINK("http://twitter.com/download/android","Twitter for Android")</f>
        <v>Twitter for Android</v>
      </c>
      <c r="J457" s="2">
        <v>17</v>
      </c>
      <c r="K457" s="2">
        <v>139</v>
      </c>
      <c r="L457" s="2">
        <v>0</v>
      </c>
      <c r="M457" s="2"/>
      <c r="N457" s="8">
        <v>41559.564606481479</v>
      </c>
      <c r="O457" s="4" t="s">
        <v>200</v>
      </c>
      <c r="P457" s="3" t="s">
        <v>6918</v>
      </c>
      <c r="Q457" s="10" t="s">
        <v>6917</v>
      </c>
      <c r="R457" s="4"/>
      <c r="S457" s="9" t="str">
        <f>HYPERLINK("https://pbs.twimg.com/profile_images/731516432442392576/paNwTTYt.jpg","View")</f>
        <v>View</v>
      </c>
    </row>
    <row r="458" spans="1:19" ht="20">
      <c r="A458" s="8">
        <v>43371.03496527778</v>
      </c>
      <c r="B458" s="11" t="str">
        <f>HYPERLINK("https://twitter.com/re_lo86","@re_lo86")</f>
        <v>@re_lo86</v>
      </c>
      <c r="C458" s="6" t="s">
        <v>6916</v>
      </c>
      <c r="D458" s="5" t="s">
        <v>6915</v>
      </c>
      <c r="E458" s="9" t="str">
        <f>HYPERLINK("https://twitter.com/re_lo86/status/1045422917704720384","1045422917704720384")</f>
        <v>1045422917704720384</v>
      </c>
      <c r="F458" s="4"/>
      <c r="G458" s="4"/>
      <c r="H458" s="4"/>
      <c r="I458" s="10" t="str">
        <f>HYPERLINK("http://twitter.com/download/android","Twitter for Android")</f>
        <v>Twitter for Android</v>
      </c>
      <c r="J458" s="2">
        <v>9243</v>
      </c>
      <c r="K458" s="2">
        <v>5716</v>
      </c>
      <c r="L458" s="2">
        <v>9</v>
      </c>
      <c r="M458" s="2"/>
      <c r="N458" s="8">
        <v>42673.670347222222</v>
      </c>
      <c r="O458" s="4" t="s">
        <v>6914</v>
      </c>
      <c r="P458" s="3" t="s">
        <v>6913</v>
      </c>
      <c r="Q458" s="4"/>
      <c r="R458" s="4"/>
      <c r="S458" s="9" t="str">
        <f>HYPERLINK("https://pbs.twimg.com/profile_images/1040167603057119232/s6xin_Tz.jpg","View")</f>
        <v>View</v>
      </c>
    </row>
    <row r="459" spans="1:19" ht="20">
      <c r="A459" s="8">
        <v>43371.034768518519</v>
      </c>
      <c r="B459" s="11" t="str">
        <f>HYPERLINK("https://twitter.com/MMasoodi1","@MMasoodi1")</f>
        <v>@MMasoodi1</v>
      </c>
      <c r="C459" s="6" t="s">
        <v>6912</v>
      </c>
      <c r="D459" s="5" t="s">
        <v>6911</v>
      </c>
      <c r="E459" s="9" t="str">
        <f>HYPERLINK("https://twitter.com/MMasoodi1/status/1045422847869554689","1045422847869554689")</f>
        <v>1045422847869554689</v>
      </c>
      <c r="F459" s="4"/>
      <c r="G459" s="10" t="s">
        <v>6910</v>
      </c>
      <c r="H459" s="4"/>
      <c r="I459" s="10" t="str">
        <f>HYPERLINK("http://twitter.com","Twitter Web Client")</f>
        <v>Twitter Web Client</v>
      </c>
      <c r="J459" s="2">
        <v>253</v>
      </c>
      <c r="K459" s="2">
        <v>262</v>
      </c>
      <c r="L459" s="2">
        <v>0</v>
      </c>
      <c r="M459" s="2"/>
      <c r="N459" s="8">
        <v>43305.619224537033</v>
      </c>
      <c r="O459" s="4" t="s">
        <v>200</v>
      </c>
      <c r="P459" s="3"/>
      <c r="Q459" s="4"/>
      <c r="R459" s="4"/>
      <c r="S459" s="9" t="str">
        <f>HYPERLINK("https://pbs.twimg.com/profile_images/1021705431754960897/IkBHQizK.jpg","View")</f>
        <v>View</v>
      </c>
    </row>
    <row r="460" spans="1:19" ht="12.5">
      <c r="A460" s="8">
        <v>43371.034629629634</v>
      </c>
      <c r="B460" s="11" t="str">
        <f>HYPERLINK("https://twitter.com/omidperfume","@omidperfume")</f>
        <v>@omidperfume</v>
      </c>
      <c r="C460" s="6" t="s">
        <v>6909</v>
      </c>
      <c r="D460" s="5" t="s">
        <v>6908</v>
      </c>
      <c r="E460" s="9" t="str">
        <f>HYPERLINK("https://twitter.com/omidperfume/status/1045422796837277696","1045422796837277696")</f>
        <v>1045422796837277696</v>
      </c>
      <c r="F460" s="4"/>
      <c r="G460" s="4"/>
      <c r="H460" s="4"/>
      <c r="I460" s="10" t="str">
        <f>HYPERLINK("http://twitter.com/download/iphone","Twitter for iPhone")</f>
        <v>Twitter for iPhone</v>
      </c>
      <c r="J460" s="2">
        <v>58</v>
      </c>
      <c r="K460" s="2">
        <v>321</v>
      </c>
      <c r="L460" s="2">
        <v>0</v>
      </c>
      <c r="M460" s="2"/>
      <c r="N460" s="8">
        <v>41736.079039351855</v>
      </c>
      <c r="O460" s="4" t="s">
        <v>72</v>
      </c>
      <c r="P460" s="3"/>
      <c r="Q460" s="4"/>
      <c r="R460" s="4"/>
      <c r="S460" s="9" t="str">
        <f>HYPERLINK("https://pbs.twimg.com/profile_images/878312013415493632/XlbaUkmb.jpg","View")</f>
        <v>View</v>
      </c>
    </row>
    <row r="461" spans="1:19" ht="12.5">
      <c r="A461" s="8">
        <v>43371.033460648148</v>
      </c>
      <c r="B461" s="11" t="str">
        <f>HYPERLINK("https://twitter.com/ZarAndish","@ZarAndish")</f>
        <v>@ZarAndish</v>
      </c>
      <c r="C461" s="6" t="s">
        <v>6907</v>
      </c>
      <c r="D461" s="5" t="s">
        <v>6906</v>
      </c>
      <c r="E461" s="9" t="str">
        <f>HYPERLINK("https://twitter.com/ZarAndish/status/1045422375087603724","1045422375087603724")</f>
        <v>1045422375087603724</v>
      </c>
      <c r="F461" s="4"/>
      <c r="G461" s="4"/>
      <c r="H461" s="4"/>
      <c r="I461" s="10" t="str">
        <f>HYPERLINK("http://twitter.com/download/android","Twitter for Android")</f>
        <v>Twitter for Android</v>
      </c>
      <c r="J461" s="2">
        <v>553</v>
      </c>
      <c r="K461" s="2">
        <v>570</v>
      </c>
      <c r="L461" s="2">
        <v>3</v>
      </c>
      <c r="M461" s="2"/>
      <c r="N461" s="8">
        <v>42861.14565972222</v>
      </c>
      <c r="O461" s="4" t="s">
        <v>6905</v>
      </c>
      <c r="P461" s="3" t="s">
        <v>6904</v>
      </c>
      <c r="Q461" s="4"/>
      <c r="R461" s="4"/>
      <c r="S461" s="9" t="str">
        <f>HYPERLINK("https://pbs.twimg.com/profile_images/1007054878861033472/I1IEQhS9.jpg","View")</f>
        <v>View</v>
      </c>
    </row>
    <row r="462" spans="1:19" ht="20">
      <c r="A462" s="8">
        <v>43371.032546296294</v>
      </c>
      <c r="B462" s="11" t="str">
        <f>HYPERLINK("https://twitter.com/monica_geller_b","@monica_geller_b")</f>
        <v>@monica_geller_b</v>
      </c>
      <c r="C462" s="6" t="s">
        <v>6903</v>
      </c>
      <c r="D462" s="5" t="s">
        <v>6902</v>
      </c>
      <c r="E462" s="9" t="str">
        <f>HYPERLINK("https://twitter.com/monica_geller_b/status/1045422043469164544","1045422043469164544")</f>
        <v>1045422043469164544</v>
      </c>
      <c r="F462" s="4"/>
      <c r="G462" s="4"/>
      <c r="H462" s="4"/>
      <c r="I462" s="10" t="str">
        <f>HYPERLINK("http://twitter.com/download/iphone","Twitter for iPhone")</f>
        <v>Twitter for iPhone</v>
      </c>
      <c r="J462" s="2">
        <v>295</v>
      </c>
      <c r="K462" s="2">
        <v>175</v>
      </c>
      <c r="L462" s="2">
        <v>0</v>
      </c>
      <c r="M462" s="2"/>
      <c r="N462" s="8">
        <v>43209.078055555554</v>
      </c>
      <c r="O462" s="4" t="s">
        <v>6901</v>
      </c>
      <c r="P462" s="3" t="s">
        <v>6900</v>
      </c>
      <c r="Q462" s="10" t="s">
        <v>6899</v>
      </c>
      <c r="R462" s="4"/>
      <c r="S462" s="9" t="str">
        <f>HYPERLINK("https://pbs.twimg.com/profile_images/1042423463821144065/PUvjTi9b.jpg","View")</f>
        <v>View</v>
      </c>
    </row>
    <row r="463" spans="1:19" ht="12.5">
      <c r="A463" s="8">
        <v>43371.032048611116</v>
      </c>
      <c r="B463" s="11" t="str">
        <f>HYPERLINK("https://twitter.com/RezaeianRamin","@RezaeianRamin")</f>
        <v>@RezaeianRamin</v>
      </c>
      <c r="C463" s="6" t="s">
        <v>217</v>
      </c>
      <c r="D463" s="5" t="s">
        <v>6898</v>
      </c>
      <c r="E463" s="9" t="str">
        <f>HYPERLINK("https://twitter.com/RezaeianRamin/status/1045421862111653888","1045421862111653888")</f>
        <v>1045421862111653888</v>
      </c>
      <c r="F463" s="4"/>
      <c r="G463" s="10" t="s">
        <v>6897</v>
      </c>
      <c r="H463" s="4"/>
      <c r="I463" s="10" t="str">
        <f>HYPERLINK("http://twitter.com/download/android","Twitter for Android")</f>
        <v>Twitter for Android</v>
      </c>
      <c r="J463" s="2">
        <v>1638</v>
      </c>
      <c r="K463" s="2">
        <v>5</v>
      </c>
      <c r="L463" s="2">
        <v>14</v>
      </c>
      <c r="M463" s="2"/>
      <c r="N463" s="8">
        <v>42621.878194444449</v>
      </c>
      <c r="O463" s="4" t="s">
        <v>214</v>
      </c>
      <c r="P463" s="3" t="s">
        <v>213</v>
      </c>
      <c r="Q463" s="4"/>
      <c r="R463" s="4"/>
      <c r="S463" s="9" t="str">
        <f>HYPERLINK("https://pbs.twimg.com/profile_images/1011317707487305728/a3EX8bf2.jpg","View")</f>
        <v>View</v>
      </c>
    </row>
    <row r="464" spans="1:19" ht="30">
      <c r="A464" s="8">
        <v>43371.031805555554</v>
      </c>
      <c r="B464" s="11" t="str">
        <f>HYPERLINK("https://twitter.com/MaKhFi65","@MaKhFi65")</f>
        <v>@MaKhFi65</v>
      </c>
      <c r="C464" s="6" t="s">
        <v>6896</v>
      </c>
      <c r="D464" s="5" t="s">
        <v>6895</v>
      </c>
      <c r="E464" s="9" t="str">
        <f>HYPERLINK("https://twitter.com/MaKhFi65/status/1045421774983303169","1045421774983303169")</f>
        <v>1045421774983303169</v>
      </c>
      <c r="F464" s="4"/>
      <c r="G464" s="4"/>
      <c r="H464" s="4"/>
      <c r="I464" s="10" t="str">
        <f>HYPERLINK("http://twitter.com/download/iphone","Twitter for iPhone")</f>
        <v>Twitter for iPhone</v>
      </c>
      <c r="J464" s="2">
        <v>348</v>
      </c>
      <c r="K464" s="2">
        <v>198</v>
      </c>
      <c r="L464" s="2">
        <v>3</v>
      </c>
      <c r="M464" s="2"/>
      <c r="N464" s="8">
        <v>40017.713078703702</v>
      </c>
      <c r="O464" s="4" t="s">
        <v>6894</v>
      </c>
      <c r="P464" s="3" t="s">
        <v>6893</v>
      </c>
      <c r="Q464" s="10" t="s">
        <v>6892</v>
      </c>
      <c r="R464" s="4"/>
      <c r="S464" s="9" t="str">
        <f>HYPERLINK("https://pbs.twimg.com/profile_images/1045368407997251589/_B8ZTsky.jpg","View")</f>
        <v>View</v>
      </c>
    </row>
    <row r="465" spans="1:19" ht="30">
      <c r="A465" s="8">
        <v>43371.031585648147</v>
      </c>
      <c r="B465" s="11" t="str">
        <f>HYPERLINK("https://twitter.com/medialiteracyir","@medialiteracyir")</f>
        <v>@medialiteracyir</v>
      </c>
      <c r="C465" s="6" t="s">
        <v>6891</v>
      </c>
      <c r="D465" s="5" t="s">
        <v>6890</v>
      </c>
      <c r="E465" s="9" t="str">
        <f>HYPERLINK("https://twitter.com/medialiteracyir/status/1045421695329275904","1045421695329275904")</f>
        <v>1045421695329275904</v>
      </c>
      <c r="F465" s="4"/>
      <c r="G465" s="10" t="s">
        <v>6889</v>
      </c>
      <c r="H465" s="4"/>
      <c r="I465" s="10" t="str">
        <f>HYPERLINK("http://twitter.com/download/android","Twitter for Android")</f>
        <v>Twitter for Android</v>
      </c>
      <c r="J465" s="2">
        <v>45</v>
      </c>
      <c r="K465" s="2">
        <v>138</v>
      </c>
      <c r="L465" s="2">
        <v>0</v>
      </c>
      <c r="M465" s="2"/>
      <c r="N465" s="8">
        <v>43047.742291666669</v>
      </c>
      <c r="O465" s="4" t="s">
        <v>62</v>
      </c>
      <c r="P465" s="3" t="s">
        <v>6888</v>
      </c>
      <c r="Q465" s="4"/>
      <c r="R465" s="4"/>
      <c r="S465" s="9" t="str">
        <f>HYPERLINK("https://pbs.twimg.com/profile_images/959386468757094400/ZZP414_7.jpg","View")</f>
        <v>View</v>
      </c>
    </row>
    <row r="466" spans="1:19" ht="20">
      <c r="A466" s="8">
        <v>43371.030868055561</v>
      </c>
      <c r="B466" s="11" t="str">
        <f>HYPERLINK("https://twitter.com/Mahivash","@Mahivash")</f>
        <v>@Mahivash</v>
      </c>
      <c r="C466" s="6" t="s">
        <v>6887</v>
      </c>
      <c r="D466" s="5" t="s">
        <v>6886</v>
      </c>
      <c r="E466" s="9" t="str">
        <f>HYPERLINK("https://twitter.com/Mahivash/status/1045421433810292736","1045421433810292736")</f>
        <v>1045421433810292736</v>
      </c>
      <c r="F466" s="4"/>
      <c r="G466" s="4"/>
      <c r="H466" s="4"/>
      <c r="I466" s="10" t="str">
        <f>HYPERLINK("http://twitter.com/download/android","Twitter for Android")</f>
        <v>Twitter for Android</v>
      </c>
      <c r="J466" s="2">
        <v>358</v>
      </c>
      <c r="K466" s="2">
        <v>698</v>
      </c>
      <c r="L466" s="2">
        <v>0</v>
      </c>
      <c r="M466" s="2"/>
      <c r="N466" s="8">
        <v>42887.899259259255</v>
      </c>
      <c r="O466" s="4" t="s">
        <v>55</v>
      </c>
      <c r="P466" s="3" t="s">
        <v>6885</v>
      </c>
      <c r="Q466" s="4"/>
      <c r="R466" s="4"/>
      <c r="S466" s="9" t="str">
        <f>HYPERLINK("https://pbs.twimg.com/profile_images/1042848073700069376/voc_EJ6N.jpg","View")</f>
        <v>View</v>
      </c>
    </row>
    <row r="467" spans="1:19" ht="30">
      <c r="A467" s="8">
        <v>43371.030706018515</v>
      </c>
      <c r="B467" s="11" t="str">
        <f>HYPERLINK("https://twitter.com/tash_tachra","@tash_tachra")</f>
        <v>@tash_tachra</v>
      </c>
      <c r="C467" s="6" t="s">
        <v>6884</v>
      </c>
      <c r="D467" s="5" t="s">
        <v>6883</v>
      </c>
      <c r="E467" s="9" t="str">
        <f>HYPERLINK("https://twitter.com/tash_tachra/status/1045421375576510464","1045421375576510464")</f>
        <v>1045421375576510464</v>
      </c>
      <c r="F467" s="4"/>
      <c r="G467" s="10" t="s">
        <v>6882</v>
      </c>
      <c r="H467" s="4"/>
      <c r="I467" s="10" t="str">
        <f>HYPERLINK("http://twitter.com/download/android","Twitter for Android")</f>
        <v>Twitter for Android</v>
      </c>
      <c r="J467" s="2">
        <v>8182</v>
      </c>
      <c r="K467" s="2">
        <v>1921</v>
      </c>
      <c r="L467" s="2">
        <v>19</v>
      </c>
      <c r="M467" s="2"/>
      <c r="N467" s="8">
        <v>43025.802569444444</v>
      </c>
      <c r="O467" s="4" t="s">
        <v>170</v>
      </c>
      <c r="P467" s="3"/>
      <c r="Q467" s="4"/>
      <c r="R467" s="4"/>
      <c r="S467" s="9" t="str">
        <f>HYPERLINK("https://pbs.twimg.com/profile_images/1044981704581091328/28oI-yur.jpg","View")</f>
        <v>View</v>
      </c>
    </row>
    <row r="468" spans="1:19" ht="20">
      <c r="A468" s="8">
        <v>43371.030636574069</v>
      </c>
      <c r="B468" s="11" t="str">
        <f>HYPERLINK("https://twitter.com/ehsanghi","@ehsanghi")</f>
        <v>@ehsanghi</v>
      </c>
      <c r="C468" s="6" t="s">
        <v>6881</v>
      </c>
      <c r="D468" s="5" t="s">
        <v>6880</v>
      </c>
      <c r="E468" s="9" t="str">
        <f>HYPERLINK("https://twitter.com/ehsanghi/status/1045421352071630849","1045421352071630849")</f>
        <v>1045421352071630849</v>
      </c>
      <c r="F468" s="4"/>
      <c r="G468" s="4"/>
      <c r="H468" s="4"/>
      <c r="I468" s="10" t="str">
        <f>HYPERLINK("http://twitter.com/download/android","Twitter for Android")</f>
        <v>Twitter for Android</v>
      </c>
      <c r="J468" s="2">
        <v>513</v>
      </c>
      <c r="K468" s="2">
        <v>860</v>
      </c>
      <c r="L468" s="2">
        <v>1</v>
      </c>
      <c r="M468" s="2"/>
      <c r="N468" s="8">
        <v>42071.712395833332</v>
      </c>
      <c r="O468" s="4" t="s">
        <v>10</v>
      </c>
      <c r="P468" s="3" t="s">
        <v>6879</v>
      </c>
      <c r="Q468" s="4"/>
      <c r="R468" s="4"/>
      <c r="S468" s="9" t="str">
        <f>HYPERLINK("https://pbs.twimg.com/profile_images/1019093766492360704/46kaO12o.jpg","View")</f>
        <v>View</v>
      </c>
    </row>
    <row r="469" spans="1:19" ht="30">
      <c r="A469" s="8">
        <v>43371.030474537038</v>
      </c>
      <c r="B469" s="11" t="str">
        <f>HYPERLINK("https://twitter.com/Qasedak10","@Qasedak10")</f>
        <v>@Qasedak10</v>
      </c>
      <c r="C469" s="6" t="s">
        <v>6878</v>
      </c>
      <c r="D469" s="5" t="s">
        <v>6877</v>
      </c>
      <c r="E469" s="9" t="str">
        <f>HYPERLINK("https://twitter.com/Qasedak10/status/1045421289253613571","1045421289253613571")</f>
        <v>1045421289253613571</v>
      </c>
      <c r="F469" s="4"/>
      <c r="G469" s="4"/>
      <c r="H469" s="4"/>
      <c r="I469" s="10" t="str">
        <f>HYPERLINK("http://twitter.com/download/android","Twitter for Android")</f>
        <v>Twitter for Android</v>
      </c>
      <c r="J469" s="2">
        <v>79</v>
      </c>
      <c r="K469" s="2">
        <v>176</v>
      </c>
      <c r="L469" s="2">
        <v>0</v>
      </c>
      <c r="M469" s="2"/>
      <c r="N469" s="8">
        <v>43347.883877314816</v>
      </c>
      <c r="O469" s="4"/>
      <c r="P469" s="3" t="s">
        <v>6876</v>
      </c>
      <c r="Q469" s="4"/>
      <c r="R469" s="4"/>
      <c r="S469" s="9" t="str">
        <f>HYPERLINK("https://pbs.twimg.com/profile_images/1037098601275711488/rU4a9orh.jpg","View")</f>
        <v>View</v>
      </c>
    </row>
    <row r="470" spans="1:19" ht="40">
      <c r="A470" s="8">
        <v>43371.030358796299</v>
      </c>
      <c r="B470" s="11" t="str">
        <f>HYPERLINK("https://twitter.com/shadighashghaei","@shadighashghaei")</f>
        <v>@shadighashghaei</v>
      </c>
      <c r="C470" s="6" t="s">
        <v>6875</v>
      </c>
      <c r="D470" s="5" t="s">
        <v>6874</v>
      </c>
      <c r="E470" s="9" t="str">
        <f>HYPERLINK("https://twitter.com/shadighashghaei/status/1045421248732438528","1045421248732438528")</f>
        <v>1045421248732438528</v>
      </c>
      <c r="F470" s="4"/>
      <c r="G470" s="4"/>
      <c r="H470" s="4"/>
      <c r="I470" s="10" t="str">
        <f>HYPERLINK("http://twitter.com/download/android","Twitter for Android")</f>
        <v>Twitter for Android</v>
      </c>
      <c r="J470" s="2">
        <v>2654</v>
      </c>
      <c r="K470" s="2">
        <v>1611</v>
      </c>
      <c r="L470" s="2">
        <v>3</v>
      </c>
      <c r="M470" s="2"/>
      <c r="N470" s="8">
        <v>43216.638182870374</v>
      </c>
      <c r="O470" s="4" t="s">
        <v>6873</v>
      </c>
      <c r="P470" s="3" t="s">
        <v>6872</v>
      </c>
      <c r="Q470" s="4"/>
      <c r="R470" s="4"/>
      <c r="S470" s="9" t="str">
        <f>HYPERLINK("https://pbs.twimg.com/profile_images/993820158253785088/j8DHKmpE.jpg","View")</f>
        <v>View</v>
      </c>
    </row>
    <row r="471" spans="1:19" ht="40">
      <c r="A471" s="8">
        <v>43371.029629629629</v>
      </c>
      <c r="B471" s="11" t="str">
        <f>HYPERLINK("https://twitter.com/Brucewayn1939","@Brucewayn1939")</f>
        <v>@Brucewayn1939</v>
      </c>
      <c r="C471" s="6" t="s">
        <v>6871</v>
      </c>
      <c r="D471" s="5" t="s">
        <v>6870</v>
      </c>
      <c r="E471" s="9" t="str">
        <f>HYPERLINK("https://twitter.com/Brucewayn1939/status/1045420987058192384","1045420987058192384")</f>
        <v>1045420987058192384</v>
      </c>
      <c r="F471" s="4"/>
      <c r="G471" s="10" t="s">
        <v>6869</v>
      </c>
      <c r="H471" s="4"/>
      <c r="I471" s="10" t="str">
        <f>HYPERLINK("http://twitter.com/download/android","Twitter for Android")</f>
        <v>Twitter for Android</v>
      </c>
      <c r="J471" s="2">
        <v>473</v>
      </c>
      <c r="K471" s="2">
        <v>1080</v>
      </c>
      <c r="L471" s="2">
        <v>0</v>
      </c>
      <c r="M471" s="2"/>
      <c r="N471" s="8">
        <v>43168.68414351852</v>
      </c>
      <c r="O471" s="4" t="s">
        <v>6868</v>
      </c>
      <c r="P471" s="3" t="s">
        <v>6867</v>
      </c>
      <c r="Q471" s="4"/>
      <c r="R471" s="4"/>
      <c r="S471" s="9" t="str">
        <f>HYPERLINK("https://pbs.twimg.com/profile_images/1008197574438850561/Xp_lq_5O.jpg","View")</f>
        <v>View</v>
      </c>
    </row>
    <row r="472" spans="1:19" ht="12.5">
      <c r="A472" s="8">
        <v>43371.029629629629</v>
      </c>
      <c r="B472" s="11" t="str">
        <f>HYPERLINK("https://twitter.com/maryam777ram","@maryam777ram")</f>
        <v>@maryam777ram</v>
      </c>
      <c r="C472" s="6" t="s">
        <v>6866</v>
      </c>
      <c r="D472" s="5" t="s">
        <v>6865</v>
      </c>
      <c r="E472" s="9" t="str">
        <f>HYPERLINK("https://twitter.com/maryam777ram/status/1045420986303172609","1045420986303172609")</f>
        <v>1045420986303172609</v>
      </c>
      <c r="F472" s="4"/>
      <c r="G472" s="4"/>
      <c r="H472" s="4"/>
      <c r="I472" s="10" t="str">
        <f>HYPERLINK("http://twitter.com/download/iphone","Twitter for iPhone")</f>
        <v>Twitter for iPhone</v>
      </c>
      <c r="J472" s="2">
        <v>417</v>
      </c>
      <c r="K472" s="2">
        <v>467</v>
      </c>
      <c r="L472" s="2">
        <v>0</v>
      </c>
      <c r="M472" s="2"/>
      <c r="N472" s="8">
        <v>41236.521215277782</v>
      </c>
      <c r="O472" s="4" t="s">
        <v>6864</v>
      </c>
      <c r="P472" s="3" t="s">
        <v>6863</v>
      </c>
      <c r="Q472" s="4"/>
      <c r="R472" s="4"/>
      <c r="S472" s="9" t="str">
        <f>HYPERLINK("https://pbs.twimg.com/profile_images/1044007055596695553/R4sPBDG0.jpg","View")</f>
        <v>View</v>
      </c>
    </row>
    <row r="473" spans="1:19" ht="20">
      <c r="A473" s="8">
        <v>43371.029050925921</v>
      </c>
      <c r="B473" s="11" t="str">
        <f>HYPERLINK("https://twitter.com/rohoo","@rohoo")</f>
        <v>@rohoo</v>
      </c>
      <c r="C473" s="6" t="s">
        <v>1398</v>
      </c>
      <c r="D473" s="5" t="s">
        <v>6862</v>
      </c>
      <c r="E473" s="9" t="str">
        <f>HYPERLINK("https://twitter.com/rohoo/status/1045420775937896449","1045420775937896449")</f>
        <v>1045420775937896449</v>
      </c>
      <c r="F473" s="4"/>
      <c r="G473" s="4"/>
      <c r="H473" s="4"/>
      <c r="I473" s="10" t="str">
        <f>HYPERLINK("https://about.twitter.com/products/tweetdeck","TweetDeck")</f>
        <v>TweetDeck</v>
      </c>
      <c r="J473" s="2">
        <v>2485</v>
      </c>
      <c r="K473" s="2">
        <v>340</v>
      </c>
      <c r="L473" s="2">
        <v>47</v>
      </c>
      <c r="M473" s="2"/>
      <c r="N473" s="8">
        <v>39953.748657407406</v>
      </c>
      <c r="O473" s="4" t="s">
        <v>72</v>
      </c>
      <c r="P473" s="3" t="s">
        <v>1396</v>
      </c>
      <c r="Q473" s="10" t="s">
        <v>1395</v>
      </c>
      <c r="R473" s="4"/>
      <c r="S473" s="9" t="str">
        <f>HYPERLINK("https://pbs.twimg.com/profile_images/943909317572411392/2QHMFtB1.jpg","View")</f>
        <v>View</v>
      </c>
    </row>
    <row r="474" spans="1:19" ht="20">
      <c r="A474" s="8">
        <v>43371.028877314813</v>
      </c>
      <c r="B474" s="11" t="str">
        <f>HYPERLINK("https://twitter.com/Mohsen_Zlf","@Mohsen_Zlf")</f>
        <v>@Mohsen_Zlf</v>
      </c>
      <c r="C474" s="6" t="s">
        <v>6861</v>
      </c>
      <c r="D474" s="5" t="s">
        <v>6860</v>
      </c>
      <c r="E474" s="9" t="str">
        <f>HYPERLINK("https://twitter.com/Mohsen_Zlf/status/1045420713254023168","1045420713254023168")</f>
        <v>1045420713254023168</v>
      </c>
      <c r="F474" s="4"/>
      <c r="G474" s="4"/>
      <c r="H474" s="4"/>
      <c r="I474" s="10" t="str">
        <f>HYPERLINK("http://twitter.com/download/android","Twitter for Android")</f>
        <v>Twitter for Android</v>
      </c>
      <c r="J474" s="2">
        <v>31</v>
      </c>
      <c r="K474" s="2">
        <v>68</v>
      </c>
      <c r="L474" s="2">
        <v>0</v>
      </c>
      <c r="M474" s="2"/>
      <c r="N474" s="8">
        <v>42850.363206018519</v>
      </c>
      <c r="O474" s="4" t="s">
        <v>62</v>
      </c>
      <c r="P474" s="3"/>
      <c r="Q474" s="4"/>
      <c r="R474" s="4"/>
      <c r="S474" s="9" t="str">
        <f>HYPERLINK("https://pbs.twimg.com/profile_images/1033616711566716928/M_qVxO0p.jpg","View")</f>
        <v>View</v>
      </c>
    </row>
    <row r="475" spans="1:19" ht="30">
      <c r="A475" s="8">
        <v>43371.028391203705</v>
      </c>
      <c r="B475" s="11" t="str">
        <f>HYPERLINK("https://twitter.com/FuckerBeig","@FuckerBeig")</f>
        <v>@FuckerBeig</v>
      </c>
      <c r="C475" s="6" t="s">
        <v>6859</v>
      </c>
      <c r="D475" s="5" t="s">
        <v>6858</v>
      </c>
      <c r="E475" s="9" t="str">
        <f>HYPERLINK("https://twitter.com/FuckerBeig/status/1045420537030340608","1045420537030340608")</f>
        <v>1045420537030340608</v>
      </c>
      <c r="F475" s="4"/>
      <c r="G475" s="4"/>
      <c r="H475" s="4"/>
      <c r="I475" s="10" t="str">
        <f>HYPERLINK("http://twitter.com/download/android","Twitter for Android")</f>
        <v>Twitter for Android</v>
      </c>
      <c r="J475" s="2">
        <v>964</v>
      </c>
      <c r="K475" s="2">
        <v>454</v>
      </c>
      <c r="L475" s="2">
        <v>5</v>
      </c>
      <c r="M475" s="2"/>
      <c r="N475" s="8">
        <v>42590.93346064815</v>
      </c>
      <c r="O475" s="4" t="s">
        <v>6857</v>
      </c>
      <c r="P475" s="3" t="s">
        <v>6856</v>
      </c>
      <c r="Q475" s="4"/>
      <c r="R475" s="4"/>
      <c r="S475" s="9" t="str">
        <f>HYPERLINK("https://pbs.twimg.com/profile_images/1038536646873022464/ArlGeOGR.jpg","View")</f>
        <v>View</v>
      </c>
    </row>
    <row r="476" spans="1:19" ht="20">
      <c r="A476" s="8">
        <v>43371.027685185181</v>
      </c>
      <c r="B476" s="11" t="str">
        <f>HYPERLINK("https://twitter.com/esnzare","@esnzare")</f>
        <v>@esnzare</v>
      </c>
      <c r="C476" s="6" t="s">
        <v>6855</v>
      </c>
      <c r="D476" s="5" t="s">
        <v>6854</v>
      </c>
      <c r="E476" s="9" t="str">
        <f>HYPERLINK("https://twitter.com/esnzare/status/1045420282146705413","1045420282146705413")</f>
        <v>1045420282146705413</v>
      </c>
      <c r="F476" s="4"/>
      <c r="G476" s="4"/>
      <c r="H476" s="4"/>
      <c r="I476" s="10" t="str">
        <f>HYPERLINK("http://twitter.com/download/android","Twitter for Android")</f>
        <v>Twitter for Android</v>
      </c>
      <c r="J476" s="2">
        <v>22</v>
      </c>
      <c r="K476" s="2">
        <v>25</v>
      </c>
      <c r="L476" s="2">
        <v>0</v>
      </c>
      <c r="M476" s="2"/>
      <c r="N476" s="8">
        <v>42676.572962962964</v>
      </c>
      <c r="O476" s="4" t="s">
        <v>10</v>
      </c>
      <c r="P476" s="3" t="s">
        <v>6853</v>
      </c>
      <c r="Q476" s="4"/>
      <c r="R476" s="4"/>
      <c r="S476" s="9" t="str">
        <f>HYPERLINK("https://pbs.twimg.com/profile_images/886229488312254466/kVxgme5O.jpg","View")</f>
        <v>View</v>
      </c>
    </row>
    <row r="477" spans="1:19" ht="20">
      <c r="A477" s="8">
        <v>43371.026909722219</v>
      </c>
      <c r="B477" s="11" t="str">
        <f>HYPERLINK("https://twitter.com/Amincannondale","@Amincannondale")</f>
        <v>@Amincannondale</v>
      </c>
      <c r="C477" s="6" t="s">
        <v>6828</v>
      </c>
      <c r="D477" s="5" t="s">
        <v>6852</v>
      </c>
      <c r="E477" s="9" t="str">
        <f>HYPERLINK("https://twitter.com/Amincannondale/status/1045420000083890178","1045420000083890178")</f>
        <v>1045420000083890178</v>
      </c>
      <c r="F477" s="4"/>
      <c r="G477" s="4"/>
      <c r="H477" s="4"/>
      <c r="I477" s="10" t="str">
        <f>HYPERLINK("http://twitter.com/download/android","Twitter for Android")</f>
        <v>Twitter for Android</v>
      </c>
      <c r="J477" s="2">
        <v>1051</v>
      </c>
      <c r="K477" s="2">
        <v>1066</v>
      </c>
      <c r="L477" s="2">
        <v>0</v>
      </c>
      <c r="M477" s="2"/>
      <c r="N477" s="8">
        <v>42732.587094907409</v>
      </c>
      <c r="O477" s="4"/>
      <c r="P477" s="3" t="s">
        <v>6826</v>
      </c>
      <c r="Q477" s="10" t="s">
        <v>6825</v>
      </c>
      <c r="R477" s="4"/>
      <c r="S477" s="9" t="str">
        <f>HYPERLINK("https://pbs.twimg.com/profile_images/1036271661690118144/pPEcyW23.jpg","View")</f>
        <v>View</v>
      </c>
    </row>
    <row r="478" spans="1:19" ht="50">
      <c r="A478" s="8">
        <v>43371.025682870371</v>
      </c>
      <c r="B478" s="11" t="str">
        <f>HYPERLINK("https://twitter.com/noore_khoda","@noore_khoda")</f>
        <v>@noore_khoda</v>
      </c>
      <c r="C478" s="6" t="s">
        <v>6834</v>
      </c>
      <c r="D478" s="5" t="s">
        <v>6851</v>
      </c>
      <c r="E478" s="9" t="str">
        <f>HYPERLINK("https://twitter.com/noore_khoda/status/1045419555441586177","1045419555441586177")</f>
        <v>1045419555441586177</v>
      </c>
      <c r="F478" s="10" t="s">
        <v>6832</v>
      </c>
      <c r="G478" s="10" t="s">
        <v>6850</v>
      </c>
      <c r="H478" s="4"/>
      <c r="I478" s="10" t="str">
        <f>HYPERLINK("http://twitter.com/download/android","Twitter for Android")</f>
        <v>Twitter for Android</v>
      </c>
      <c r="J478" s="2">
        <v>278</v>
      </c>
      <c r="K478" s="2">
        <v>269</v>
      </c>
      <c r="L478" s="2">
        <v>0</v>
      </c>
      <c r="M478" s="2"/>
      <c r="N478" s="8">
        <v>43115.377233796295</v>
      </c>
      <c r="O478" s="4"/>
      <c r="P478" s="3" t="s">
        <v>6830</v>
      </c>
      <c r="Q478" s="10" t="s">
        <v>6829</v>
      </c>
      <c r="R478" s="4"/>
      <c r="S478" s="9" t="str">
        <f>HYPERLINK("https://pbs.twimg.com/profile_images/952780904950362112/NFEC4_e6.jpg","View")</f>
        <v>View</v>
      </c>
    </row>
    <row r="479" spans="1:19" ht="12.5">
      <c r="A479" s="8">
        <v>43371.025451388894</v>
      </c>
      <c r="B479" s="11" t="str">
        <f>HYPERLINK("https://twitter.com/Redenci0n","@Redenci0n")</f>
        <v>@Redenci0n</v>
      </c>
      <c r="C479" s="6" t="s">
        <v>6849</v>
      </c>
      <c r="D479" s="5" t="s">
        <v>6848</v>
      </c>
      <c r="E479" s="9" t="str">
        <f>HYPERLINK("https://twitter.com/Redenci0n/status/1045419473061257217","1045419473061257217")</f>
        <v>1045419473061257217</v>
      </c>
      <c r="F479" s="4"/>
      <c r="G479" s="10" t="s">
        <v>6847</v>
      </c>
      <c r="H479" s="4"/>
      <c r="I479" s="10" t="str">
        <f>HYPERLINK("http://twitter.com/download/android","Twitter for Android")</f>
        <v>Twitter for Android</v>
      </c>
      <c r="J479" s="2">
        <v>1851</v>
      </c>
      <c r="K479" s="2">
        <v>125</v>
      </c>
      <c r="L479" s="2">
        <v>12</v>
      </c>
      <c r="M479" s="2"/>
      <c r="N479" s="8">
        <v>40236.493738425925</v>
      </c>
      <c r="O479" s="4"/>
      <c r="P479" s="3" t="s">
        <v>6846</v>
      </c>
      <c r="Q479" s="4"/>
      <c r="R479" s="4"/>
      <c r="S479" s="9" t="str">
        <f>HYPERLINK("https://pbs.twimg.com/profile_images/1033637955519299584/6MJvv9h-.jpg","View")</f>
        <v>View</v>
      </c>
    </row>
    <row r="480" spans="1:19" ht="40">
      <c r="A480" s="8">
        <v>43371.024513888886</v>
      </c>
      <c r="B480" s="11" t="str">
        <f>HYPERLINK("https://twitter.com/noore_khoda","@noore_khoda")</f>
        <v>@noore_khoda</v>
      </c>
      <c r="C480" s="6" t="s">
        <v>6834</v>
      </c>
      <c r="D480" s="5" t="s">
        <v>6845</v>
      </c>
      <c r="E480" s="9" t="str">
        <f>HYPERLINK("https://twitter.com/noore_khoda/status/1045419131552649218","1045419131552649218")</f>
        <v>1045419131552649218</v>
      </c>
      <c r="F480" s="10" t="s">
        <v>6832</v>
      </c>
      <c r="G480" s="10" t="s">
        <v>6844</v>
      </c>
      <c r="H480" s="4"/>
      <c r="I480" s="10" t="str">
        <f>HYPERLINK("http://twitter.com/download/android","Twitter for Android")</f>
        <v>Twitter for Android</v>
      </c>
      <c r="J480" s="2">
        <v>278</v>
      </c>
      <c r="K480" s="2">
        <v>269</v>
      </c>
      <c r="L480" s="2">
        <v>0</v>
      </c>
      <c r="M480" s="2"/>
      <c r="N480" s="8">
        <v>43115.377233796295</v>
      </c>
      <c r="O480" s="4"/>
      <c r="P480" s="3" t="s">
        <v>6830</v>
      </c>
      <c r="Q480" s="10" t="s">
        <v>6829</v>
      </c>
      <c r="R480" s="4"/>
      <c r="S480" s="9" t="str">
        <f>HYPERLINK("https://pbs.twimg.com/profile_images/952780904950362112/NFEC4_e6.jpg","View")</f>
        <v>View</v>
      </c>
    </row>
    <row r="481" spans="1:19" ht="30">
      <c r="A481" s="8">
        <v>43371.024479166663</v>
      </c>
      <c r="B481" s="11" t="str">
        <f>HYPERLINK("https://twitter.com/fereshtevpt","@fereshtevpt")</f>
        <v>@fereshtevpt</v>
      </c>
      <c r="C481" s="6" t="s">
        <v>331</v>
      </c>
      <c r="D481" s="5" t="s">
        <v>6843</v>
      </c>
      <c r="E481" s="9" t="str">
        <f>HYPERLINK("https://twitter.com/fereshtevpt/status/1045419118210535429","1045419118210535429")</f>
        <v>1045419118210535429</v>
      </c>
      <c r="F481" s="4"/>
      <c r="G481" s="4"/>
      <c r="H481" s="4"/>
      <c r="I481" s="10" t="str">
        <f>HYPERLINK("http://twitter.com/download/iphone","Twitter for iPhone")</f>
        <v>Twitter for iPhone</v>
      </c>
      <c r="J481" s="2">
        <v>2497</v>
      </c>
      <c r="K481" s="2">
        <v>2147</v>
      </c>
      <c r="L481" s="2">
        <v>6</v>
      </c>
      <c r="M481" s="2"/>
      <c r="N481" s="8">
        <v>43106.721226851849</v>
      </c>
      <c r="O481" s="4"/>
      <c r="P481" s="3" t="s">
        <v>329</v>
      </c>
      <c r="Q481" s="4"/>
      <c r="R481" s="4"/>
      <c r="S481" s="9" t="str">
        <f>HYPERLINK("https://pbs.twimg.com/profile_images/1037751959716016135/k__ynAL7.jpg","View")</f>
        <v>View</v>
      </c>
    </row>
    <row r="482" spans="1:19" ht="30">
      <c r="A482" s="8">
        <v>43371.024178240739</v>
      </c>
      <c r="B482" s="11" t="str">
        <f>HYPERLINK("https://twitter.com/EA_Faeze","@EA_Faeze")</f>
        <v>@EA_Faeze</v>
      </c>
      <c r="C482" s="6" t="s">
        <v>6842</v>
      </c>
      <c r="D482" s="13" t="s">
        <v>6841</v>
      </c>
      <c r="E482" s="9" t="str">
        <f>HYPERLINK("https://twitter.com/EA_Faeze/status/1045419009712312321","1045419009712312321")</f>
        <v>1045419009712312321</v>
      </c>
      <c r="F482" s="4"/>
      <c r="G482" s="4"/>
      <c r="H482" s="4"/>
      <c r="I482" s="10" t="str">
        <f>HYPERLINK("http://twitter.com/download/android","Twitter for Android")</f>
        <v>Twitter for Android</v>
      </c>
      <c r="J482" s="2">
        <v>1442</v>
      </c>
      <c r="K482" s="2">
        <v>1324</v>
      </c>
      <c r="L482" s="2">
        <v>1</v>
      </c>
      <c r="M482" s="2"/>
      <c r="N482" s="8">
        <v>43219.671678240746</v>
      </c>
      <c r="O482" s="4" t="s">
        <v>6840</v>
      </c>
      <c r="P482" s="3" t="s">
        <v>6839</v>
      </c>
      <c r="Q482" s="10" t="s">
        <v>6838</v>
      </c>
      <c r="R482" s="4"/>
      <c r="S482" s="9" t="str">
        <f>HYPERLINK("https://pbs.twimg.com/profile_images/1042710976838152192/xqFopl30.jpg","View")</f>
        <v>View</v>
      </c>
    </row>
    <row r="483" spans="1:19" ht="40">
      <c r="A483" s="8">
        <v>43371.023958333331</v>
      </c>
      <c r="B483" s="11" t="str">
        <f>HYPERLINK("https://twitter.com/Siamakhabibi05","@Siamakhabibi05")</f>
        <v>@Siamakhabibi05</v>
      </c>
      <c r="C483" s="6" t="s">
        <v>6837</v>
      </c>
      <c r="D483" s="5" t="s">
        <v>6836</v>
      </c>
      <c r="E483" s="9" t="str">
        <f>HYPERLINK("https://twitter.com/Siamakhabibi05/status/1045418929269723136","1045418929269723136")</f>
        <v>1045418929269723136</v>
      </c>
      <c r="F483" s="4"/>
      <c r="G483" s="4"/>
      <c r="H483" s="4"/>
      <c r="I483" s="10" t="str">
        <f>HYPERLINK("http://twitter.com/download/android","Twitter for Android")</f>
        <v>Twitter for Android</v>
      </c>
      <c r="J483" s="2">
        <v>137</v>
      </c>
      <c r="K483" s="2">
        <v>641</v>
      </c>
      <c r="L483" s="2">
        <v>0</v>
      </c>
      <c r="M483" s="2"/>
      <c r="N483" s="8">
        <v>43105.608124999999</v>
      </c>
      <c r="O483" s="4" t="s">
        <v>200</v>
      </c>
      <c r="P483" s="3" t="s">
        <v>6835</v>
      </c>
      <c r="Q483" s="4"/>
      <c r="R483" s="4"/>
      <c r="S483" s="9" t="str">
        <f>HYPERLINK("https://pbs.twimg.com/profile_images/1008240679447822336/_cxV3TOK.jpg","View")</f>
        <v>View</v>
      </c>
    </row>
    <row r="484" spans="1:19" ht="40">
      <c r="A484" s="8">
        <v>43371.023472222223</v>
      </c>
      <c r="B484" s="11" t="str">
        <f>HYPERLINK("https://twitter.com/noore_khoda","@noore_khoda")</f>
        <v>@noore_khoda</v>
      </c>
      <c r="C484" s="6" t="s">
        <v>6834</v>
      </c>
      <c r="D484" s="5" t="s">
        <v>6833</v>
      </c>
      <c r="E484" s="9" t="str">
        <f>HYPERLINK("https://twitter.com/noore_khoda/status/1045418755638153218","1045418755638153218")</f>
        <v>1045418755638153218</v>
      </c>
      <c r="F484" s="10" t="s">
        <v>6832</v>
      </c>
      <c r="G484" s="10" t="s">
        <v>6831</v>
      </c>
      <c r="H484" s="4"/>
      <c r="I484" s="10" t="str">
        <f>HYPERLINK("http://twitter.com/download/android","Twitter for Android")</f>
        <v>Twitter for Android</v>
      </c>
      <c r="J484" s="2">
        <v>278</v>
      </c>
      <c r="K484" s="2">
        <v>269</v>
      </c>
      <c r="L484" s="2">
        <v>0</v>
      </c>
      <c r="M484" s="2"/>
      <c r="N484" s="8">
        <v>43115.377233796295</v>
      </c>
      <c r="O484" s="4"/>
      <c r="P484" s="3" t="s">
        <v>6830</v>
      </c>
      <c r="Q484" s="10" t="s">
        <v>6829</v>
      </c>
      <c r="R484" s="4"/>
      <c r="S484" s="9" t="str">
        <f>HYPERLINK("https://pbs.twimg.com/profile_images/952780904950362112/NFEC4_e6.jpg","View")</f>
        <v>View</v>
      </c>
    </row>
    <row r="485" spans="1:19" ht="20">
      <c r="A485" s="8">
        <v>43371.022962962961</v>
      </c>
      <c r="B485" s="11" t="str">
        <f>HYPERLINK("https://twitter.com/Amincannondale","@Amincannondale")</f>
        <v>@Amincannondale</v>
      </c>
      <c r="C485" s="6" t="s">
        <v>6828</v>
      </c>
      <c r="D485" s="5" t="s">
        <v>6827</v>
      </c>
      <c r="E485" s="9" t="str">
        <f>HYPERLINK("https://twitter.com/Amincannondale/status/1045418567896903681","1045418567896903681")</f>
        <v>1045418567896903681</v>
      </c>
      <c r="F485" s="4"/>
      <c r="G485" s="4"/>
      <c r="H485" s="4"/>
      <c r="I485" s="10" t="str">
        <f>HYPERLINK("http://twitter.com/download/android","Twitter for Android")</f>
        <v>Twitter for Android</v>
      </c>
      <c r="J485" s="2">
        <v>1051</v>
      </c>
      <c r="K485" s="2">
        <v>1066</v>
      </c>
      <c r="L485" s="2">
        <v>0</v>
      </c>
      <c r="M485" s="2"/>
      <c r="N485" s="8">
        <v>42732.587094907409</v>
      </c>
      <c r="O485" s="4"/>
      <c r="P485" s="3" t="s">
        <v>6826</v>
      </c>
      <c r="Q485" s="10" t="s">
        <v>6825</v>
      </c>
      <c r="R485" s="4"/>
      <c r="S485" s="9" t="str">
        <f>HYPERLINK("https://pbs.twimg.com/profile_images/1036271661690118144/pPEcyW23.jpg","View")</f>
        <v>View</v>
      </c>
    </row>
    <row r="486" spans="1:19" ht="50">
      <c r="A486" s="8">
        <v>43371.02280092593</v>
      </c>
      <c r="B486" s="11" t="str">
        <f>HYPERLINK("https://twitter.com/Talot_10313","@Talot_10313")</f>
        <v>@Talot_10313</v>
      </c>
      <c r="C486" s="6" t="s">
        <v>6823</v>
      </c>
      <c r="D486" s="5" t="s">
        <v>6824</v>
      </c>
      <c r="E486" s="9" t="str">
        <f>HYPERLINK("https://twitter.com/Talot_10313/status/1045418509931630592","1045418509931630592")</f>
        <v>1045418509931630592</v>
      </c>
      <c r="F486" s="4"/>
      <c r="G486" s="4"/>
      <c r="H486" s="4"/>
      <c r="I486" s="10" t="str">
        <f>HYPERLINK("http://twitter.com/download/android","Twitter for Android")</f>
        <v>Twitter for Android</v>
      </c>
      <c r="J486" s="2">
        <v>191</v>
      </c>
      <c r="K486" s="2">
        <v>293</v>
      </c>
      <c r="L486" s="2">
        <v>0</v>
      </c>
      <c r="M486" s="2"/>
      <c r="N486" s="8">
        <v>43216.968599537038</v>
      </c>
      <c r="O486" s="4"/>
      <c r="P486" s="3" t="s">
        <v>6821</v>
      </c>
      <c r="Q486" s="10" t="s">
        <v>6820</v>
      </c>
      <c r="R486" s="4"/>
      <c r="S486" s="9" t="str">
        <f>HYPERLINK("https://pbs.twimg.com/profile_images/989581012828131329/LOi4RcCp.jpg","View")</f>
        <v>View</v>
      </c>
    </row>
    <row r="487" spans="1:19" ht="50">
      <c r="A487" s="8">
        <v>43371.022453703699</v>
      </c>
      <c r="B487" s="11" t="str">
        <f>HYPERLINK("https://twitter.com/Talot_10313","@Talot_10313")</f>
        <v>@Talot_10313</v>
      </c>
      <c r="C487" s="6" t="s">
        <v>6823</v>
      </c>
      <c r="D487" s="5" t="s">
        <v>6822</v>
      </c>
      <c r="E487" s="9" t="str">
        <f>HYPERLINK("https://twitter.com/Talot_10313/status/1045418384735768576","1045418384735768576")</f>
        <v>1045418384735768576</v>
      </c>
      <c r="F487" s="4"/>
      <c r="G487" s="4"/>
      <c r="H487" s="4"/>
      <c r="I487" s="10" t="str">
        <f>HYPERLINK("http://twitter.com/download/android","Twitter for Android")</f>
        <v>Twitter for Android</v>
      </c>
      <c r="J487" s="2">
        <v>191</v>
      </c>
      <c r="K487" s="2">
        <v>293</v>
      </c>
      <c r="L487" s="2">
        <v>0</v>
      </c>
      <c r="M487" s="2"/>
      <c r="N487" s="8">
        <v>43216.968599537038</v>
      </c>
      <c r="O487" s="4"/>
      <c r="P487" s="3" t="s">
        <v>6821</v>
      </c>
      <c r="Q487" s="10" t="s">
        <v>6820</v>
      </c>
      <c r="R487" s="4"/>
      <c r="S487" s="9" t="str">
        <f>HYPERLINK("https://pbs.twimg.com/profile_images/989581012828131329/LOi4RcCp.jpg","View")</f>
        <v>View</v>
      </c>
    </row>
    <row r="488" spans="1:19" ht="40">
      <c r="A488" s="8">
        <v>43371.022418981476</v>
      </c>
      <c r="B488" s="11" t="str">
        <f>HYPERLINK("https://twitter.com/genci_pir","@genci_pir")</f>
        <v>@genci_pir</v>
      </c>
      <c r="C488" s="6" t="s">
        <v>4862</v>
      </c>
      <c r="D488" s="5" t="s">
        <v>6819</v>
      </c>
      <c r="E488" s="9" t="str">
        <f>HYPERLINK("https://twitter.com/genci_pir/status/1045418370408099843","1045418370408099843")</f>
        <v>1045418370408099843</v>
      </c>
      <c r="F488" s="4"/>
      <c r="G488" s="4"/>
      <c r="H488" s="4"/>
      <c r="I488" s="10" t="str">
        <f>HYPERLINK("http://twitter.com/download/iphone","Twitter for iPhone")</f>
        <v>Twitter for iPhone</v>
      </c>
      <c r="J488" s="2">
        <v>142</v>
      </c>
      <c r="K488" s="2">
        <v>311</v>
      </c>
      <c r="L488" s="2">
        <v>0</v>
      </c>
      <c r="M488" s="2"/>
      <c r="N488" s="8">
        <v>41304.876064814816</v>
      </c>
      <c r="O488" s="4" t="s">
        <v>4858</v>
      </c>
      <c r="P488" s="3" t="s">
        <v>4857</v>
      </c>
      <c r="Q488" s="4"/>
      <c r="R488" s="4"/>
      <c r="S488" s="9" t="str">
        <f>HYPERLINK("https://pbs.twimg.com/profile_images/1008377748295946241/WIHiBS3P.jpg","View")</f>
        <v>View</v>
      </c>
    </row>
    <row r="489" spans="1:19" ht="20">
      <c r="A489" s="8">
        <v>43371.021423611106</v>
      </c>
      <c r="B489" s="11" t="str">
        <f>HYPERLINK("https://twitter.com/tomasmasarik","@tomasmasarik")</f>
        <v>@tomasmasarik</v>
      </c>
      <c r="C489" s="6" t="s">
        <v>6818</v>
      </c>
      <c r="D489" s="5" t="s">
        <v>6817</v>
      </c>
      <c r="E489" s="9" t="str">
        <f>HYPERLINK("https://twitter.com/tomasmasarik/status/1045418013388886016","1045418013388886016")</f>
        <v>1045418013388886016</v>
      </c>
      <c r="F489" s="4"/>
      <c r="G489" s="4"/>
      <c r="H489" s="4"/>
      <c r="I489" s="10" t="str">
        <f>HYPERLINK("http://twitter.com/download/android","Twitter for Android")</f>
        <v>Twitter for Android</v>
      </c>
      <c r="J489" s="2">
        <v>2032</v>
      </c>
      <c r="K489" s="2">
        <v>611</v>
      </c>
      <c r="L489" s="2">
        <v>10</v>
      </c>
      <c r="M489" s="2"/>
      <c r="N489" s="8">
        <v>42733.025983796295</v>
      </c>
      <c r="O489" s="4"/>
      <c r="P489" s="3" t="s">
        <v>6816</v>
      </c>
      <c r="Q489" s="10" t="s">
        <v>6815</v>
      </c>
      <c r="R489" s="4"/>
      <c r="S489" s="9" t="str">
        <f>HYPERLINK("https://pbs.twimg.com/profile_images/1039048881500311553/vClCNHcm.jpg","View")</f>
        <v>View</v>
      </c>
    </row>
    <row r="490" spans="1:19" ht="12.5">
      <c r="A490" s="8">
        <v>43371.018020833333</v>
      </c>
      <c r="B490" s="11" t="str">
        <f>HYPERLINK("https://twitter.com/Sz_Sicily","@Sz_Sicily")</f>
        <v>@Sz_Sicily</v>
      </c>
      <c r="C490" s="6" t="s">
        <v>4492</v>
      </c>
      <c r="D490" s="5" t="s">
        <v>6814</v>
      </c>
      <c r="E490" s="9" t="str">
        <f>HYPERLINK("https://twitter.com/Sz_Sicily/status/1045416776610336768","1045416776610336768")</f>
        <v>1045416776610336768</v>
      </c>
      <c r="F490" s="4"/>
      <c r="G490" s="4"/>
      <c r="H490" s="4"/>
      <c r="I490" s="10" t="str">
        <f>HYPERLINK("http://twitter.com/download/android","Twitter for Android")</f>
        <v>Twitter for Android</v>
      </c>
      <c r="J490" s="2">
        <v>1002</v>
      </c>
      <c r="K490" s="2">
        <v>147</v>
      </c>
      <c r="L490" s="2">
        <v>6</v>
      </c>
      <c r="M490" s="2"/>
      <c r="N490" s="8">
        <v>41551.67796296296</v>
      </c>
      <c r="O490" s="4" t="s">
        <v>4490</v>
      </c>
      <c r="P490" s="3" t="s">
        <v>4489</v>
      </c>
      <c r="Q490" s="4"/>
      <c r="R490" s="4"/>
      <c r="S490" s="9" t="str">
        <f>HYPERLINK("https://pbs.twimg.com/profile_images/1044541175804440576/M7IAsvI6.jpg","View")</f>
        <v>View</v>
      </c>
    </row>
    <row r="491" spans="1:19" ht="20">
      <c r="A491" s="8">
        <v>43371.016851851848</v>
      </c>
      <c r="B491" s="11" t="str">
        <f>HYPERLINK("https://twitter.com/EParvizi","@EParvizi")</f>
        <v>@EParvizi</v>
      </c>
      <c r="C491" s="6" t="s">
        <v>1606</v>
      </c>
      <c r="D491" s="5" t="s">
        <v>6813</v>
      </c>
      <c r="E491" s="9" t="str">
        <f>HYPERLINK("https://twitter.com/EParvizi/status/1045416356412366848","1045416356412366848")</f>
        <v>1045416356412366848</v>
      </c>
      <c r="F491" s="4"/>
      <c r="G491" s="4"/>
      <c r="H491" s="4"/>
      <c r="I491" s="10" t="str">
        <f>HYPERLINK("http://twitter.com/download/android","Twitter for Android")</f>
        <v>Twitter for Android</v>
      </c>
      <c r="J491" s="2">
        <v>161</v>
      </c>
      <c r="K491" s="2">
        <v>285</v>
      </c>
      <c r="L491" s="2">
        <v>0</v>
      </c>
      <c r="M491" s="2"/>
      <c r="N491" s="8">
        <v>40977.027222222227</v>
      </c>
      <c r="O491" s="4" t="s">
        <v>414</v>
      </c>
      <c r="P491" s="3" t="s">
        <v>1604</v>
      </c>
      <c r="Q491" s="4"/>
      <c r="R491" s="4"/>
      <c r="S491" s="9" t="str">
        <f>HYPERLINK("https://pbs.twimg.com/profile_images/1015348509183053824/fKWrWIAP.jpg","View")</f>
        <v>View</v>
      </c>
    </row>
    <row r="492" spans="1:19" ht="50">
      <c r="A492" s="8">
        <v>43371.016342592593</v>
      </c>
      <c r="B492" s="11" t="str">
        <f>HYPERLINK("https://twitter.com/Sz_Sicily","@Sz_Sicily")</f>
        <v>@Sz_Sicily</v>
      </c>
      <c r="C492" s="6" t="s">
        <v>4492</v>
      </c>
      <c r="D492" s="5" t="s">
        <v>6812</v>
      </c>
      <c r="E492" s="9" t="str">
        <f>HYPERLINK("https://twitter.com/Sz_Sicily/status/1045416171489697799","1045416171489697799")</f>
        <v>1045416171489697799</v>
      </c>
      <c r="F492" s="4" t="s">
        <v>6811</v>
      </c>
      <c r="G492" s="10" t="s">
        <v>6810</v>
      </c>
      <c r="H492" s="4"/>
      <c r="I492" s="10" t="str">
        <f>HYPERLINK("http://twitter.com/download/android","Twitter for Android")</f>
        <v>Twitter for Android</v>
      </c>
      <c r="J492" s="2">
        <v>1002</v>
      </c>
      <c r="K492" s="2">
        <v>147</v>
      </c>
      <c r="L492" s="2">
        <v>6</v>
      </c>
      <c r="M492" s="2"/>
      <c r="N492" s="8">
        <v>41551.67796296296</v>
      </c>
      <c r="O492" s="4" t="s">
        <v>4490</v>
      </c>
      <c r="P492" s="3" t="s">
        <v>4489</v>
      </c>
      <c r="Q492" s="4"/>
      <c r="R492" s="4"/>
      <c r="S492" s="9" t="str">
        <f>HYPERLINK("https://pbs.twimg.com/profile_images/1044541175804440576/M7IAsvI6.jpg","View")</f>
        <v>View</v>
      </c>
    </row>
    <row r="493" spans="1:19" ht="12.5">
      <c r="A493" s="8">
        <v>43371.015868055554</v>
      </c>
      <c r="B493" s="11" t="str">
        <f>HYPERLINK("https://twitter.com/meysambagheri75","@meysambagheri75")</f>
        <v>@meysambagheri75</v>
      </c>
      <c r="C493" s="6" t="s">
        <v>6809</v>
      </c>
      <c r="D493" s="5" t="s">
        <v>6808</v>
      </c>
      <c r="E493" s="9" t="str">
        <f>HYPERLINK("https://twitter.com/meysambagheri75/status/1045415996213751808","1045415996213751808")</f>
        <v>1045415996213751808</v>
      </c>
      <c r="F493" s="4"/>
      <c r="G493" s="4"/>
      <c r="H493" s="4"/>
      <c r="I493" s="10" t="str">
        <f>HYPERLINK("http://twitter.com","Twitter Web Client")</f>
        <v>Twitter Web Client</v>
      </c>
      <c r="J493" s="2">
        <v>77</v>
      </c>
      <c r="K493" s="2">
        <v>378</v>
      </c>
      <c r="L493" s="2">
        <v>0</v>
      </c>
      <c r="M493" s="2"/>
      <c r="N493" s="8">
        <v>42208.585763888885</v>
      </c>
      <c r="O493" s="4" t="s">
        <v>4705</v>
      </c>
      <c r="P493" s="3" t="s">
        <v>6807</v>
      </c>
      <c r="Q493" s="10" t="s">
        <v>6806</v>
      </c>
      <c r="R493" s="4"/>
      <c r="S493" s="9" t="str">
        <f>HYPERLINK("https://pbs.twimg.com/profile_images/1043221818071494656/jJtVyQot.jpg","View")</f>
        <v>View</v>
      </c>
    </row>
    <row r="494" spans="1:19" ht="20">
      <c r="A494" s="8">
        <v>43371.015555555554</v>
      </c>
      <c r="B494" s="11" t="str">
        <f>HYPERLINK("https://twitter.com/rasoul7293","@rasoul7293")</f>
        <v>@rasoul7293</v>
      </c>
      <c r="C494" s="6" t="s">
        <v>6786</v>
      </c>
      <c r="D494" s="5" t="s">
        <v>6805</v>
      </c>
      <c r="E494" s="9" t="str">
        <f>HYPERLINK("https://twitter.com/rasoul7293/status/1045415886318972929","1045415886318972929")</f>
        <v>1045415886318972929</v>
      </c>
      <c r="F494" s="4"/>
      <c r="G494" s="10" t="s">
        <v>6804</v>
      </c>
      <c r="H494" s="4"/>
      <c r="I494" s="10" t="str">
        <f>HYPERLINK("http://twitter.com/download/iphone","Twitter for iPhone")</f>
        <v>Twitter for iPhone</v>
      </c>
      <c r="J494" s="2">
        <v>247</v>
      </c>
      <c r="K494" s="2">
        <v>489</v>
      </c>
      <c r="L494" s="2">
        <v>1</v>
      </c>
      <c r="M494" s="2"/>
      <c r="N494" s="8">
        <v>40983.01730324074</v>
      </c>
      <c r="O494" s="4" t="s">
        <v>200</v>
      </c>
      <c r="P494" s="3" t="s">
        <v>6783</v>
      </c>
      <c r="Q494" s="4"/>
      <c r="R494" s="4"/>
      <c r="S494" s="9" t="str">
        <f>HYPERLINK("https://pbs.twimg.com/profile_images/1011199561484984321/yHlUjQVH.jpg","View")</f>
        <v>View</v>
      </c>
    </row>
    <row r="495" spans="1:19" ht="12.5">
      <c r="A495" s="8">
        <v>43371.01494212963</v>
      </c>
      <c r="B495" s="11" t="str">
        <f>HYPERLINK("https://twitter.com/Rezareyhanikia","@Rezareyhanikia")</f>
        <v>@Rezareyhanikia</v>
      </c>
      <c r="C495" s="6" t="s">
        <v>6803</v>
      </c>
      <c r="D495" s="5" t="s">
        <v>6802</v>
      </c>
      <c r="E495" s="9" t="str">
        <f>HYPERLINK("https://twitter.com/Rezareyhanikia/status/1045415662724829184","1045415662724829184")</f>
        <v>1045415662724829184</v>
      </c>
      <c r="F495" s="4"/>
      <c r="G495" s="10" t="s">
        <v>6801</v>
      </c>
      <c r="H495" s="4"/>
      <c r="I495" s="10" t="str">
        <f>HYPERLINK("http://twitter.com/download/android","Twitter for Android")</f>
        <v>Twitter for Android</v>
      </c>
      <c r="J495" s="2">
        <v>48</v>
      </c>
      <c r="K495" s="2">
        <v>118</v>
      </c>
      <c r="L495" s="2">
        <v>0</v>
      </c>
      <c r="M495" s="2"/>
      <c r="N495" s="8">
        <v>42543.842673611114</v>
      </c>
      <c r="O495" s="4" t="s">
        <v>6800</v>
      </c>
      <c r="P495" s="3" t="s">
        <v>6799</v>
      </c>
      <c r="Q495" s="4"/>
      <c r="R495" s="4"/>
      <c r="S495" s="9" t="str">
        <f>HYPERLINK("https://pbs.twimg.com/profile_images/1022619025355026433/rvH6L6qT.jpg","View")</f>
        <v>View</v>
      </c>
    </row>
    <row r="496" spans="1:19" ht="30">
      <c r="A496" s="8">
        <v>43371.014606481476</v>
      </c>
      <c r="B496" s="11" t="str">
        <f>HYPERLINK("https://twitter.com/deldadeharshi","@deldadeharshi")</f>
        <v>@deldadeharshi</v>
      </c>
      <c r="C496" s="6" t="s">
        <v>6798</v>
      </c>
      <c r="D496" s="5" t="s">
        <v>6797</v>
      </c>
      <c r="E496" s="9" t="str">
        <f>HYPERLINK("https://twitter.com/deldadeharshi/status/1045415542461476864","1045415542461476864")</f>
        <v>1045415542461476864</v>
      </c>
      <c r="F496" s="4"/>
      <c r="G496" s="4"/>
      <c r="H496" s="4"/>
      <c r="I496" s="10" t="str">
        <f>HYPERLINK("http://twitter.com/download/android","Twitter for Android")</f>
        <v>Twitter for Android</v>
      </c>
      <c r="J496" s="2">
        <v>975</v>
      </c>
      <c r="K496" s="2">
        <v>244</v>
      </c>
      <c r="L496" s="2">
        <v>5</v>
      </c>
      <c r="M496" s="2"/>
      <c r="N496" s="8">
        <v>43118.863379629634</v>
      </c>
      <c r="O496" s="4" t="s">
        <v>6796</v>
      </c>
      <c r="P496" s="3" t="s">
        <v>6795</v>
      </c>
      <c r="Q496" s="4"/>
      <c r="R496" s="4"/>
      <c r="S496" s="9" t="str">
        <f>HYPERLINK("https://pbs.twimg.com/profile_images/1038689528490467328/30AMng2N.jpg","View")</f>
        <v>View</v>
      </c>
    </row>
    <row r="497" spans="1:19" ht="40">
      <c r="A497" s="8">
        <v>43371.014351851853</v>
      </c>
      <c r="B497" s="11" t="str">
        <f>HYPERLINK("https://twitter.com/elhamyazdiha","@elhamyazdiha")</f>
        <v>@elhamyazdiha</v>
      </c>
      <c r="C497" s="6" t="s">
        <v>6794</v>
      </c>
      <c r="D497" s="5" t="s">
        <v>6793</v>
      </c>
      <c r="E497" s="9" t="str">
        <f>HYPERLINK("https://twitter.com/elhamyazdiha/status/1045415446646861825","1045415446646861825")</f>
        <v>1045415446646861825</v>
      </c>
      <c r="F497" s="4"/>
      <c r="G497" s="10" t="s">
        <v>6792</v>
      </c>
      <c r="H497" s="4"/>
      <c r="I497" s="10" t="str">
        <f>HYPERLINK("http://twitter.com/download/android","Twitter for Android")</f>
        <v>Twitter for Android</v>
      </c>
      <c r="J497" s="2">
        <v>1829</v>
      </c>
      <c r="K497" s="2">
        <v>996</v>
      </c>
      <c r="L497" s="2">
        <v>15</v>
      </c>
      <c r="M497" s="2"/>
      <c r="N497" s="8">
        <v>41753.356377314813</v>
      </c>
      <c r="O497" s="4"/>
      <c r="P497" s="3" t="s">
        <v>6791</v>
      </c>
      <c r="Q497" s="10" t="s">
        <v>6790</v>
      </c>
      <c r="R497" s="4"/>
      <c r="S497" s="9" t="str">
        <f>HYPERLINK("https://pbs.twimg.com/profile_images/1038475874797060098/1X1cn-OW.jpg","View")</f>
        <v>View</v>
      </c>
    </row>
    <row r="498" spans="1:19" ht="20">
      <c r="A498" s="8">
        <v>43371.013923611114</v>
      </c>
      <c r="B498" s="11" t="str">
        <f>HYPERLINK("https://twitter.com/M84857172","@M84857172")</f>
        <v>@M84857172</v>
      </c>
      <c r="C498" s="6" t="s">
        <v>6789</v>
      </c>
      <c r="D498" s="5" t="s">
        <v>6788</v>
      </c>
      <c r="E498" s="9" t="str">
        <f>HYPERLINK("https://twitter.com/M84857172/status/1045415292481007616","1045415292481007616")</f>
        <v>1045415292481007616</v>
      </c>
      <c r="F498" s="4"/>
      <c r="G498" s="4"/>
      <c r="H498" s="4"/>
      <c r="I498" s="10" t="str">
        <f>HYPERLINK("http://twitter.com/download/android","Twitter for Android")</f>
        <v>Twitter for Android</v>
      </c>
      <c r="J498" s="2">
        <v>32</v>
      </c>
      <c r="K498" s="2">
        <v>34</v>
      </c>
      <c r="L498" s="2">
        <v>0</v>
      </c>
      <c r="M498" s="2"/>
      <c r="N498" s="8">
        <v>43361.929340277777</v>
      </c>
      <c r="O498" s="4" t="s">
        <v>2701</v>
      </c>
      <c r="P498" s="3" t="s">
        <v>6787</v>
      </c>
      <c r="Q498" s="4"/>
      <c r="R498" s="4"/>
      <c r="S498" s="9" t="str">
        <f>HYPERLINK("https://pbs.twimg.com/profile_images/1042110068638928898/N6y3nk6Q.jpg","View")</f>
        <v>View</v>
      </c>
    </row>
    <row r="499" spans="1:19" ht="20">
      <c r="A499" s="8">
        <v>43371.012962962966</v>
      </c>
      <c r="B499" s="11" t="str">
        <f>HYPERLINK("https://twitter.com/rasoul7293","@rasoul7293")</f>
        <v>@rasoul7293</v>
      </c>
      <c r="C499" s="6" t="s">
        <v>6786</v>
      </c>
      <c r="D499" s="5" t="s">
        <v>6785</v>
      </c>
      <c r="E499" s="9" t="str">
        <f>HYPERLINK("https://twitter.com/rasoul7293/status/1045414943644897280","1045414943644897280")</f>
        <v>1045414943644897280</v>
      </c>
      <c r="F499" s="4"/>
      <c r="G499" s="10" t="s">
        <v>6784</v>
      </c>
      <c r="H499" s="4"/>
      <c r="I499" s="10" t="str">
        <f>HYPERLINK("http://twitter.com/download/iphone","Twitter for iPhone")</f>
        <v>Twitter for iPhone</v>
      </c>
      <c r="J499" s="2">
        <v>247</v>
      </c>
      <c r="K499" s="2">
        <v>489</v>
      </c>
      <c r="L499" s="2">
        <v>1</v>
      </c>
      <c r="M499" s="2"/>
      <c r="N499" s="8">
        <v>40983.01730324074</v>
      </c>
      <c r="O499" s="4" t="s">
        <v>200</v>
      </c>
      <c r="P499" s="3" t="s">
        <v>6783</v>
      </c>
      <c r="Q499" s="4"/>
      <c r="R499" s="4"/>
      <c r="S499" s="9" t="str">
        <f>HYPERLINK("https://pbs.twimg.com/profile_images/1011199561484984321/yHlUjQVH.jpg","View")</f>
        <v>View</v>
      </c>
    </row>
    <row r="500" spans="1:19" ht="20">
      <c r="A500" s="8">
        <v>43371.010983796295</v>
      </c>
      <c r="B500" s="11" t="str">
        <f>HYPERLINK("https://twitter.com/mehdi31075","@mehdi31075")</f>
        <v>@mehdi31075</v>
      </c>
      <c r="C500" s="6" t="s">
        <v>6782</v>
      </c>
      <c r="D500" s="5" t="s">
        <v>6781</v>
      </c>
      <c r="E500" s="9" t="str">
        <f>HYPERLINK("https://twitter.com/mehdi31075/status/1045414226200866816","1045414226200866816")</f>
        <v>1045414226200866816</v>
      </c>
      <c r="F500" s="4"/>
      <c r="G500" s="4"/>
      <c r="H500" s="4"/>
      <c r="I500" s="10" t="str">
        <f>HYPERLINK("http://twitter.com/download/android","Twitter for Android")</f>
        <v>Twitter for Android</v>
      </c>
      <c r="J500" s="2">
        <v>134</v>
      </c>
      <c r="K500" s="2">
        <v>286</v>
      </c>
      <c r="L500" s="2">
        <v>1</v>
      </c>
      <c r="M500" s="2"/>
      <c r="N500" s="8">
        <v>42716.129502314812</v>
      </c>
      <c r="O500" s="4" t="s">
        <v>254</v>
      </c>
      <c r="P500" s="3" t="s">
        <v>6780</v>
      </c>
      <c r="Q500" s="4"/>
      <c r="R500" s="4"/>
      <c r="S500" s="9" t="str">
        <f>HYPERLINK("https://pbs.twimg.com/profile_images/1044686568349474817/3jpW4Y1H.jpg","View")</f>
        <v>View</v>
      </c>
    </row>
    <row r="501" spans="1:19" ht="20">
      <c r="A501" s="8">
        <v>43371.009895833333</v>
      </c>
      <c r="B501" s="11" t="str">
        <f>HYPERLINK("https://twitter.com/rez65bah","@rez65bah")</f>
        <v>@rez65bah</v>
      </c>
      <c r="C501" s="6" t="s">
        <v>6779</v>
      </c>
      <c r="D501" s="5" t="s">
        <v>6778</v>
      </c>
      <c r="E501" s="9" t="str">
        <f>HYPERLINK("https://twitter.com/rez65bah/status/1045413833853071362","1045413833853071362")</f>
        <v>1045413833853071362</v>
      </c>
      <c r="F501" s="4"/>
      <c r="G501" s="10" t="s">
        <v>6777</v>
      </c>
      <c r="H501" s="4"/>
      <c r="I501" s="10" t="str">
        <f>HYPERLINK("http://twitter.com/download/iphone","Twitter for iPhone")</f>
        <v>Twitter for iPhone</v>
      </c>
      <c r="J501" s="2">
        <v>2081</v>
      </c>
      <c r="K501" s="2">
        <v>951</v>
      </c>
      <c r="L501" s="2">
        <v>8</v>
      </c>
      <c r="M501" s="2"/>
      <c r="N501" s="8">
        <v>42815.058252314819</v>
      </c>
      <c r="O501" s="4"/>
      <c r="P501" s="3" t="s">
        <v>6776</v>
      </c>
      <c r="Q501" s="4"/>
      <c r="R501" s="4"/>
      <c r="S501" s="9" t="str">
        <f>HYPERLINK("https://pbs.twimg.com/profile_images/1017918964406673410/fbzsZBq-.jpg","View")</f>
        <v>View</v>
      </c>
    </row>
    <row r="502" spans="1:19" ht="20">
      <c r="A502" s="8">
        <v>43371.009675925925</v>
      </c>
      <c r="B502" s="11" t="str">
        <f>HYPERLINK("https://twitter.com/john_wick007x","@john_wick007x")</f>
        <v>@john_wick007x</v>
      </c>
      <c r="C502" s="6" t="s">
        <v>6775</v>
      </c>
      <c r="D502" s="5" t="s">
        <v>6774</v>
      </c>
      <c r="E502" s="9" t="str">
        <f>HYPERLINK("https://twitter.com/john_wick007x/status/1045413755520253953","1045413755520253953")</f>
        <v>1045413755520253953</v>
      </c>
      <c r="F502" s="4"/>
      <c r="G502" s="10" t="s">
        <v>6773</v>
      </c>
      <c r="H502" s="4"/>
      <c r="I502" s="10" t="str">
        <f>HYPERLINK("http://twitter.com/download/android","Twitter for Android")</f>
        <v>Twitter for Android</v>
      </c>
      <c r="J502" s="2">
        <v>413</v>
      </c>
      <c r="K502" s="2">
        <v>463</v>
      </c>
      <c r="L502" s="2">
        <v>0</v>
      </c>
      <c r="M502" s="2"/>
      <c r="N502" s="8">
        <v>41271.921018518522</v>
      </c>
      <c r="O502" s="4" t="s">
        <v>6772</v>
      </c>
      <c r="P502" s="3" t="s">
        <v>6771</v>
      </c>
      <c r="Q502" s="4"/>
      <c r="R502" s="4"/>
      <c r="S502" s="9" t="str">
        <f>HYPERLINK("https://pbs.twimg.com/profile_images/1043275381883764737/XHFWkb3M.jpg","View")</f>
        <v>View</v>
      </c>
    </row>
    <row r="503" spans="1:19" ht="20">
      <c r="A503" s="8">
        <v>43371.008703703701</v>
      </c>
      <c r="B503" s="11" t="str">
        <f>HYPERLINK("https://twitter.com/aghgara","@aghgara")</f>
        <v>@aghgara</v>
      </c>
      <c r="C503" s="6" t="s">
        <v>6770</v>
      </c>
      <c r="D503" s="5" t="s">
        <v>6769</v>
      </c>
      <c r="E503" s="9" t="str">
        <f>HYPERLINK("https://twitter.com/aghgara/status/1045413403270017024","1045413403270017024")</f>
        <v>1045413403270017024</v>
      </c>
      <c r="F503" s="4"/>
      <c r="G503" s="4"/>
      <c r="H503" s="4"/>
      <c r="I503" s="10" t="str">
        <f>HYPERLINK("http://twitter.com/download/android","Twitter for Android")</f>
        <v>Twitter for Android</v>
      </c>
      <c r="J503" s="2">
        <v>141</v>
      </c>
      <c r="K503" s="2">
        <v>109</v>
      </c>
      <c r="L503" s="2">
        <v>0</v>
      </c>
      <c r="M503" s="2"/>
      <c r="N503" s="8">
        <v>43104.87835648148</v>
      </c>
      <c r="O503" s="4" t="s">
        <v>6768</v>
      </c>
      <c r="P503" s="3" t="s">
        <v>6767</v>
      </c>
      <c r="Q503" s="4"/>
      <c r="R503" s="4"/>
      <c r="S503" s="9" t="str">
        <f>HYPERLINK("https://pbs.twimg.com/profile_images/1031895113637588996/EKJN1qDw.jpg","View")</f>
        <v>View</v>
      </c>
    </row>
    <row r="504" spans="1:19" ht="20">
      <c r="A504" s="8">
        <v>43371.008194444439</v>
      </c>
      <c r="B504" s="11" t="str">
        <f>HYPERLINK("https://twitter.com/berindar_83","@berindar_83")</f>
        <v>@berindar_83</v>
      </c>
      <c r="C504" s="6" t="s">
        <v>6766</v>
      </c>
      <c r="D504" s="5" t="s">
        <v>6765</v>
      </c>
      <c r="E504" s="9" t="str">
        <f>HYPERLINK("https://twitter.com/berindar_83/status/1045413215906275330","1045413215906275330")</f>
        <v>1045413215906275330</v>
      </c>
      <c r="F504" s="4"/>
      <c r="G504" s="10" t="s">
        <v>6764</v>
      </c>
      <c r="H504" s="4"/>
      <c r="I504" s="10" t="str">
        <f>HYPERLINK("http://twitter.com/download/android","Twitter for Android")</f>
        <v>Twitter for Android</v>
      </c>
      <c r="J504" s="2">
        <v>2180</v>
      </c>
      <c r="K504" s="2">
        <v>2188</v>
      </c>
      <c r="L504" s="2">
        <v>4</v>
      </c>
      <c r="M504" s="2"/>
      <c r="N504" s="8">
        <v>42860.723715277782</v>
      </c>
      <c r="O504" s="4"/>
      <c r="P504" s="3" t="s">
        <v>6763</v>
      </c>
      <c r="Q504" s="4"/>
      <c r="R504" s="4"/>
      <c r="S504" s="9" t="str">
        <f>HYPERLINK("https://pbs.twimg.com/profile_images/1014984681425645569/YwMRAFHu.jpg","View")</f>
        <v>View</v>
      </c>
    </row>
    <row r="505" spans="1:19" ht="20">
      <c r="A505" s="8">
        <v>43371.007708333331</v>
      </c>
      <c r="B505" s="11" t="str">
        <f>HYPERLINK("https://twitter.com/ali_sharifzade","@ali_sharifzade")</f>
        <v>@ali_sharifzade</v>
      </c>
      <c r="C505" s="6" t="s">
        <v>6762</v>
      </c>
      <c r="D505" s="5" t="s">
        <v>6761</v>
      </c>
      <c r="E505" s="9" t="str">
        <f>HYPERLINK("https://twitter.com/ali_sharifzade/status/1045413041481949184","1045413041481949184")</f>
        <v>1045413041481949184</v>
      </c>
      <c r="F505" s="4"/>
      <c r="G505" s="10" t="s">
        <v>6760</v>
      </c>
      <c r="H505" s="4"/>
      <c r="I505" s="10" t="str">
        <f>HYPERLINK("http://twitter.com/download/iphone","Twitter for iPhone")</f>
        <v>Twitter for iPhone</v>
      </c>
      <c r="J505" s="2">
        <v>147</v>
      </c>
      <c r="K505" s="2">
        <v>170</v>
      </c>
      <c r="L505" s="2">
        <v>0</v>
      </c>
      <c r="M505" s="2"/>
      <c r="N505" s="8">
        <v>41388.665185185186</v>
      </c>
      <c r="O505" s="4" t="s">
        <v>311</v>
      </c>
      <c r="P505" s="3" t="s">
        <v>6759</v>
      </c>
      <c r="Q505" s="10" t="s">
        <v>6758</v>
      </c>
      <c r="R505" s="4"/>
      <c r="S505" s="9" t="str">
        <f>HYPERLINK("https://pbs.twimg.com/profile_images/997925497052057601/ty88LEM9.jpg","View")</f>
        <v>View</v>
      </c>
    </row>
    <row r="506" spans="1:19" ht="20">
      <c r="A506" s="8">
        <v>43371.007534722223</v>
      </c>
      <c r="B506" s="11" t="str">
        <f>HYPERLINK("https://twitter.com/sorosh37","@sorosh37")</f>
        <v>@sorosh37</v>
      </c>
      <c r="C506" s="6" t="s">
        <v>6039</v>
      </c>
      <c r="D506" s="5" t="s">
        <v>6757</v>
      </c>
      <c r="E506" s="9" t="str">
        <f>HYPERLINK("https://twitter.com/sorosh37/status/1045412979041284102","1045412979041284102")</f>
        <v>1045412979041284102</v>
      </c>
      <c r="F506" s="4"/>
      <c r="G506" s="4"/>
      <c r="H506" s="4"/>
      <c r="I506" s="10" t="str">
        <f>HYPERLINK("https://mobile.twitter.com","Twitter Lite")</f>
        <v>Twitter Lite</v>
      </c>
      <c r="J506" s="2">
        <v>382</v>
      </c>
      <c r="K506" s="2">
        <v>150</v>
      </c>
      <c r="L506" s="2">
        <v>0</v>
      </c>
      <c r="M506" s="2"/>
      <c r="N506" s="8">
        <v>43080.071805555555</v>
      </c>
      <c r="O506" s="4" t="s">
        <v>6037</v>
      </c>
      <c r="P506" s="3" t="s">
        <v>6756</v>
      </c>
      <c r="Q506" s="4"/>
      <c r="R506" s="4"/>
      <c r="S506" s="9" t="str">
        <f>HYPERLINK("https://pbs.twimg.com/profile_images/1037339806295109632/AY4_4oDL.jpg","View")</f>
        <v>View</v>
      </c>
    </row>
    <row r="507" spans="1:19" ht="20">
      <c r="A507" s="8">
        <v>43371.007106481484</v>
      </c>
      <c r="B507" s="11" t="str">
        <f>HYPERLINK("https://twitter.com/boorboor19","@boorboor19")</f>
        <v>@boorboor19</v>
      </c>
      <c r="C507" s="6" t="s">
        <v>6755</v>
      </c>
      <c r="D507" s="5" t="s">
        <v>6754</v>
      </c>
      <c r="E507" s="9" t="str">
        <f>HYPERLINK("https://twitter.com/boorboor19/status/1045412822501462016","1045412822501462016")</f>
        <v>1045412822501462016</v>
      </c>
      <c r="F507" s="4"/>
      <c r="G507" s="4"/>
      <c r="H507" s="4"/>
      <c r="I507" s="10" t="str">
        <f>HYPERLINK("http://twitter.com/download/iphone","Twitter for iPhone")</f>
        <v>Twitter for iPhone</v>
      </c>
      <c r="J507" s="2">
        <v>16</v>
      </c>
      <c r="K507" s="2">
        <v>36</v>
      </c>
      <c r="L507" s="2">
        <v>0</v>
      </c>
      <c r="M507" s="2"/>
      <c r="N507" s="8">
        <v>41635.514525462961</v>
      </c>
      <c r="O507" s="4" t="s">
        <v>6753</v>
      </c>
      <c r="P507" s="3" t="s">
        <v>6752</v>
      </c>
      <c r="Q507" s="4"/>
      <c r="R507" s="4"/>
      <c r="S507" s="9" t="str">
        <f>HYPERLINK("https://pbs.twimg.com/profile_images/1040143621587169282/ZTJJlpr_.jpg","View")</f>
        <v>View</v>
      </c>
    </row>
    <row r="508" spans="1:19" ht="30">
      <c r="A508" s="8">
        <v>43371.007106481484</v>
      </c>
      <c r="B508" s="11" t="str">
        <f>HYPERLINK("https://twitter.com/mhmehrzad","@mhmehrzad")</f>
        <v>@mhmehrzad</v>
      </c>
      <c r="C508" s="6" t="s">
        <v>6751</v>
      </c>
      <c r="D508" s="5" t="s">
        <v>6750</v>
      </c>
      <c r="E508" s="9" t="str">
        <f>HYPERLINK("https://twitter.com/mhmehrzad/status/1045412822325309440","1045412822325309440")</f>
        <v>1045412822325309440</v>
      </c>
      <c r="F508" s="4"/>
      <c r="G508" s="4"/>
      <c r="H508" s="4"/>
      <c r="I508" s="10" t="str">
        <f>HYPERLINK("http://twitter.com/download/iphone","Twitter for iPhone")</f>
        <v>Twitter for iPhone</v>
      </c>
      <c r="J508" s="2">
        <v>5654</v>
      </c>
      <c r="K508" s="2">
        <v>456</v>
      </c>
      <c r="L508" s="2">
        <v>42</v>
      </c>
      <c r="M508" s="2"/>
      <c r="N508" s="8">
        <v>41175.759548611109</v>
      </c>
      <c r="O508" s="4" t="s">
        <v>311</v>
      </c>
      <c r="P508" s="3" t="s">
        <v>5988</v>
      </c>
      <c r="Q508" s="4"/>
      <c r="R508" s="4"/>
      <c r="S508" s="9" t="str">
        <f>HYPERLINK("https://pbs.twimg.com/profile_images/714800560168419329/TTMOiEt5.jpg","View")</f>
        <v>View</v>
      </c>
    </row>
    <row r="509" spans="1:19" ht="12.5">
      <c r="A509" s="8">
        <v>43371.006400462968</v>
      </c>
      <c r="B509" s="11" t="str">
        <f>HYPERLINK("https://twitter.com/Masoud77404261","@Masoud77404261")</f>
        <v>@Masoud77404261</v>
      </c>
      <c r="C509" s="6" t="s">
        <v>3064</v>
      </c>
      <c r="D509" s="5" t="s">
        <v>6749</v>
      </c>
      <c r="E509" s="9" t="str">
        <f>HYPERLINK("https://twitter.com/Masoud77404261/status/1045412566946775041","1045412566946775041")</f>
        <v>1045412566946775041</v>
      </c>
      <c r="F509" s="4"/>
      <c r="G509" s="4"/>
      <c r="H509" s="4"/>
      <c r="I509" s="10" t="str">
        <f>HYPERLINK("http://twitter.com/download/android","Twitter for Android")</f>
        <v>Twitter for Android</v>
      </c>
      <c r="J509" s="2">
        <v>281</v>
      </c>
      <c r="K509" s="2">
        <v>433</v>
      </c>
      <c r="L509" s="2">
        <v>1</v>
      </c>
      <c r="M509" s="2"/>
      <c r="N509" s="8">
        <v>43333.67386574074</v>
      </c>
      <c r="O509" s="4" t="s">
        <v>6748</v>
      </c>
      <c r="P509" s="3" t="s">
        <v>6747</v>
      </c>
      <c r="Q509" s="4"/>
      <c r="R509" s="4"/>
      <c r="S509" s="9" t="str">
        <f>HYPERLINK("https://pbs.twimg.com/profile_images/1031914662063820800/vJE58XI1.jpg","View")</f>
        <v>View</v>
      </c>
    </row>
    <row r="510" spans="1:19" ht="12.5">
      <c r="A510" s="8">
        <v>43371.006041666667</v>
      </c>
      <c r="B510" s="11" t="str">
        <f>HYPERLINK("https://twitter.com/sedfarbot","@sedfarbot")</f>
        <v>@sedfarbot</v>
      </c>
      <c r="C510" s="6" t="s">
        <v>5773</v>
      </c>
      <c r="D510" s="5" t="s">
        <v>6746</v>
      </c>
      <c r="E510" s="9" t="str">
        <f>HYPERLINK("https://twitter.com/sedfarbot/status/1045412435430133761","1045412435430133761")</f>
        <v>1045412435430133761</v>
      </c>
      <c r="F510" s="4"/>
      <c r="G510" s="4"/>
      <c r="H510" s="4"/>
      <c r="I510" s="10" t="str">
        <f>HYPERLINK("http://twitter.com/download/android","Twitter for Android")</f>
        <v>Twitter for Android</v>
      </c>
      <c r="J510" s="2">
        <v>121</v>
      </c>
      <c r="K510" s="2">
        <v>121</v>
      </c>
      <c r="L510" s="2">
        <v>0</v>
      </c>
      <c r="M510" s="2"/>
      <c r="N510" s="8">
        <v>43215.200416666667</v>
      </c>
      <c r="O510" s="4" t="s">
        <v>594</v>
      </c>
      <c r="P510" s="3"/>
      <c r="Q510" s="4"/>
      <c r="R510" s="4"/>
      <c r="S510" s="9" t="str">
        <f>HYPERLINK("https://pbs.twimg.com/profile_images/1027021311422484483/CXYkRN6P.jpg","View")</f>
        <v>View</v>
      </c>
    </row>
    <row r="511" spans="1:19" ht="20">
      <c r="A511" s="8">
        <v>43371.004687499997</v>
      </c>
      <c r="B511" s="11" t="str">
        <f>HYPERLINK("https://twitter.com/alidadaaaaaa","@alidadaaaaaa")</f>
        <v>@alidadaaaaaa</v>
      </c>
      <c r="C511" s="6" t="s">
        <v>2144</v>
      </c>
      <c r="D511" s="5" t="s">
        <v>6745</v>
      </c>
      <c r="E511" s="9" t="str">
        <f>HYPERLINK("https://twitter.com/alidadaaaaaa/status/1045411945602527235","1045411945602527235")</f>
        <v>1045411945602527235</v>
      </c>
      <c r="F511" s="4"/>
      <c r="G511" s="4"/>
      <c r="H511" s="4"/>
      <c r="I511" s="10" t="str">
        <f>HYPERLINK("http://twitter.com/download/iphone","Twitter for iPhone")</f>
        <v>Twitter for iPhone</v>
      </c>
      <c r="J511" s="2">
        <v>10</v>
      </c>
      <c r="K511" s="2">
        <v>77</v>
      </c>
      <c r="L511" s="2">
        <v>0</v>
      </c>
      <c r="M511" s="2"/>
      <c r="N511" s="8">
        <v>43367.972395833334</v>
      </c>
      <c r="O511" s="4"/>
      <c r="P511" s="3"/>
      <c r="Q511" s="4"/>
      <c r="R511" s="4"/>
      <c r="S511" s="9" t="str">
        <f>HYPERLINK("https://pbs.twimg.com/profile_images/1044316091311419392/sFG9SMB3.jpg","View")</f>
        <v>View</v>
      </c>
    </row>
    <row r="512" spans="1:19" ht="20">
      <c r="A512" s="8">
        <v>43371.004490740743</v>
      </c>
      <c r="B512" s="11" t="str">
        <f>HYPERLINK("https://twitter.com/Roozbeh_rm","@Roozbeh_rm")</f>
        <v>@Roozbeh_rm</v>
      </c>
      <c r="C512" s="6" t="s">
        <v>3511</v>
      </c>
      <c r="D512" s="5" t="s">
        <v>6744</v>
      </c>
      <c r="E512" s="9" t="str">
        <f>HYPERLINK("https://twitter.com/Roozbeh_rm/status/1045411876677595138","1045411876677595138")</f>
        <v>1045411876677595138</v>
      </c>
      <c r="F512" s="4"/>
      <c r="G512" s="4"/>
      <c r="H512" s="4"/>
      <c r="I512" s="10" t="str">
        <f>HYPERLINK("http://twitter.com/download/android","Twitter for Android")</f>
        <v>Twitter for Android</v>
      </c>
      <c r="J512" s="2">
        <v>218</v>
      </c>
      <c r="K512" s="2">
        <v>276</v>
      </c>
      <c r="L512" s="2">
        <v>1</v>
      </c>
      <c r="M512" s="2"/>
      <c r="N512" s="8">
        <v>43262.722303240742</v>
      </c>
      <c r="O512" s="4" t="s">
        <v>3509</v>
      </c>
      <c r="P512" s="3" t="s">
        <v>3508</v>
      </c>
      <c r="Q512" s="4"/>
      <c r="R512" s="4"/>
      <c r="S512" s="9" t="str">
        <f>HYPERLINK("https://pbs.twimg.com/profile_images/1045363975779573761/Ds38fhTD.jpg","View")</f>
        <v>View</v>
      </c>
    </row>
    <row r="513" spans="1:19" ht="30">
      <c r="A513" s="8">
        <v>43371.003877314812</v>
      </c>
      <c r="B513" s="11" t="str">
        <f>HYPERLINK("https://twitter.com/dreamlizaard","@dreamlizaard")</f>
        <v>@dreamlizaard</v>
      </c>
      <c r="C513" s="6" t="s">
        <v>6743</v>
      </c>
      <c r="D513" s="5" t="s">
        <v>6742</v>
      </c>
      <c r="E513" s="9" t="str">
        <f>HYPERLINK("https://twitter.com/dreamlizaard/status/1045411652810756096","1045411652810756096")</f>
        <v>1045411652810756096</v>
      </c>
      <c r="F513" s="4"/>
      <c r="G513" s="4"/>
      <c r="H513" s="4"/>
      <c r="I513" s="10" t="str">
        <f>HYPERLINK("http://twitter.com/download/iphone","Twitter for iPhone")</f>
        <v>Twitter for iPhone</v>
      </c>
      <c r="J513" s="2">
        <v>31</v>
      </c>
      <c r="K513" s="2">
        <v>151</v>
      </c>
      <c r="L513" s="2">
        <v>0</v>
      </c>
      <c r="M513" s="2"/>
      <c r="N513" s="8">
        <v>42936.734780092593</v>
      </c>
      <c r="O513" s="4"/>
      <c r="P513" s="3" t="s">
        <v>6741</v>
      </c>
      <c r="Q513" s="4"/>
      <c r="R513" s="4"/>
      <c r="S513" s="9" t="str">
        <f>HYPERLINK("https://pbs.twimg.com/profile_images/898235823803449345/kPtBZMTT.jpg","View")</f>
        <v>View</v>
      </c>
    </row>
    <row r="514" spans="1:19" ht="20">
      <c r="A514" s="8">
        <v>43371.00371527778</v>
      </c>
      <c r="B514" s="11" t="str">
        <f>HYPERLINK("https://twitter.com/nilsenalism","@nilsenalism")</f>
        <v>@nilsenalism</v>
      </c>
      <c r="C514" s="6" t="s">
        <v>6740</v>
      </c>
      <c r="D514" s="5" t="s">
        <v>6739</v>
      </c>
      <c r="E514" s="9" t="str">
        <f>HYPERLINK("https://twitter.com/nilsenalism/status/1045411593402687489","1045411593402687489")</f>
        <v>1045411593402687489</v>
      </c>
      <c r="F514" s="4"/>
      <c r="G514" s="4"/>
      <c r="H514" s="4"/>
      <c r="I514" s="10" t="str">
        <f>HYPERLINK("http://twitter.com/download/android","Twitter for Android")</f>
        <v>Twitter for Android</v>
      </c>
      <c r="J514" s="2">
        <v>3</v>
      </c>
      <c r="K514" s="2">
        <v>9</v>
      </c>
      <c r="L514" s="2">
        <v>0</v>
      </c>
      <c r="M514" s="2"/>
      <c r="N514" s="8">
        <v>43158.609490740739</v>
      </c>
      <c r="O514" s="4" t="s">
        <v>254</v>
      </c>
      <c r="P514" s="3"/>
      <c r="Q514" s="4"/>
      <c r="R514" s="4"/>
      <c r="S514" s="9" t="str">
        <f>HYPERLINK("https://pbs.twimg.com/profile_images/968507643991154689/MWCaFGCa.jpg","View")</f>
        <v>View</v>
      </c>
    </row>
    <row r="515" spans="1:19" ht="30">
      <c r="A515" s="8">
        <v>43371.003229166672</v>
      </c>
      <c r="B515" s="11" t="str">
        <f>HYPERLINK("https://twitter.com/Molaei4","@Molaei4")</f>
        <v>@Molaei4</v>
      </c>
      <c r="C515" s="6" t="s">
        <v>6738</v>
      </c>
      <c r="D515" s="5" t="s">
        <v>6737</v>
      </c>
      <c r="E515" s="9" t="str">
        <f>HYPERLINK("https://twitter.com/Molaei4/status/1045411417610948608","1045411417610948608")</f>
        <v>1045411417610948608</v>
      </c>
      <c r="F515" s="4"/>
      <c r="G515" s="10" t="s">
        <v>6736</v>
      </c>
      <c r="H515" s="4"/>
      <c r="I515" s="10" t="str">
        <f>HYPERLINK("http://twitter.com/download/android","Twitter for Android")</f>
        <v>Twitter for Android</v>
      </c>
      <c r="J515" s="2">
        <v>1568</v>
      </c>
      <c r="K515" s="2">
        <v>2328</v>
      </c>
      <c r="L515" s="2">
        <v>2</v>
      </c>
      <c r="M515" s="2"/>
      <c r="N515" s="8">
        <v>43112.366296296299</v>
      </c>
      <c r="O515" s="4"/>
      <c r="P515" s="3" t="s">
        <v>6735</v>
      </c>
      <c r="Q515" s="4"/>
      <c r="R515" s="4"/>
      <c r="S515" s="9" t="str">
        <f>HYPERLINK("https://pbs.twimg.com/profile_images/1020967384465756160/67n3YVRk.jpg","View")</f>
        <v>View</v>
      </c>
    </row>
    <row r="516" spans="1:19" ht="20">
      <c r="A516" s="8">
        <v>43371.002372685187</v>
      </c>
      <c r="B516" s="11" t="str">
        <f>HYPERLINK("https://twitter.com/iranshafaqna","@iranshafaqna")</f>
        <v>@iranshafaqna</v>
      </c>
      <c r="C516" s="6" t="s">
        <v>112</v>
      </c>
      <c r="D516" s="5" t="s">
        <v>6734</v>
      </c>
      <c r="E516" s="9" t="str">
        <f>HYPERLINK("https://twitter.com/iranshafaqna/status/1045411105907060736","1045411105907060736")</f>
        <v>1045411105907060736</v>
      </c>
      <c r="F516" s="10" t="s">
        <v>6733</v>
      </c>
      <c r="G516" s="10" t="s">
        <v>6732</v>
      </c>
      <c r="H516" s="4"/>
      <c r="I516" s="10" t="str">
        <f>HYPERLINK("http://fa.shafaqna.com/","Shafaqna")</f>
        <v>Shafaqna</v>
      </c>
      <c r="J516" s="2">
        <v>21</v>
      </c>
      <c r="K516" s="2">
        <v>43</v>
      </c>
      <c r="L516" s="2">
        <v>1</v>
      </c>
      <c r="M516" s="2"/>
      <c r="N516" s="8">
        <v>43234.974131944444</v>
      </c>
      <c r="O516" s="4" t="s">
        <v>62</v>
      </c>
      <c r="P516" s="3" t="s">
        <v>108</v>
      </c>
      <c r="Q516" s="4"/>
      <c r="R516" s="4"/>
      <c r="S516" s="9" t="str">
        <f>HYPERLINK("https://pbs.twimg.com/profile_images/996103781715730437/Lj7-UX3-.jpg","View")</f>
        <v>View</v>
      </c>
    </row>
    <row r="517" spans="1:19" ht="20">
      <c r="A517" s="8">
        <v>43371.0003587963</v>
      </c>
      <c r="B517" s="11" t="str">
        <f>HYPERLINK("https://twitter.com/msfenderski","@msfenderski")</f>
        <v>@msfenderski</v>
      </c>
      <c r="C517" s="6" t="s">
        <v>6731</v>
      </c>
      <c r="D517" s="5" t="s">
        <v>6730</v>
      </c>
      <c r="E517" s="9" t="str">
        <f>HYPERLINK("https://twitter.com/msfenderski/status/1045410379281702912","1045410379281702912")</f>
        <v>1045410379281702912</v>
      </c>
      <c r="F517" s="4"/>
      <c r="G517" s="10" t="s">
        <v>6729</v>
      </c>
      <c r="H517" s="4"/>
      <c r="I517" s="10" t="str">
        <f>HYPERLINK("http://twitter.com/download/iphone","Twitter for iPhone")</f>
        <v>Twitter for iPhone</v>
      </c>
      <c r="J517" s="2">
        <v>771</v>
      </c>
      <c r="K517" s="2">
        <v>337</v>
      </c>
      <c r="L517" s="2">
        <v>7</v>
      </c>
      <c r="M517" s="2"/>
      <c r="N517" s="8">
        <v>42386.412974537037</v>
      </c>
      <c r="O517" s="4"/>
      <c r="P517" s="3" t="s">
        <v>6728</v>
      </c>
      <c r="Q517" s="4"/>
      <c r="R517" s="4"/>
      <c r="S517" s="9" t="str">
        <f>HYPERLINK("https://pbs.twimg.com/profile_images/1013904783596507137/kd9JyRrR.jpg","View")</f>
        <v>View</v>
      </c>
    </row>
    <row r="518" spans="1:19" ht="50">
      <c r="A518" s="8">
        <v>43370.999398148153</v>
      </c>
      <c r="B518" s="11" t="str">
        <f>HYPERLINK("https://twitter.com/havariyon13","@havariyon13")</f>
        <v>@havariyon13</v>
      </c>
      <c r="C518" s="6" t="s">
        <v>6713</v>
      </c>
      <c r="D518" s="5" t="s">
        <v>6727</v>
      </c>
      <c r="E518" s="9" t="str">
        <f>HYPERLINK("https://twitter.com/havariyon13/status/1045410031204802563","1045410031204802563")</f>
        <v>1045410031204802563</v>
      </c>
      <c r="F518" s="4"/>
      <c r="G518" s="4"/>
      <c r="H518" s="4"/>
      <c r="I518" s="10" t="str">
        <f>HYPERLINK("http://twitter.com/download/android","Twitter for Android")</f>
        <v>Twitter for Android</v>
      </c>
      <c r="J518" s="2">
        <v>20</v>
      </c>
      <c r="K518" s="2">
        <v>56</v>
      </c>
      <c r="L518" s="2">
        <v>0</v>
      </c>
      <c r="M518" s="2"/>
      <c r="N518" s="8">
        <v>43343.981226851851</v>
      </c>
      <c r="O518" s="4"/>
      <c r="P518" s="3"/>
      <c r="Q518" s="4"/>
      <c r="R518" s="4"/>
      <c r="S518" s="2" t="s">
        <v>259</v>
      </c>
    </row>
    <row r="519" spans="1:19" ht="30">
      <c r="A519" s="8">
        <v>43370.999212962968</v>
      </c>
      <c r="B519" s="11" t="str">
        <f>HYPERLINK("https://twitter.com/Pire_Moqan","@Pire_Moqan")</f>
        <v>@Pire_Moqan</v>
      </c>
      <c r="C519" s="6" t="s">
        <v>6726</v>
      </c>
      <c r="D519" s="5" t="s">
        <v>6725</v>
      </c>
      <c r="E519" s="9" t="str">
        <f>HYPERLINK("https://twitter.com/Pire_Moqan/status/1045409963957399552","1045409963957399552")</f>
        <v>1045409963957399552</v>
      </c>
      <c r="F519" s="10" t="s">
        <v>6724</v>
      </c>
      <c r="G519" s="4"/>
      <c r="H519" s="4"/>
      <c r="I519" s="10" t="str">
        <f>HYPERLINK("http://twitter.com/download/android","Twitter for Android")</f>
        <v>Twitter for Android</v>
      </c>
      <c r="J519" s="2">
        <v>255</v>
      </c>
      <c r="K519" s="2">
        <v>162</v>
      </c>
      <c r="L519" s="2">
        <v>0</v>
      </c>
      <c r="M519" s="2"/>
      <c r="N519" s="8">
        <v>43291.385312500002</v>
      </c>
      <c r="O519" s="4" t="s">
        <v>6723</v>
      </c>
      <c r="P519" s="3" t="s">
        <v>6722</v>
      </c>
      <c r="Q519" s="4"/>
      <c r="R519" s="4"/>
      <c r="S519" s="9" t="str">
        <f>HYPERLINK("https://pbs.twimg.com/profile_images/1036142696514154496/Rb2LVLPs.jpg","View")</f>
        <v>View</v>
      </c>
    </row>
    <row r="520" spans="1:19" ht="40">
      <c r="A520" s="8">
        <v>43370.999166666668</v>
      </c>
      <c r="B520" s="11" t="str">
        <f>HYPERLINK("https://twitter.com/ehsan_cheraghi","@ehsan_cheraghi")</f>
        <v>@ehsan_cheraghi</v>
      </c>
      <c r="C520" s="6" t="s">
        <v>2106</v>
      </c>
      <c r="D520" s="5" t="s">
        <v>6721</v>
      </c>
      <c r="E520" s="9" t="str">
        <f>HYPERLINK("https://twitter.com/ehsan_cheraghi/status/1045409947675238402","1045409947675238402")</f>
        <v>1045409947675238402</v>
      </c>
      <c r="F520" s="4"/>
      <c r="G520" s="4"/>
      <c r="H520" s="4"/>
      <c r="I520" s="10" t="str">
        <f>HYPERLINK("http://twitter.com/download/android","Twitter for Android")</f>
        <v>Twitter for Android</v>
      </c>
      <c r="J520" s="2">
        <v>389</v>
      </c>
      <c r="K520" s="2">
        <v>368</v>
      </c>
      <c r="L520" s="2">
        <v>0</v>
      </c>
      <c r="M520" s="2"/>
      <c r="N520" s="8">
        <v>41306.649108796293</v>
      </c>
      <c r="O520" s="4"/>
      <c r="P520" s="3" t="s">
        <v>2104</v>
      </c>
      <c r="Q520" s="4"/>
      <c r="R520" s="4"/>
      <c r="S520" s="9" t="str">
        <f>HYPERLINK("https://pbs.twimg.com/profile_images/1011668002532622339/OSoaz6fi.jpg","View")</f>
        <v>View</v>
      </c>
    </row>
    <row r="521" spans="1:19" ht="20">
      <c r="A521" s="8">
        <v>43370.999120370368</v>
      </c>
      <c r="B521" s="11" t="str">
        <f>HYPERLINK("https://twitter.com/aminsalimi1998","@aminsalimi1998")</f>
        <v>@aminsalimi1998</v>
      </c>
      <c r="C521" s="6" t="s">
        <v>6720</v>
      </c>
      <c r="D521" s="5" t="s">
        <v>6719</v>
      </c>
      <c r="E521" s="9" t="str">
        <f>HYPERLINK("https://twitter.com/aminsalimi1998/status/1045409930604412929","1045409930604412929")</f>
        <v>1045409930604412929</v>
      </c>
      <c r="F521" s="4"/>
      <c r="G521" s="4"/>
      <c r="H521" s="4"/>
      <c r="I521" s="10" t="str">
        <f>HYPERLINK("http://twitter.com","Twitter Web Client")</f>
        <v>Twitter Web Client</v>
      </c>
      <c r="J521" s="2">
        <v>31</v>
      </c>
      <c r="K521" s="2">
        <v>320</v>
      </c>
      <c r="L521" s="2">
        <v>0</v>
      </c>
      <c r="M521" s="2"/>
      <c r="N521" s="8">
        <v>42875.094768518524</v>
      </c>
      <c r="O521" s="4" t="s">
        <v>6718</v>
      </c>
      <c r="P521" s="3" t="s">
        <v>6717</v>
      </c>
      <c r="Q521" s="4"/>
      <c r="R521" s="4"/>
      <c r="S521" s="9" t="str">
        <f>HYPERLINK("https://pbs.twimg.com/profile_images/991277974250024960/ZhCvdylK.jpg","View")</f>
        <v>View</v>
      </c>
    </row>
    <row r="522" spans="1:19" ht="50">
      <c r="A522" s="8">
        <v>43370.998981481476</v>
      </c>
      <c r="B522" s="11" t="str">
        <f>HYPERLINK("https://twitter.com/havariyon13","@havariyon13")</f>
        <v>@havariyon13</v>
      </c>
      <c r="C522" s="6" t="s">
        <v>6713</v>
      </c>
      <c r="D522" s="5" t="s">
        <v>6716</v>
      </c>
      <c r="E522" s="9" t="str">
        <f>HYPERLINK("https://twitter.com/havariyon13/status/1045409877298950144","1045409877298950144")</f>
        <v>1045409877298950144</v>
      </c>
      <c r="F522" s="4"/>
      <c r="G522" s="4"/>
      <c r="H522" s="4"/>
      <c r="I522" s="10" t="str">
        <f>HYPERLINK("http://twitter.com/download/android","Twitter for Android")</f>
        <v>Twitter for Android</v>
      </c>
      <c r="J522" s="2">
        <v>20</v>
      </c>
      <c r="K522" s="2">
        <v>56</v>
      </c>
      <c r="L522" s="2">
        <v>0</v>
      </c>
      <c r="M522" s="2"/>
      <c r="N522" s="8">
        <v>43343.981226851851</v>
      </c>
      <c r="O522" s="4"/>
      <c r="P522" s="3"/>
      <c r="Q522" s="4"/>
      <c r="R522" s="4"/>
      <c r="S522" s="2" t="s">
        <v>259</v>
      </c>
    </row>
    <row r="523" spans="1:19" ht="50">
      <c r="A523" s="8">
        <v>43370.998865740738</v>
      </c>
      <c r="B523" s="11" t="str">
        <f>HYPERLINK("https://twitter.com/havariyon13","@havariyon13")</f>
        <v>@havariyon13</v>
      </c>
      <c r="C523" s="6" t="s">
        <v>6713</v>
      </c>
      <c r="D523" s="5" t="s">
        <v>6715</v>
      </c>
      <c r="E523" s="9" t="str">
        <f>HYPERLINK("https://twitter.com/havariyon13/status/1045409836014424066","1045409836014424066")</f>
        <v>1045409836014424066</v>
      </c>
      <c r="F523" s="4"/>
      <c r="G523" s="4"/>
      <c r="H523" s="4"/>
      <c r="I523" s="10" t="str">
        <f>HYPERLINK("http://twitter.com/download/android","Twitter for Android")</f>
        <v>Twitter for Android</v>
      </c>
      <c r="J523" s="2">
        <v>20</v>
      </c>
      <c r="K523" s="2">
        <v>56</v>
      </c>
      <c r="L523" s="2">
        <v>0</v>
      </c>
      <c r="M523" s="2"/>
      <c r="N523" s="8">
        <v>43343.981226851851</v>
      </c>
      <c r="O523" s="4"/>
      <c r="P523" s="3"/>
      <c r="Q523" s="4"/>
      <c r="R523" s="4"/>
      <c r="S523" s="2" t="s">
        <v>259</v>
      </c>
    </row>
    <row r="524" spans="1:19" ht="50">
      <c r="A524" s="8">
        <v>43370.998749999999</v>
      </c>
      <c r="B524" s="11" t="str">
        <f>HYPERLINK("https://twitter.com/havariyon13","@havariyon13")</f>
        <v>@havariyon13</v>
      </c>
      <c r="C524" s="6" t="s">
        <v>6713</v>
      </c>
      <c r="D524" s="5" t="s">
        <v>6714</v>
      </c>
      <c r="E524" s="9" t="str">
        <f>HYPERLINK("https://twitter.com/havariyon13/status/1045409794738311170","1045409794738311170")</f>
        <v>1045409794738311170</v>
      </c>
      <c r="F524" s="4"/>
      <c r="G524" s="4"/>
      <c r="H524" s="4"/>
      <c r="I524" s="10" t="str">
        <f>HYPERLINK("http://twitter.com/download/android","Twitter for Android")</f>
        <v>Twitter for Android</v>
      </c>
      <c r="J524" s="2">
        <v>20</v>
      </c>
      <c r="K524" s="2">
        <v>56</v>
      </c>
      <c r="L524" s="2">
        <v>0</v>
      </c>
      <c r="M524" s="2"/>
      <c r="N524" s="8">
        <v>43343.981226851851</v>
      </c>
      <c r="O524" s="4"/>
      <c r="P524" s="3"/>
      <c r="Q524" s="4"/>
      <c r="R524" s="4"/>
      <c r="S524" s="2" t="s">
        <v>259</v>
      </c>
    </row>
    <row r="525" spans="1:19" ht="50">
      <c r="A525" s="8">
        <v>43370.998611111107</v>
      </c>
      <c r="B525" s="11" t="str">
        <f>HYPERLINK("https://twitter.com/havariyon13","@havariyon13")</f>
        <v>@havariyon13</v>
      </c>
      <c r="C525" s="6" t="s">
        <v>6713</v>
      </c>
      <c r="D525" s="5" t="s">
        <v>6712</v>
      </c>
      <c r="E525" s="9" t="str">
        <f>HYPERLINK("https://twitter.com/havariyon13/status/1045409745329410049","1045409745329410049")</f>
        <v>1045409745329410049</v>
      </c>
      <c r="F525" s="4"/>
      <c r="G525" s="4"/>
      <c r="H525" s="4"/>
      <c r="I525" s="10" t="str">
        <f>HYPERLINK("http://twitter.com/download/android","Twitter for Android")</f>
        <v>Twitter for Android</v>
      </c>
      <c r="J525" s="2">
        <v>20</v>
      </c>
      <c r="K525" s="2">
        <v>56</v>
      </c>
      <c r="L525" s="2">
        <v>0</v>
      </c>
      <c r="M525" s="2"/>
      <c r="N525" s="8">
        <v>43343.981226851851</v>
      </c>
      <c r="O525" s="4"/>
      <c r="P525" s="3"/>
      <c r="Q525" s="4"/>
      <c r="R525" s="4"/>
      <c r="S525" s="2" t="s">
        <v>259</v>
      </c>
    </row>
    <row r="526" spans="1:19" ht="20">
      <c r="A526" s="8">
        <v>43370.998113425929</v>
      </c>
      <c r="B526" s="11" t="str">
        <f>HYPERLINK("https://twitter.com/golagha1","@golagha1")</f>
        <v>@golagha1</v>
      </c>
      <c r="C526" s="6" t="s">
        <v>5829</v>
      </c>
      <c r="D526" s="5" t="s">
        <v>6711</v>
      </c>
      <c r="E526" s="9" t="str">
        <f>HYPERLINK("https://twitter.com/golagha1/status/1045409564496154627","1045409564496154627")</f>
        <v>1045409564496154627</v>
      </c>
      <c r="F526" s="4"/>
      <c r="G526" s="4"/>
      <c r="H526" s="4"/>
      <c r="I526" s="10" t="str">
        <f>HYPERLINK("http://twitter.com","Twitter Web Client")</f>
        <v>Twitter Web Client</v>
      </c>
      <c r="J526" s="2">
        <v>51</v>
      </c>
      <c r="K526" s="2">
        <v>41</v>
      </c>
      <c r="L526" s="2">
        <v>0</v>
      </c>
      <c r="M526" s="2"/>
      <c r="N526" s="8">
        <v>43318.977662037039</v>
      </c>
      <c r="O526" s="4"/>
      <c r="P526" s="3" t="s">
        <v>6674</v>
      </c>
      <c r="Q526" s="4"/>
      <c r="R526" s="4"/>
      <c r="S526" s="9" t="str">
        <f>HYPERLINK("https://pbs.twimg.com/profile_images/1042531400023457792/ynU8CJJJ.jpg","View")</f>
        <v>View</v>
      </c>
    </row>
    <row r="527" spans="1:19" ht="20">
      <c r="A527" s="8">
        <v>43370.996724537035</v>
      </c>
      <c r="B527" s="11" t="str">
        <f>HYPERLINK("https://twitter.com/froutan","@froutan")</f>
        <v>@froutan</v>
      </c>
      <c r="C527" s="6" t="s">
        <v>6710</v>
      </c>
      <c r="D527" s="5" t="s">
        <v>6709</v>
      </c>
      <c r="E527" s="9" t="str">
        <f>HYPERLINK("https://twitter.com/froutan/status/1045409061561397251","1045409061561397251")</f>
        <v>1045409061561397251</v>
      </c>
      <c r="F527" s="4"/>
      <c r="G527" s="4"/>
      <c r="H527" s="4"/>
      <c r="I527" s="10" t="str">
        <f>HYPERLINK("http://twitter.com/download/iphone","Twitter for iPhone")</f>
        <v>Twitter for iPhone</v>
      </c>
      <c r="J527" s="2">
        <v>22</v>
      </c>
      <c r="K527" s="2">
        <v>80</v>
      </c>
      <c r="L527" s="2">
        <v>0</v>
      </c>
      <c r="M527" s="2"/>
      <c r="N527" s="8">
        <v>40317.840648148151</v>
      </c>
      <c r="O527" s="4" t="s">
        <v>10</v>
      </c>
      <c r="P527" s="3"/>
      <c r="Q527" s="4"/>
      <c r="R527" s="4"/>
      <c r="S527" s="9" t="str">
        <f>HYPERLINK("https://pbs.twimg.com/profile_images/843212479085887488/Xb-U4sDf.jpg","View")</f>
        <v>View</v>
      </c>
    </row>
    <row r="528" spans="1:19" ht="30">
      <c r="A528" s="8">
        <v>43370.995358796295</v>
      </c>
      <c r="B528" s="11" t="str">
        <f>HYPERLINK("https://twitter.com/Firoozi","@Firoozi")</f>
        <v>@Firoozi</v>
      </c>
      <c r="C528" s="6" t="s">
        <v>6708</v>
      </c>
      <c r="D528" s="5" t="s">
        <v>6707</v>
      </c>
      <c r="E528" s="9" t="str">
        <f>HYPERLINK("https://twitter.com/Firoozi/status/1045408566830616583","1045408566830616583")</f>
        <v>1045408566830616583</v>
      </c>
      <c r="F528" s="4"/>
      <c r="G528" s="4"/>
      <c r="H528" s="4"/>
      <c r="I528" s="10" t="str">
        <f>HYPERLINK("http://twitter.com/download/android","Twitter for Android")</f>
        <v>Twitter for Android</v>
      </c>
      <c r="J528" s="2">
        <v>614</v>
      </c>
      <c r="K528" s="2">
        <v>209</v>
      </c>
      <c r="L528" s="2">
        <v>9</v>
      </c>
      <c r="M528" s="2"/>
      <c r="N528" s="8">
        <v>39924.392442129625</v>
      </c>
      <c r="O528" s="4"/>
      <c r="P528" s="3" t="s">
        <v>6706</v>
      </c>
      <c r="Q528" s="10" t="s">
        <v>6705</v>
      </c>
      <c r="R528" s="4"/>
      <c r="S528" s="9" t="str">
        <f>HYPERLINK("https://pbs.twimg.com/profile_images/1041016344928559109/KHCh1Iik.jpg","View")</f>
        <v>View</v>
      </c>
    </row>
    <row r="529" spans="1:19" ht="20">
      <c r="A529" s="8">
        <v>43370.994467592594</v>
      </c>
      <c r="B529" s="11" t="str">
        <f>HYPERLINK("https://twitter.com/Soroushx2x","@Soroushx2x")</f>
        <v>@Soroushx2x</v>
      </c>
      <c r="C529" s="6" t="s">
        <v>4735</v>
      </c>
      <c r="D529" s="5" t="s">
        <v>6704</v>
      </c>
      <c r="E529" s="9" t="str">
        <f>HYPERLINK("https://twitter.com/Soroushx2x/status/1045408242699051013","1045408242699051013")</f>
        <v>1045408242699051013</v>
      </c>
      <c r="F529" s="4"/>
      <c r="G529" s="4"/>
      <c r="H529" s="4"/>
      <c r="I529" s="10" t="str">
        <f>HYPERLINK("http://twitter.com/download/android","Twitter for Android")</f>
        <v>Twitter for Android</v>
      </c>
      <c r="J529" s="2">
        <v>167</v>
      </c>
      <c r="K529" s="2">
        <v>479</v>
      </c>
      <c r="L529" s="2">
        <v>0</v>
      </c>
      <c r="M529" s="2"/>
      <c r="N529" s="8">
        <v>42689.791608796295</v>
      </c>
      <c r="O529" s="4"/>
      <c r="P529" s="3" t="s">
        <v>4732</v>
      </c>
      <c r="Q529" s="4"/>
      <c r="R529" s="4"/>
      <c r="S529" s="9" t="str">
        <f>HYPERLINK("https://pbs.twimg.com/profile_images/993560462368428034/8U6oMRHE.jpg","View")</f>
        <v>View</v>
      </c>
    </row>
    <row r="530" spans="1:19" ht="30">
      <c r="A530" s="8">
        <v>43370.992662037039</v>
      </c>
      <c r="B530" s="11" t="str">
        <f>HYPERLINK("https://twitter.com/YeganehKhodami","@YeganehKhodami")</f>
        <v>@YeganehKhodami</v>
      </c>
      <c r="C530" s="6" t="s">
        <v>6703</v>
      </c>
      <c r="D530" s="5" t="s">
        <v>6702</v>
      </c>
      <c r="E530" s="9" t="str">
        <f>HYPERLINK("https://twitter.com/YeganehKhodami/status/1045407587787771904","1045407587787771904")</f>
        <v>1045407587787771904</v>
      </c>
      <c r="F530" s="4"/>
      <c r="G530" s="4"/>
      <c r="H530" s="4"/>
      <c r="I530" s="10" t="str">
        <f>HYPERLINK("http://twitter.com/download/android","Twitter for Android")</f>
        <v>Twitter for Android</v>
      </c>
      <c r="J530" s="2">
        <v>16017</v>
      </c>
      <c r="K530" s="2">
        <v>555</v>
      </c>
      <c r="L530" s="2">
        <v>93</v>
      </c>
      <c r="M530" s="2"/>
      <c r="N530" s="8">
        <v>42222.582835648151</v>
      </c>
      <c r="O530" s="4" t="s">
        <v>55</v>
      </c>
      <c r="P530" s="3" t="s">
        <v>6701</v>
      </c>
      <c r="Q530" s="10" t="s">
        <v>6700</v>
      </c>
      <c r="R530" s="4"/>
      <c r="S530" s="9" t="str">
        <f>HYPERLINK("https://pbs.twimg.com/profile_images/815066966855651332/pwfz-58h.jpg","View")</f>
        <v>View</v>
      </c>
    </row>
    <row r="531" spans="1:19" ht="50">
      <c r="A531" s="8">
        <v>43370.991585648153</v>
      </c>
      <c r="B531" s="11" t="str">
        <f>HYPERLINK("https://twitter.com/bigharar_1324","@bigharar_1324")</f>
        <v>@bigharar_1324</v>
      </c>
      <c r="C531" s="6" t="s">
        <v>6698</v>
      </c>
      <c r="D531" s="5" t="s">
        <v>6699</v>
      </c>
      <c r="E531" s="9" t="str">
        <f>HYPERLINK("https://twitter.com/bigharar_1324/status/1045407199550418952","1045407199550418952")</f>
        <v>1045407199550418952</v>
      </c>
      <c r="F531" s="4"/>
      <c r="G531" s="4"/>
      <c r="H531" s="4"/>
      <c r="I531" s="10" t="str">
        <f>HYPERLINK("http://twitter.com/download/android","Twitter for Android")</f>
        <v>Twitter for Android</v>
      </c>
      <c r="J531" s="2">
        <v>334</v>
      </c>
      <c r="K531" s="2">
        <v>376</v>
      </c>
      <c r="L531" s="2">
        <v>1</v>
      </c>
      <c r="M531" s="2"/>
      <c r="N531" s="8">
        <v>43118.621053240742</v>
      </c>
      <c r="O531" s="4"/>
      <c r="P531" s="3"/>
      <c r="Q531" s="10" t="s">
        <v>6696</v>
      </c>
      <c r="R531" s="4"/>
      <c r="S531" s="9" t="str">
        <f>HYPERLINK("https://pbs.twimg.com/profile_images/974381989209038848/mpa5dcAV.jpg","View")</f>
        <v>View</v>
      </c>
    </row>
    <row r="532" spans="1:19" ht="50">
      <c r="A532" s="8">
        <v>43370.991412037038</v>
      </c>
      <c r="B532" s="11" t="str">
        <f>HYPERLINK("https://twitter.com/bigharar_1324","@bigharar_1324")</f>
        <v>@bigharar_1324</v>
      </c>
      <c r="C532" s="6" t="s">
        <v>6698</v>
      </c>
      <c r="D532" s="5" t="s">
        <v>6697</v>
      </c>
      <c r="E532" s="9" t="str">
        <f>HYPERLINK("https://twitter.com/bigharar_1324/status/1045407136447164417","1045407136447164417")</f>
        <v>1045407136447164417</v>
      </c>
      <c r="F532" s="4"/>
      <c r="G532" s="4"/>
      <c r="H532" s="4"/>
      <c r="I532" s="10" t="str">
        <f>HYPERLINK("http://twitter.com/download/android","Twitter for Android")</f>
        <v>Twitter for Android</v>
      </c>
      <c r="J532" s="2">
        <v>334</v>
      </c>
      <c r="K532" s="2">
        <v>376</v>
      </c>
      <c r="L532" s="2">
        <v>1</v>
      </c>
      <c r="M532" s="2"/>
      <c r="N532" s="8">
        <v>43118.621053240742</v>
      </c>
      <c r="O532" s="4"/>
      <c r="P532" s="3"/>
      <c r="Q532" s="10" t="s">
        <v>6696</v>
      </c>
      <c r="R532" s="4"/>
      <c r="S532" s="9" t="str">
        <f>HYPERLINK("https://pbs.twimg.com/profile_images/974381989209038848/mpa5dcAV.jpg","View")</f>
        <v>View</v>
      </c>
    </row>
    <row r="533" spans="1:19" ht="20">
      <c r="A533" s="8">
        <v>43370.991018518514</v>
      </c>
      <c r="B533" s="11" t="str">
        <f>HYPERLINK("https://twitter.com/alidadaaaaaa","@alidadaaaaaa")</f>
        <v>@alidadaaaaaa</v>
      </c>
      <c r="C533" s="6" t="s">
        <v>2144</v>
      </c>
      <c r="D533" s="5" t="s">
        <v>6695</v>
      </c>
      <c r="E533" s="9" t="str">
        <f>HYPERLINK("https://twitter.com/alidadaaaaaa/status/1045406991093510145","1045406991093510145")</f>
        <v>1045406991093510145</v>
      </c>
      <c r="F533" s="4"/>
      <c r="G533" s="4"/>
      <c r="H533" s="4"/>
      <c r="I533" s="10" t="str">
        <f>HYPERLINK("http://twitter.com/download/iphone","Twitter for iPhone")</f>
        <v>Twitter for iPhone</v>
      </c>
      <c r="J533" s="2">
        <v>10</v>
      </c>
      <c r="K533" s="2">
        <v>77</v>
      </c>
      <c r="L533" s="2">
        <v>0</v>
      </c>
      <c r="M533" s="2"/>
      <c r="N533" s="8">
        <v>43367.972395833334</v>
      </c>
      <c r="O533" s="4"/>
      <c r="P533" s="3"/>
      <c r="Q533" s="4"/>
      <c r="R533" s="4"/>
      <c r="S533" s="9" t="str">
        <f>HYPERLINK("https://pbs.twimg.com/profile_images/1044316091311419392/sFG9SMB3.jpg","View")</f>
        <v>View</v>
      </c>
    </row>
    <row r="534" spans="1:19" ht="20">
      <c r="A534" s="8">
        <v>43370.989756944444</v>
      </c>
      <c r="B534" s="11" t="str">
        <f>HYPERLINK("https://twitter.com/dr__hennessy","@dr__hennessy")</f>
        <v>@dr__hennessy</v>
      </c>
      <c r="C534" s="6" t="s">
        <v>6694</v>
      </c>
      <c r="D534" s="5" t="s">
        <v>6693</v>
      </c>
      <c r="E534" s="9" t="str">
        <f>HYPERLINK("https://twitter.com/dr__hennessy/status/1045406534765883393","1045406534765883393")</f>
        <v>1045406534765883393</v>
      </c>
      <c r="F534" s="4"/>
      <c r="G534" s="4"/>
      <c r="H534" s="4"/>
      <c r="I534" s="10" t="str">
        <f>HYPERLINK("http://twitter.com/download/android","Twitter for Android")</f>
        <v>Twitter for Android</v>
      </c>
      <c r="J534" s="2">
        <v>130</v>
      </c>
      <c r="K534" s="2">
        <v>40</v>
      </c>
      <c r="L534" s="2">
        <v>0</v>
      </c>
      <c r="M534" s="2"/>
      <c r="N534" s="8">
        <v>40673.886469907404</v>
      </c>
      <c r="O534" s="4"/>
      <c r="P534" s="3" t="s">
        <v>6692</v>
      </c>
      <c r="Q534" s="4"/>
      <c r="R534" s="4"/>
      <c r="S534" s="9" t="str">
        <f>HYPERLINK("https://pbs.twimg.com/profile_images/997972139654316032/sqwJCJsM.jpg","View")</f>
        <v>View</v>
      </c>
    </row>
    <row r="535" spans="1:19" ht="20">
      <c r="A535" s="8">
        <v>43370.988182870366</v>
      </c>
      <c r="B535" s="11" t="str">
        <f>HYPERLINK("https://twitter.com/Ehsanbakhsh110","@Ehsanbakhsh110")</f>
        <v>@Ehsanbakhsh110</v>
      </c>
      <c r="C535" s="6" t="s">
        <v>6691</v>
      </c>
      <c r="D535" s="5" t="s">
        <v>6690</v>
      </c>
      <c r="E535" s="9" t="str">
        <f>HYPERLINK("https://twitter.com/Ehsanbakhsh110/status/1045405965846302721","1045405965846302721")</f>
        <v>1045405965846302721</v>
      </c>
      <c r="F535" s="4"/>
      <c r="G535" s="4"/>
      <c r="H535" s="4"/>
      <c r="I535" s="10" t="str">
        <f>HYPERLINK("http://twitter.com/download/android","Twitter for Android")</f>
        <v>Twitter for Android</v>
      </c>
      <c r="J535" s="2">
        <v>535</v>
      </c>
      <c r="K535" s="2">
        <v>271</v>
      </c>
      <c r="L535" s="2">
        <v>5</v>
      </c>
      <c r="M535" s="2"/>
      <c r="N535" s="8">
        <v>42224.414976851855</v>
      </c>
      <c r="O535" s="4"/>
      <c r="P535" s="3"/>
      <c r="Q535" s="4"/>
      <c r="R535" s="4"/>
      <c r="S535" s="9" t="str">
        <f>HYPERLINK("https://pbs.twimg.com/profile_images/927838108250406912/vgbp5G7v.jpg","View")</f>
        <v>View</v>
      </c>
    </row>
    <row r="536" spans="1:19" ht="30">
      <c r="A536" s="8">
        <v>43370.988067129627</v>
      </c>
      <c r="B536" s="11" t="str">
        <f>HYPERLINK("https://twitter.com/441Behzad","@441Behzad")</f>
        <v>@441Behzad</v>
      </c>
      <c r="C536" s="6" t="s">
        <v>6689</v>
      </c>
      <c r="D536" s="5" t="s">
        <v>6688</v>
      </c>
      <c r="E536" s="9" t="str">
        <f>HYPERLINK("https://twitter.com/441Behzad/status/1045405924805038080","1045405924805038080")</f>
        <v>1045405924805038080</v>
      </c>
      <c r="F536" s="4"/>
      <c r="G536" s="4"/>
      <c r="H536" s="4"/>
      <c r="I536" s="10" t="str">
        <f>HYPERLINK("http://twitter.com/download/android","Twitter for Android")</f>
        <v>Twitter for Android</v>
      </c>
      <c r="J536" s="2">
        <v>2</v>
      </c>
      <c r="K536" s="2">
        <v>0</v>
      </c>
      <c r="L536" s="2">
        <v>0</v>
      </c>
      <c r="M536" s="2"/>
      <c r="N536" s="8">
        <v>43316.134710648148</v>
      </c>
      <c r="O536" s="4"/>
      <c r="P536" s="3"/>
      <c r="Q536" s="4"/>
      <c r="R536" s="4"/>
      <c r="S536" s="2" t="s">
        <v>259</v>
      </c>
    </row>
    <row r="537" spans="1:19" ht="20">
      <c r="A537" s="8">
        <v>43370.985659722224</v>
      </c>
      <c r="B537" s="11" t="str">
        <f>HYPERLINK("https://twitter.com/abbaskomijani","@abbaskomijani")</f>
        <v>@abbaskomijani</v>
      </c>
      <c r="C537" s="6" t="s">
        <v>6687</v>
      </c>
      <c r="D537" s="5" t="s">
        <v>6686</v>
      </c>
      <c r="E537" s="9" t="str">
        <f>HYPERLINK("https://twitter.com/abbaskomijani/status/1045405049340514304","1045405049340514304")</f>
        <v>1045405049340514304</v>
      </c>
      <c r="F537" s="4"/>
      <c r="G537" s="4"/>
      <c r="H537" s="4"/>
      <c r="I537" s="10" t="str">
        <f>HYPERLINK("http://twitter.com/download/android","Twitter for Android")</f>
        <v>Twitter for Android</v>
      </c>
      <c r="J537" s="2">
        <v>62</v>
      </c>
      <c r="K537" s="2">
        <v>65</v>
      </c>
      <c r="L537" s="2">
        <v>0</v>
      </c>
      <c r="M537" s="2"/>
      <c r="N537" s="8">
        <v>43091.051388888889</v>
      </c>
      <c r="O537" s="4" t="s">
        <v>200</v>
      </c>
      <c r="P537" s="3" t="s">
        <v>6685</v>
      </c>
      <c r="Q537" s="4"/>
      <c r="R537" s="4"/>
      <c r="S537" s="9" t="str">
        <f>HYPERLINK("https://pbs.twimg.com/profile_images/979370667631087616/tdSsHsC3.jpg","View")</f>
        <v>View</v>
      </c>
    </row>
    <row r="538" spans="1:19" ht="12.5">
      <c r="A538" s="8">
        <v>43370.985648148147</v>
      </c>
      <c r="B538" s="11" t="str">
        <f>HYPERLINK("https://twitter.com/darke_hole_warm","@darke_hole_warm")</f>
        <v>@darke_hole_warm</v>
      </c>
      <c r="C538" s="6" t="s">
        <v>6684</v>
      </c>
      <c r="D538" s="5" t="s">
        <v>6683</v>
      </c>
      <c r="E538" s="9" t="str">
        <f>HYPERLINK("https://twitter.com/darke_hole_warm/status/1045405047142715393","1045405047142715393")</f>
        <v>1045405047142715393</v>
      </c>
      <c r="F538" s="4"/>
      <c r="G538" s="10" t="s">
        <v>6682</v>
      </c>
      <c r="H538" s="4"/>
      <c r="I538" s="10" t="str">
        <f>HYPERLINK("http://twitter.com/download/android","Twitter for Android")</f>
        <v>Twitter for Android</v>
      </c>
      <c r="J538" s="2">
        <v>117</v>
      </c>
      <c r="K538" s="2">
        <v>141</v>
      </c>
      <c r="L538" s="2">
        <v>0</v>
      </c>
      <c r="M538" s="2"/>
      <c r="N538" s="8">
        <v>43096.124756944446</v>
      </c>
      <c r="O538" s="4"/>
      <c r="P538" s="3" t="s">
        <v>6681</v>
      </c>
      <c r="Q538" s="4"/>
      <c r="R538" s="4"/>
      <c r="S538" s="9" t="str">
        <f>HYPERLINK("https://pbs.twimg.com/profile_images/948115176007577601/RdngxUz1.jpg","View")</f>
        <v>View</v>
      </c>
    </row>
    <row r="539" spans="1:19" ht="40">
      <c r="A539" s="8">
        <v>43370.985127314816</v>
      </c>
      <c r="B539" s="11" t="str">
        <f>HYPERLINK("https://twitter.com/KhomeiniEmam","@KhomeiniEmam")</f>
        <v>@KhomeiniEmam</v>
      </c>
      <c r="C539" s="6" t="s">
        <v>6680</v>
      </c>
      <c r="D539" s="5" t="s">
        <v>6679</v>
      </c>
      <c r="E539" s="9" t="str">
        <f>HYPERLINK("https://twitter.com/KhomeiniEmam/status/1045404857048461319","1045404857048461319")</f>
        <v>1045404857048461319</v>
      </c>
      <c r="F539" s="4"/>
      <c r="G539" s="4"/>
      <c r="H539" s="4"/>
      <c r="I539" s="10" t="str">
        <f>HYPERLINK("http://twitter.com/download/android","Twitter for Android")</f>
        <v>Twitter for Android</v>
      </c>
      <c r="J539" s="2">
        <v>3279</v>
      </c>
      <c r="K539" s="2">
        <v>8</v>
      </c>
      <c r="L539" s="2">
        <v>8</v>
      </c>
      <c r="M539" s="2"/>
      <c r="N539" s="8">
        <v>42937.957905092597</v>
      </c>
      <c r="O539" s="4" t="s">
        <v>6678</v>
      </c>
      <c r="P539" s="3" t="s">
        <v>6677</v>
      </c>
      <c r="Q539" s="10" t="s">
        <v>6676</v>
      </c>
      <c r="R539" s="4"/>
      <c r="S539" s="9" t="str">
        <f>HYPERLINK("https://pbs.twimg.com/profile_images/919180694508752896/P6hSPw0l.jpg","View")</f>
        <v>View</v>
      </c>
    </row>
    <row r="540" spans="1:19" ht="20">
      <c r="A540" s="8">
        <v>43370.984814814816</v>
      </c>
      <c r="B540" s="11" t="str">
        <f>HYPERLINK("https://twitter.com/golagha1","@golagha1")</f>
        <v>@golagha1</v>
      </c>
      <c r="C540" s="6" t="s">
        <v>5829</v>
      </c>
      <c r="D540" s="5" t="s">
        <v>6675</v>
      </c>
      <c r="E540" s="9" t="str">
        <f>HYPERLINK("https://twitter.com/golagha1/status/1045404744771129344","1045404744771129344")</f>
        <v>1045404744771129344</v>
      </c>
      <c r="F540" s="4"/>
      <c r="G540" s="4"/>
      <c r="H540" s="4"/>
      <c r="I540" s="10" t="str">
        <f>HYPERLINK("http://twitter.com","Twitter Web Client")</f>
        <v>Twitter Web Client</v>
      </c>
      <c r="J540" s="2">
        <v>51</v>
      </c>
      <c r="K540" s="2">
        <v>41</v>
      </c>
      <c r="L540" s="2">
        <v>0</v>
      </c>
      <c r="M540" s="2"/>
      <c r="N540" s="8">
        <v>43318.977662037039</v>
      </c>
      <c r="O540" s="4"/>
      <c r="P540" s="3" t="s">
        <v>6674</v>
      </c>
      <c r="Q540" s="4"/>
      <c r="R540" s="4"/>
      <c r="S540" s="9" t="str">
        <f>HYPERLINK("https://pbs.twimg.com/profile_images/1042531400023457792/ynU8CJJJ.jpg","View")</f>
        <v>View</v>
      </c>
    </row>
    <row r="541" spans="1:19" ht="20">
      <c r="A541" s="8">
        <v>43370.984305555554</v>
      </c>
      <c r="B541" s="11" t="str">
        <f>HYPERLINK("https://twitter.com/bahman_fan","@bahman_fan")</f>
        <v>@bahman_fan</v>
      </c>
      <c r="C541" s="6" t="s">
        <v>6673</v>
      </c>
      <c r="D541" s="5" t="s">
        <v>6672</v>
      </c>
      <c r="E541" s="9" t="str">
        <f>HYPERLINK("https://twitter.com/bahman_fan/status/1045404562004365312","1045404562004365312")</f>
        <v>1045404562004365312</v>
      </c>
      <c r="F541" s="4"/>
      <c r="G541" s="4"/>
      <c r="H541" s="4"/>
      <c r="I541" s="10" t="str">
        <f>HYPERLINK("http://twitter.com","Twitter Web Client")</f>
        <v>Twitter Web Client</v>
      </c>
      <c r="J541" s="2">
        <v>107</v>
      </c>
      <c r="K541" s="2">
        <v>102</v>
      </c>
      <c r="L541" s="2">
        <v>0</v>
      </c>
      <c r="M541" s="2"/>
      <c r="N541" s="8">
        <v>41611.197569444441</v>
      </c>
      <c r="O541" s="4" t="s">
        <v>272</v>
      </c>
      <c r="P541" s="3" t="s">
        <v>6671</v>
      </c>
      <c r="Q541" s="4"/>
      <c r="R541" s="4"/>
      <c r="S541" s="9" t="str">
        <f>HYPERLINK("https://pbs.twimg.com/profile_images/1035792994182426624/m10B5coM.jpg","View")</f>
        <v>View</v>
      </c>
    </row>
    <row r="542" spans="1:19" ht="30">
      <c r="A542" s="8">
        <v>43370.983391203699</v>
      </c>
      <c r="B542" s="11" t="str">
        <f>HYPERLINK("https://twitter.com/mas_ser43","@mas_ser43")</f>
        <v>@mas_ser43</v>
      </c>
      <c r="C542" s="6" t="s">
        <v>6670</v>
      </c>
      <c r="D542" s="5" t="s">
        <v>6669</v>
      </c>
      <c r="E542" s="9" t="str">
        <f>HYPERLINK("https://twitter.com/mas_ser43/status/1045404227374379009","1045404227374379009")</f>
        <v>1045404227374379009</v>
      </c>
      <c r="F542" s="4"/>
      <c r="G542" s="4"/>
      <c r="H542" s="4"/>
      <c r="I542" s="10" t="str">
        <f>HYPERLINK("http://twitter.com/download/android","Twitter for Android")</f>
        <v>Twitter for Android</v>
      </c>
      <c r="J542" s="2">
        <v>1228</v>
      </c>
      <c r="K542" s="2">
        <v>92</v>
      </c>
      <c r="L542" s="2">
        <v>21</v>
      </c>
      <c r="M542" s="2"/>
      <c r="N542" s="8">
        <v>42285.958530092597</v>
      </c>
      <c r="O542" s="4"/>
      <c r="P542" s="3"/>
      <c r="Q542" s="4"/>
      <c r="R542" s="4"/>
      <c r="S542" s="9" t="str">
        <f>HYPERLINK("https://pbs.twimg.com/profile_images/1025017682150584320/qSEOgPi6.jpg","View")</f>
        <v>View</v>
      </c>
    </row>
    <row r="543" spans="1:19" ht="40">
      <c r="A543" s="8">
        <v>43370.982499999998</v>
      </c>
      <c r="B543" s="11" t="str">
        <f>HYPERLINK("https://twitter.com/arashescobar","@arashescobar")</f>
        <v>@arashescobar</v>
      </c>
      <c r="C543" s="6" t="s">
        <v>6668</v>
      </c>
      <c r="D543" s="5" t="s">
        <v>6667</v>
      </c>
      <c r="E543" s="9" t="str">
        <f>HYPERLINK("https://twitter.com/arashescobar/status/1045403904995995654","1045403904995995654")</f>
        <v>1045403904995995654</v>
      </c>
      <c r="F543" s="4"/>
      <c r="G543" s="4"/>
      <c r="H543" s="4"/>
      <c r="I543" s="10" t="str">
        <f>HYPERLINK("http://twitter.com/download/android","Twitter for Android")</f>
        <v>Twitter for Android</v>
      </c>
      <c r="J543" s="2">
        <v>10</v>
      </c>
      <c r="K543" s="2">
        <v>108</v>
      </c>
      <c r="L543" s="2">
        <v>0</v>
      </c>
      <c r="M543" s="2"/>
      <c r="N543" s="8">
        <v>42954.675347222219</v>
      </c>
      <c r="O543" s="4" t="s">
        <v>10</v>
      </c>
      <c r="P543" s="3" t="s">
        <v>6666</v>
      </c>
      <c r="Q543" s="4"/>
      <c r="R543" s="4"/>
      <c r="S543" s="9" t="str">
        <f>HYPERLINK("https://pbs.twimg.com/profile_images/1044009817415843841/7AN02RAV.jpg","View")</f>
        <v>View</v>
      </c>
    </row>
    <row r="544" spans="1:19" ht="50">
      <c r="A544" s="8">
        <v>43370.982476851852</v>
      </c>
      <c r="B544" s="11" t="str">
        <f>HYPERLINK("https://twitter.com/RadioOffside","@RadioOffside")</f>
        <v>@RadioOffside</v>
      </c>
      <c r="C544" s="6" t="s">
        <v>2645</v>
      </c>
      <c r="D544" s="5" t="s">
        <v>6665</v>
      </c>
      <c r="E544" s="9" t="str">
        <f>HYPERLINK("https://twitter.com/RadioOffside/status/1045403899438477313","1045403899438477313")</f>
        <v>1045403899438477313</v>
      </c>
      <c r="F544" s="10" t="s">
        <v>6664</v>
      </c>
      <c r="G544" s="10" t="s">
        <v>6663</v>
      </c>
      <c r="H544" s="4"/>
      <c r="I544" s="10" t="str">
        <f>HYPERLINK("http://twitter.com","Twitter Web Client")</f>
        <v>Twitter Web Client</v>
      </c>
      <c r="J544" s="2">
        <v>291</v>
      </c>
      <c r="K544" s="2">
        <v>123</v>
      </c>
      <c r="L544" s="2">
        <v>10</v>
      </c>
      <c r="M544" s="2"/>
      <c r="N544" s="8">
        <v>43224.071261574078</v>
      </c>
      <c r="O544" s="4"/>
      <c r="P544" s="3" t="s">
        <v>2642</v>
      </c>
      <c r="Q544" s="10" t="s">
        <v>2641</v>
      </c>
      <c r="R544" s="4"/>
      <c r="S544" s="9" t="str">
        <f>HYPERLINK("https://pbs.twimg.com/profile_images/1045271738878185473/JBTK1D7J.jpg","View")</f>
        <v>View</v>
      </c>
    </row>
    <row r="545" spans="1:19" ht="20">
      <c r="A545" s="8">
        <v>43370.98201388889</v>
      </c>
      <c r="B545" s="11" t="str">
        <f>HYPERLINK("https://twitter.com/ZakiehSarshar","@ZakiehSarshar")</f>
        <v>@ZakiehSarshar</v>
      </c>
      <c r="C545" s="6" t="s">
        <v>6662</v>
      </c>
      <c r="D545" s="5" t="s">
        <v>6661</v>
      </c>
      <c r="E545" s="9" t="str">
        <f>HYPERLINK("https://twitter.com/ZakiehSarshar/status/1045403730772987904","1045403730772987904")</f>
        <v>1045403730772987904</v>
      </c>
      <c r="F545" s="4"/>
      <c r="G545" s="4"/>
      <c r="H545" s="4"/>
      <c r="I545" s="10" t="str">
        <f>HYPERLINK("http://twitter.com/download/android","Twitter for Android")</f>
        <v>Twitter for Android</v>
      </c>
      <c r="J545" s="2">
        <v>590</v>
      </c>
      <c r="K545" s="2">
        <v>321</v>
      </c>
      <c r="L545" s="2">
        <v>3</v>
      </c>
      <c r="M545" s="2"/>
      <c r="N545" s="8">
        <v>42702.648043981477</v>
      </c>
      <c r="O545" s="4"/>
      <c r="P545" s="3"/>
      <c r="Q545" s="4"/>
      <c r="R545" s="4"/>
      <c r="S545" s="9" t="str">
        <f>HYPERLINK("https://pbs.twimg.com/profile_images/803211409064542208/bpQAJ2CG.jpg","View")</f>
        <v>View</v>
      </c>
    </row>
    <row r="546" spans="1:19" ht="30">
      <c r="A546" s="8">
        <v>43370.981793981482</v>
      </c>
      <c r="B546" s="11" t="str">
        <f>HYPERLINK("https://twitter.com/habib_khalife","@habib_khalife")</f>
        <v>@habib_khalife</v>
      </c>
      <c r="C546" s="6" t="s">
        <v>6660</v>
      </c>
      <c r="D546" s="5" t="s">
        <v>6659</v>
      </c>
      <c r="E546" s="9" t="str">
        <f>HYPERLINK("https://twitter.com/habib_khalife/status/1045403651555176449","1045403651555176449")</f>
        <v>1045403651555176449</v>
      </c>
      <c r="F546" s="4"/>
      <c r="G546" s="4"/>
      <c r="H546" s="4"/>
      <c r="I546" s="10" t="str">
        <f>HYPERLINK("http://twitter.com/download/iphone","Twitter for iPhone")</f>
        <v>Twitter for iPhone</v>
      </c>
      <c r="J546" s="2">
        <v>1639</v>
      </c>
      <c r="K546" s="2">
        <v>778</v>
      </c>
      <c r="L546" s="2">
        <v>14</v>
      </c>
      <c r="M546" s="2"/>
      <c r="N546" s="8">
        <v>41988.453530092593</v>
      </c>
      <c r="O546" s="4" t="s">
        <v>6658</v>
      </c>
      <c r="P546" s="3" t="s">
        <v>6657</v>
      </c>
      <c r="Q546" s="4"/>
      <c r="R546" s="4"/>
      <c r="S546" s="9" t="str">
        <f>HYPERLINK("https://pbs.twimg.com/profile_images/779794615377489920/PcrtFSee.jpg","View")</f>
        <v>View</v>
      </c>
    </row>
    <row r="547" spans="1:19" ht="20">
      <c r="A547" s="8">
        <v>43370.981469907405</v>
      </c>
      <c r="B547" s="11" t="str">
        <f>HYPERLINK("https://twitter.com/salimontazeri","@salimontazeri")</f>
        <v>@salimontazeri</v>
      </c>
      <c r="C547" s="6" t="s">
        <v>6656</v>
      </c>
      <c r="D547" s="5" t="s">
        <v>6655</v>
      </c>
      <c r="E547" s="9" t="str">
        <f>HYPERLINK("https://twitter.com/salimontazeri/status/1045403532491476995","1045403532491476995")</f>
        <v>1045403532491476995</v>
      </c>
      <c r="F547" s="4"/>
      <c r="G547" s="4"/>
      <c r="H547" s="4"/>
      <c r="I547" s="10" t="str">
        <f>HYPERLINK("http://twitter.com/download/iphone","Twitter for iPhone")</f>
        <v>Twitter for iPhone</v>
      </c>
      <c r="J547" s="2">
        <v>16</v>
      </c>
      <c r="K547" s="2">
        <v>53</v>
      </c>
      <c r="L547" s="2">
        <v>1</v>
      </c>
      <c r="M547" s="2"/>
      <c r="N547" s="8">
        <v>43304.541689814811</v>
      </c>
      <c r="O547" s="4"/>
      <c r="P547" s="3" t="s">
        <v>6654</v>
      </c>
      <c r="Q547" s="4"/>
      <c r="R547" s="4"/>
      <c r="S547" s="9" t="str">
        <f>HYPERLINK("https://pbs.twimg.com/profile_images/1041034300832002048/8ordqU0M.jpg","View")</f>
        <v>View</v>
      </c>
    </row>
    <row r="548" spans="1:19" ht="20">
      <c r="A548" s="8">
        <v>43370.970868055556</v>
      </c>
      <c r="B548" s="11" t="str">
        <f>HYPERLINK("https://twitter.com/pouriasaa","@pouriasaa")</f>
        <v>@pouriasaa</v>
      </c>
      <c r="C548" s="6" t="s">
        <v>6653</v>
      </c>
      <c r="D548" s="5" t="s">
        <v>6652</v>
      </c>
      <c r="E548" s="9" t="str">
        <f>HYPERLINK("https://twitter.com/pouriasaa/status/1045399689758150656","1045399689758150656")</f>
        <v>1045399689758150656</v>
      </c>
      <c r="F548" s="4"/>
      <c r="G548" s="4"/>
      <c r="H548" s="4"/>
      <c r="I548" s="10" t="str">
        <f>HYPERLINK("http://twitter.com/download/android","Twitter for Android")</f>
        <v>Twitter for Android</v>
      </c>
      <c r="J548" s="2">
        <v>163</v>
      </c>
      <c r="K548" s="2">
        <v>242</v>
      </c>
      <c r="L548" s="2">
        <v>0</v>
      </c>
      <c r="M548" s="2"/>
      <c r="N548" s="8">
        <v>42853.738946759258</v>
      </c>
      <c r="O548" s="4" t="s">
        <v>10</v>
      </c>
      <c r="P548" s="3" t="s">
        <v>6651</v>
      </c>
      <c r="Q548" s="4"/>
      <c r="R548" s="4"/>
      <c r="S548" s="9" t="str">
        <f>HYPERLINK("https://pbs.twimg.com/profile_images/1044540708101795840/GW9nSdnp.jpg","View")</f>
        <v>View</v>
      </c>
    </row>
    <row r="549" spans="1:19" ht="30">
      <c r="A549" s="8">
        <v>43370.969988425924</v>
      </c>
      <c r="B549" s="11" t="str">
        <f>HYPERLINK("https://twitter.com/Jaffffaaaarrrr","@Jaffffaaaarrrr")</f>
        <v>@Jaffffaaaarrrr</v>
      </c>
      <c r="C549" s="6" t="s">
        <v>6650</v>
      </c>
      <c r="D549" s="5" t="s">
        <v>6649</v>
      </c>
      <c r="E549" s="9" t="str">
        <f>HYPERLINK("https://twitter.com/Jaffffaaaarrrr/status/1045399373042077702","1045399373042077702")</f>
        <v>1045399373042077702</v>
      </c>
      <c r="F549" s="4"/>
      <c r="G549" s="4"/>
      <c r="H549" s="4"/>
      <c r="I549" s="10" t="str">
        <f>HYPERLINK("http://twitter.com/download/android","Twitter for Android")</f>
        <v>Twitter for Android</v>
      </c>
      <c r="J549" s="2">
        <v>27</v>
      </c>
      <c r="K549" s="2">
        <v>63</v>
      </c>
      <c r="L549" s="2">
        <v>1</v>
      </c>
      <c r="M549" s="2"/>
      <c r="N549" s="8">
        <v>42887.57104166667</v>
      </c>
      <c r="O549" s="4" t="s">
        <v>1285</v>
      </c>
      <c r="P549" s="3"/>
      <c r="Q549" s="4"/>
      <c r="R549" s="4"/>
      <c r="S549" s="9" t="str">
        <f>HYPERLINK("https://pbs.twimg.com/profile_images/1021439446678491136/k7sb-9QG.jpg","View")</f>
        <v>View</v>
      </c>
    </row>
    <row r="550" spans="1:19" ht="30">
      <c r="A550" s="8">
        <v>43370.969837962963</v>
      </c>
      <c r="B550" s="11" t="str">
        <f>HYPERLINK("https://twitter.com/aroozbeh","@aroozbeh")</f>
        <v>@aroozbeh</v>
      </c>
      <c r="C550" s="6" t="s">
        <v>6648</v>
      </c>
      <c r="D550" s="5" t="s">
        <v>6647</v>
      </c>
      <c r="E550" s="9" t="str">
        <f>HYPERLINK("https://twitter.com/aroozbeh/status/1045399317354352640","1045399317354352640")</f>
        <v>1045399317354352640</v>
      </c>
      <c r="F550" s="4"/>
      <c r="G550" s="4"/>
      <c r="H550" s="4"/>
      <c r="I550" s="10" t="str">
        <f>HYPERLINK("http://twitter.com/download/iphone","Twitter for iPhone")</f>
        <v>Twitter for iPhone</v>
      </c>
      <c r="J550" s="2">
        <v>2415</v>
      </c>
      <c r="K550" s="2">
        <v>1376</v>
      </c>
      <c r="L550" s="2">
        <v>48</v>
      </c>
      <c r="M550" s="2" t="s">
        <v>1701</v>
      </c>
      <c r="N550" s="8">
        <v>39655.34337962963</v>
      </c>
      <c r="O550" s="4" t="s">
        <v>6646</v>
      </c>
      <c r="P550" s="3" t="s">
        <v>6645</v>
      </c>
      <c r="Q550" s="10" t="s">
        <v>6644</v>
      </c>
      <c r="R550" s="4"/>
      <c r="S550" s="9" t="str">
        <f>HYPERLINK("https://pbs.twimg.com/profile_images/1042494560528687104/9ns_KNS7.jpg","View")</f>
        <v>View</v>
      </c>
    </row>
    <row r="551" spans="1:19" ht="40">
      <c r="A551" s="8">
        <v>43370.969502314816</v>
      </c>
      <c r="B551" s="11" t="str">
        <f>HYPERLINK("https://twitter.com/sahaab87834814","@sahaab87834814")</f>
        <v>@sahaab87834814</v>
      </c>
      <c r="C551" s="6" t="s">
        <v>6635</v>
      </c>
      <c r="D551" s="5" t="s">
        <v>6643</v>
      </c>
      <c r="E551" s="9" t="str">
        <f>HYPERLINK("https://twitter.com/sahaab87834814/status/1045399197611163650","1045399197611163650")</f>
        <v>1045399197611163650</v>
      </c>
      <c r="F551" s="4"/>
      <c r="G551" s="4"/>
      <c r="H551" s="4"/>
      <c r="I551" s="10" t="str">
        <f>HYPERLINK("http://twitter.com/download/android","Twitter for Android")</f>
        <v>Twitter for Android</v>
      </c>
      <c r="J551" s="2">
        <v>22</v>
      </c>
      <c r="K551" s="2">
        <v>127</v>
      </c>
      <c r="L551" s="2">
        <v>0</v>
      </c>
      <c r="M551" s="2"/>
      <c r="N551" s="8">
        <v>43067.979456018518</v>
      </c>
      <c r="O551" s="4"/>
      <c r="P551" s="3"/>
      <c r="Q551" s="4"/>
      <c r="R551" s="4"/>
      <c r="S551" s="9" t="str">
        <f>HYPERLINK("https://pbs.twimg.com/profile_images/1029395248407965697/1rFJRB3k.jpg","View")</f>
        <v>View</v>
      </c>
    </row>
    <row r="552" spans="1:19" ht="12.5">
      <c r="A552" s="8">
        <v>43370.968877314815</v>
      </c>
      <c r="B552" s="11" t="str">
        <f>HYPERLINK("https://twitter.com/3rahamohajer3","@3rahamohajer3")</f>
        <v>@3rahamohajer3</v>
      </c>
      <c r="C552" s="6" t="s">
        <v>505</v>
      </c>
      <c r="D552" s="5" t="s">
        <v>6642</v>
      </c>
      <c r="E552" s="9" t="str">
        <f>HYPERLINK("https://twitter.com/3rahamohajer3/status/1045398968384069634","1045398968384069634")</f>
        <v>1045398968384069634</v>
      </c>
      <c r="F552" s="4"/>
      <c r="G552" s="4"/>
      <c r="H552" s="4"/>
      <c r="I552" s="10" t="str">
        <f>HYPERLINK("http://twitter.com/download/android","Twitter for Android")</f>
        <v>Twitter for Android</v>
      </c>
      <c r="J552" s="2">
        <v>24</v>
      </c>
      <c r="K552" s="2">
        <v>62</v>
      </c>
      <c r="L552" s="2">
        <v>0</v>
      </c>
      <c r="M552" s="2"/>
      <c r="N552" s="8">
        <v>42755.728518518517</v>
      </c>
      <c r="O552" s="4"/>
      <c r="P552" s="3"/>
      <c r="Q552" s="4"/>
      <c r="R552" s="4"/>
      <c r="S552" s="2" t="s">
        <v>259</v>
      </c>
    </row>
    <row r="553" spans="1:19" ht="30">
      <c r="A553" s="8">
        <v>43370.967858796299</v>
      </c>
      <c r="B553" s="11" t="str">
        <f>HYPERLINK("https://twitter.com/Miladtex12","@Miladtex12")</f>
        <v>@Miladtex12</v>
      </c>
      <c r="C553" s="6" t="s">
        <v>6641</v>
      </c>
      <c r="D553" s="5" t="s">
        <v>6640</v>
      </c>
      <c r="E553" s="9" t="str">
        <f>HYPERLINK("https://twitter.com/Miladtex12/status/1045398599125880832","1045398599125880832")</f>
        <v>1045398599125880832</v>
      </c>
      <c r="F553" s="4"/>
      <c r="G553" s="4"/>
      <c r="H553" s="4"/>
      <c r="I553" s="10" t="str">
        <f>HYPERLINK("http://twitter.com/download/android","Twitter for Android")</f>
        <v>Twitter for Android</v>
      </c>
      <c r="J553" s="2">
        <v>10</v>
      </c>
      <c r="K553" s="2">
        <v>48</v>
      </c>
      <c r="L553" s="2">
        <v>0</v>
      </c>
      <c r="M553" s="2"/>
      <c r="N553" s="8">
        <v>43149.115439814814</v>
      </c>
      <c r="O553" s="4" t="s">
        <v>6639</v>
      </c>
      <c r="P553" s="3"/>
      <c r="Q553" s="4"/>
      <c r="R553" s="4"/>
      <c r="S553" s="9" t="str">
        <f>HYPERLINK("https://pbs.twimg.com/profile_images/985153614086799360/j8sz0piW.jpg","View")</f>
        <v>View</v>
      </c>
    </row>
    <row r="554" spans="1:19" ht="20">
      <c r="A554" s="8">
        <v>43370.967453703706</v>
      </c>
      <c r="B554" s="11" t="str">
        <f>HYPERLINK("https://twitter.com/lavasaniazad","@lavasaniazad")</f>
        <v>@lavasaniazad</v>
      </c>
      <c r="C554" s="6" t="s">
        <v>6638</v>
      </c>
      <c r="D554" s="5" t="s">
        <v>6637</v>
      </c>
      <c r="E554" s="9" t="str">
        <f>HYPERLINK("https://twitter.com/lavasaniazad/status/1045398451800985601","1045398451800985601")</f>
        <v>1045398451800985601</v>
      </c>
      <c r="F554" s="4"/>
      <c r="G554" s="4"/>
      <c r="H554" s="4"/>
      <c r="I554" s="10" t="str">
        <f>HYPERLINK("http://twitter.com/download/iphone","Twitter for iPhone")</f>
        <v>Twitter for iPhone</v>
      </c>
      <c r="J554" s="2">
        <v>467</v>
      </c>
      <c r="K554" s="2">
        <v>594</v>
      </c>
      <c r="L554" s="2">
        <v>0</v>
      </c>
      <c r="M554" s="2"/>
      <c r="N554" s="8">
        <v>43115.935659722221</v>
      </c>
      <c r="O554" s="4"/>
      <c r="P554" s="3" t="s">
        <v>6636</v>
      </c>
      <c r="Q554" s="4"/>
      <c r="R554" s="4"/>
      <c r="S554" s="9" t="str">
        <f>HYPERLINK("https://pbs.twimg.com/profile_images/1019701893847830528/ylMboI3H.jpg","View")</f>
        <v>View</v>
      </c>
    </row>
    <row r="555" spans="1:19" ht="70">
      <c r="A555" s="8">
        <v>43370.966342592597</v>
      </c>
      <c r="B555" s="11" t="str">
        <f>HYPERLINK("https://twitter.com/sahaab87834814","@sahaab87834814")</f>
        <v>@sahaab87834814</v>
      </c>
      <c r="C555" s="6" t="s">
        <v>6635</v>
      </c>
      <c r="D555" s="5" t="s">
        <v>6634</v>
      </c>
      <c r="E555" s="9" t="str">
        <f>HYPERLINK("https://twitter.com/sahaab87834814/status/1045398051354021890","1045398051354021890")</f>
        <v>1045398051354021890</v>
      </c>
      <c r="F555" s="10" t="s">
        <v>6633</v>
      </c>
      <c r="G555" s="4"/>
      <c r="H555" s="4"/>
      <c r="I555" s="10" t="str">
        <f>HYPERLINK("http://twitter.com/download/android","Twitter for Android")</f>
        <v>Twitter for Android</v>
      </c>
      <c r="J555" s="2">
        <v>22</v>
      </c>
      <c r="K555" s="2">
        <v>127</v>
      </c>
      <c r="L555" s="2">
        <v>0</v>
      </c>
      <c r="M555" s="2"/>
      <c r="N555" s="8">
        <v>43067.979456018518</v>
      </c>
      <c r="O555" s="4"/>
      <c r="P555" s="3"/>
      <c r="Q555" s="4"/>
      <c r="R555" s="4"/>
      <c r="S555" s="9" t="str">
        <f>HYPERLINK("https://pbs.twimg.com/profile_images/1029395248407965697/1rFJRB3k.jpg","View")</f>
        <v>View</v>
      </c>
    </row>
    <row r="556" spans="1:19" ht="20">
      <c r="A556" s="8">
        <v>43370.966331018513</v>
      </c>
      <c r="B556" s="11" t="str">
        <f>HYPERLINK("https://twitter.com/ManMeysam","@ManMeysam")</f>
        <v>@ManMeysam</v>
      </c>
      <c r="C556" s="6" t="s">
        <v>472</v>
      </c>
      <c r="D556" s="5" t="s">
        <v>6632</v>
      </c>
      <c r="E556" s="9" t="str">
        <f>HYPERLINK("https://twitter.com/ManMeysam/status/1045398045142253568","1045398045142253568")</f>
        <v>1045398045142253568</v>
      </c>
      <c r="F556" s="4"/>
      <c r="G556" s="10" t="s">
        <v>6631</v>
      </c>
      <c r="H556" s="4"/>
      <c r="I556" s="10" t="str">
        <f>HYPERLINK("http://twitter.com/download/android","Twitter for Android")</f>
        <v>Twitter for Android</v>
      </c>
      <c r="J556" s="2">
        <v>738</v>
      </c>
      <c r="K556" s="2">
        <v>90</v>
      </c>
      <c r="L556" s="2">
        <v>2</v>
      </c>
      <c r="M556" s="2"/>
      <c r="N556" s="8">
        <v>43080.934756944444</v>
      </c>
      <c r="O556" s="4"/>
      <c r="P556" s="3" t="s">
        <v>470</v>
      </c>
      <c r="Q556" s="4"/>
      <c r="R556" s="4"/>
      <c r="S556" s="9" t="str">
        <f>HYPERLINK("https://pbs.twimg.com/profile_images/990240817024589824/h1PmTrjf.jpg","View")</f>
        <v>View</v>
      </c>
    </row>
    <row r="557" spans="1:19" ht="12.5">
      <c r="A557" s="8">
        <v>43370.964803240742</v>
      </c>
      <c r="B557" s="11" t="str">
        <f>HYPERLINK("https://twitter.com/esnzare","@esnzare")</f>
        <v>@esnzare</v>
      </c>
      <c r="C557" s="6" t="s">
        <v>6630</v>
      </c>
      <c r="D557" s="5" t="s">
        <v>6629</v>
      </c>
      <c r="E557" s="9" t="str">
        <f>HYPERLINK("https://twitter.com/esnzare/status/1045397490852352003","1045397490852352003")</f>
        <v>1045397490852352003</v>
      </c>
      <c r="F557" s="4"/>
      <c r="G557" s="4"/>
      <c r="H557" s="4"/>
      <c r="I557" s="10" t="str">
        <f>HYPERLINK("http://twitter.com/download/android","Twitter for Android")</f>
        <v>Twitter for Android</v>
      </c>
      <c r="J557" s="2">
        <v>11</v>
      </c>
      <c r="K557" s="2">
        <v>15</v>
      </c>
      <c r="L557" s="2">
        <v>0</v>
      </c>
      <c r="M557" s="2"/>
      <c r="N557" s="8">
        <v>42676.572962962964</v>
      </c>
      <c r="O557" s="4" t="s">
        <v>10</v>
      </c>
      <c r="P557" s="3" t="s">
        <v>6628</v>
      </c>
      <c r="Q557" s="4"/>
      <c r="R557" s="4"/>
      <c r="S557" s="9" t="str">
        <f>HYPERLINK("https://pbs.twimg.com/profile_images/886229488312254466/kVxgme5O.jpg","View")</f>
        <v>View</v>
      </c>
    </row>
    <row r="558" spans="1:19" ht="30">
      <c r="A558" s="8">
        <v>43370.964062500003</v>
      </c>
      <c r="B558" s="11" t="str">
        <f>HYPERLINK("https://twitter.com/amir_markabii","@amir_markabii")</f>
        <v>@amir_markabii</v>
      </c>
      <c r="C558" s="6" t="s">
        <v>6627</v>
      </c>
      <c r="D558" s="5" t="s">
        <v>6626</v>
      </c>
      <c r="E558" s="9" t="str">
        <f>HYPERLINK("https://twitter.com/amir_markabii/status/1045397223050293250","1045397223050293250")</f>
        <v>1045397223050293250</v>
      </c>
      <c r="F558" s="4"/>
      <c r="G558" s="4"/>
      <c r="H558" s="4"/>
      <c r="I558" s="10" t="str">
        <f>HYPERLINK("http://twitter.com/download/android","Twitter for Android")</f>
        <v>Twitter for Android</v>
      </c>
      <c r="J558" s="2">
        <v>51</v>
      </c>
      <c r="K558" s="2">
        <v>138</v>
      </c>
      <c r="L558" s="2">
        <v>0</v>
      </c>
      <c r="M558" s="2"/>
      <c r="N558" s="8">
        <v>43096.021956018521</v>
      </c>
      <c r="O558" s="4" t="s">
        <v>6625</v>
      </c>
      <c r="P558" s="3" t="s">
        <v>6624</v>
      </c>
      <c r="Q558" s="4"/>
      <c r="R558" s="4"/>
      <c r="S558" s="9" t="str">
        <f>HYPERLINK("https://pbs.twimg.com/profile_images/986945012763066370/av7uULnV.jpg","View")</f>
        <v>View</v>
      </c>
    </row>
    <row r="559" spans="1:19" ht="20">
      <c r="A559" s="8">
        <v>43370.963703703703</v>
      </c>
      <c r="B559" s="11" t="str">
        <f>HYPERLINK("https://twitter.com/Mahbano_Z","@Mahbano_Z")</f>
        <v>@Mahbano_Z</v>
      </c>
      <c r="C559" s="6" t="s">
        <v>6623</v>
      </c>
      <c r="D559" s="5" t="s">
        <v>6622</v>
      </c>
      <c r="E559" s="9" t="str">
        <f>HYPERLINK("https://twitter.com/Mahbano_Z/status/1045397093567877122","1045397093567877122")</f>
        <v>1045397093567877122</v>
      </c>
      <c r="F559" s="4"/>
      <c r="G559" s="4"/>
      <c r="H559" s="4"/>
      <c r="I559" s="10" t="str">
        <f>HYPERLINK("http://twitter.com/download/android","Twitter for Android")</f>
        <v>Twitter for Android</v>
      </c>
      <c r="J559" s="2">
        <v>556</v>
      </c>
      <c r="K559" s="2">
        <v>545</v>
      </c>
      <c r="L559" s="2">
        <v>0</v>
      </c>
      <c r="M559" s="2"/>
      <c r="N559" s="8">
        <v>43134.882719907408</v>
      </c>
      <c r="O559" s="4" t="s">
        <v>6621</v>
      </c>
      <c r="P559" s="3" t="s">
        <v>6620</v>
      </c>
      <c r="Q559" s="4"/>
      <c r="R559" s="4"/>
      <c r="S559" s="9" t="str">
        <f>HYPERLINK("https://pbs.twimg.com/profile_images/1045352778510618624/ta4SX4u3.jpg","View")</f>
        <v>View</v>
      </c>
    </row>
    <row r="560" spans="1:19" ht="40">
      <c r="A560" s="8">
        <v>43370.963634259257</v>
      </c>
      <c r="B560" s="11" t="str">
        <f>HYPERLINK("https://twitter.com/Vahid_Farazan","@Vahid_Farazan")</f>
        <v>@Vahid_Farazan</v>
      </c>
      <c r="C560" s="6" t="s">
        <v>6619</v>
      </c>
      <c r="D560" s="5" t="s">
        <v>6618</v>
      </c>
      <c r="E560" s="9" t="str">
        <f>HYPERLINK("https://twitter.com/Vahid_Farazan/status/1045397070411169792","1045397070411169792")</f>
        <v>1045397070411169792</v>
      </c>
      <c r="F560" s="4"/>
      <c r="G560" s="4"/>
      <c r="H560" s="4"/>
      <c r="I560" s="10" t="str">
        <f>HYPERLINK("http://twitter.com/download/android","Twitter for Android")</f>
        <v>Twitter for Android</v>
      </c>
      <c r="J560" s="2">
        <v>329</v>
      </c>
      <c r="K560" s="2">
        <v>697</v>
      </c>
      <c r="L560" s="2">
        <v>3</v>
      </c>
      <c r="M560" s="2"/>
      <c r="N560" s="8">
        <v>39981.937326388885</v>
      </c>
      <c r="O560" s="4" t="s">
        <v>10</v>
      </c>
      <c r="P560" s="3" t="s">
        <v>6617</v>
      </c>
      <c r="Q560" s="10" t="s">
        <v>6616</v>
      </c>
      <c r="R560" s="4"/>
      <c r="S560" s="9" t="str">
        <f>HYPERLINK("https://pbs.twimg.com/profile_images/905294796926935040/UKq-YRIM.jpg","View")</f>
        <v>View</v>
      </c>
    </row>
    <row r="561" spans="1:19" ht="12.5">
      <c r="A561" s="8">
        <v>43370.963483796295</v>
      </c>
      <c r="B561" s="11" t="str">
        <f>HYPERLINK("https://twitter.com/TajSeries","@TajSeries")</f>
        <v>@TajSeries</v>
      </c>
      <c r="C561" s="6" t="s">
        <v>6615</v>
      </c>
      <c r="D561" s="5" t="s">
        <v>6614</v>
      </c>
      <c r="E561" s="9" t="str">
        <f>HYPERLINK("https://twitter.com/TajSeries/status/1045397016170430467","1045397016170430467")</f>
        <v>1045397016170430467</v>
      </c>
      <c r="F561" s="4"/>
      <c r="G561" s="10" t="s">
        <v>6613</v>
      </c>
      <c r="H561" s="4"/>
      <c r="I561" s="10" t="str">
        <f>HYPERLINK("http://twitter.com/download/android","Twitter for Android")</f>
        <v>Twitter for Android</v>
      </c>
      <c r="J561" s="2">
        <v>18</v>
      </c>
      <c r="K561" s="2">
        <v>19</v>
      </c>
      <c r="L561" s="2">
        <v>0</v>
      </c>
      <c r="M561" s="2"/>
      <c r="N561" s="8">
        <v>43267.747453703705</v>
      </c>
      <c r="O561" s="4"/>
      <c r="P561" s="3"/>
      <c r="Q561" s="4"/>
      <c r="R561" s="4"/>
      <c r="S561" s="9" t="str">
        <f>HYPERLINK("https://pbs.twimg.com/profile_images/1026334634777427970/hAVaYjum.jpg","View")</f>
        <v>View</v>
      </c>
    </row>
    <row r="562" spans="1:19" ht="30">
      <c r="A562" s="8">
        <v>43370.963368055556</v>
      </c>
      <c r="B562" s="11" t="str">
        <f>HYPERLINK("https://twitter.com/Farhad_R_F","@Farhad_R_F")</f>
        <v>@Farhad_R_F</v>
      </c>
      <c r="C562" s="6" t="s">
        <v>6205</v>
      </c>
      <c r="D562" s="5" t="s">
        <v>6612</v>
      </c>
      <c r="E562" s="9" t="str">
        <f>HYPERLINK("https://twitter.com/Farhad_R_F/status/1045396970871934977","1045396970871934977")</f>
        <v>1045396970871934977</v>
      </c>
      <c r="F562" s="4"/>
      <c r="G562" s="4"/>
      <c r="H562" s="4"/>
      <c r="I562" s="10" t="str">
        <f>HYPERLINK("http://twitter.com/download/android","Twitter for Android")</f>
        <v>Twitter for Android</v>
      </c>
      <c r="J562" s="2">
        <v>132</v>
      </c>
      <c r="K562" s="2">
        <v>835</v>
      </c>
      <c r="L562" s="2">
        <v>0</v>
      </c>
      <c r="M562" s="2"/>
      <c r="N562" s="8">
        <v>42433.06994212963</v>
      </c>
      <c r="O562" s="4"/>
      <c r="P562" s="3" t="s">
        <v>6202</v>
      </c>
      <c r="Q562" s="4"/>
      <c r="R562" s="4"/>
      <c r="S562" s="9" t="str">
        <f>HYPERLINK("https://pbs.twimg.com/profile_images/1043212401892581376/K0vlgoar.jpg","View")</f>
        <v>View</v>
      </c>
    </row>
    <row r="563" spans="1:19" ht="40">
      <c r="A563" s="8">
        <v>43370.962418981479</v>
      </c>
      <c r="B563" s="11" t="str">
        <f>HYPERLINK("https://twitter.com/aramehetemadi","@aramehetemadi")</f>
        <v>@aramehetemadi</v>
      </c>
      <c r="C563" s="6" t="s">
        <v>6611</v>
      </c>
      <c r="D563" s="5" t="s">
        <v>6610</v>
      </c>
      <c r="E563" s="9" t="str">
        <f>HYPERLINK("https://twitter.com/aramehetemadi/status/1045396629703069697","1045396629703069697")</f>
        <v>1045396629703069697</v>
      </c>
      <c r="F563" s="4"/>
      <c r="G563" s="4"/>
      <c r="H563" s="4"/>
      <c r="I563" s="10" t="str">
        <f>HYPERLINK("http://twitter.com/download/iphone","Twitter for iPhone")</f>
        <v>Twitter for iPhone</v>
      </c>
      <c r="J563" s="2">
        <v>3360</v>
      </c>
      <c r="K563" s="2">
        <v>161</v>
      </c>
      <c r="L563" s="2">
        <v>14</v>
      </c>
      <c r="M563" s="2"/>
      <c r="N563" s="8">
        <v>40555.629027777773</v>
      </c>
      <c r="O563" s="4" t="s">
        <v>200</v>
      </c>
      <c r="P563" s="3"/>
      <c r="Q563" s="10" t="s">
        <v>6609</v>
      </c>
      <c r="R563" s="4"/>
      <c r="S563" s="9" t="str">
        <f>HYPERLINK("https://pbs.twimg.com/profile_images/992871601560543232/BBRu_6Ho.jpg","View")</f>
        <v>View</v>
      </c>
    </row>
    <row r="564" spans="1:19" ht="40">
      <c r="A564" s="8">
        <v>43370.961736111116</v>
      </c>
      <c r="B564" s="11" t="str">
        <f>HYPERLINK("https://twitter.com/Karikatorrr","@Karikatorrr")</f>
        <v>@Karikatorrr</v>
      </c>
      <c r="C564" s="6" t="s">
        <v>6608</v>
      </c>
      <c r="D564" s="5" t="s">
        <v>6607</v>
      </c>
      <c r="E564" s="9" t="str">
        <f>HYPERLINK("https://twitter.com/Karikatorrr/status/1045396381844873216","1045396381844873216")</f>
        <v>1045396381844873216</v>
      </c>
      <c r="F564" s="4"/>
      <c r="G564" s="4"/>
      <c r="H564" s="4"/>
      <c r="I564" s="10" t="str">
        <f>HYPERLINK("http://twitter.com/download/android","Twitter for Android")</f>
        <v>Twitter for Android</v>
      </c>
      <c r="J564" s="2">
        <v>315</v>
      </c>
      <c r="K564" s="2">
        <v>394</v>
      </c>
      <c r="L564" s="2">
        <v>0</v>
      </c>
      <c r="M564" s="2"/>
      <c r="N564" s="8">
        <v>42836.445960648147</v>
      </c>
      <c r="O564" s="4"/>
      <c r="P564" s="3" t="s">
        <v>6606</v>
      </c>
      <c r="Q564" s="4"/>
      <c r="R564" s="4"/>
      <c r="S564" s="9" t="str">
        <f>HYPERLINK("https://pbs.twimg.com/profile_images/981378815480999936/k6kYgooZ.jpg","View")</f>
        <v>View</v>
      </c>
    </row>
    <row r="565" spans="1:19" ht="20">
      <c r="A565" s="8">
        <v>43370.96</v>
      </c>
      <c r="B565" s="11" t="str">
        <f>HYPERLINK("https://twitter.com/bameri_ali","@bameri_ali")</f>
        <v>@bameri_ali</v>
      </c>
      <c r="C565" s="6" t="s">
        <v>6605</v>
      </c>
      <c r="D565" s="5" t="s">
        <v>6604</v>
      </c>
      <c r="E565" s="9" t="str">
        <f>HYPERLINK("https://twitter.com/bameri_ali/status/1045395753970139137","1045395753970139137")</f>
        <v>1045395753970139137</v>
      </c>
      <c r="F565" s="4"/>
      <c r="G565" s="4"/>
      <c r="H565" s="4"/>
      <c r="I565" s="10" t="str">
        <f>HYPERLINK("http://twitter.com/download/android","Twitter for Android")</f>
        <v>Twitter for Android</v>
      </c>
      <c r="J565" s="2">
        <v>95</v>
      </c>
      <c r="K565" s="2">
        <v>105</v>
      </c>
      <c r="L565" s="2">
        <v>0</v>
      </c>
      <c r="M565" s="2"/>
      <c r="N565" s="8">
        <v>42570.926666666666</v>
      </c>
      <c r="O565" s="4" t="s">
        <v>55</v>
      </c>
      <c r="P565" s="3" t="s">
        <v>6603</v>
      </c>
      <c r="Q565" s="4"/>
      <c r="R565" s="4"/>
      <c r="S565" s="9" t="str">
        <f>HYPERLINK("https://pbs.twimg.com/profile_images/1044554457718116352/zKMI5XLF.jpg","View")</f>
        <v>View</v>
      </c>
    </row>
    <row r="566" spans="1:19" ht="20">
      <c r="A566" s="8">
        <v>43370.959849537037</v>
      </c>
      <c r="B566" s="11" t="str">
        <f>HYPERLINK("https://twitter.com/aminqazviny","@aminqazviny")</f>
        <v>@aminqazviny</v>
      </c>
      <c r="C566" s="6" t="s">
        <v>6602</v>
      </c>
      <c r="D566" s="5" t="s">
        <v>6601</v>
      </c>
      <c r="E566" s="9" t="str">
        <f>HYPERLINK("https://twitter.com/aminqazviny/status/1045395697007235072","1045395697007235072")</f>
        <v>1045395697007235072</v>
      </c>
      <c r="F566" s="4"/>
      <c r="G566" s="4"/>
      <c r="H566" s="4"/>
      <c r="I566" s="10" t="str">
        <f>HYPERLINK("http://twitter.com","Twitter Web Client")</f>
        <v>Twitter Web Client</v>
      </c>
      <c r="J566" s="2">
        <v>10955</v>
      </c>
      <c r="K566" s="2">
        <v>960</v>
      </c>
      <c r="L566" s="2">
        <v>84</v>
      </c>
      <c r="M566" s="2"/>
      <c r="N566" s="8">
        <v>41845.998506944445</v>
      </c>
      <c r="O566" s="4" t="s">
        <v>6600</v>
      </c>
      <c r="P566" s="3" t="s">
        <v>6599</v>
      </c>
      <c r="Q566" s="4"/>
      <c r="R566" s="4"/>
      <c r="S566" s="9" t="str">
        <f>HYPERLINK("https://pbs.twimg.com/profile_images/949364793206562816/O9UNYqkg.jpg","View")</f>
        <v>View</v>
      </c>
    </row>
    <row r="567" spans="1:19" ht="12.5">
      <c r="A567" s="8">
        <v>43370.959479166668</v>
      </c>
      <c r="B567" s="11" t="str">
        <f>HYPERLINK("https://twitter.com/sinadotnet","@sinadotnet")</f>
        <v>@sinadotnet</v>
      </c>
      <c r="C567" s="6" t="s">
        <v>6598</v>
      </c>
      <c r="D567" s="5" t="s">
        <v>6597</v>
      </c>
      <c r="E567" s="9" t="str">
        <f>HYPERLINK("https://twitter.com/sinadotnet/status/1045395561686405122","1045395561686405122")</f>
        <v>1045395561686405122</v>
      </c>
      <c r="F567" s="4"/>
      <c r="G567" s="4"/>
      <c r="H567" s="4"/>
      <c r="I567" s="10" t="str">
        <f>HYPERLINK("http://twitter.com/download/android","Twitter for Android")</f>
        <v>Twitter for Android</v>
      </c>
      <c r="J567" s="2">
        <v>1007</v>
      </c>
      <c r="K567" s="2">
        <v>398</v>
      </c>
      <c r="L567" s="2">
        <v>10</v>
      </c>
      <c r="M567" s="2"/>
      <c r="N567" s="8">
        <v>40043.859178240738</v>
      </c>
      <c r="O567" s="4" t="s">
        <v>10</v>
      </c>
      <c r="P567" s="3" t="s">
        <v>6596</v>
      </c>
      <c r="Q567" s="10" t="s">
        <v>6595</v>
      </c>
      <c r="R567" s="4"/>
      <c r="S567" s="9" t="str">
        <f>HYPERLINK("https://pbs.twimg.com/profile_images/1013458663653216257/dLeHyDv2.jpg","View")</f>
        <v>View</v>
      </c>
    </row>
    <row r="568" spans="1:19" ht="50">
      <c r="A568" s="8">
        <v>43370.95930555556</v>
      </c>
      <c r="B568" s="11" t="str">
        <f>HYPERLINK("https://twitter.com/Sd_mf_h","@Sd_mf_h")</f>
        <v>@Sd_mf_h</v>
      </c>
      <c r="C568" s="6" t="s">
        <v>6594</v>
      </c>
      <c r="D568" s="5" t="s">
        <v>6593</v>
      </c>
      <c r="E568" s="9" t="str">
        <f>HYPERLINK("https://twitter.com/Sd_mf_h/status/1045395500227350529","1045395500227350529")</f>
        <v>1045395500227350529</v>
      </c>
      <c r="F568" s="10" t="s">
        <v>6479</v>
      </c>
      <c r="G568" s="10" t="s">
        <v>6478</v>
      </c>
      <c r="H568" s="4"/>
      <c r="I568" s="10" t="str">
        <f>HYPERLINK("http://twitter.com/download/android","Twitter for Android")</f>
        <v>Twitter for Android</v>
      </c>
      <c r="J568" s="2">
        <v>376</v>
      </c>
      <c r="K568" s="2">
        <v>973</v>
      </c>
      <c r="L568" s="2">
        <v>2</v>
      </c>
      <c r="M568" s="2"/>
      <c r="N568" s="8">
        <v>42848.960324074069</v>
      </c>
      <c r="O568" s="4" t="s">
        <v>6592</v>
      </c>
      <c r="P568" s="3" t="s">
        <v>6591</v>
      </c>
      <c r="Q568" s="4"/>
      <c r="R568" s="4"/>
      <c r="S568" s="9" t="str">
        <f>HYPERLINK("https://pbs.twimg.com/profile_images/953211070356901888/zic4Xlel.jpg","View")</f>
        <v>View</v>
      </c>
    </row>
    <row r="569" spans="1:19" ht="30">
      <c r="A569" s="8">
        <v>43370.958784722221</v>
      </c>
      <c r="B569" s="11" t="str">
        <f>HYPERLINK("https://twitter.com/Majid_Mehrdana","@Majid_Mehrdana")</f>
        <v>@Majid_Mehrdana</v>
      </c>
      <c r="C569" s="6" t="s">
        <v>6590</v>
      </c>
      <c r="D569" s="5" t="s">
        <v>6589</v>
      </c>
      <c r="E569" s="9" t="str">
        <f>HYPERLINK("https://twitter.com/Majid_Mehrdana/status/1045395312150564864","1045395312150564864")</f>
        <v>1045395312150564864</v>
      </c>
      <c r="F569" s="4"/>
      <c r="G569" s="10" t="s">
        <v>6588</v>
      </c>
      <c r="H569" s="4"/>
      <c r="I569" s="10" t="str">
        <f>HYPERLINK("http://twitter.com","Twitter Web Client")</f>
        <v>Twitter Web Client</v>
      </c>
      <c r="J569" s="2">
        <v>166</v>
      </c>
      <c r="K569" s="2">
        <v>397</v>
      </c>
      <c r="L569" s="2">
        <v>0</v>
      </c>
      <c r="M569" s="2"/>
      <c r="N569" s="8">
        <v>42731.664988425924</v>
      </c>
      <c r="O569" s="4"/>
      <c r="P569" s="3" t="s">
        <v>6587</v>
      </c>
      <c r="Q569" s="4"/>
      <c r="R569" s="4"/>
      <c r="S569" s="9" t="str">
        <f>HYPERLINK("https://pbs.twimg.com/profile_images/813783095333834752/vVvySHIp.jpg","View")</f>
        <v>View</v>
      </c>
    </row>
    <row r="570" spans="1:19" ht="20">
      <c r="A570" s="8">
        <v>43370.958668981482</v>
      </c>
      <c r="B570" s="11" t="str">
        <f>HYPERLINK("https://twitter.com/jonquil138","@jonquil138")</f>
        <v>@jonquil138</v>
      </c>
      <c r="C570" s="6" t="s">
        <v>6586</v>
      </c>
      <c r="D570" s="5" t="s">
        <v>6585</v>
      </c>
      <c r="E570" s="9" t="str">
        <f>HYPERLINK("https://twitter.com/jonquil138/status/1045395271344173056","1045395271344173056")</f>
        <v>1045395271344173056</v>
      </c>
      <c r="F570" s="4"/>
      <c r="G570" s="4"/>
      <c r="H570" s="4"/>
      <c r="I570" s="10" t="str">
        <f>HYPERLINK("http://twitter.com/#!/download/ipad","Twitter for iPad")</f>
        <v>Twitter for iPad</v>
      </c>
      <c r="J570" s="2">
        <v>142</v>
      </c>
      <c r="K570" s="2">
        <v>148</v>
      </c>
      <c r="L570" s="2">
        <v>0</v>
      </c>
      <c r="M570" s="2"/>
      <c r="N570" s="8">
        <v>40962.855312500003</v>
      </c>
      <c r="O570" s="4" t="s">
        <v>72</v>
      </c>
      <c r="P570" s="3" t="s">
        <v>6584</v>
      </c>
      <c r="Q570" s="4"/>
      <c r="R570" s="4"/>
      <c r="S570" s="9" t="str">
        <f>HYPERLINK("https://pbs.twimg.com/profile_images/1034673218743922689/101XqdAr.jpg","View")</f>
        <v>View</v>
      </c>
    </row>
    <row r="571" spans="1:19" ht="20">
      <c r="A571" s="8">
        <v>43370.958611111113</v>
      </c>
      <c r="B571" s="11" t="str">
        <f>HYPERLINK("https://twitter.com/aghdassi","@aghdassi")</f>
        <v>@aghdassi</v>
      </c>
      <c r="C571" s="6" t="s">
        <v>6583</v>
      </c>
      <c r="D571" s="5" t="s">
        <v>6582</v>
      </c>
      <c r="E571" s="9" t="str">
        <f>HYPERLINK("https://twitter.com/aghdassi/status/1045395249839919109","1045395249839919109")</f>
        <v>1045395249839919109</v>
      </c>
      <c r="F571" s="4"/>
      <c r="G571" s="10" t="s">
        <v>6581</v>
      </c>
      <c r="H571" s="4"/>
      <c r="I571" s="10" t="str">
        <f>HYPERLINK("http://twitter.com/download/iphone","Twitter for iPhone")</f>
        <v>Twitter for iPhone</v>
      </c>
      <c r="J571" s="2">
        <v>338</v>
      </c>
      <c r="K571" s="2">
        <v>378</v>
      </c>
      <c r="L571" s="2">
        <v>2</v>
      </c>
      <c r="M571" s="2"/>
      <c r="N571" s="8">
        <v>41503.8433912037</v>
      </c>
      <c r="O571" s="4" t="s">
        <v>10</v>
      </c>
      <c r="P571" s="3" t="s">
        <v>6580</v>
      </c>
      <c r="Q571" s="10" t="s">
        <v>6579</v>
      </c>
      <c r="R571" s="4"/>
      <c r="S571" s="9" t="str">
        <f>HYPERLINK("https://pbs.twimg.com/profile_images/1008820232440483845/cYa7QEKD.jpg","View")</f>
        <v>View</v>
      </c>
    </row>
    <row r="572" spans="1:19" ht="40">
      <c r="A572" s="8">
        <v>43370.95857638889</v>
      </c>
      <c r="B572" s="11" t="str">
        <f>HYPERLINK("https://twitter.com/Lakposhte","@Lakposhte")</f>
        <v>@Lakposhte</v>
      </c>
      <c r="C572" s="6" t="s">
        <v>6578</v>
      </c>
      <c r="D572" s="5" t="s">
        <v>6577</v>
      </c>
      <c r="E572" s="9" t="str">
        <f>HYPERLINK("https://twitter.com/Lakposhte/status/1045395234950021120","1045395234950021120")</f>
        <v>1045395234950021120</v>
      </c>
      <c r="F572" s="4"/>
      <c r="G572" s="10" t="s">
        <v>6576</v>
      </c>
      <c r="H572" s="4"/>
      <c r="I572" s="10" t="str">
        <f>HYPERLINK("http://twitter.com/download/iphone","Twitter for iPhone")</f>
        <v>Twitter for iPhone</v>
      </c>
      <c r="J572" s="2">
        <v>2456</v>
      </c>
      <c r="K572" s="2">
        <v>432</v>
      </c>
      <c r="L572" s="2">
        <v>22</v>
      </c>
      <c r="M572" s="2"/>
      <c r="N572" s="8">
        <v>42313.171099537038</v>
      </c>
      <c r="O572" s="4"/>
      <c r="P572" s="3" t="s">
        <v>6575</v>
      </c>
      <c r="Q572" s="4"/>
      <c r="R572" s="4"/>
      <c r="S572" s="9" t="str">
        <f>HYPERLINK("https://pbs.twimg.com/profile_images/817144133919903744/GN7REejm.jpg","View")</f>
        <v>View</v>
      </c>
    </row>
    <row r="573" spans="1:19" ht="20">
      <c r="A573" s="8">
        <v>43370.958032407405</v>
      </c>
      <c r="B573" s="11" t="str">
        <f>HYPERLINK("https://twitter.com/Hanik__","@Hanik__")</f>
        <v>@Hanik__</v>
      </c>
      <c r="C573" s="6" t="s">
        <v>6574</v>
      </c>
      <c r="D573" s="5" t="s">
        <v>6573</v>
      </c>
      <c r="E573" s="9" t="str">
        <f>HYPERLINK("https://twitter.com/Hanik__/status/1045395040456122370","1045395040456122370")</f>
        <v>1045395040456122370</v>
      </c>
      <c r="F573" s="4"/>
      <c r="G573" s="4"/>
      <c r="H573" s="4"/>
      <c r="I573" s="10" t="str">
        <f>HYPERLINK("http://twitter.com/download/iphone","Twitter for iPhone")</f>
        <v>Twitter for iPhone</v>
      </c>
      <c r="J573" s="2">
        <v>336</v>
      </c>
      <c r="K573" s="2">
        <v>135</v>
      </c>
      <c r="L573" s="2">
        <v>1</v>
      </c>
      <c r="M573" s="2"/>
      <c r="N573" s="8">
        <v>42596.029444444444</v>
      </c>
      <c r="O573" s="4" t="s">
        <v>170</v>
      </c>
      <c r="P573" s="3" t="s">
        <v>6572</v>
      </c>
      <c r="Q573" s="4"/>
      <c r="R573" s="4"/>
      <c r="S573" s="9" t="str">
        <f>HYPERLINK("https://pbs.twimg.com/profile_images/1009939005205635072/me7pCq9T.jpg","View")</f>
        <v>View</v>
      </c>
    </row>
    <row r="574" spans="1:19" ht="30">
      <c r="A574" s="8">
        <v>43370.957349537042</v>
      </c>
      <c r="B574" s="11" t="str">
        <f>HYPERLINK("https://twitter.com/mohamadhamidi2","@mohamadhamidi2")</f>
        <v>@mohamadhamidi2</v>
      </c>
      <c r="C574" s="6" t="s">
        <v>4471</v>
      </c>
      <c r="D574" s="5" t="s">
        <v>6571</v>
      </c>
      <c r="E574" s="9" t="str">
        <f>HYPERLINK("https://twitter.com/mohamadhamidi2/status/1045394790605574145","1045394790605574145")</f>
        <v>1045394790605574145</v>
      </c>
      <c r="F574" s="4"/>
      <c r="G574" s="4"/>
      <c r="H574" s="4"/>
      <c r="I574" s="10" t="str">
        <f>HYPERLINK("http://twitter.com","Twitter Web Client")</f>
        <v>Twitter Web Client</v>
      </c>
      <c r="J574" s="2">
        <v>325</v>
      </c>
      <c r="K574" s="2">
        <v>806</v>
      </c>
      <c r="L574" s="2">
        <v>2</v>
      </c>
      <c r="M574" s="2"/>
      <c r="N574" s="8">
        <v>41252.836516203708</v>
      </c>
      <c r="O574" s="4"/>
      <c r="P574" s="3"/>
      <c r="Q574" s="10" t="s">
        <v>4469</v>
      </c>
      <c r="R574" s="4"/>
      <c r="S574" s="9" t="str">
        <f>HYPERLINK("https://pbs.twimg.com/profile_images/873834206358417409/88vDyOhN.jpg","View")</f>
        <v>View</v>
      </c>
    </row>
    <row r="575" spans="1:19" ht="20">
      <c r="A575" s="8">
        <v>43370.957152777773</v>
      </c>
      <c r="B575" s="11" t="str">
        <f>HYPERLINK("https://twitter.com/si_civil","@si_civil")</f>
        <v>@si_civil</v>
      </c>
      <c r="C575" s="6" t="s">
        <v>6570</v>
      </c>
      <c r="D575" s="5" t="s">
        <v>6569</v>
      </c>
      <c r="E575" s="9" t="str">
        <f>HYPERLINK("https://twitter.com/si_civil/status/1045394720904663041","1045394720904663041")</f>
        <v>1045394720904663041</v>
      </c>
      <c r="F575" s="4"/>
      <c r="G575" s="4"/>
      <c r="H575" s="4"/>
      <c r="I575" s="10" t="str">
        <f>HYPERLINK("http://t.me/RetweetBot","HsinBot")</f>
        <v>HsinBot</v>
      </c>
      <c r="J575" s="2">
        <v>28</v>
      </c>
      <c r="K575" s="2">
        <v>19</v>
      </c>
      <c r="L575" s="2">
        <v>0</v>
      </c>
      <c r="M575" s="2"/>
      <c r="N575" s="8">
        <v>43325.669722222221</v>
      </c>
      <c r="O575" s="4"/>
      <c r="P575" s="3" t="s">
        <v>6568</v>
      </c>
      <c r="Q575" s="4"/>
      <c r="R575" s="4"/>
      <c r="S575" s="9" t="str">
        <f>HYPERLINK("https://pbs.twimg.com/profile_images/1038475778776866816/D5-mzwDj.jpg","View")</f>
        <v>View</v>
      </c>
    </row>
    <row r="576" spans="1:19" ht="20">
      <c r="A576" s="8">
        <v>43370.957002314812</v>
      </c>
      <c r="B576" s="11" t="str">
        <f>HYPERLINK("https://twitter.com/Roozbeh_rm","@Roozbeh_rm")</f>
        <v>@Roozbeh_rm</v>
      </c>
      <c r="C576" s="6" t="s">
        <v>3511</v>
      </c>
      <c r="D576" s="5" t="s">
        <v>6567</v>
      </c>
      <c r="E576" s="9" t="str">
        <f>HYPERLINK("https://twitter.com/Roozbeh_rm/status/1045394664466132994","1045394664466132994")</f>
        <v>1045394664466132994</v>
      </c>
      <c r="F576" s="4"/>
      <c r="G576" s="4"/>
      <c r="H576" s="4"/>
      <c r="I576" s="10" t="str">
        <f>HYPERLINK("http://twitter.com/download/android","Twitter for Android")</f>
        <v>Twitter for Android</v>
      </c>
      <c r="J576" s="2">
        <v>215</v>
      </c>
      <c r="K576" s="2">
        <v>274</v>
      </c>
      <c r="L576" s="2">
        <v>1</v>
      </c>
      <c r="M576" s="2"/>
      <c r="N576" s="8">
        <v>43262.722303240742</v>
      </c>
      <c r="O576" s="4" t="s">
        <v>3509</v>
      </c>
      <c r="P576" s="3" t="s">
        <v>3508</v>
      </c>
      <c r="Q576" s="4"/>
      <c r="R576" s="4"/>
      <c r="S576" s="9" t="str">
        <f>HYPERLINK("https://pbs.twimg.com/profile_images/1045363975779573761/Ds38fhTD.jpg","View")</f>
        <v>View</v>
      </c>
    </row>
    <row r="577" spans="1:19" ht="30">
      <c r="A577" s="8">
        <v>43370.956793981481</v>
      </c>
      <c r="B577" s="11" t="str">
        <f>HYPERLINK("https://twitter.com/IranVarzeshi","@IranVarzeshi")</f>
        <v>@IranVarzeshi</v>
      </c>
      <c r="C577" s="6" t="s">
        <v>212</v>
      </c>
      <c r="D577" s="5" t="s">
        <v>6566</v>
      </c>
      <c r="E577" s="9" t="str">
        <f>HYPERLINK("https://twitter.com/IranVarzeshi/status/1045394588331061248","1045394588331061248")</f>
        <v>1045394588331061248</v>
      </c>
      <c r="F577" s="4"/>
      <c r="G577" s="4"/>
      <c r="H577" s="4"/>
      <c r="I577" s="10" t="str">
        <f>HYPERLINK("http://twitter.com/download/iphone","Twitter for iPhone")</f>
        <v>Twitter for iPhone</v>
      </c>
      <c r="J577" s="2">
        <v>667</v>
      </c>
      <c r="K577" s="2">
        <v>20</v>
      </c>
      <c r="L577" s="2">
        <v>9</v>
      </c>
      <c r="M577" s="2"/>
      <c r="N577" s="8">
        <v>43233.76258101852</v>
      </c>
      <c r="O577" s="4"/>
      <c r="P577" s="3" t="s">
        <v>210</v>
      </c>
      <c r="Q577" s="10" t="s">
        <v>209</v>
      </c>
      <c r="R577" s="4"/>
      <c r="S577" s="9" t="str">
        <f>HYPERLINK("https://pbs.twimg.com/profile_images/1001132674306670593/nV9S7juu.jpg","View")</f>
        <v>View</v>
      </c>
    </row>
    <row r="578" spans="1:19" ht="50">
      <c r="A578" s="8">
        <v>43370.956458333334</v>
      </c>
      <c r="B578" s="11" t="str">
        <f>HYPERLINK("https://twitter.com/trenditter","@trenditter")</f>
        <v>@trenditter</v>
      </c>
      <c r="C578" s="6" t="s">
        <v>6565</v>
      </c>
      <c r="D578" s="5" t="s">
        <v>6564</v>
      </c>
      <c r="E578" s="9" t="str">
        <f>HYPERLINK("https://twitter.com/trenditter/status/1045394468885745665","1045394468885745665")</f>
        <v>1045394468885745665</v>
      </c>
      <c r="F578" s="4"/>
      <c r="G578" s="4"/>
      <c r="H578" s="4"/>
      <c r="I578" s="10" t="str">
        <f>HYPERLINK("https://vahedinia.me","BestOfTwitterFa")</f>
        <v>BestOfTwitterFa</v>
      </c>
      <c r="J578" s="2">
        <v>5499</v>
      </c>
      <c r="K578" s="2">
        <v>31</v>
      </c>
      <c r="L578" s="2">
        <v>42</v>
      </c>
      <c r="M578" s="2"/>
      <c r="N578" s="8">
        <v>42824.77443287037</v>
      </c>
      <c r="O578" s="4" t="s">
        <v>6563</v>
      </c>
      <c r="P578" s="3" t="s">
        <v>6562</v>
      </c>
      <c r="Q578" s="10" t="s">
        <v>6561</v>
      </c>
      <c r="R578" s="4"/>
      <c r="S578" s="9" t="str">
        <f>HYPERLINK("https://pbs.twimg.com/profile_images/847507136720637953/mQCv6V9W.jpg","View")</f>
        <v>View</v>
      </c>
    </row>
    <row r="579" spans="1:19" ht="40">
      <c r="A579" s="8">
        <v>43370.956203703703</v>
      </c>
      <c r="B579" s="11" t="str">
        <f>HYPERLINK("https://twitter.com/william_darcy_","@william_darcy_")</f>
        <v>@william_darcy_</v>
      </c>
      <c r="C579" s="6" t="s">
        <v>6560</v>
      </c>
      <c r="D579" s="5" t="s">
        <v>6559</v>
      </c>
      <c r="E579" s="9" t="str">
        <f>HYPERLINK("https://twitter.com/william_darcy_/status/1045394378020343811","1045394378020343811")</f>
        <v>1045394378020343811</v>
      </c>
      <c r="F579" s="4"/>
      <c r="G579" s="4"/>
      <c r="H579" s="4"/>
      <c r="I579" s="10" t="str">
        <f>HYPERLINK("http://twitter.com/download/android","Twitter for Android")</f>
        <v>Twitter for Android</v>
      </c>
      <c r="J579" s="2">
        <v>44</v>
      </c>
      <c r="K579" s="2">
        <v>155</v>
      </c>
      <c r="L579" s="2">
        <v>0</v>
      </c>
      <c r="M579" s="2"/>
      <c r="N579" s="8">
        <v>43369.077476851853</v>
      </c>
      <c r="O579" s="4"/>
      <c r="P579" s="3" t="s">
        <v>6558</v>
      </c>
      <c r="Q579" s="4"/>
      <c r="R579" s="4"/>
      <c r="S579" s="9" t="str">
        <f>HYPERLINK("https://pbs.twimg.com/profile_images/1044714387456618496/KWgoiB8O.jpg","View")</f>
        <v>View</v>
      </c>
    </row>
    <row r="580" spans="1:19" ht="20">
      <c r="A580" s="8">
        <v>43370.955972222218</v>
      </c>
      <c r="B580" s="11" t="str">
        <f>HYPERLINK("https://twitter.com/Saminew8","@Saminew8")</f>
        <v>@Saminew8</v>
      </c>
      <c r="C580" s="6" t="s">
        <v>6557</v>
      </c>
      <c r="D580" s="5" t="s">
        <v>6556</v>
      </c>
      <c r="E580" s="9" t="str">
        <f>HYPERLINK("https://twitter.com/Saminew8/status/1045394293320536065","1045394293320536065")</f>
        <v>1045394293320536065</v>
      </c>
      <c r="F580" s="4"/>
      <c r="G580" s="4"/>
      <c r="H580" s="4"/>
      <c r="I580" s="10" t="str">
        <f>HYPERLINK("http://twitter.com/download/iphone","Twitter for iPhone")</f>
        <v>Twitter for iPhone</v>
      </c>
      <c r="J580" s="2">
        <v>318</v>
      </c>
      <c r="K580" s="2">
        <v>268</v>
      </c>
      <c r="L580" s="2">
        <v>4</v>
      </c>
      <c r="M580" s="2"/>
      <c r="N580" s="8">
        <v>43282.057800925926</v>
      </c>
      <c r="O580" s="4" t="s">
        <v>6555</v>
      </c>
      <c r="P580" s="3" t="s">
        <v>6554</v>
      </c>
      <c r="Q580" s="4"/>
      <c r="R580" s="4"/>
      <c r="S580" s="9" t="str">
        <f>HYPERLINK("https://pbs.twimg.com/profile_images/1038825762340696066/oub7_q0H.jpg","View")</f>
        <v>View</v>
      </c>
    </row>
    <row r="581" spans="1:19" ht="60">
      <c r="A581" s="8">
        <v>43370.955960648149</v>
      </c>
      <c r="B581" s="11" t="str">
        <f>HYPERLINK("https://twitter.com/cafeark1","@cafeark1")</f>
        <v>@cafeark1</v>
      </c>
      <c r="C581" s="6" t="s">
        <v>3250</v>
      </c>
      <c r="D581" s="5" t="s">
        <v>6553</v>
      </c>
      <c r="E581" s="9" t="str">
        <f>HYPERLINK("https://twitter.com/cafeark1/status/1045394286559350790","1045394286559350790")</f>
        <v>1045394286559350790</v>
      </c>
      <c r="F581" s="10" t="s">
        <v>6552</v>
      </c>
      <c r="G581" s="10" t="s">
        <v>6551</v>
      </c>
      <c r="H581" s="4"/>
      <c r="I581" s="10" t="str">
        <f>HYPERLINK("http://twitter.com/download/iphone","Twitter for iPhone")</f>
        <v>Twitter for iPhone</v>
      </c>
      <c r="J581" s="2">
        <v>60</v>
      </c>
      <c r="K581" s="2">
        <v>326</v>
      </c>
      <c r="L581" s="2">
        <v>0</v>
      </c>
      <c r="M581" s="2"/>
      <c r="N581" s="8">
        <v>43368.95994212963</v>
      </c>
      <c r="O581" s="4" t="s">
        <v>200</v>
      </c>
      <c r="P581" s="3" t="s">
        <v>3247</v>
      </c>
      <c r="Q581" s="4"/>
      <c r="R581" s="4"/>
      <c r="S581" s="9" t="str">
        <f>HYPERLINK("https://pbs.twimg.com/profile_images/1044672251138838528/qedz6RcS.jpg","View")</f>
        <v>View</v>
      </c>
    </row>
    <row r="582" spans="1:19" ht="30">
      <c r="A582" s="8">
        <v>43370.955891203703</v>
      </c>
      <c r="B582" s="11" t="str">
        <f>HYPERLINK("https://twitter.com/jire_pamaran","@jire_pamaran")</f>
        <v>@jire_pamaran</v>
      </c>
      <c r="C582" s="6" t="s">
        <v>155</v>
      </c>
      <c r="D582" s="5" t="s">
        <v>6550</v>
      </c>
      <c r="E582" s="9" t="str">
        <f>HYPERLINK("https://twitter.com/jire_pamaran/status/1045394263410966529","1045394263410966529")</f>
        <v>1045394263410966529</v>
      </c>
      <c r="F582" s="4"/>
      <c r="G582" s="4"/>
      <c r="H582" s="4"/>
      <c r="I582" s="10" t="str">
        <f>HYPERLINK("http://twitter.com/download/iphone","Twitter for iPhone")</f>
        <v>Twitter for iPhone</v>
      </c>
      <c r="J582" s="2">
        <v>745</v>
      </c>
      <c r="K582" s="2">
        <v>688</v>
      </c>
      <c r="L582" s="2">
        <v>0</v>
      </c>
      <c r="M582" s="2"/>
      <c r="N582" s="8">
        <v>43224.596041666664</v>
      </c>
      <c r="O582" s="4"/>
      <c r="P582" s="3"/>
      <c r="Q582" s="4"/>
      <c r="R582" s="4"/>
      <c r="S582" s="9" t="str">
        <f>HYPERLINK("https://pbs.twimg.com/profile_images/1026131290804969472/jbzHpbhC.jpg","View")</f>
        <v>View</v>
      </c>
    </row>
    <row r="583" spans="1:19" ht="20">
      <c r="A583" s="8">
        <v>43370.95584490741</v>
      </c>
      <c r="B583" s="11" t="str">
        <f>HYPERLINK("https://twitter.com/Sir_matinn","@Sir_matinn")</f>
        <v>@Sir_matinn</v>
      </c>
      <c r="C583" s="6" t="s">
        <v>6549</v>
      </c>
      <c r="D583" s="5" t="s">
        <v>6548</v>
      </c>
      <c r="E583" s="9" t="str">
        <f>HYPERLINK("https://twitter.com/Sir_matinn/status/1045394245769711616","1045394245769711616")</f>
        <v>1045394245769711616</v>
      </c>
      <c r="F583" s="4"/>
      <c r="G583" s="4"/>
      <c r="H583" s="4"/>
      <c r="I583" s="10" t="str">
        <f>HYPERLINK("http://twitter.com/download/android","Twitter for Android")</f>
        <v>Twitter for Android</v>
      </c>
      <c r="J583" s="2">
        <v>24</v>
      </c>
      <c r="K583" s="2">
        <v>178</v>
      </c>
      <c r="L583" s="2">
        <v>0</v>
      </c>
      <c r="M583" s="2"/>
      <c r="N583" s="8">
        <v>43342.976388888885</v>
      </c>
      <c r="O583" s="4"/>
      <c r="P583" s="3" t="s">
        <v>6547</v>
      </c>
      <c r="Q583" s="4"/>
      <c r="R583" s="4"/>
      <c r="S583" s="9" t="str">
        <f>HYPERLINK("https://pbs.twimg.com/profile_images/1036707498609336320/ECDPMLyN.jpg","View")</f>
        <v>View</v>
      </c>
    </row>
    <row r="584" spans="1:19" ht="40">
      <c r="A584" s="8">
        <v>43370.95579861111</v>
      </c>
      <c r="B584" s="11" t="str">
        <f>HYPERLINK("https://twitter.com/cafeark1","@cafeark1")</f>
        <v>@cafeark1</v>
      </c>
      <c r="C584" s="6" t="s">
        <v>3250</v>
      </c>
      <c r="D584" s="5" t="s">
        <v>6546</v>
      </c>
      <c r="E584" s="9" t="str">
        <f>HYPERLINK("https://twitter.com/cafeark1/status/1045394230552784897","1045394230552784897")</f>
        <v>1045394230552784897</v>
      </c>
      <c r="F584" s="10" t="s">
        <v>6545</v>
      </c>
      <c r="G584" s="10" t="s">
        <v>5606</v>
      </c>
      <c r="H584" s="4"/>
      <c r="I584" s="10" t="str">
        <f>HYPERLINK("http://twitter.com/download/iphone","Twitter for iPhone")</f>
        <v>Twitter for iPhone</v>
      </c>
      <c r="J584" s="2">
        <v>60</v>
      </c>
      <c r="K584" s="2">
        <v>326</v>
      </c>
      <c r="L584" s="2">
        <v>0</v>
      </c>
      <c r="M584" s="2"/>
      <c r="N584" s="8">
        <v>43368.95994212963</v>
      </c>
      <c r="O584" s="4" t="s">
        <v>200</v>
      </c>
      <c r="P584" s="3" t="s">
        <v>3247</v>
      </c>
      <c r="Q584" s="4"/>
      <c r="R584" s="4"/>
      <c r="S584" s="9" t="str">
        <f>HYPERLINK("https://pbs.twimg.com/profile_images/1044672251138838528/qedz6RcS.jpg","View")</f>
        <v>View</v>
      </c>
    </row>
    <row r="585" spans="1:19" ht="30">
      <c r="A585" s="8">
        <v>43370.955000000002</v>
      </c>
      <c r="B585" s="11" t="str">
        <f>HYPERLINK("https://twitter.com/hoseinbipanahi1","@hoseinbipanahi1")</f>
        <v>@hoseinbipanahi1</v>
      </c>
      <c r="C585" s="6" t="s">
        <v>911</v>
      </c>
      <c r="D585" s="5" t="s">
        <v>6544</v>
      </c>
      <c r="E585" s="9" t="str">
        <f>HYPERLINK("https://twitter.com/hoseinbipanahi1/status/1045393941837873152","1045393941837873152")</f>
        <v>1045393941837873152</v>
      </c>
      <c r="F585" s="4"/>
      <c r="G585" s="4"/>
      <c r="H585" s="4"/>
      <c r="I585" s="10" t="str">
        <f>HYPERLINK("http://twitter.com/download/android","Twitter for Android")</f>
        <v>Twitter for Android</v>
      </c>
      <c r="J585" s="2">
        <v>4268</v>
      </c>
      <c r="K585" s="2">
        <v>2758</v>
      </c>
      <c r="L585" s="2">
        <v>11</v>
      </c>
      <c r="M585" s="2"/>
      <c r="N585" s="8">
        <v>40971.767384259263</v>
      </c>
      <c r="O585" s="4" t="s">
        <v>72</v>
      </c>
      <c r="P585" s="3" t="s">
        <v>910</v>
      </c>
      <c r="Q585" s="4"/>
      <c r="R585" s="4"/>
      <c r="S585" s="9" t="str">
        <f>HYPERLINK("https://pbs.twimg.com/profile_images/1020313986884128774/LEkXoxB4.jpg","View")</f>
        <v>View</v>
      </c>
    </row>
    <row r="586" spans="1:19" ht="40">
      <c r="A586" s="8">
        <v>43370.954918981486</v>
      </c>
      <c r="B586" s="11" t="str">
        <f>HYPERLINK("https://twitter.com/Shervinrmz","@Shervinrmz")</f>
        <v>@Shervinrmz</v>
      </c>
      <c r="C586" s="6" t="s">
        <v>6543</v>
      </c>
      <c r="D586" s="5" t="s">
        <v>6542</v>
      </c>
      <c r="E586" s="9" t="str">
        <f>HYPERLINK("https://twitter.com/Shervinrmz/status/1045393910955212805","1045393910955212805")</f>
        <v>1045393910955212805</v>
      </c>
      <c r="F586" s="4"/>
      <c r="G586" s="4"/>
      <c r="H586" s="4"/>
      <c r="I586" s="10" t="str">
        <f>HYPERLINK("http://twitter.com/download/android","Twitter for Android")</f>
        <v>Twitter for Android</v>
      </c>
      <c r="J586" s="2">
        <v>617</v>
      </c>
      <c r="K586" s="2">
        <v>634</v>
      </c>
      <c r="L586" s="2">
        <v>3</v>
      </c>
      <c r="M586" s="2"/>
      <c r="N586" s="8">
        <v>42749.408518518518</v>
      </c>
      <c r="O586" s="4" t="s">
        <v>200</v>
      </c>
      <c r="P586" s="3" t="s">
        <v>6541</v>
      </c>
      <c r="Q586" s="4"/>
      <c r="R586" s="4"/>
      <c r="S586" s="9" t="str">
        <f>HYPERLINK("https://pbs.twimg.com/profile_images/1035090581494685696/zQax3bwv.jpg","View")</f>
        <v>View</v>
      </c>
    </row>
    <row r="587" spans="1:19" ht="30">
      <c r="A587" s="8">
        <v>43370.954201388886</v>
      </c>
      <c r="B587" s="11" t="str">
        <f>HYPERLINK("https://twitter.com/MontanaSali","@MontanaSali")</f>
        <v>@MontanaSali</v>
      </c>
      <c r="C587" s="6" t="s">
        <v>1685</v>
      </c>
      <c r="D587" s="5" t="s">
        <v>6540</v>
      </c>
      <c r="E587" s="9" t="str">
        <f>HYPERLINK("https://twitter.com/MontanaSali/status/1045393649503285248","1045393649503285248")</f>
        <v>1045393649503285248</v>
      </c>
      <c r="F587" s="4"/>
      <c r="G587" s="4"/>
      <c r="H587" s="4"/>
      <c r="I587" s="10" t="str">
        <f>HYPERLINK("http://twitter.com/download/iphone","Twitter for iPhone")</f>
        <v>Twitter for iPhone</v>
      </c>
      <c r="J587" s="2">
        <v>462</v>
      </c>
      <c r="K587" s="2">
        <v>720</v>
      </c>
      <c r="L587" s="2">
        <v>2</v>
      </c>
      <c r="M587" s="2"/>
      <c r="N587" s="8">
        <v>42580.613854166666</v>
      </c>
      <c r="O587" s="4"/>
      <c r="P587" s="3" t="s">
        <v>1682</v>
      </c>
      <c r="Q587" s="4"/>
      <c r="R587" s="4"/>
      <c r="S587" s="9" t="str">
        <f>HYPERLINK("https://pbs.twimg.com/profile_images/1036679792719015936/qiNvDM1L.jpg","View")</f>
        <v>View</v>
      </c>
    </row>
    <row r="588" spans="1:19" ht="20">
      <c r="A588" s="8">
        <v>43370.953506944439</v>
      </c>
      <c r="B588" s="11" t="str">
        <f>HYPERLINK("https://twitter.com/MeysamRzb","@MeysamRzb")</f>
        <v>@MeysamRzb</v>
      </c>
      <c r="C588" s="6" t="s">
        <v>6539</v>
      </c>
      <c r="D588" s="5" t="s">
        <v>6538</v>
      </c>
      <c r="E588" s="9" t="str">
        <f>HYPERLINK("https://twitter.com/MeysamRzb/status/1045393399971540993","1045393399971540993")</f>
        <v>1045393399971540993</v>
      </c>
      <c r="F588" s="4"/>
      <c r="G588" s="10" t="s">
        <v>6537</v>
      </c>
      <c r="H588" s="4"/>
      <c r="I588" s="10" t="str">
        <f>HYPERLINK("http://twitter.com/download/android","Twitter for Android")</f>
        <v>Twitter for Android</v>
      </c>
      <c r="J588" s="2">
        <v>8</v>
      </c>
      <c r="K588" s="2">
        <v>17</v>
      </c>
      <c r="L588" s="2">
        <v>0</v>
      </c>
      <c r="M588" s="2"/>
      <c r="N588" s="8">
        <v>43364.979583333334</v>
      </c>
      <c r="O588" s="4"/>
      <c r="P588" s="3"/>
      <c r="Q588" s="4"/>
      <c r="R588" s="4"/>
      <c r="S588" s="9" t="str">
        <f>HYPERLINK("https://pbs.twimg.com/profile_images/1043395224423354368/O8MjpQD3.jpg","View")</f>
        <v>View</v>
      </c>
    </row>
    <row r="589" spans="1:19" ht="20">
      <c r="A589" s="8">
        <v>43370.953032407408</v>
      </c>
      <c r="B589" s="11" t="str">
        <f>HYPERLINK("https://twitter.com/saeed_sr4","@saeed_sr4")</f>
        <v>@saeed_sr4</v>
      </c>
      <c r="C589" s="6" t="s">
        <v>6536</v>
      </c>
      <c r="D589" s="5" t="s">
        <v>6535</v>
      </c>
      <c r="E589" s="9" t="str">
        <f>HYPERLINK("https://twitter.com/saeed_sr4/status/1045393225861730305","1045393225861730305")</f>
        <v>1045393225861730305</v>
      </c>
      <c r="F589" s="4"/>
      <c r="G589" s="4"/>
      <c r="H589" s="4"/>
      <c r="I589" s="10" t="str">
        <f>HYPERLINK("http://twitter.com/download/android","Twitter for Android")</f>
        <v>Twitter for Android</v>
      </c>
      <c r="J589" s="2">
        <v>139</v>
      </c>
      <c r="K589" s="2">
        <v>350</v>
      </c>
      <c r="L589" s="2">
        <v>0</v>
      </c>
      <c r="M589" s="2"/>
      <c r="N589" s="8">
        <v>42655.381365740745</v>
      </c>
      <c r="O589" s="4" t="s">
        <v>6534</v>
      </c>
      <c r="P589" s="3" t="s">
        <v>6533</v>
      </c>
      <c r="Q589" s="4"/>
      <c r="R589" s="4"/>
      <c r="S589" s="9" t="str">
        <f>HYPERLINK("https://pbs.twimg.com/profile_images/1004564253536235520/s5NLv4mZ.jpg","View")</f>
        <v>View</v>
      </c>
    </row>
    <row r="590" spans="1:19" ht="20">
      <c r="A590" s="8">
        <v>43370.951921296291</v>
      </c>
      <c r="B590" s="11" t="str">
        <f>HYPERLINK("https://twitter.com/bm212bm212","@bm212bm212")</f>
        <v>@bm212bm212</v>
      </c>
      <c r="C590" s="6" t="s">
        <v>5311</v>
      </c>
      <c r="D590" s="5" t="s">
        <v>6532</v>
      </c>
      <c r="E590" s="9" t="str">
        <f>HYPERLINK("https://twitter.com/bm212bm212/status/1045392824991019008","1045392824991019008")</f>
        <v>1045392824991019008</v>
      </c>
      <c r="F590" s="4"/>
      <c r="G590" s="4"/>
      <c r="H590" s="4"/>
      <c r="I590" s="10" t="str">
        <f>HYPERLINK("https://mobile.twitter.com","Twitter Lite")</f>
        <v>Twitter Lite</v>
      </c>
      <c r="J590" s="2">
        <v>180</v>
      </c>
      <c r="K590" s="2">
        <v>100</v>
      </c>
      <c r="L590" s="2">
        <v>3</v>
      </c>
      <c r="M590" s="2"/>
      <c r="N590" s="8">
        <v>42465.981689814813</v>
      </c>
      <c r="O590" s="4"/>
      <c r="P590" s="3" t="s">
        <v>5309</v>
      </c>
      <c r="Q590" s="4"/>
      <c r="R590" s="4"/>
      <c r="S590" s="9" t="str">
        <f>HYPERLINK("https://pbs.twimg.com/profile_images/999391728988635137/3pBmO-63.jpg","View")</f>
        <v>View</v>
      </c>
    </row>
    <row r="591" spans="1:19" ht="30">
      <c r="A591" s="8">
        <v>43370.951712962968</v>
      </c>
      <c r="B591" s="11" t="str">
        <f>HYPERLINK("https://twitter.com/mojtabanajafii","@mojtabanajafii")</f>
        <v>@mojtabanajafii</v>
      </c>
      <c r="C591" s="6" t="s">
        <v>6518</v>
      </c>
      <c r="D591" s="5" t="s">
        <v>6531</v>
      </c>
      <c r="E591" s="9" t="str">
        <f>HYPERLINK("https://twitter.com/mojtabanajafii/status/1045392747123879941","1045392747123879941")</f>
        <v>1045392747123879941</v>
      </c>
      <c r="F591" s="4"/>
      <c r="G591" s="4"/>
      <c r="H591" s="4"/>
      <c r="I591" s="10" t="str">
        <f>HYPERLINK("http://twitter.com/download/android","Twitter for Android")</f>
        <v>Twitter for Android</v>
      </c>
      <c r="J591" s="2">
        <v>70</v>
      </c>
      <c r="K591" s="2">
        <v>166</v>
      </c>
      <c r="L591" s="2">
        <v>0</v>
      </c>
      <c r="M591" s="2"/>
      <c r="N591" s="8">
        <v>42704.005532407406</v>
      </c>
      <c r="O591" s="4"/>
      <c r="P591" s="3"/>
      <c r="Q591" s="4"/>
      <c r="R591" s="4"/>
      <c r="S591" s="9" t="str">
        <f>HYPERLINK("https://pbs.twimg.com/profile_images/803704119798140929/2UUrZFle.jpg","View")</f>
        <v>View</v>
      </c>
    </row>
    <row r="592" spans="1:19" ht="12.5">
      <c r="A592" s="8">
        <v>43370.950300925921</v>
      </c>
      <c r="B592" s="11" t="str">
        <f>HYPERLINK("https://twitter.com/5EFtKA56Lrd2QDW","@5EFtKA56Lrd2QDW")</f>
        <v>@5EFtKA56Lrd2QDW</v>
      </c>
      <c r="C592" s="6" t="s">
        <v>6530</v>
      </c>
      <c r="D592" s="5" t="s">
        <v>6529</v>
      </c>
      <c r="E592" s="9" t="str">
        <f>HYPERLINK("https://twitter.com/5EFtKA56Lrd2QDW/status/1045392237520187394","1045392237520187394")</f>
        <v>1045392237520187394</v>
      </c>
      <c r="F592" s="4"/>
      <c r="G592" s="10" t="s">
        <v>6528</v>
      </c>
      <c r="H592" s="4"/>
      <c r="I592" s="10" t="str">
        <f>HYPERLINK("http://twitter.com/download/android","Twitter for Android")</f>
        <v>Twitter for Android</v>
      </c>
      <c r="J592" s="2">
        <v>174</v>
      </c>
      <c r="K592" s="2">
        <v>645</v>
      </c>
      <c r="L592" s="2">
        <v>0</v>
      </c>
      <c r="M592" s="2"/>
      <c r="N592" s="8">
        <v>42636.390162037038</v>
      </c>
      <c r="O592" s="4"/>
      <c r="P592" s="3" t="s">
        <v>6527</v>
      </c>
      <c r="Q592" s="4"/>
      <c r="R592" s="4"/>
      <c r="S592" s="9" t="str">
        <f>HYPERLINK("https://pbs.twimg.com/profile_images/953288937505570816/A16ygCkm.jpg","View")</f>
        <v>View</v>
      </c>
    </row>
    <row r="593" spans="1:19" ht="30">
      <c r="A593" s="8">
        <v>43370.949606481481</v>
      </c>
      <c r="B593" s="11" t="str">
        <f>HYPERLINK("https://twitter.com/bakhtaremruz","@bakhtaremruz")</f>
        <v>@bakhtaremruz</v>
      </c>
      <c r="C593" s="6" t="s">
        <v>6526</v>
      </c>
      <c r="D593" s="5" t="s">
        <v>6525</v>
      </c>
      <c r="E593" s="9" t="str">
        <f>HYPERLINK("https://twitter.com/bakhtaremruz/status/1045391987099279360","1045391987099279360")</f>
        <v>1045391987099279360</v>
      </c>
      <c r="F593" s="10" t="s">
        <v>6524</v>
      </c>
      <c r="G593" s="10" t="s">
        <v>6523</v>
      </c>
      <c r="H593" s="4"/>
      <c r="I593" s="10" t="str">
        <f>HYPERLINK("https://www.blog2social.com","Blog2Social APP")</f>
        <v>Blog2Social APP</v>
      </c>
      <c r="J593" s="2">
        <v>370</v>
      </c>
      <c r="K593" s="2">
        <v>6</v>
      </c>
      <c r="L593" s="2">
        <v>0</v>
      </c>
      <c r="M593" s="2"/>
      <c r="N593" s="8">
        <v>42935.755381944444</v>
      </c>
      <c r="O593" s="4" t="s">
        <v>55</v>
      </c>
      <c r="P593" s="3" t="s">
        <v>6522</v>
      </c>
      <c r="Q593" s="4"/>
      <c r="R593" s="4"/>
      <c r="S593" s="9" t="str">
        <f>HYPERLINK("https://pbs.twimg.com/profile_images/918255313836441600/74R81kMS.jpg","View")</f>
        <v>View</v>
      </c>
    </row>
    <row r="594" spans="1:19" ht="12.5">
      <c r="A594" s="8">
        <v>43370.949525462958</v>
      </c>
      <c r="B594" s="11" t="str">
        <f>HYPERLINK("https://twitter.com/hivaaaaaaa","@hivaaaaaaa")</f>
        <v>@hivaaaaaaa</v>
      </c>
      <c r="C594" s="6" t="s">
        <v>6521</v>
      </c>
      <c r="D594" s="5" t="s">
        <v>6520</v>
      </c>
      <c r="E594" s="9" t="str">
        <f>HYPERLINK("https://twitter.com/hivaaaaaaa/status/1045391958104059904","1045391958104059904")</f>
        <v>1045391958104059904</v>
      </c>
      <c r="F594" s="4"/>
      <c r="G594" s="4"/>
      <c r="H594" s="4"/>
      <c r="I594" s="10" t="str">
        <f>HYPERLINK("http://twitter.com/download/android","Twitter for Android")</f>
        <v>Twitter for Android</v>
      </c>
      <c r="J594" s="2">
        <v>781</v>
      </c>
      <c r="K594" s="2">
        <v>829</v>
      </c>
      <c r="L594" s="2">
        <v>0</v>
      </c>
      <c r="M594" s="2"/>
      <c r="N594" s="8">
        <v>41409.7425</v>
      </c>
      <c r="O594" s="4"/>
      <c r="P594" s="3" t="s">
        <v>6519</v>
      </c>
      <c r="Q594" s="4"/>
      <c r="R594" s="4"/>
      <c r="S594" s="9" t="str">
        <f>HYPERLINK("https://pbs.twimg.com/profile_images/1042000451129016320/_Ab88b7U.jpg","View")</f>
        <v>View</v>
      </c>
    </row>
    <row r="595" spans="1:19" ht="30">
      <c r="A595" s="8">
        <v>43370.949016203704</v>
      </c>
      <c r="B595" s="11" t="str">
        <f>HYPERLINK("https://twitter.com/mojtabanajafii","@mojtabanajafii")</f>
        <v>@mojtabanajafii</v>
      </c>
      <c r="C595" s="6" t="s">
        <v>6518</v>
      </c>
      <c r="D595" s="5" t="s">
        <v>6517</v>
      </c>
      <c r="E595" s="9" t="str">
        <f>HYPERLINK("https://twitter.com/mojtabanajafii/status/1045391772128555008","1045391772128555008")</f>
        <v>1045391772128555008</v>
      </c>
      <c r="F595" s="4"/>
      <c r="G595" s="4"/>
      <c r="H595" s="4"/>
      <c r="I595" s="10" t="str">
        <f>HYPERLINK("http://twitter.com/download/android","Twitter for Android")</f>
        <v>Twitter for Android</v>
      </c>
      <c r="J595" s="2">
        <v>70</v>
      </c>
      <c r="K595" s="2">
        <v>166</v>
      </c>
      <c r="L595" s="2">
        <v>0</v>
      </c>
      <c r="M595" s="2"/>
      <c r="N595" s="8">
        <v>42704.005532407406</v>
      </c>
      <c r="O595" s="4"/>
      <c r="P595" s="3"/>
      <c r="Q595" s="4"/>
      <c r="R595" s="4"/>
      <c r="S595" s="9" t="str">
        <f>HYPERLINK("https://pbs.twimg.com/profile_images/803704119798140929/2UUrZFle.jpg","View")</f>
        <v>View</v>
      </c>
    </row>
    <row r="596" spans="1:19" ht="12.5">
      <c r="A596" s="8">
        <v>43370.948958333334</v>
      </c>
      <c r="B596" s="11" t="str">
        <f>HYPERLINK("https://twitter.com/hi_ku_ma","@hi_ku_ma")</f>
        <v>@hi_ku_ma</v>
      </c>
      <c r="C596" s="6" t="s">
        <v>6516</v>
      </c>
      <c r="D596" s="5" t="s">
        <v>6515</v>
      </c>
      <c r="E596" s="9" t="str">
        <f>HYPERLINK("https://twitter.com/hi_ku_ma/status/1045391748997033990","1045391748997033990")</f>
        <v>1045391748997033990</v>
      </c>
      <c r="F596" s="4"/>
      <c r="G596" s="4"/>
      <c r="H596" s="4"/>
      <c r="I596" s="10" t="str">
        <f>HYPERLINK("http://twitter.com/download/android","Twitter for Android")</f>
        <v>Twitter for Android</v>
      </c>
      <c r="J596" s="2">
        <v>28</v>
      </c>
      <c r="K596" s="2">
        <v>73</v>
      </c>
      <c r="L596" s="2">
        <v>0</v>
      </c>
      <c r="M596" s="2"/>
      <c r="N596" s="8">
        <v>40920.028668981482</v>
      </c>
      <c r="O596" s="4" t="s">
        <v>6514</v>
      </c>
      <c r="P596" s="3"/>
      <c r="Q596" s="4"/>
      <c r="R596" s="4"/>
      <c r="S596" s="9" t="str">
        <f>HYPERLINK("https://pbs.twimg.com/profile_images/1044489341828046848/x6hIwcOd.jpg","View")</f>
        <v>View</v>
      </c>
    </row>
    <row r="597" spans="1:19" ht="40">
      <c r="A597" s="8">
        <v>43370.948888888888</v>
      </c>
      <c r="B597" s="11" t="str">
        <f>HYPERLINK("https://twitter.com/iranteammelli","@iranteammelli")</f>
        <v>@iranteammelli</v>
      </c>
      <c r="C597" s="6" t="s">
        <v>1044</v>
      </c>
      <c r="D597" s="5" t="s">
        <v>6513</v>
      </c>
      <c r="E597" s="9" t="str">
        <f>HYPERLINK("https://twitter.com/iranteammelli/status/1045391726091923456","1045391726091923456")</f>
        <v>1045391726091923456</v>
      </c>
      <c r="F597" s="10" t="s">
        <v>6512</v>
      </c>
      <c r="G597" s="4"/>
      <c r="H597" s="4"/>
      <c r="I597" s="10" t="str">
        <f>HYPERLINK("http://www.facebook.com/twitter","Facebook")</f>
        <v>Facebook</v>
      </c>
      <c r="J597" s="2">
        <v>1085</v>
      </c>
      <c r="K597" s="2">
        <v>375</v>
      </c>
      <c r="L597" s="2">
        <v>67</v>
      </c>
      <c r="M597" s="2"/>
      <c r="N597" s="8">
        <v>41797.646249999998</v>
      </c>
      <c r="O597" s="4" t="s">
        <v>62</v>
      </c>
      <c r="P597" s="3" t="s">
        <v>1041</v>
      </c>
      <c r="Q597" s="10" t="s">
        <v>1040</v>
      </c>
      <c r="R597" s="4"/>
      <c r="S597" s="9" t="str">
        <f>HYPERLINK("https://pbs.twimg.com/profile_images/757538975724761088/D2_y6aCK.jpg","View")</f>
        <v>View</v>
      </c>
    </row>
    <row r="598" spans="1:19" ht="60">
      <c r="A598" s="8">
        <v>43370.947546296295</v>
      </c>
      <c r="B598" s="11" t="str">
        <f>HYPERLINK("https://twitter.com/ehsangmz","@ehsangmz")</f>
        <v>@ehsangmz</v>
      </c>
      <c r="C598" s="6" t="s">
        <v>6511</v>
      </c>
      <c r="D598" s="5" t="s">
        <v>6510</v>
      </c>
      <c r="E598" s="9" t="str">
        <f>HYPERLINK("https://twitter.com/ehsangmz/status/1045391237916839936","1045391237916839936")</f>
        <v>1045391237916839936</v>
      </c>
      <c r="F598" s="10" t="s">
        <v>6479</v>
      </c>
      <c r="G598" s="10" t="s">
        <v>6478</v>
      </c>
      <c r="H598" s="4"/>
      <c r="I598" s="10" t="str">
        <f>HYPERLINK("https://mobile.twitter.com","Twitter Lite")</f>
        <v>Twitter Lite</v>
      </c>
      <c r="J598" s="2">
        <v>1074</v>
      </c>
      <c r="K598" s="2">
        <v>929</v>
      </c>
      <c r="L598" s="2">
        <v>3</v>
      </c>
      <c r="M598" s="2"/>
      <c r="N598" s="8">
        <v>41440.411365740743</v>
      </c>
      <c r="O598" s="4" t="s">
        <v>200</v>
      </c>
      <c r="P598" s="3" t="s">
        <v>6509</v>
      </c>
      <c r="Q598" s="10" t="s">
        <v>6508</v>
      </c>
      <c r="R598" s="4"/>
      <c r="S598" s="9" t="str">
        <f>HYPERLINK("https://pbs.twimg.com/profile_images/1030690036352774145/PJJ4PhjW.jpg","View")</f>
        <v>View</v>
      </c>
    </row>
    <row r="599" spans="1:19" ht="20">
      <c r="A599" s="8">
        <v>43370.947465277779</v>
      </c>
      <c r="B599" s="11" t="str">
        <f>HYPERLINK("https://twitter.com/majiddccc","@majiddccc")</f>
        <v>@majiddccc</v>
      </c>
      <c r="C599" s="6" t="s">
        <v>6507</v>
      </c>
      <c r="D599" s="5" t="s">
        <v>6506</v>
      </c>
      <c r="E599" s="9" t="str">
        <f>HYPERLINK("https://twitter.com/majiddccc/status/1045391211476004864","1045391211476004864")</f>
        <v>1045391211476004864</v>
      </c>
      <c r="F599" s="4"/>
      <c r="G599" s="10" t="s">
        <v>6505</v>
      </c>
      <c r="H599" s="4"/>
      <c r="I599" s="10" t="str">
        <f>HYPERLINK("http://twitter.com/download/android","Twitter for Android")</f>
        <v>Twitter for Android</v>
      </c>
      <c r="J599" s="2">
        <v>8</v>
      </c>
      <c r="K599" s="2">
        <v>70</v>
      </c>
      <c r="L599" s="2">
        <v>0</v>
      </c>
      <c r="M599" s="2"/>
      <c r="N599" s="8">
        <v>43214.423067129625</v>
      </c>
      <c r="O599" s="4" t="s">
        <v>200</v>
      </c>
      <c r="P599" s="3" t="s">
        <v>6504</v>
      </c>
      <c r="Q599" s="4"/>
      <c r="R599" s="4"/>
      <c r="S599" s="9" t="str">
        <f>HYPERLINK("https://pbs.twimg.com/profile_images/988655211211378688/WK8-vn6i.jpg","View")</f>
        <v>View</v>
      </c>
    </row>
    <row r="600" spans="1:19" ht="20">
      <c r="A600" s="8">
        <v>43370.946574074071</v>
      </c>
      <c r="B600" s="11" t="str">
        <f>HYPERLINK("https://twitter.com/MahdadSeyedi","@MahdadSeyedi")</f>
        <v>@MahdadSeyedi</v>
      </c>
      <c r="C600" s="6" t="s">
        <v>6503</v>
      </c>
      <c r="D600" s="5" t="s">
        <v>6502</v>
      </c>
      <c r="E600" s="9" t="str">
        <f>HYPERLINK("https://twitter.com/MahdadSeyedi/status/1045390885758947334","1045390885758947334")</f>
        <v>1045390885758947334</v>
      </c>
      <c r="F600" s="4"/>
      <c r="G600" s="4"/>
      <c r="H600" s="4"/>
      <c r="I600" s="10" t="str">
        <f>HYPERLINK("http://twitter.com/download/android","Twitter for Android")</f>
        <v>Twitter for Android</v>
      </c>
      <c r="J600" s="2">
        <v>127</v>
      </c>
      <c r="K600" s="2">
        <v>125</v>
      </c>
      <c r="L600" s="2">
        <v>0</v>
      </c>
      <c r="M600" s="2"/>
      <c r="N600" s="8">
        <v>42440.092858796299</v>
      </c>
      <c r="O600" s="4" t="s">
        <v>6501</v>
      </c>
      <c r="P600" s="3" t="s">
        <v>6500</v>
      </c>
      <c r="Q600" s="4"/>
      <c r="R600" s="4"/>
      <c r="S600" s="9" t="str">
        <f>HYPERLINK("https://pbs.twimg.com/profile_images/1038928519462563840/lgulVp25.jpg","View")</f>
        <v>View</v>
      </c>
    </row>
    <row r="601" spans="1:19" ht="20">
      <c r="A601" s="8">
        <v>43370.946006944447</v>
      </c>
      <c r="B601" s="11" t="str">
        <f>HYPERLINK("https://twitter.com/redgirl_samira","@redgirl_samira")</f>
        <v>@redgirl_samira</v>
      </c>
      <c r="C601" s="6" t="s">
        <v>321</v>
      </c>
      <c r="D601" s="5" t="s">
        <v>6499</v>
      </c>
      <c r="E601" s="9" t="str">
        <f>HYPERLINK("https://twitter.com/redgirl_samira/status/1045390681278226432","1045390681278226432")</f>
        <v>1045390681278226432</v>
      </c>
      <c r="F601" s="4"/>
      <c r="G601" s="10" t="s">
        <v>6498</v>
      </c>
      <c r="H601" s="4"/>
      <c r="I601" s="10" t="str">
        <f>HYPERLINK("http://twitter.com/download/android","Twitter for Android")</f>
        <v>Twitter for Android</v>
      </c>
      <c r="J601" s="2">
        <v>32</v>
      </c>
      <c r="K601" s="2">
        <v>51</v>
      </c>
      <c r="L601" s="2">
        <v>0</v>
      </c>
      <c r="M601" s="2"/>
      <c r="N601" s="8">
        <v>43080.140219907407</v>
      </c>
      <c r="O601" s="4" t="s">
        <v>318</v>
      </c>
      <c r="P601" s="3" t="s">
        <v>317</v>
      </c>
      <c r="Q601" s="4"/>
      <c r="R601" s="4"/>
      <c r="S601" s="9" t="str">
        <f>HYPERLINK("https://pbs.twimg.com/profile_images/1041269033524449280/N2p9S43i.jpg","View")</f>
        <v>View</v>
      </c>
    </row>
    <row r="602" spans="1:19" ht="30">
      <c r="A602" s="8">
        <v>43370.945856481485</v>
      </c>
      <c r="B602" s="11" t="str">
        <f>HYPERLINK("https://twitter.com/fatimaaria33","@fatimaaria33")</f>
        <v>@fatimaaria33</v>
      </c>
      <c r="C602" s="6" t="s">
        <v>6497</v>
      </c>
      <c r="D602" s="5" t="s">
        <v>6496</v>
      </c>
      <c r="E602" s="9" t="str">
        <f>HYPERLINK("https://twitter.com/fatimaaria33/status/1045390628551630848","1045390628551630848")</f>
        <v>1045390628551630848</v>
      </c>
      <c r="F602" s="4"/>
      <c r="G602" s="4"/>
      <c r="H602" s="4"/>
      <c r="I602" s="10" t="str">
        <f>HYPERLINK("http://twitter.com/download/android","Twitter for Android")</f>
        <v>Twitter for Android</v>
      </c>
      <c r="J602" s="2">
        <v>161</v>
      </c>
      <c r="K602" s="2">
        <v>82</v>
      </c>
      <c r="L602" s="2">
        <v>0</v>
      </c>
      <c r="M602" s="2"/>
      <c r="N602" s="8">
        <v>42384.177314814813</v>
      </c>
      <c r="O602" s="4" t="s">
        <v>55</v>
      </c>
      <c r="P602" s="3" t="s">
        <v>6495</v>
      </c>
      <c r="Q602" s="4"/>
      <c r="R602" s="4"/>
      <c r="S602" s="9" t="str">
        <f>HYPERLINK("https://pbs.twimg.com/profile_images/942886963388010496/Prv9KD3j.jpg","View")</f>
        <v>View</v>
      </c>
    </row>
    <row r="603" spans="1:19" ht="20">
      <c r="A603" s="8">
        <v>43370.945717592593</v>
      </c>
      <c r="B603" s="11" t="str">
        <f>HYPERLINK("https://twitter.com/Maneto15","@Maneto15")</f>
        <v>@Maneto15</v>
      </c>
      <c r="C603" s="6" t="s">
        <v>6494</v>
      </c>
      <c r="D603" s="5" t="s">
        <v>6493</v>
      </c>
      <c r="E603" s="9" t="str">
        <f>HYPERLINK("https://twitter.com/Maneto15/status/1045390574457696257","1045390574457696257")</f>
        <v>1045390574457696257</v>
      </c>
      <c r="F603" s="4"/>
      <c r="G603" s="4"/>
      <c r="H603" s="4"/>
      <c r="I603" s="10" t="str">
        <f>HYPERLINK("http://twitter.com/download/android","Twitter for Android")</f>
        <v>Twitter for Android</v>
      </c>
      <c r="J603" s="2">
        <v>487</v>
      </c>
      <c r="K603" s="2">
        <v>338</v>
      </c>
      <c r="L603" s="2">
        <v>1</v>
      </c>
      <c r="M603" s="2"/>
      <c r="N603" s="8">
        <v>43272.744016203702</v>
      </c>
      <c r="O603" s="4" t="s">
        <v>350</v>
      </c>
      <c r="P603" s="3" t="s">
        <v>6492</v>
      </c>
      <c r="Q603" s="10" t="s">
        <v>6491</v>
      </c>
      <c r="R603" s="4"/>
      <c r="S603" s="9" t="str">
        <f>HYPERLINK("https://pbs.twimg.com/profile_images/1044292925918777344/gZCRZCPi.jpg","View")</f>
        <v>View</v>
      </c>
    </row>
    <row r="604" spans="1:19" ht="20">
      <c r="A604" s="8">
        <v>43370.945185185185</v>
      </c>
      <c r="B604" s="11" t="str">
        <f>HYPERLINK("https://twitter.com/farnaaaaazz","@farnaaaaazz")</f>
        <v>@farnaaaaazz</v>
      </c>
      <c r="C604" s="6" t="s">
        <v>4778</v>
      </c>
      <c r="D604" s="5" t="s">
        <v>6490</v>
      </c>
      <c r="E604" s="9" t="str">
        <f>HYPERLINK("https://twitter.com/farnaaaaazz/status/1045390382106910721","1045390382106910721")</f>
        <v>1045390382106910721</v>
      </c>
      <c r="F604" s="4"/>
      <c r="G604" s="4"/>
      <c r="H604" s="4"/>
      <c r="I604" s="10" t="str">
        <f>HYPERLINK("http://twitter.com/download/iphone","Twitter for iPhone")</f>
        <v>Twitter for iPhone</v>
      </c>
      <c r="J604" s="2">
        <v>6634</v>
      </c>
      <c r="K604" s="2">
        <v>477</v>
      </c>
      <c r="L604" s="2">
        <v>36</v>
      </c>
      <c r="M604" s="2"/>
      <c r="N604" s="8">
        <v>42842.415150462963</v>
      </c>
      <c r="O604" s="4" t="s">
        <v>72</v>
      </c>
      <c r="P604" s="3" t="s">
        <v>4775</v>
      </c>
      <c r="Q604" s="4"/>
      <c r="R604" s="4"/>
      <c r="S604" s="9" t="str">
        <f>HYPERLINK("https://pbs.twimg.com/profile_images/1039801129595547648/RtXSYD5z.jpg","View")</f>
        <v>View</v>
      </c>
    </row>
    <row r="605" spans="1:19" ht="20">
      <c r="A605" s="8">
        <v>43370.944236111114</v>
      </c>
      <c r="B605" s="11" t="str">
        <f>HYPERLINK("https://twitter.com/Alireza_ghh","@Alireza_ghh")</f>
        <v>@Alireza_ghh</v>
      </c>
      <c r="C605" s="6" t="s">
        <v>6489</v>
      </c>
      <c r="D605" s="5" t="s">
        <v>6488</v>
      </c>
      <c r="E605" s="9" t="str">
        <f>HYPERLINK("https://twitter.com/Alireza_ghh/status/1045390039637741569","1045390039637741569")</f>
        <v>1045390039637741569</v>
      </c>
      <c r="F605" s="4"/>
      <c r="G605" s="4"/>
      <c r="H605" s="4"/>
      <c r="I605" s="10" t="str">
        <f>HYPERLINK("http://twitter.com/download/iphone","Twitter for iPhone")</f>
        <v>Twitter for iPhone</v>
      </c>
      <c r="J605" s="2">
        <v>16</v>
      </c>
      <c r="K605" s="2">
        <v>102</v>
      </c>
      <c r="L605" s="2">
        <v>0</v>
      </c>
      <c r="M605" s="2"/>
      <c r="N605" s="8">
        <v>40597.505196759259</v>
      </c>
      <c r="O605" s="4" t="s">
        <v>6487</v>
      </c>
      <c r="P605" s="3" t="s">
        <v>6486</v>
      </c>
      <c r="Q605" s="10" t="s">
        <v>6485</v>
      </c>
      <c r="R605" s="4"/>
      <c r="S605" s="9" t="str">
        <f>HYPERLINK("https://pbs.twimg.com/profile_images/3432118792/bf3da9a53bba6283efa89ddea5185dfa.jpeg","View")</f>
        <v>View</v>
      </c>
    </row>
    <row r="606" spans="1:19" ht="20">
      <c r="A606" s="8">
        <v>43370.944131944445</v>
      </c>
      <c r="B606" s="11" t="str">
        <f>HYPERLINK("https://twitter.com/SinaJahanmiri","@SinaJahanmiri")</f>
        <v>@SinaJahanmiri</v>
      </c>
      <c r="C606" s="6" t="s">
        <v>6484</v>
      </c>
      <c r="D606" s="5" t="s">
        <v>6483</v>
      </c>
      <c r="E606" s="9" t="str">
        <f>HYPERLINK("https://twitter.com/SinaJahanmiri/status/1045390003759714305","1045390003759714305")</f>
        <v>1045390003759714305</v>
      </c>
      <c r="F606" s="4"/>
      <c r="G606" s="4"/>
      <c r="H606" s="4"/>
      <c r="I606" s="10" t="str">
        <f>HYPERLINK("http://twitter.com/download/android","Twitter for Android")</f>
        <v>Twitter for Android</v>
      </c>
      <c r="J606" s="2">
        <v>52</v>
      </c>
      <c r="K606" s="2">
        <v>113</v>
      </c>
      <c r="L606" s="2">
        <v>0</v>
      </c>
      <c r="M606" s="2"/>
      <c r="N606" s="8">
        <v>42441.883969907409</v>
      </c>
      <c r="O606" s="4" t="s">
        <v>72</v>
      </c>
      <c r="P606" s="3" t="s">
        <v>6482</v>
      </c>
      <c r="Q606" s="4"/>
      <c r="R606" s="4"/>
      <c r="S606" s="9" t="str">
        <f>HYPERLINK("https://pbs.twimg.com/profile_images/708710773380554752/dmXY8KtM.jpg","View")</f>
        <v>View</v>
      </c>
    </row>
    <row r="607" spans="1:19" ht="40">
      <c r="A607" s="8">
        <v>43370.943645833337</v>
      </c>
      <c r="B607" s="11" t="str">
        <f>HYPERLINK("https://twitter.com/hezbolah87","@hezbolah87")</f>
        <v>@hezbolah87</v>
      </c>
      <c r="C607" s="6" t="s">
        <v>6481</v>
      </c>
      <c r="D607" s="5" t="s">
        <v>6480</v>
      </c>
      <c r="E607" s="9" t="str">
        <f>HYPERLINK("https://twitter.com/hezbolah87/status/1045389823752753156","1045389823752753156")</f>
        <v>1045389823752753156</v>
      </c>
      <c r="F607" s="10" t="s">
        <v>6479</v>
      </c>
      <c r="G607" s="10" t="s">
        <v>6478</v>
      </c>
      <c r="H607" s="4"/>
      <c r="I607" s="10" t="str">
        <f>HYPERLINK("http://twitter.com/download/android","Twitter for Android")</f>
        <v>Twitter for Android</v>
      </c>
      <c r="J607" s="2">
        <v>491</v>
      </c>
      <c r="K607" s="2">
        <v>539</v>
      </c>
      <c r="L607" s="2">
        <v>1</v>
      </c>
      <c r="M607" s="2"/>
      <c r="N607" s="8">
        <v>43073.491145833337</v>
      </c>
      <c r="O607" s="4"/>
      <c r="P607" s="3"/>
      <c r="Q607" s="4"/>
      <c r="R607" s="4"/>
      <c r="S607" s="9" t="str">
        <f>HYPERLINK("https://pbs.twimg.com/profile_images/998250842993053697/epv5x3ZM.jpg","View")</f>
        <v>View</v>
      </c>
    </row>
    <row r="608" spans="1:19" ht="20">
      <c r="A608" s="8">
        <v>43370.942719907413</v>
      </c>
      <c r="B608" s="11" t="str">
        <f>HYPERLINK("https://twitter.com/alidastranj1","@alidastranj1")</f>
        <v>@alidastranj1</v>
      </c>
      <c r="C608" s="6" t="s">
        <v>6357</v>
      </c>
      <c r="D608" s="5" t="s">
        <v>6477</v>
      </c>
      <c r="E608" s="9" t="str">
        <f>HYPERLINK("https://twitter.com/alidastranj1/status/1045389491261886466","1045389491261886466")</f>
        <v>1045389491261886466</v>
      </c>
      <c r="F608" s="4"/>
      <c r="G608" s="4"/>
      <c r="H608" s="4"/>
      <c r="I608" s="10" t="str">
        <f>HYPERLINK("http://twitter.com","Twitter Web Client")</f>
        <v>Twitter Web Client</v>
      </c>
      <c r="J608" s="2">
        <v>20</v>
      </c>
      <c r="K608" s="2">
        <v>80</v>
      </c>
      <c r="L608" s="2">
        <v>0</v>
      </c>
      <c r="M608" s="2"/>
      <c r="N608" s="8">
        <v>43369.674004629633</v>
      </c>
      <c r="O608" s="4" t="s">
        <v>200</v>
      </c>
      <c r="P608" s="3" t="s">
        <v>6355</v>
      </c>
      <c r="Q608" s="4"/>
      <c r="R608" s="4"/>
      <c r="S608" s="9" t="str">
        <f>HYPERLINK("https://pbs.twimg.com/profile_images/1045048222769647616/0bYiAp8d.jpg","View")</f>
        <v>View</v>
      </c>
    </row>
    <row r="609" spans="1:19" ht="20">
      <c r="A609" s="8">
        <v>43370.941423611112</v>
      </c>
      <c r="B609" s="11" t="str">
        <f>HYPERLINK("https://twitter.com/mreza75150","@mreza75150")</f>
        <v>@mreza75150</v>
      </c>
      <c r="C609" s="6" t="s">
        <v>6476</v>
      </c>
      <c r="D609" s="5" t="s">
        <v>6475</v>
      </c>
      <c r="E609" s="9" t="str">
        <f>HYPERLINK("https://twitter.com/mreza75150/status/1045389020166082561","1045389020166082561")</f>
        <v>1045389020166082561</v>
      </c>
      <c r="F609" s="4"/>
      <c r="G609" s="4"/>
      <c r="H609" s="4"/>
      <c r="I609" s="10" t="str">
        <f>HYPERLINK("http://twitter.com/download/iphone","Twitter for iPhone")</f>
        <v>Twitter for iPhone</v>
      </c>
      <c r="J609" s="2">
        <v>201</v>
      </c>
      <c r="K609" s="2">
        <v>242</v>
      </c>
      <c r="L609" s="2">
        <v>0</v>
      </c>
      <c r="M609" s="2"/>
      <c r="N609" s="8">
        <v>42725.965474537035</v>
      </c>
      <c r="O609" s="4"/>
      <c r="P609" s="3" t="s">
        <v>6474</v>
      </c>
      <c r="Q609" s="4"/>
      <c r="R609" s="4"/>
      <c r="S609" s="9" t="str">
        <f>HYPERLINK("https://pbs.twimg.com/profile_images/1045212712190586880/fiAjzGrn.jpg","View")</f>
        <v>View</v>
      </c>
    </row>
    <row r="610" spans="1:19" ht="40">
      <c r="A610" s="8">
        <v>43370.941307870366</v>
      </c>
      <c r="B610" s="11" t="str">
        <f>HYPERLINK("https://twitter.com/sepehr_khorami","@sepehr_khorami")</f>
        <v>@sepehr_khorami</v>
      </c>
      <c r="C610" s="6" t="s">
        <v>6473</v>
      </c>
      <c r="D610" s="5" t="s">
        <v>6472</v>
      </c>
      <c r="E610" s="9" t="str">
        <f>HYPERLINK("https://twitter.com/sepehr_khorami/status/1045388980307591168","1045388980307591168")</f>
        <v>1045388980307591168</v>
      </c>
      <c r="F610" s="4"/>
      <c r="G610" s="10" t="s">
        <v>6471</v>
      </c>
      <c r="H610" s="4"/>
      <c r="I610" s="10" t="str">
        <f>HYPERLINK("http://twitter.com/download/android","Twitter for Android")</f>
        <v>Twitter for Android</v>
      </c>
      <c r="J610" s="2">
        <v>3344</v>
      </c>
      <c r="K610" s="2">
        <v>981</v>
      </c>
      <c r="L610" s="2">
        <v>25</v>
      </c>
      <c r="M610" s="2"/>
      <c r="N610" s="8">
        <v>42861.588171296295</v>
      </c>
      <c r="O610" s="4" t="s">
        <v>10</v>
      </c>
      <c r="P610" s="3" t="s">
        <v>6470</v>
      </c>
      <c r="Q610" s="4"/>
      <c r="R610" s="4"/>
      <c r="S610" s="9" t="str">
        <f>HYPERLINK("https://pbs.twimg.com/profile_images/1031668416090963968/OYJvX9q_.jpg","View")</f>
        <v>View</v>
      </c>
    </row>
    <row r="611" spans="1:19" ht="30">
      <c r="A611" s="8">
        <v>43370.941111111111</v>
      </c>
      <c r="B611" s="11" t="str">
        <f>HYPERLINK("https://twitter.com/hosseinzafari","@hosseinzafari")</f>
        <v>@hosseinzafari</v>
      </c>
      <c r="C611" s="6" t="s">
        <v>6469</v>
      </c>
      <c r="D611" s="5" t="s">
        <v>6468</v>
      </c>
      <c r="E611" s="9" t="str">
        <f>HYPERLINK("https://twitter.com/hosseinzafari/status/1045388907985162240","1045388907985162240")</f>
        <v>1045388907985162240</v>
      </c>
      <c r="F611" s="4"/>
      <c r="G611" s="4"/>
      <c r="H611" s="4"/>
      <c r="I611" s="10" t="str">
        <f>HYPERLINK("http://twitter.com/download/android","Twitter for Android")</f>
        <v>Twitter for Android</v>
      </c>
      <c r="J611" s="2">
        <v>5107</v>
      </c>
      <c r="K611" s="2">
        <v>3896</v>
      </c>
      <c r="L611" s="2">
        <v>8</v>
      </c>
      <c r="M611" s="2"/>
      <c r="N611" s="8">
        <v>41481.791145833333</v>
      </c>
      <c r="O611" s="4"/>
      <c r="P611" s="3" t="s">
        <v>6467</v>
      </c>
      <c r="Q611" s="10" t="s">
        <v>6466</v>
      </c>
      <c r="R611" s="4"/>
      <c r="S611" s="9" t="str">
        <f>HYPERLINK("https://pbs.twimg.com/profile_images/933800295783653376/mhJWUwO7.jpg","View")</f>
        <v>View</v>
      </c>
    </row>
    <row r="612" spans="1:19" ht="40">
      <c r="A612" s="8">
        <v>43370.940914351857</v>
      </c>
      <c r="B612" s="11" t="str">
        <f>HYPERLINK("https://twitter.com/Bikhabaroffline","@Bikhabaroffline")</f>
        <v>@Bikhabaroffline</v>
      </c>
      <c r="C612" s="6" t="s">
        <v>6465</v>
      </c>
      <c r="D612" s="5" t="s">
        <v>6464</v>
      </c>
      <c r="E612" s="9" t="str">
        <f>HYPERLINK("https://twitter.com/Bikhabaroffline/status/1045388835574755328","1045388835574755328")</f>
        <v>1045388835574755328</v>
      </c>
      <c r="F612" s="4"/>
      <c r="G612" s="4"/>
      <c r="H612" s="4"/>
      <c r="I612" s="10" t="str">
        <f>HYPERLINK("http://twitter.com/download/android","Twitter for Android")</f>
        <v>Twitter for Android</v>
      </c>
      <c r="J612" s="2">
        <v>23</v>
      </c>
      <c r="K612" s="2">
        <v>25</v>
      </c>
      <c r="L612" s="2">
        <v>0</v>
      </c>
      <c r="M612" s="2"/>
      <c r="N612" s="8">
        <v>42293.877152777779</v>
      </c>
      <c r="O612" s="4"/>
      <c r="P612" s="3" t="s">
        <v>6463</v>
      </c>
      <c r="Q612" s="4"/>
      <c r="R612" s="4"/>
      <c r="S612" s="9" t="str">
        <f>HYPERLINK("https://pbs.twimg.com/profile_images/1013860756671074305/LBt9GYqz.jpg","View")</f>
        <v>View</v>
      </c>
    </row>
    <row r="613" spans="1:19" ht="40">
      <c r="A613" s="8">
        <v>43370.940659722226</v>
      </c>
      <c r="B613" s="11" t="str">
        <f>HYPERLINK("https://twitter.com/Mr_amiiir","@Mr_amiiir")</f>
        <v>@Mr_amiiir</v>
      </c>
      <c r="C613" s="6" t="s">
        <v>6430</v>
      </c>
      <c r="D613" s="5" t="s">
        <v>6462</v>
      </c>
      <c r="E613" s="9" t="str">
        <f>HYPERLINK("https://twitter.com/Mr_amiiir/status/1045388743727874056","1045388743727874056")</f>
        <v>1045388743727874056</v>
      </c>
      <c r="F613" s="10" t="s">
        <v>6203</v>
      </c>
      <c r="G613" s="4"/>
      <c r="H613" s="4"/>
      <c r="I613" s="10" t="str">
        <f>HYPERLINK("http://twitter.com/download/android","Twitter for Android")</f>
        <v>Twitter for Android</v>
      </c>
      <c r="J613" s="2">
        <v>214</v>
      </c>
      <c r="K613" s="2">
        <v>244</v>
      </c>
      <c r="L613" s="2">
        <v>0</v>
      </c>
      <c r="M613" s="2"/>
      <c r="N613" s="8">
        <v>43011.047349537039</v>
      </c>
      <c r="O613" s="4" t="s">
        <v>55</v>
      </c>
      <c r="P613" s="3" t="s">
        <v>6428</v>
      </c>
      <c r="Q613" s="4"/>
      <c r="R613" s="4"/>
      <c r="S613" s="9" t="str">
        <f>HYPERLINK("https://pbs.twimg.com/profile_images/1025845449138290690/tu4sMp2C.jpg","View")</f>
        <v>View</v>
      </c>
    </row>
    <row r="614" spans="1:19" ht="20">
      <c r="A614" s="8">
        <v>43370.939189814817</v>
      </c>
      <c r="B614" s="11" t="str">
        <f>HYPERLINK("https://twitter.com/Sed_khorsandian","@Sed_khorsandian")</f>
        <v>@Sed_khorsandian</v>
      </c>
      <c r="C614" s="6" t="s">
        <v>6281</v>
      </c>
      <c r="D614" s="5" t="s">
        <v>6461</v>
      </c>
      <c r="E614" s="9" t="str">
        <f>HYPERLINK("https://twitter.com/Sed_khorsandian/status/1045388211730739206","1045388211730739206")</f>
        <v>1045388211730739206</v>
      </c>
      <c r="F614" s="4"/>
      <c r="G614" s="4"/>
      <c r="H614" s="4"/>
      <c r="I614" s="10" t="str">
        <f>HYPERLINK("http://twitter.com/download/android","Twitter for Android")</f>
        <v>Twitter for Android</v>
      </c>
      <c r="J614" s="2">
        <v>1482</v>
      </c>
      <c r="K614" s="2">
        <v>1838</v>
      </c>
      <c r="L614" s="2">
        <v>4</v>
      </c>
      <c r="M614" s="2"/>
      <c r="N614" s="8">
        <v>42894.050740740742</v>
      </c>
      <c r="O614" s="4" t="s">
        <v>6279</v>
      </c>
      <c r="P614" s="3" t="s">
        <v>6278</v>
      </c>
      <c r="Q614" s="4"/>
      <c r="R614" s="4"/>
      <c r="S614" s="9" t="str">
        <f>HYPERLINK("https://pbs.twimg.com/profile_images/1034323967308427264/x89Tubea.jpg","View")</f>
        <v>View</v>
      </c>
    </row>
    <row r="615" spans="1:19" ht="50">
      <c r="A615" s="8">
        <v>43370.939189814817</v>
      </c>
      <c r="B615" s="11" t="str">
        <f>HYPERLINK("https://twitter.com/mmd13_24","@mmd13_24")</f>
        <v>@mmd13_24</v>
      </c>
      <c r="C615" s="6" t="s">
        <v>6454</v>
      </c>
      <c r="D615" s="5" t="s">
        <v>6460</v>
      </c>
      <c r="E615" s="9" t="str">
        <f>HYPERLINK("https://twitter.com/mmd13_24/status/1045388209260134400","1045388209260134400")</f>
        <v>1045388209260134400</v>
      </c>
      <c r="F615" s="4"/>
      <c r="G615" s="4"/>
      <c r="H615" s="4"/>
      <c r="I615" s="10" t="str">
        <f>HYPERLINK("http://twitter.com/download/android","Twitter for Android")</f>
        <v>Twitter for Android</v>
      </c>
      <c r="J615" s="2">
        <v>547</v>
      </c>
      <c r="K615" s="2">
        <v>517</v>
      </c>
      <c r="L615" s="2">
        <v>0</v>
      </c>
      <c r="M615" s="2"/>
      <c r="N615" s="8">
        <v>43010.234421296293</v>
      </c>
      <c r="O615" s="4"/>
      <c r="P615" s="3" t="s">
        <v>6452</v>
      </c>
      <c r="Q615" s="10" t="s">
        <v>6451</v>
      </c>
      <c r="R615" s="4"/>
      <c r="S615" s="9" t="str">
        <f>HYPERLINK("https://pbs.twimg.com/profile_images/1034419644549935105/yAi1oy8H.jpg","View")</f>
        <v>View</v>
      </c>
    </row>
    <row r="616" spans="1:19" ht="20">
      <c r="A616" s="8">
        <v>43370.938923611116</v>
      </c>
      <c r="B616" s="11" t="str">
        <f>HYPERLINK("https://twitter.com/patrikmde","@patrikmde")</f>
        <v>@patrikmde</v>
      </c>
      <c r="C616" s="6" t="s">
        <v>6459</v>
      </c>
      <c r="D616" s="5" t="s">
        <v>6458</v>
      </c>
      <c r="E616" s="9" t="str">
        <f>HYPERLINK("https://twitter.com/patrikmde/status/1045388115484045312","1045388115484045312")</f>
        <v>1045388115484045312</v>
      </c>
      <c r="F616" s="4"/>
      <c r="G616" s="4"/>
      <c r="H616" s="4"/>
      <c r="I616" s="10" t="str">
        <f>HYPERLINK("http://twitter.com/download/android","Twitter for Android")</f>
        <v>Twitter for Android</v>
      </c>
      <c r="J616" s="2">
        <v>2746</v>
      </c>
      <c r="K616" s="2">
        <v>2428</v>
      </c>
      <c r="L616" s="2">
        <v>4</v>
      </c>
      <c r="M616" s="2"/>
      <c r="N616" s="8">
        <v>42751.535254629634</v>
      </c>
      <c r="O616" s="4" t="s">
        <v>6457</v>
      </c>
      <c r="P616" s="3" t="s">
        <v>6456</v>
      </c>
      <c r="Q616" s="4"/>
      <c r="R616" s="4"/>
      <c r="S616" s="9" t="str">
        <f>HYPERLINK("https://pbs.twimg.com/profile_images/866302756545593345/O--vhswo.jpg","View")</f>
        <v>View</v>
      </c>
    </row>
    <row r="617" spans="1:19" ht="50">
      <c r="A617" s="8">
        <v>43370.938877314809</v>
      </c>
      <c r="B617" s="11" t="str">
        <f>HYPERLINK("https://twitter.com/mmd13_24","@mmd13_24")</f>
        <v>@mmd13_24</v>
      </c>
      <c r="C617" s="6" t="s">
        <v>6454</v>
      </c>
      <c r="D617" s="5" t="s">
        <v>6455</v>
      </c>
      <c r="E617" s="9" t="str">
        <f>HYPERLINK("https://twitter.com/mmd13_24/status/1045388096471105536","1045388096471105536")</f>
        <v>1045388096471105536</v>
      </c>
      <c r="F617" s="4"/>
      <c r="G617" s="4"/>
      <c r="H617" s="4"/>
      <c r="I617" s="10" t="str">
        <f>HYPERLINK("http://twitter.com/download/android","Twitter for Android")</f>
        <v>Twitter for Android</v>
      </c>
      <c r="J617" s="2">
        <v>547</v>
      </c>
      <c r="K617" s="2">
        <v>517</v>
      </c>
      <c r="L617" s="2">
        <v>0</v>
      </c>
      <c r="M617" s="2"/>
      <c r="N617" s="8">
        <v>43010.234421296293</v>
      </c>
      <c r="O617" s="4"/>
      <c r="P617" s="3" t="s">
        <v>6452</v>
      </c>
      <c r="Q617" s="10" t="s">
        <v>6451</v>
      </c>
      <c r="R617" s="4"/>
      <c r="S617" s="9" t="str">
        <f>HYPERLINK("https://pbs.twimg.com/profile_images/1034419644549935105/yAi1oy8H.jpg","View")</f>
        <v>View</v>
      </c>
    </row>
    <row r="618" spans="1:19" ht="50">
      <c r="A618" s="8">
        <v>43370.938773148147</v>
      </c>
      <c r="B618" s="11" t="str">
        <f>HYPERLINK("https://twitter.com/mmd13_24","@mmd13_24")</f>
        <v>@mmd13_24</v>
      </c>
      <c r="C618" s="6" t="s">
        <v>6454</v>
      </c>
      <c r="D618" s="5" t="s">
        <v>6453</v>
      </c>
      <c r="E618" s="9" t="str">
        <f>HYPERLINK("https://twitter.com/mmd13_24/status/1045388057833222144","1045388057833222144")</f>
        <v>1045388057833222144</v>
      </c>
      <c r="F618" s="4"/>
      <c r="G618" s="4"/>
      <c r="H618" s="4"/>
      <c r="I618" s="10" t="str">
        <f>HYPERLINK("http://twitter.com/download/android","Twitter for Android")</f>
        <v>Twitter for Android</v>
      </c>
      <c r="J618" s="2">
        <v>547</v>
      </c>
      <c r="K618" s="2">
        <v>517</v>
      </c>
      <c r="L618" s="2">
        <v>0</v>
      </c>
      <c r="M618" s="2"/>
      <c r="N618" s="8">
        <v>43010.234421296293</v>
      </c>
      <c r="O618" s="4"/>
      <c r="P618" s="3" t="s">
        <v>6452</v>
      </c>
      <c r="Q618" s="10" t="s">
        <v>6451</v>
      </c>
      <c r="R618" s="4"/>
      <c r="S618" s="9" t="str">
        <f>HYPERLINK("https://pbs.twimg.com/profile_images/1034419644549935105/yAi1oy8H.jpg","View")</f>
        <v>View</v>
      </c>
    </row>
    <row r="619" spans="1:19" ht="12.5">
      <c r="A619" s="8">
        <v>43370.937650462962</v>
      </c>
      <c r="B619" s="11" t="str">
        <f>HYPERLINK("https://twitter.com/lailahmt","@lailahmt")</f>
        <v>@lailahmt</v>
      </c>
      <c r="C619" s="6" t="s">
        <v>6443</v>
      </c>
      <c r="D619" s="5" t="s">
        <v>6450</v>
      </c>
      <c r="E619" s="9" t="str">
        <f>HYPERLINK("https://twitter.com/lailahmt/status/1045387653863092225","1045387653863092225")</f>
        <v>1045387653863092225</v>
      </c>
      <c r="F619" s="4"/>
      <c r="G619" s="4"/>
      <c r="H619" s="4"/>
      <c r="I619" s="10" t="str">
        <f>HYPERLINK("http://twitter.com/download/iphone","Twitter for iPhone")</f>
        <v>Twitter for iPhone</v>
      </c>
      <c r="J619" s="2">
        <v>43</v>
      </c>
      <c r="K619" s="2">
        <v>39</v>
      </c>
      <c r="L619" s="2">
        <v>0</v>
      </c>
      <c r="M619" s="2"/>
      <c r="N619" s="8">
        <v>43203.247557870374</v>
      </c>
      <c r="O619" s="4" t="s">
        <v>5519</v>
      </c>
      <c r="P619" s="3" t="s">
        <v>6441</v>
      </c>
      <c r="Q619" s="4"/>
      <c r="R619" s="4"/>
      <c r="S619" s="9" t="str">
        <f>HYPERLINK("https://pbs.twimg.com/profile_images/1041568758605774850/u7blCDs8.jpg","View")</f>
        <v>View</v>
      </c>
    </row>
    <row r="620" spans="1:19" ht="40">
      <c r="A620" s="8">
        <v>43370.937407407408</v>
      </c>
      <c r="B620" s="11" t="str">
        <f>HYPERLINK("https://twitter.com/ahm3dbarzegar","@ahm3dbarzegar")</f>
        <v>@ahm3dbarzegar</v>
      </c>
      <c r="C620" s="6" t="s">
        <v>6449</v>
      </c>
      <c r="D620" s="5" t="s">
        <v>6448</v>
      </c>
      <c r="E620" s="9" t="str">
        <f>HYPERLINK("https://twitter.com/ahm3dbarzegar/status/1045387565094891520","1045387565094891520")</f>
        <v>1045387565094891520</v>
      </c>
      <c r="F620" s="4"/>
      <c r="G620" s="4"/>
      <c r="H620" s="4"/>
      <c r="I620" s="10" t="str">
        <f>HYPERLINK("http://twitter.com/download/android","Twitter for Android")</f>
        <v>Twitter for Android</v>
      </c>
      <c r="J620" s="2">
        <v>598</v>
      </c>
      <c r="K620" s="2">
        <v>283</v>
      </c>
      <c r="L620" s="2">
        <v>0</v>
      </c>
      <c r="M620" s="2"/>
      <c r="N620" s="8">
        <v>42814.582199074073</v>
      </c>
      <c r="O620" s="4" t="s">
        <v>414</v>
      </c>
      <c r="P620" s="3" t="s">
        <v>6447</v>
      </c>
      <c r="Q620" s="4"/>
      <c r="R620" s="4"/>
      <c r="S620" s="9" t="str">
        <f>HYPERLINK("https://pbs.twimg.com/profile_images/1030019801102659584/s5AGk2Ay.jpg","View")</f>
        <v>View</v>
      </c>
    </row>
    <row r="621" spans="1:19" ht="30">
      <c r="A621" s="8">
        <v>43370.937094907407</v>
      </c>
      <c r="B621" s="11" t="str">
        <f>HYPERLINK("https://twitter.com/Far_naz64","@Far_naz64")</f>
        <v>@Far_naz64</v>
      </c>
      <c r="C621" s="6" t="s">
        <v>1098</v>
      </c>
      <c r="D621" s="5" t="s">
        <v>6446</v>
      </c>
      <c r="E621" s="9" t="str">
        <f>HYPERLINK("https://twitter.com/Far_naz64/status/1045387451022422016","1045387451022422016")</f>
        <v>1045387451022422016</v>
      </c>
      <c r="F621" s="4"/>
      <c r="G621" s="10" t="s">
        <v>6445</v>
      </c>
      <c r="H621" s="4"/>
      <c r="I621" s="10" t="str">
        <f>HYPERLINK("http://twitter.com/download/iphone","Twitter for iPhone")</f>
        <v>Twitter for iPhone</v>
      </c>
      <c r="J621" s="2">
        <v>12015</v>
      </c>
      <c r="K621" s="2">
        <v>8639</v>
      </c>
      <c r="L621" s="2">
        <v>67</v>
      </c>
      <c r="M621" s="2"/>
      <c r="N621" s="8">
        <v>40598.671585648146</v>
      </c>
      <c r="O621" s="4" t="s">
        <v>1095</v>
      </c>
      <c r="P621" s="3" t="s">
        <v>1094</v>
      </c>
      <c r="Q621" s="10" t="s">
        <v>1093</v>
      </c>
      <c r="R621" s="4"/>
      <c r="S621" s="9" t="str">
        <f>HYPERLINK("https://pbs.twimg.com/profile_images/1040985112207339520/4EAnrJt6.jpg","View")</f>
        <v>View</v>
      </c>
    </row>
    <row r="622" spans="1:19" ht="12.5">
      <c r="A622" s="8">
        <v>43370.937083333338</v>
      </c>
      <c r="B622" s="11" t="str">
        <f>HYPERLINK("https://twitter.com/Sz_Sicily","@Sz_Sicily")</f>
        <v>@Sz_Sicily</v>
      </c>
      <c r="C622" s="6" t="s">
        <v>4492</v>
      </c>
      <c r="D622" s="5" t="s">
        <v>6444</v>
      </c>
      <c r="E622" s="9" t="str">
        <f>HYPERLINK("https://twitter.com/Sz_Sicily/status/1045387446115069952","1045387446115069952")</f>
        <v>1045387446115069952</v>
      </c>
      <c r="F622" s="4"/>
      <c r="G622" s="4"/>
      <c r="H622" s="4"/>
      <c r="I622" s="10" t="str">
        <f>HYPERLINK("http://twitter.com/download/android","Twitter for Android")</f>
        <v>Twitter for Android</v>
      </c>
      <c r="J622" s="2">
        <v>1002</v>
      </c>
      <c r="K622" s="2">
        <v>155</v>
      </c>
      <c r="L622" s="2">
        <v>6</v>
      </c>
      <c r="M622" s="2"/>
      <c r="N622" s="8">
        <v>41551.67796296296</v>
      </c>
      <c r="O622" s="4" t="s">
        <v>4490</v>
      </c>
      <c r="P622" s="3" t="s">
        <v>4489</v>
      </c>
      <c r="Q622" s="4"/>
      <c r="R622" s="4"/>
      <c r="S622" s="9" t="str">
        <f>HYPERLINK("https://pbs.twimg.com/profile_images/1044541175804440576/M7IAsvI6.jpg","View")</f>
        <v>View</v>
      </c>
    </row>
    <row r="623" spans="1:19" ht="20">
      <c r="A623" s="8">
        <v>43370.936828703707</v>
      </c>
      <c r="B623" s="11" t="str">
        <f>HYPERLINK("https://twitter.com/lailahmt","@lailahmt")</f>
        <v>@lailahmt</v>
      </c>
      <c r="C623" s="6" t="s">
        <v>6443</v>
      </c>
      <c r="D623" s="5" t="s">
        <v>6442</v>
      </c>
      <c r="E623" s="9" t="str">
        <f>HYPERLINK("https://twitter.com/lailahmt/status/1045387355539066881","1045387355539066881")</f>
        <v>1045387355539066881</v>
      </c>
      <c r="F623" s="4"/>
      <c r="G623" s="4"/>
      <c r="H623" s="4"/>
      <c r="I623" s="10" t="str">
        <f>HYPERLINK("http://twitter.com/download/iphone","Twitter for iPhone")</f>
        <v>Twitter for iPhone</v>
      </c>
      <c r="J623" s="2">
        <v>43</v>
      </c>
      <c r="K623" s="2">
        <v>39</v>
      </c>
      <c r="L623" s="2">
        <v>0</v>
      </c>
      <c r="M623" s="2"/>
      <c r="N623" s="8">
        <v>43203.247557870374</v>
      </c>
      <c r="O623" s="4" t="s">
        <v>5519</v>
      </c>
      <c r="P623" s="3" t="s">
        <v>6441</v>
      </c>
      <c r="Q623" s="4"/>
      <c r="R623" s="4"/>
      <c r="S623" s="9" t="str">
        <f>HYPERLINK("https://pbs.twimg.com/profile_images/1041568758605774850/u7blCDs8.jpg","View")</f>
        <v>View</v>
      </c>
    </row>
    <row r="624" spans="1:19" ht="30">
      <c r="A624" s="8">
        <v>43370.935266203705</v>
      </c>
      <c r="B624" s="11" t="str">
        <f>HYPERLINK("https://twitter.com/pasgahemarzi","@pasgahemarzi")</f>
        <v>@pasgahemarzi</v>
      </c>
      <c r="C624" s="6" t="s">
        <v>6440</v>
      </c>
      <c r="D624" s="5" t="s">
        <v>6439</v>
      </c>
      <c r="E624" s="9" t="str">
        <f>HYPERLINK("https://twitter.com/pasgahemarzi/status/1045386788099899392","1045386788099899392")</f>
        <v>1045386788099899392</v>
      </c>
      <c r="F624" s="4"/>
      <c r="G624" s="4"/>
      <c r="H624" s="4"/>
      <c r="I624" s="10" t="str">
        <f>HYPERLINK("http://twitter.com/download/android","Twitter for Android")</f>
        <v>Twitter for Android</v>
      </c>
      <c r="J624" s="2">
        <v>1972</v>
      </c>
      <c r="K624" s="2">
        <v>4846</v>
      </c>
      <c r="L624" s="2">
        <v>0</v>
      </c>
      <c r="M624" s="2"/>
      <c r="N624" s="8">
        <v>43257.238888888889</v>
      </c>
      <c r="O624" s="4"/>
      <c r="P624" s="3" t="s">
        <v>6438</v>
      </c>
      <c r="Q624" s="4"/>
      <c r="R624" s="4"/>
      <c r="S624" s="9" t="str">
        <f>HYPERLINK("https://pbs.twimg.com/profile_images/1042472742145142785/Unhq-Tmt.jpg","View")</f>
        <v>View</v>
      </c>
    </row>
    <row r="625" spans="1:19" ht="20">
      <c r="A625" s="8">
        <v>43370.935127314813</v>
      </c>
      <c r="B625" s="11" t="str">
        <f>HYPERLINK("https://twitter.com/aydasadeqi","@aydasadeqi")</f>
        <v>@aydasadeqi</v>
      </c>
      <c r="C625" s="6" t="s">
        <v>6437</v>
      </c>
      <c r="D625" s="5" t="s">
        <v>6436</v>
      </c>
      <c r="E625" s="9" t="str">
        <f>HYPERLINK("https://twitter.com/aydasadeqi/status/1045386739479707650","1045386739479707650")</f>
        <v>1045386739479707650</v>
      </c>
      <c r="F625" s="4"/>
      <c r="G625" s="4"/>
      <c r="H625" s="4"/>
      <c r="I625" s="10" t="str">
        <f>HYPERLINK("http://twitter.com/download/iphone","Twitter for iPhone")</f>
        <v>Twitter for iPhone</v>
      </c>
      <c r="J625" s="2">
        <v>3</v>
      </c>
      <c r="K625" s="2">
        <v>13</v>
      </c>
      <c r="L625" s="2">
        <v>0</v>
      </c>
      <c r="M625" s="2"/>
      <c r="N625" s="8">
        <v>43161.187337962961</v>
      </c>
      <c r="O625" s="4"/>
      <c r="P625" s="3" t="s">
        <v>6435</v>
      </c>
      <c r="Q625" s="4"/>
      <c r="R625" s="4"/>
      <c r="S625" s="9" t="str">
        <f>HYPERLINK("https://pbs.twimg.com/profile_images/983536380243513345/Y6NQBqNT.jpg","View")</f>
        <v>View</v>
      </c>
    </row>
    <row r="626" spans="1:19" ht="20">
      <c r="A626" s="8">
        <v>43370.934606481482</v>
      </c>
      <c r="B626" s="11" t="str">
        <f>HYPERLINK("https://twitter.com/AbOo_kqz","@AbOo_kqz")</f>
        <v>@AbOo_kqz</v>
      </c>
      <c r="C626" s="6" t="s">
        <v>1533</v>
      </c>
      <c r="D626" s="5" t="s">
        <v>6434</v>
      </c>
      <c r="E626" s="9" t="str">
        <f>HYPERLINK("https://twitter.com/AbOo_kqz/status/1045386550526111745","1045386550526111745")</f>
        <v>1045386550526111745</v>
      </c>
      <c r="F626" s="4"/>
      <c r="G626" s="4"/>
      <c r="H626" s="4"/>
      <c r="I626" s="10" t="str">
        <f>HYPERLINK("http://twitter.com","Twitter Web Client")</f>
        <v>Twitter Web Client</v>
      </c>
      <c r="J626" s="2">
        <v>51</v>
      </c>
      <c r="K626" s="2">
        <v>122</v>
      </c>
      <c r="L626" s="2">
        <v>0</v>
      </c>
      <c r="M626" s="2"/>
      <c r="N626" s="8">
        <v>42521.938738425924</v>
      </c>
      <c r="O626" s="4" t="s">
        <v>1531</v>
      </c>
      <c r="P626" s="3" t="s">
        <v>1530</v>
      </c>
      <c r="Q626" s="4"/>
      <c r="R626" s="4"/>
      <c r="S626" s="9" t="str">
        <f>HYPERLINK("https://pbs.twimg.com/profile_images/737706601084157952/exyDQSiE.jpg","View")</f>
        <v>View</v>
      </c>
    </row>
    <row r="627" spans="1:19" ht="30">
      <c r="A627" s="8">
        <v>43370.933958333335</v>
      </c>
      <c r="B627" s="11" t="str">
        <f>HYPERLINK("https://twitter.com/Siavashhhhhhhhh","@Siavashhhhhhhhh")</f>
        <v>@Siavashhhhhhhhh</v>
      </c>
      <c r="C627" s="6" t="s">
        <v>6433</v>
      </c>
      <c r="D627" s="5" t="s">
        <v>6432</v>
      </c>
      <c r="E627" s="9" t="str">
        <f>HYPERLINK("https://twitter.com/Siavashhhhhhhhh/status/1045386315112550401","1045386315112550401")</f>
        <v>1045386315112550401</v>
      </c>
      <c r="F627" s="4"/>
      <c r="G627" s="4"/>
      <c r="H627" s="4"/>
      <c r="I627" s="10" t="str">
        <f>HYPERLINK("http://twitter.com/download/android","Twitter for Android")</f>
        <v>Twitter for Android</v>
      </c>
      <c r="J627" s="2">
        <v>82</v>
      </c>
      <c r="K627" s="2">
        <v>214</v>
      </c>
      <c r="L627" s="2">
        <v>1</v>
      </c>
      <c r="M627" s="2"/>
      <c r="N627" s="8">
        <v>43157.912222222221</v>
      </c>
      <c r="O627" s="4"/>
      <c r="P627" s="3" t="s">
        <v>6431</v>
      </c>
      <c r="Q627" s="4"/>
      <c r="R627" s="4"/>
      <c r="S627" s="9" t="str">
        <f>HYPERLINK("https://pbs.twimg.com/profile_images/1031011045928824833/5kJBwMRL.jpg","View")</f>
        <v>View</v>
      </c>
    </row>
    <row r="628" spans="1:19" ht="20">
      <c r="A628" s="8">
        <v>43370.933877314819</v>
      </c>
      <c r="B628" s="11" t="str">
        <f>HYPERLINK("https://twitter.com/Mr_amiiir","@Mr_amiiir")</f>
        <v>@Mr_amiiir</v>
      </c>
      <c r="C628" s="6" t="s">
        <v>6430</v>
      </c>
      <c r="D628" s="5" t="s">
        <v>6429</v>
      </c>
      <c r="E628" s="9" t="str">
        <f>HYPERLINK("https://twitter.com/Mr_amiiir/status/1045386284464779269","1045386284464779269")</f>
        <v>1045386284464779269</v>
      </c>
      <c r="F628" s="4"/>
      <c r="G628" s="4"/>
      <c r="H628" s="4"/>
      <c r="I628" s="10" t="str">
        <f>HYPERLINK("http://twitter.com/download/android","Twitter for Android")</f>
        <v>Twitter for Android</v>
      </c>
      <c r="J628" s="2">
        <v>214</v>
      </c>
      <c r="K628" s="2">
        <v>244</v>
      </c>
      <c r="L628" s="2">
        <v>0</v>
      </c>
      <c r="M628" s="2"/>
      <c r="N628" s="8">
        <v>43011.047349537039</v>
      </c>
      <c r="O628" s="4" t="s">
        <v>55</v>
      </c>
      <c r="P628" s="3" t="s">
        <v>6428</v>
      </c>
      <c r="Q628" s="4"/>
      <c r="R628" s="4"/>
      <c r="S628" s="9" t="str">
        <f>HYPERLINK("https://pbs.twimg.com/profile_images/1025845449138290690/tu4sMp2C.jpg","View")</f>
        <v>View</v>
      </c>
    </row>
    <row r="629" spans="1:19" ht="40">
      <c r="A629" s="8">
        <v>43370.933217592596</v>
      </c>
      <c r="B629" s="11" t="str">
        <f>HYPERLINK("https://twitter.com/hoseinRj","@hoseinRj")</f>
        <v>@hoseinRj</v>
      </c>
      <c r="C629" s="6" t="s">
        <v>6427</v>
      </c>
      <c r="D629" s="5" t="s">
        <v>6426</v>
      </c>
      <c r="E629" s="9" t="str">
        <f>HYPERLINK("https://twitter.com/hoseinRj/status/1045386048673644545","1045386048673644545")</f>
        <v>1045386048673644545</v>
      </c>
      <c r="F629" s="4"/>
      <c r="G629" s="4"/>
      <c r="H629" s="4"/>
      <c r="I629" s="10" t="str">
        <f>HYPERLINK("http://twitter.com","Twitter Web Client")</f>
        <v>Twitter Web Client</v>
      </c>
      <c r="J629" s="2">
        <v>1</v>
      </c>
      <c r="K629" s="2">
        <v>21</v>
      </c>
      <c r="L629" s="2">
        <v>0</v>
      </c>
      <c r="M629" s="2"/>
      <c r="N629" s="8">
        <v>42868.122743055559</v>
      </c>
      <c r="O629" s="4"/>
      <c r="P629" s="3" t="s">
        <v>6425</v>
      </c>
      <c r="Q629" s="4"/>
      <c r="R629" s="4"/>
      <c r="S629" s="9" t="str">
        <f>HYPERLINK("https://pbs.twimg.com/profile_images/1044899860837687296/7-hOfrTg.jpg","View")</f>
        <v>View</v>
      </c>
    </row>
    <row r="630" spans="1:19" ht="30">
      <c r="A630" s="8">
        <v>43370.932986111111</v>
      </c>
      <c r="B630" s="11" t="str">
        <f>HYPERLINK("https://twitter.com/MohajerRezaa","@MohajerRezaa")</f>
        <v>@MohajerRezaa</v>
      </c>
      <c r="C630" s="6" t="s">
        <v>6424</v>
      </c>
      <c r="D630" s="5" t="s">
        <v>6423</v>
      </c>
      <c r="E630" s="9" t="str">
        <f>HYPERLINK("https://twitter.com/MohajerRezaa/status/1045385964741447680","1045385964741447680")</f>
        <v>1045385964741447680</v>
      </c>
      <c r="F630" s="4"/>
      <c r="G630" s="4"/>
      <c r="H630" s="4"/>
      <c r="I630" s="10" t="str">
        <f>HYPERLINK("http://twitter.com/download/iphone","Twitter for iPhone")</f>
        <v>Twitter for iPhone</v>
      </c>
      <c r="J630" s="2">
        <v>106</v>
      </c>
      <c r="K630" s="2">
        <v>723</v>
      </c>
      <c r="L630" s="2">
        <v>0</v>
      </c>
      <c r="M630" s="2"/>
      <c r="N630" s="8">
        <v>43095.267407407402</v>
      </c>
      <c r="O630" s="4"/>
      <c r="P630" s="3" t="s">
        <v>6422</v>
      </c>
      <c r="Q630" s="4"/>
      <c r="R630" s="4"/>
      <c r="S630" s="9" t="str">
        <f>HYPERLINK("https://pbs.twimg.com/profile_images/1012908709079494656/ngpJLxoW.jpg","View")</f>
        <v>View</v>
      </c>
    </row>
    <row r="631" spans="1:19" ht="12.5">
      <c r="A631" s="8">
        <v>43370.932951388888</v>
      </c>
      <c r="B631" s="11" t="str">
        <f>HYPERLINK("https://twitter.com/mosbeba","@mosbeba")</f>
        <v>@mosbeba</v>
      </c>
      <c r="C631" s="6" t="s">
        <v>5135</v>
      </c>
      <c r="D631" s="5" t="s">
        <v>6421</v>
      </c>
      <c r="E631" s="9" t="str">
        <f>HYPERLINK("https://twitter.com/mosbeba/status/1045385948291305474","1045385948291305474")</f>
        <v>1045385948291305474</v>
      </c>
      <c r="F631" s="4"/>
      <c r="G631" s="4"/>
      <c r="H631" s="4"/>
      <c r="I631" s="10" t="str">
        <f>HYPERLINK("http://twitter.com/download/iphone","Twitter for iPhone")</f>
        <v>Twitter for iPhone</v>
      </c>
      <c r="J631" s="2">
        <v>311</v>
      </c>
      <c r="K631" s="2">
        <v>408</v>
      </c>
      <c r="L631" s="2">
        <v>0</v>
      </c>
      <c r="M631" s="2"/>
      <c r="N631" s="8">
        <v>40026.660115740742</v>
      </c>
      <c r="O631" s="4" t="s">
        <v>5133</v>
      </c>
      <c r="P631" s="3" t="s">
        <v>5132</v>
      </c>
      <c r="Q631" s="4"/>
      <c r="R631" s="4"/>
      <c r="S631" s="9" t="str">
        <f>HYPERLINK("https://pbs.twimg.com/profile_images/999732925980725249/Xnj5Jt7T.jpg","View")</f>
        <v>View</v>
      </c>
    </row>
    <row r="632" spans="1:19" ht="40">
      <c r="A632" s="8">
        <v>43370.932245370372</v>
      </c>
      <c r="B632" s="11" t="str">
        <f>HYPERLINK("https://twitter.com/seda1995555","@seda1995555")</f>
        <v>@seda1995555</v>
      </c>
      <c r="C632" s="6" t="s">
        <v>1322</v>
      </c>
      <c r="D632" s="5" t="s">
        <v>6420</v>
      </c>
      <c r="E632" s="9" t="str">
        <f>HYPERLINK("https://twitter.com/seda1995555/status/1045385694225600512","1045385694225600512")</f>
        <v>1045385694225600512</v>
      </c>
      <c r="F632" s="4"/>
      <c r="G632" s="10" t="s">
        <v>6419</v>
      </c>
      <c r="H632" s="4"/>
      <c r="I632" s="10" t="str">
        <f>HYPERLINK("http://twitter.com/download/iphone","Twitter for iPhone")</f>
        <v>Twitter for iPhone</v>
      </c>
      <c r="J632" s="2">
        <v>883</v>
      </c>
      <c r="K632" s="2">
        <v>248</v>
      </c>
      <c r="L632" s="2">
        <v>1</v>
      </c>
      <c r="M632" s="2"/>
      <c r="N632" s="8">
        <v>42966.77407407407</v>
      </c>
      <c r="O632" s="4"/>
      <c r="P632" s="3" t="s">
        <v>1319</v>
      </c>
      <c r="Q632" s="4"/>
      <c r="R632" s="4"/>
      <c r="S632" s="9" t="str">
        <f>HYPERLINK("https://pbs.twimg.com/profile_images/1026507065756397569/2JKk44Ck.jpg","View")</f>
        <v>View</v>
      </c>
    </row>
    <row r="633" spans="1:19" ht="20">
      <c r="A633" s="8">
        <v>43370.931944444441</v>
      </c>
      <c r="B633" s="11" t="str">
        <f>HYPERLINK("https://twitter.com/Sepideh7777","@Sepideh7777")</f>
        <v>@Sepideh7777</v>
      </c>
      <c r="C633" s="6" t="s">
        <v>6418</v>
      </c>
      <c r="D633" s="5" t="s">
        <v>6417</v>
      </c>
      <c r="E633" s="9" t="str">
        <f>HYPERLINK("https://twitter.com/Sepideh7777/status/1045385585727279105","1045385585727279105")</f>
        <v>1045385585727279105</v>
      </c>
      <c r="F633" s="4"/>
      <c r="G633" s="4"/>
      <c r="H633" s="4"/>
      <c r="I633" s="10" t="str">
        <f>HYPERLINK("http://twitter.com/download/android","Twitter for Android")</f>
        <v>Twitter for Android</v>
      </c>
      <c r="J633" s="2">
        <v>5</v>
      </c>
      <c r="K633" s="2">
        <v>67</v>
      </c>
      <c r="L633" s="2">
        <v>0</v>
      </c>
      <c r="M633" s="2"/>
      <c r="N633" s="8">
        <v>43368.037187499998</v>
      </c>
      <c r="O633" s="4" t="s">
        <v>6416</v>
      </c>
      <c r="P633" s="3" t="s">
        <v>6415</v>
      </c>
      <c r="Q633" s="4"/>
      <c r="R633" s="4"/>
      <c r="S633" s="9" t="str">
        <f>HYPERLINK("https://pbs.twimg.com/profile_images/1044697836988895233/e6vZryYH.jpg","View")</f>
        <v>View</v>
      </c>
    </row>
    <row r="634" spans="1:19" ht="30">
      <c r="A634" s="8">
        <v>43370.931851851856</v>
      </c>
      <c r="B634" s="11" t="str">
        <f>HYPERLINK("https://twitter.com/mehrdadtaj44","@mehrdadtaj44")</f>
        <v>@mehrdadtaj44</v>
      </c>
      <c r="C634" s="6" t="s">
        <v>6213</v>
      </c>
      <c r="D634" s="5" t="s">
        <v>6414</v>
      </c>
      <c r="E634" s="9" t="str">
        <f>HYPERLINK("https://twitter.com/mehrdadtaj44/status/1045385549983502336","1045385549983502336")</f>
        <v>1045385549983502336</v>
      </c>
      <c r="F634" s="4"/>
      <c r="G634" s="4"/>
      <c r="H634" s="4"/>
      <c r="I634" s="10" t="str">
        <f>HYPERLINK("http://twitter.com/download/android","Twitter for Android")</f>
        <v>Twitter for Android</v>
      </c>
      <c r="J634" s="2">
        <v>75</v>
      </c>
      <c r="K634" s="2">
        <v>196</v>
      </c>
      <c r="L634" s="2">
        <v>1</v>
      </c>
      <c r="M634" s="2"/>
      <c r="N634" s="8">
        <v>42802.635358796295</v>
      </c>
      <c r="O634" s="4"/>
      <c r="P634" s="3" t="s">
        <v>6211</v>
      </c>
      <c r="Q634" s="4"/>
      <c r="R634" s="4"/>
      <c r="S634" s="9" t="str">
        <f>HYPERLINK("https://pbs.twimg.com/profile_images/1022746368555843584/Nh9oE1J5.jpg","View")</f>
        <v>View</v>
      </c>
    </row>
    <row r="635" spans="1:19" ht="40">
      <c r="A635" s="8">
        <v>43370.931238425925</v>
      </c>
      <c r="B635" s="11" t="str">
        <f>HYPERLINK("https://twitter.com/AmirpoorMehdi","@AmirpoorMehdi")</f>
        <v>@AmirpoorMehdi</v>
      </c>
      <c r="C635" s="6" t="s">
        <v>6413</v>
      </c>
      <c r="D635" s="5" t="s">
        <v>6412</v>
      </c>
      <c r="E635" s="9" t="str">
        <f>HYPERLINK("https://twitter.com/AmirpoorMehdi/status/1045385330709463040","1045385330709463040")</f>
        <v>1045385330709463040</v>
      </c>
      <c r="F635" s="4"/>
      <c r="G635" s="4"/>
      <c r="H635" s="4"/>
      <c r="I635" s="10" t="str">
        <f>HYPERLINK("http://twitter.com/download/iphone","Twitter for iPhone")</f>
        <v>Twitter for iPhone</v>
      </c>
      <c r="J635" s="2">
        <v>7156</v>
      </c>
      <c r="K635" s="2">
        <v>154</v>
      </c>
      <c r="L635" s="2">
        <v>47</v>
      </c>
      <c r="M635" s="2"/>
      <c r="N635" s="8">
        <v>40877.109560185185</v>
      </c>
      <c r="O635" s="4" t="s">
        <v>254</v>
      </c>
      <c r="P635" s="3" t="s">
        <v>6411</v>
      </c>
      <c r="Q635" s="10" t="s">
        <v>6410</v>
      </c>
      <c r="R635" s="4"/>
      <c r="S635" s="9" t="str">
        <f>HYPERLINK("https://pbs.twimg.com/profile_images/884786141685313536/FiZbxvoj.jpg","View")</f>
        <v>View</v>
      </c>
    </row>
    <row r="636" spans="1:19" ht="20">
      <c r="A636" s="8">
        <v>43370.930833333332</v>
      </c>
      <c r="B636" s="11" t="str">
        <f>HYPERLINK("https://twitter.com/Sz_Sicily","@Sz_Sicily")</f>
        <v>@Sz_Sicily</v>
      </c>
      <c r="C636" s="6" t="s">
        <v>4492</v>
      </c>
      <c r="D636" s="5" t="s">
        <v>6409</v>
      </c>
      <c r="E636" s="9" t="str">
        <f>HYPERLINK("https://twitter.com/Sz_Sicily/status/1045385183103455232","1045385183103455232")</f>
        <v>1045385183103455232</v>
      </c>
      <c r="F636" s="4"/>
      <c r="G636" s="4"/>
      <c r="H636" s="4"/>
      <c r="I636" s="10" t="str">
        <f>HYPERLINK("http://twitter.com/download/android","Twitter for Android")</f>
        <v>Twitter for Android</v>
      </c>
      <c r="J636" s="2">
        <v>1002</v>
      </c>
      <c r="K636" s="2">
        <v>155</v>
      </c>
      <c r="L636" s="2">
        <v>6</v>
      </c>
      <c r="M636" s="2"/>
      <c r="N636" s="8">
        <v>41551.67796296296</v>
      </c>
      <c r="O636" s="4" t="s">
        <v>4490</v>
      </c>
      <c r="P636" s="3" t="s">
        <v>4489</v>
      </c>
      <c r="Q636" s="4"/>
      <c r="R636" s="4"/>
      <c r="S636" s="9" t="str">
        <f>HYPERLINK("https://pbs.twimg.com/profile_images/1044541175804440576/M7IAsvI6.jpg","View")</f>
        <v>View</v>
      </c>
    </row>
    <row r="637" spans="1:19" ht="20">
      <c r="A637" s="8">
        <v>43370.930185185185</v>
      </c>
      <c r="B637" s="11" t="str">
        <f>HYPERLINK("https://twitter.com/iamparhamm","@iamparhamm")</f>
        <v>@iamparhamm</v>
      </c>
      <c r="C637" s="6" t="s">
        <v>1980</v>
      </c>
      <c r="D637" s="5" t="s">
        <v>6408</v>
      </c>
      <c r="E637" s="9" t="str">
        <f>HYPERLINK("https://twitter.com/iamparhamm/status/1045384947991801856","1045384947991801856")</f>
        <v>1045384947991801856</v>
      </c>
      <c r="F637" s="4"/>
      <c r="G637" s="4"/>
      <c r="H637" s="4"/>
      <c r="I637" s="10" t="str">
        <f>HYPERLINK("http://twitter.com/download/iphone","Twitter for iPhone")</f>
        <v>Twitter for iPhone</v>
      </c>
      <c r="J637" s="2">
        <v>3316</v>
      </c>
      <c r="K637" s="2">
        <v>1228</v>
      </c>
      <c r="L637" s="2">
        <v>21</v>
      </c>
      <c r="M637" s="2"/>
      <c r="N637" s="8">
        <v>41296.694791666669</v>
      </c>
      <c r="O637" s="4" t="s">
        <v>254</v>
      </c>
      <c r="P637" s="3" t="s">
        <v>1979</v>
      </c>
      <c r="Q637" s="4"/>
      <c r="R637" s="4"/>
      <c r="S637" s="9" t="str">
        <f>HYPERLINK("https://pbs.twimg.com/profile_images/1023840240736366592/JpNNjF5R.jpg","View")</f>
        <v>View</v>
      </c>
    </row>
    <row r="638" spans="1:19" ht="20">
      <c r="A638" s="8">
        <v>43370.929733796293</v>
      </c>
      <c r="B638" s="11" t="str">
        <f>HYPERLINK("https://twitter.com/FatemeZivari","@FatemeZivari")</f>
        <v>@FatemeZivari</v>
      </c>
      <c r="C638" s="6" t="s">
        <v>6407</v>
      </c>
      <c r="D638" s="5" t="s">
        <v>6406</v>
      </c>
      <c r="E638" s="9" t="str">
        <f>HYPERLINK("https://twitter.com/FatemeZivari/status/1045384785185722368","1045384785185722368")</f>
        <v>1045384785185722368</v>
      </c>
      <c r="F638" s="4"/>
      <c r="G638" s="4"/>
      <c r="H638" s="4"/>
      <c r="I638" s="10" t="str">
        <f>HYPERLINK("http://twitter.com/download/android","Twitter for Android")</f>
        <v>Twitter for Android</v>
      </c>
      <c r="J638" s="2">
        <v>1619</v>
      </c>
      <c r="K638" s="2">
        <v>1550</v>
      </c>
      <c r="L638" s="2">
        <v>2</v>
      </c>
      <c r="M638" s="2"/>
      <c r="N638" s="8">
        <v>42936.60527777778</v>
      </c>
      <c r="O638" s="4" t="s">
        <v>6405</v>
      </c>
      <c r="P638" s="3" t="s">
        <v>6404</v>
      </c>
      <c r="Q638" s="10" t="s">
        <v>6403</v>
      </c>
      <c r="R638" s="4"/>
      <c r="S638" s="9" t="str">
        <f>HYPERLINK("https://pbs.twimg.com/profile_images/1039926313556041730/kEraIpWa.jpg","View")</f>
        <v>View</v>
      </c>
    </row>
    <row r="639" spans="1:19" ht="20">
      <c r="A639" s="8">
        <v>43370.928842592592</v>
      </c>
      <c r="B639" s="11" t="str">
        <f>HYPERLINK("https://twitter.com/ArminSoleimany","@ArminSoleimany")</f>
        <v>@ArminSoleimany</v>
      </c>
      <c r="C639" s="6" t="s">
        <v>6402</v>
      </c>
      <c r="D639" s="5" t="s">
        <v>6401</v>
      </c>
      <c r="E639" s="9" t="str">
        <f>HYPERLINK("https://twitter.com/ArminSoleimany/status/1045384459984334848","1045384459984334848")</f>
        <v>1045384459984334848</v>
      </c>
      <c r="F639" s="4"/>
      <c r="G639" s="4"/>
      <c r="H639" s="4"/>
      <c r="I639" s="10" t="str">
        <f>HYPERLINK("http://twitter.com/download/android","Twitter for Android")</f>
        <v>Twitter for Android</v>
      </c>
      <c r="J639" s="2">
        <v>1672</v>
      </c>
      <c r="K639" s="2">
        <v>163</v>
      </c>
      <c r="L639" s="2">
        <v>15</v>
      </c>
      <c r="M639" s="2"/>
      <c r="N639" s="8">
        <v>41510.941354166665</v>
      </c>
      <c r="O639" s="4" t="s">
        <v>6400</v>
      </c>
      <c r="P639" s="3" t="s">
        <v>6399</v>
      </c>
      <c r="Q639" s="4"/>
      <c r="R639" s="4"/>
      <c r="S639" s="9" t="str">
        <f>HYPERLINK("https://pbs.twimg.com/profile_images/1008369210093854720/JTPwz7CC.jpg","View")</f>
        <v>View</v>
      </c>
    </row>
    <row r="640" spans="1:19" ht="30">
      <c r="A640" s="8">
        <v>43370.928726851853</v>
      </c>
      <c r="B640" s="11" t="str">
        <f>HYPERLINK("https://twitter.com/loreshtank","@loreshtank")</f>
        <v>@loreshtank</v>
      </c>
      <c r="C640" s="6" t="s">
        <v>6398</v>
      </c>
      <c r="D640" s="5" t="s">
        <v>6397</v>
      </c>
      <c r="E640" s="9" t="str">
        <f>HYPERLINK("https://twitter.com/loreshtank/status/1045384420381863936","1045384420381863936")</f>
        <v>1045384420381863936</v>
      </c>
      <c r="F640" s="4"/>
      <c r="G640" s="4"/>
      <c r="H640" s="4"/>
      <c r="I640" s="10" t="str">
        <f>HYPERLINK("http://twitter.com/download/iphone","Twitter for iPhone")</f>
        <v>Twitter for iPhone</v>
      </c>
      <c r="J640" s="2">
        <v>281</v>
      </c>
      <c r="K640" s="2">
        <v>299</v>
      </c>
      <c r="L640" s="2">
        <v>1</v>
      </c>
      <c r="M640" s="2"/>
      <c r="N640" s="8">
        <v>41107.620416666665</v>
      </c>
      <c r="O640" s="4" t="s">
        <v>6396</v>
      </c>
      <c r="P640" s="3" t="s">
        <v>6395</v>
      </c>
      <c r="Q640" s="10" t="s">
        <v>6394</v>
      </c>
      <c r="R640" s="4"/>
      <c r="S640" s="9" t="str">
        <f>HYPERLINK("https://pbs.twimg.com/profile_images/1015178274480295937/3_5EJn59.jpg","View")</f>
        <v>View</v>
      </c>
    </row>
    <row r="641" spans="1:19" ht="30">
      <c r="A641" s="8">
        <v>43370.928298611107</v>
      </c>
      <c r="B641" s="11" t="str">
        <f>HYPERLINK("https://twitter.com/kheng7496","@kheng7496")</f>
        <v>@kheng7496</v>
      </c>
      <c r="C641" s="6" t="s">
        <v>3307</v>
      </c>
      <c r="D641" s="5" t="s">
        <v>6393</v>
      </c>
      <c r="E641" s="9" t="str">
        <f>HYPERLINK("https://twitter.com/kheng7496/status/1045384263967936513","1045384263967936513")</f>
        <v>1045384263967936513</v>
      </c>
      <c r="F641" s="4"/>
      <c r="G641" s="4"/>
      <c r="H641" s="4"/>
      <c r="I641" s="10" t="str">
        <f>HYPERLINK("http://twitter.com/download/android","Twitter for Android")</f>
        <v>Twitter for Android</v>
      </c>
      <c r="J641" s="2">
        <v>59</v>
      </c>
      <c r="K641" s="2">
        <v>58</v>
      </c>
      <c r="L641" s="2">
        <v>0</v>
      </c>
      <c r="M641" s="2"/>
      <c r="N641" s="8">
        <v>43357.926168981481</v>
      </c>
      <c r="O641" s="4" t="s">
        <v>10</v>
      </c>
      <c r="P641" s="3"/>
      <c r="Q641" s="4"/>
      <c r="R641" s="4"/>
      <c r="S641" s="9" t="str">
        <f>HYPERLINK("https://pbs.twimg.com/profile_images/1043191325976403968/jqFx0GlA.jpg","View")</f>
        <v>View</v>
      </c>
    </row>
    <row r="642" spans="1:19" ht="30">
      <c r="A642" s="8">
        <v>43370.92763888889</v>
      </c>
      <c r="B642" s="11" t="str">
        <f>HYPERLINK("https://twitter.com/Mhnike7","@Mhnike7")</f>
        <v>@Mhnike7</v>
      </c>
      <c r="C642" s="6" t="s">
        <v>6392</v>
      </c>
      <c r="D642" s="5" t="s">
        <v>6391</v>
      </c>
      <c r="E642" s="9" t="str">
        <f>HYPERLINK("https://twitter.com/Mhnike7/status/1045384026939371520","1045384026939371520")</f>
        <v>1045384026939371520</v>
      </c>
      <c r="F642" s="4"/>
      <c r="G642" s="4"/>
      <c r="H642" s="4"/>
      <c r="I642" s="10" t="str">
        <f>HYPERLINK("http://twitter.com/download/android","Twitter for Android")</f>
        <v>Twitter for Android</v>
      </c>
      <c r="J642" s="2">
        <v>478</v>
      </c>
      <c r="K642" s="2">
        <v>471</v>
      </c>
      <c r="L642" s="2">
        <v>4</v>
      </c>
      <c r="M642" s="2"/>
      <c r="N642" s="8">
        <v>41289.739618055552</v>
      </c>
      <c r="O642" s="4"/>
      <c r="P642" s="3" t="s">
        <v>6390</v>
      </c>
      <c r="Q642" s="4"/>
      <c r="R642" s="4"/>
      <c r="S642" s="9" t="str">
        <f>HYPERLINK("https://pbs.twimg.com/profile_images/1005180148973436928/JDR9QRd3.jpg","View")</f>
        <v>View</v>
      </c>
    </row>
    <row r="643" spans="1:19" ht="30">
      <c r="A643" s="8">
        <v>43370.927384259259</v>
      </c>
      <c r="B643" s="11" t="str">
        <f>HYPERLINK("https://twitter.com/SEsteghlali","@SEsteghlali")</f>
        <v>@SEsteghlali</v>
      </c>
      <c r="C643" s="6" t="s">
        <v>2961</v>
      </c>
      <c r="D643" s="5" t="s">
        <v>6389</v>
      </c>
      <c r="E643" s="9" t="str">
        <f>HYPERLINK("https://twitter.com/SEsteghlali/status/1045383930982146048","1045383930982146048")</f>
        <v>1045383930982146048</v>
      </c>
      <c r="F643" s="4"/>
      <c r="G643" s="10" t="s">
        <v>6388</v>
      </c>
      <c r="H643" s="4"/>
      <c r="I643" s="10" t="str">
        <f>HYPERLINK("http://twitter.com/download/android","Twitter for Android")</f>
        <v>Twitter for Android</v>
      </c>
      <c r="J643" s="2">
        <v>386</v>
      </c>
      <c r="K643" s="2">
        <v>290</v>
      </c>
      <c r="L643" s="2">
        <v>3</v>
      </c>
      <c r="M643" s="2"/>
      <c r="N643" s="8">
        <v>43315.864837962959</v>
      </c>
      <c r="O643" s="4" t="s">
        <v>2959</v>
      </c>
      <c r="P643" s="3" t="s">
        <v>2958</v>
      </c>
      <c r="Q643" s="4"/>
      <c r="R643" s="4"/>
      <c r="S643" s="9" t="str">
        <f>HYPERLINK("https://pbs.twimg.com/profile_images/1045373656686383106/0K6LZShe.jpg","View")</f>
        <v>View</v>
      </c>
    </row>
    <row r="644" spans="1:19" ht="20">
      <c r="A644" s="8">
        <v>43370.926516203705</v>
      </c>
      <c r="B644" s="11" t="str">
        <f>HYPERLINK("https://twitter.com/Khorshiiiiiid","@Khorshiiiiiid")</f>
        <v>@Khorshiiiiiid</v>
      </c>
      <c r="C644" s="6" t="s">
        <v>6387</v>
      </c>
      <c r="D644" s="5" t="s">
        <v>6386</v>
      </c>
      <c r="E644" s="9" t="str">
        <f>HYPERLINK("https://twitter.com/Khorshiiiiiid/status/1045383617608916993","1045383617608916993")</f>
        <v>1045383617608916993</v>
      </c>
      <c r="F644" s="4"/>
      <c r="G644" s="4"/>
      <c r="H644" s="4"/>
      <c r="I644" s="10" t="str">
        <f>HYPERLINK("http://twitter.com/download/android","Twitter for Android")</f>
        <v>Twitter for Android</v>
      </c>
      <c r="J644" s="2">
        <v>1566</v>
      </c>
      <c r="K644" s="2">
        <v>758</v>
      </c>
      <c r="L644" s="2">
        <v>18</v>
      </c>
      <c r="M644" s="2"/>
      <c r="N644" s="8">
        <v>41516.84915509259</v>
      </c>
      <c r="O644" s="4" t="s">
        <v>254</v>
      </c>
      <c r="P644" s="3" t="s">
        <v>6385</v>
      </c>
      <c r="Q644" s="4"/>
      <c r="R644" s="4"/>
      <c r="S644" s="9" t="str">
        <f>HYPERLINK("https://pbs.twimg.com/profile_images/871647042778664960/lJhk9Het.jpg","View")</f>
        <v>View</v>
      </c>
    </row>
    <row r="645" spans="1:19" ht="12.5">
      <c r="A645" s="8">
        <v>43370.926400462966</v>
      </c>
      <c r="B645" s="11" t="str">
        <f>HYPERLINK("https://twitter.com/Sejil62","@Sejil62")</f>
        <v>@Sejil62</v>
      </c>
      <c r="C645" s="6" t="s">
        <v>6313</v>
      </c>
      <c r="D645" s="5" t="s">
        <v>6384</v>
      </c>
      <c r="E645" s="9" t="str">
        <f>HYPERLINK("https://twitter.com/Sejil62/status/1045383575854624769","1045383575854624769")</f>
        <v>1045383575854624769</v>
      </c>
      <c r="F645" s="4"/>
      <c r="G645" s="4"/>
      <c r="H645" s="4"/>
      <c r="I645" s="10" t="str">
        <f>HYPERLINK("http://twitter.com/download/android","Twitter for Android")</f>
        <v>Twitter for Android</v>
      </c>
      <c r="J645" s="2">
        <v>977</v>
      </c>
      <c r="K645" s="2">
        <v>1285</v>
      </c>
      <c r="L645" s="2">
        <v>2</v>
      </c>
      <c r="M645" s="2"/>
      <c r="N645" s="8">
        <v>42918.013749999998</v>
      </c>
      <c r="O645" s="4" t="s">
        <v>200</v>
      </c>
      <c r="P645" s="3" t="s">
        <v>6311</v>
      </c>
      <c r="Q645" s="4"/>
      <c r="R645" s="4"/>
      <c r="S645" s="9" t="str">
        <f>HYPERLINK("https://pbs.twimg.com/profile_images/882162192191283200/rL-Sfxli.jpg","View")</f>
        <v>View</v>
      </c>
    </row>
    <row r="646" spans="1:19" ht="12.5">
      <c r="A646" s="8">
        <v>43370.926388888889</v>
      </c>
      <c r="B646" s="11" t="str">
        <f>HYPERLINK("https://twitter.com/dambelnazdik","@dambelnazdik")</f>
        <v>@dambelnazdik</v>
      </c>
      <c r="C646" s="6" t="s">
        <v>6383</v>
      </c>
      <c r="D646" s="5" t="s">
        <v>6382</v>
      </c>
      <c r="E646" s="9" t="str">
        <f>HYPERLINK("https://twitter.com/dambelnazdik/status/1045383573312851969","1045383573312851969")</f>
        <v>1045383573312851969</v>
      </c>
      <c r="F646" s="4"/>
      <c r="G646" s="4"/>
      <c r="H646" s="4"/>
      <c r="I646" s="10" t="str">
        <f>HYPERLINK("http://twitter.com/download/iphone","Twitter for iPhone")</f>
        <v>Twitter for iPhone</v>
      </c>
      <c r="J646" s="2">
        <v>609</v>
      </c>
      <c r="K646" s="2">
        <v>356</v>
      </c>
      <c r="L646" s="2">
        <v>1</v>
      </c>
      <c r="M646" s="2"/>
      <c r="N646" s="8">
        <v>43253.889374999999</v>
      </c>
      <c r="O646" s="4"/>
      <c r="P646" s="3" t="s">
        <v>6381</v>
      </c>
      <c r="Q646" s="4"/>
      <c r="R646" s="4"/>
      <c r="S646" s="9" t="str">
        <f>HYPERLINK("https://pbs.twimg.com/profile_images/1043221193539690496/5b_cpfPR.jpg","View")</f>
        <v>View</v>
      </c>
    </row>
    <row r="647" spans="1:19" ht="40">
      <c r="A647" s="8">
        <v>43370.926215277781</v>
      </c>
      <c r="B647" s="11" t="str">
        <f>HYPERLINK("https://twitter.com/Atavolla","@Atavolla")</f>
        <v>@Atavolla</v>
      </c>
      <c r="C647" s="6" t="s">
        <v>6380</v>
      </c>
      <c r="D647" s="5" t="s">
        <v>6379</v>
      </c>
      <c r="E647" s="9" t="str">
        <f>HYPERLINK("https://twitter.com/Atavolla/status/1045383510956101633","1045383510956101633")</f>
        <v>1045383510956101633</v>
      </c>
      <c r="F647" s="4"/>
      <c r="G647" s="4"/>
      <c r="H647" s="4"/>
      <c r="I647" s="10" t="str">
        <f>HYPERLINK("https://mobile.twitter.com","Twitter Lite")</f>
        <v>Twitter Lite</v>
      </c>
      <c r="J647" s="2">
        <v>38</v>
      </c>
      <c r="K647" s="2">
        <v>39</v>
      </c>
      <c r="L647" s="2">
        <v>0</v>
      </c>
      <c r="M647" s="2"/>
      <c r="N647" s="8">
        <v>42468.834282407406</v>
      </c>
      <c r="O647" s="4"/>
      <c r="P647" s="3" t="s">
        <v>6378</v>
      </c>
      <c r="Q647" s="4"/>
      <c r="R647" s="4"/>
      <c r="S647" s="9" t="str">
        <f>HYPERLINK("https://pbs.twimg.com/profile_images/1044838398282936320/Uvbb9roi.jpg","View")</f>
        <v>View</v>
      </c>
    </row>
    <row r="648" spans="1:19" ht="20">
      <c r="A648" s="8">
        <v>43370.925844907411</v>
      </c>
      <c r="B648" s="11" t="str">
        <f>HYPERLINK("https://twitter.com/HamedTavakoli88","@HamedTavakoli88")</f>
        <v>@HamedTavakoli88</v>
      </c>
      <c r="C648" s="6" t="s">
        <v>6377</v>
      </c>
      <c r="D648" s="5" t="s">
        <v>6376</v>
      </c>
      <c r="E648" s="9" t="str">
        <f>HYPERLINK("https://twitter.com/HamedTavakoli88/status/1045383376780365824","1045383376780365824")</f>
        <v>1045383376780365824</v>
      </c>
      <c r="F648" s="4"/>
      <c r="G648" s="4"/>
      <c r="H648" s="4"/>
      <c r="I648" s="10" t="str">
        <f>HYPERLINK("http://twitter.com/download/android","Twitter for Android")</f>
        <v>Twitter for Android</v>
      </c>
      <c r="J648" s="2">
        <v>81</v>
      </c>
      <c r="K648" s="2">
        <v>269</v>
      </c>
      <c r="L648" s="2">
        <v>0</v>
      </c>
      <c r="M648" s="2"/>
      <c r="N648" s="8">
        <v>40752.668773148151</v>
      </c>
      <c r="O648" s="4" t="s">
        <v>10</v>
      </c>
      <c r="P648" s="3" t="s">
        <v>6375</v>
      </c>
      <c r="Q648" s="4"/>
      <c r="R648" s="4"/>
      <c r="S648" s="9" t="str">
        <f>HYPERLINK("https://pbs.twimg.com/profile_images/632206222507274240/D5l806Yn.jpg","View")</f>
        <v>View</v>
      </c>
    </row>
    <row r="649" spans="1:19" ht="20">
      <c r="A649" s="8">
        <v>43370.925532407404</v>
      </c>
      <c r="B649" s="11" t="str">
        <f>HYPERLINK("https://twitter.com/alifallahrn","@alifallahrn")</f>
        <v>@alifallahrn</v>
      </c>
      <c r="C649" s="6" t="s">
        <v>6374</v>
      </c>
      <c r="D649" s="5" t="s">
        <v>6373</v>
      </c>
      <c r="E649" s="9" t="str">
        <f>HYPERLINK("https://twitter.com/alifallahrn/status/1045383261302665216","1045383261302665216")</f>
        <v>1045383261302665216</v>
      </c>
      <c r="F649" s="4"/>
      <c r="G649" s="4"/>
      <c r="H649" s="4"/>
      <c r="I649" s="10" t="str">
        <f>HYPERLINK("http://twitter.com","Twitter Web Client")</f>
        <v>Twitter Web Client</v>
      </c>
      <c r="J649" s="2">
        <v>37</v>
      </c>
      <c r="K649" s="2">
        <v>56</v>
      </c>
      <c r="L649" s="2">
        <v>0</v>
      </c>
      <c r="M649" s="2"/>
      <c r="N649" s="8">
        <v>41907.62222222222</v>
      </c>
      <c r="O649" s="4" t="s">
        <v>6372</v>
      </c>
      <c r="P649" s="3" t="s">
        <v>6371</v>
      </c>
      <c r="Q649" s="10" t="s">
        <v>6370</v>
      </c>
      <c r="R649" s="4"/>
      <c r="S649" s="9" t="str">
        <f>HYPERLINK("https://pbs.twimg.com/profile_images/1038024774759469057/cdXFe2S0.jpg","View")</f>
        <v>View</v>
      </c>
    </row>
    <row r="650" spans="1:19" ht="20">
      <c r="A650" s="8">
        <v>43370.925462962958</v>
      </c>
      <c r="B650" s="11" t="str">
        <f>HYPERLINK("https://twitter.com/alidastranj1","@alidastranj1")</f>
        <v>@alidastranj1</v>
      </c>
      <c r="C650" s="6" t="s">
        <v>6357</v>
      </c>
      <c r="D650" s="5" t="s">
        <v>6369</v>
      </c>
      <c r="E650" s="9" t="str">
        <f>HYPERLINK("https://twitter.com/alidastranj1/status/1045383235566473222","1045383235566473222")</f>
        <v>1045383235566473222</v>
      </c>
      <c r="F650" s="4"/>
      <c r="G650" s="4"/>
      <c r="H650" s="4"/>
      <c r="I650" s="10" t="str">
        <f>HYPERLINK("http://twitter.com","Twitter Web Client")</f>
        <v>Twitter Web Client</v>
      </c>
      <c r="J650" s="2">
        <v>19</v>
      </c>
      <c r="K650" s="2">
        <v>76</v>
      </c>
      <c r="L650" s="2">
        <v>0</v>
      </c>
      <c r="M650" s="2"/>
      <c r="N650" s="8">
        <v>43369.674004629633</v>
      </c>
      <c r="O650" s="4" t="s">
        <v>200</v>
      </c>
      <c r="P650" s="3" t="s">
        <v>6355</v>
      </c>
      <c r="Q650" s="4"/>
      <c r="R650" s="4"/>
      <c r="S650" s="9" t="str">
        <f>HYPERLINK("https://pbs.twimg.com/profile_images/1045048222769647616/0bYiAp8d.jpg","View")</f>
        <v>View</v>
      </c>
    </row>
    <row r="651" spans="1:19" ht="40">
      <c r="A651" s="8">
        <v>43370.924745370372</v>
      </c>
      <c r="B651" s="11" t="str">
        <f>HYPERLINK("https://twitter.com/iintelinside","@iintelinside")</f>
        <v>@iintelinside</v>
      </c>
      <c r="C651" s="6" t="s">
        <v>6368</v>
      </c>
      <c r="D651" s="5" t="s">
        <v>6367</v>
      </c>
      <c r="E651" s="9" t="str">
        <f>HYPERLINK("https://twitter.com/iintelinside/status/1045382975666499589","1045382975666499589")</f>
        <v>1045382975666499589</v>
      </c>
      <c r="F651" s="4"/>
      <c r="G651" s="4"/>
      <c r="H651" s="4"/>
      <c r="I651" s="10" t="str">
        <f>HYPERLINK("http://twitter.com/download/iphone","Twitter for iPhone")</f>
        <v>Twitter for iPhone</v>
      </c>
      <c r="J651" s="2">
        <v>75</v>
      </c>
      <c r="K651" s="2">
        <v>262</v>
      </c>
      <c r="L651" s="2">
        <v>0</v>
      </c>
      <c r="M651" s="2"/>
      <c r="N651" s="8">
        <v>41250.982708333337</v>
      </c>
      <c r="O651" s="4" t="s">
        <v>6366</v>
      </c>
      <c r="P651" s="3" t="s">
        <v>6365</v>
      </c>
      <c r="Q651" s="4"/>
      <c r="R651" s="4"/>
      <c r="S651" s="9" t="str">
        <f>HYPERLINK("https://pbs.twimg.com/profile_images/1043640024791764992/Z3_PJvyR.jpg","View")</f>
        <v>View</v>
      </c>
    </row>
    <row r="652" spans="1:19" ht="12.5">
      <c r="A652" s="8">
        <v>43370.924618055556</v>
      </c>
      <c r="B652" s="11" t="str">
        <f>HYPERLINK("https://twitter.com/Mahyasadat1","@Mahyasadat1")</f>
        <v>@Mahyasadat1</v>
      </c>
      <c r="C652" s="6" t="s">
        <v>6364</v>
      </c>
      <c r="D652" s="5" t="s">
        <v>6363</v>
      </c>
      <c r="E652" s="9" t="str">
        <f>HYPERLINK("https://twitter.com/Mahyasadat1/status/1045382932054118406","1045382932054118406")</f>
        <v>1045382932054118406</v>
      </c>
      <c r="F652" s="4"/>
      <c r="G652" s="4"/>
      <c r="H652" s="4"/>
      <c r="I652" s="10" t="str">
        <f>HYPERLINK("http://twitter.com/download/iphone","Twitter for iPhone")</f>
        <v>Twitter for iPhone</v>
      </c>
      <c r="J652" s="2">
        <v>14</v>
      </c>
      <c r="K652" s="2">
        <v>42</v>
      </c>
      <c r="L652" s="2">
        <v>0</v>
      </c>
      <c r="M652" s="2"/>
      <c r="N652" s="8">
        <v>43289.820590277777</v>
      </c>
      <c r="O652" s="4" t="s">
        <v>10</v>
      </c>
      <c r="P652" s="3" t="s">
        <v>6362</v>
      </c>
      <c r="Q652" s="10" t="s">
        <v>6361</v>
      </c>
      <c r="R652" s="4"/>
      <c r="S652" s="9" t="str">
        <f>HYPERLINK("https://pbs.twimg.com/profile_images/1032304366575869953/hSzjhDN0.jpg","View")</f>
        <v>View</v>
      </c>
    </row>
    <row r="653" spans="1:19" ht="20">
      <c r="A653" s="8">
        <v>43370.924456018518</v>
      </c>
      <c r="B653" s="11" t="str">
        <f>HYPERLINK("https://twitter.com/navidasghari3","@navidasghari3")</f>
        <v>@navidasghari3</v>
      </c>
      <c r="C653" s="6" t="s">
        <v>6360</v>
      </c>
      <c r="D653" s="5" t="s">
        <v>6359</v>
      </c>
      <c r="E653" s="9" t="str">
        <f>HYPERLINK("https://twitter.com/navidasghari3/status/1045382870284537856","1045382870284537856")</f>
        <v>1045382870284537856</v>
      </c>
      <c r="F653" s="4"/>
      <c r="G653" s="4"/>
      <c r="H653" s="4"/>
      <c r="I653" s="10" t="str">
        <f>HYPERLINK("http://twitter.com","Twitter Web Client")</f>
        <v>Twitter Web Client</v>
      </c>
      <c r="J653" s="2">
        <v>34</v>
      </c>
      <c r="K653" s="2">
        <v>157</v>
      </c>
      <c r="L653" s="2">
        <v>0</v>
      </c>
      <c r="M653" s="2"/>
      <c r="N653" s="8">
        <v>43275.826828703706</v>
      </c>
      <c r="O653" s="4" t="s">
        <v>200</v>
      </c>
      <c r="P653" s="3" t="s">
        <v>6358</v>
      </c>
      <c r="Q653" s="4"/>
      <c r="R653" s="4"/>
      <c r="S653" s="9" t="str">
        <f>HYPERLINK("https://pbs.twimg.com/profile_images/1037318790852358145/N2EjGwxj.jpg","View")</f>
        <v>View</v>
      </c>
    </row>
    <row r="654" spans="1:19" ht="12.5">
      <c r="A654" s="8">
        <v>43370.924282407403</v>
      </c>
      <c r="B654" s="11" t="str">
        <f>HYPERLINK("https://twitter.com/alidastranj1","@alidastranj1")</f>
        <v>@alidastranj1</v>
      </c>
      <c r="C654" s="6" t="s">
        <v>6357</v>
      </c>
      <c r="D654" s="5" t="s">
        <v>6356</v>
      </c>
      <c r="E654" s="9" t="str">
        <f>HYPERLINK("https://twitter.com/alidastranj1/status/1045382807281905673","1045382807281905673")</f>
        <v>1045382807281905673</v>
      </c>
      <c r="F654" s="4"/>
      <c r="G654" s="4"/>
      <c r="H654" s="4"/>
      <c r="I654" s="10" t="str">
        <f>HYPERLINK("http://twitter.com","Twitter Web Client")</f>
        <v>Twitter Web Client</v>
      </c>
      <c r="J654" s="2">
        <v>19</v>
      </c>
      <c r="K654" s="2">
        <v>76</v>
      </c>
      <c r="L654" s="2">
        <v>0</v>
      </c>
      <c r="M654" s="2"/>
      <c r="N654" s="8">
        <v>43369.674004629633</v>
      </c>
      <c r="O654" s="4" t="s">
        <v>200</v>
      </c>
      <c r="P654" s="3" t="s">
        <v>6355</v>
      </c>
      <c r="Q654" s="4"/>
      <c r="R654" s="4"/>
      <c r="S654" s="9" t="str">
        <f>HYPERLINK("https://pbs.twimg.com/profile_images/1045048222769647616/0bYiAp8d.jpg","View")</f>
        <v>View</v>
      </c>
    </row>
    <row r="655" spans="1:19" ht="20">
      <c r="A655" s="8">
        <v>43370.924050925925</v>
      </c>
      <c r="B655" s="11" t="str">
        <f>HYPERLINK("https://twitter.com/MohiSmd","@MohiSmd")</f>
        <v>@MohiSmd</v>
      </c>
      <c r="C655" s="6" t="s">
        <v>6354</v>
      </c>
      <c r="D655" s="5" t="s">
        <v>6353</v>
      </c>
      <c r="E655" s="9" t="str">
        <f>HYPERLINK("https://twitter.com/MohiSmd/status/1045382722871611398","1045382722871611398")</f>
        <v>1045382722871611398</v>
      </c>
      <c r="F655" s="4"/>
      <c r="G655" s="4"/>
      <c r="H655" s="4"/>
      <c r="I655" s="10" t="str">
        <f>HYPERLINK("http://twitter.com/download/iphone","Twitter for iPhone")</f>
        <v>Twitter for iPhone</v>
      </c>
      <c r="J655" s="2">
        <v>206</v>
      </c>
      <c r="K655" s="2">
        <v>783</v>
      </c>
      <c r="L655" s="2">
        <v>0</v>
      </c>
      <c r="M655" s="2"/>
      <c r="N655" s="8">
        <v>41765.599398148144</v>
      </c>
      <c r="O655" s="4"/>
      <c r="P655" s="3" t="s">
        <v>6352</v>
      </c>
      <c r="Q655" s="4"/>
      <c r="R655" s="4"/>
      <c r="S655" s="9" t="str">
        <f>HYPERLINK("https://pbs.twimg.com/profile_images/1005066482303324160/74Q_IxIr.jpg","View")</f>
        <v>View</v>
      </c>
    </row>
    <row r="656" spans="1:19" ht="30">
      <c r="A656" s="8">
        <v>43370.923807870371</v>
      </c>
      <c r="B656" s="11" t="str">
        <f>HYPERLINK("https://twitter.com/MehdiMirsepassi","@MehdiMirsepassi")</f>
        <v>@MehdiMirsepassi</v>
      </c>
      <c r="C656" s="6" t="s">
        <v>6351</v>
      </c>
      <c r="D656" s="5" t="s">
        <v>6350</v>
      </c>
      <c r="E656" s="9" t="str">
        <f>HYPERLINK("https://twitter.com/MehdiMirsepassi/status/1045382635420348417","1045382635420348417")</f>
        <v>1045382635420348417</v>
      </c>
      <c r="F656" s="4"/>
      <c r="G656" s="10" t="s">
        <v>6349</v>
      </c>
      <c r="H656" s="4"/>
      <c r="I656" s="10" t="str">
        <f>HYPERLINK("http://twitter.com/download/iphone","Twitter for iPhone")</f>
        <v>Twitter for iPhone</v>
      </c>
      <c r="J656" s="2">
        <v>29</v>
      </c>
      <c r="K656" s="2">
        <v>28</v>
      </c>
      <c r="L656" s="2">
        <v>0</v>
      </c>
      <c r="M656" s="2"/>
      <c r="N656" s="8">
        <v>42706.007557870369</v>
      </c>
      <c r="O656" s="4" t="s">
        <v>1075</v>
      </c>
      <c r="P656" s="3" t="s">
        <v>6348</v>
      </c>
      <c r="Q656" s="4"/>
      <c r="R656" s="4"/>
      <c r="S656" s="9" t="str">
        <f>HYPERLINK("https://pbs.twimg.com/profile_images/1044921175464456192/x9uaGVFP.jpg","View")</f>
        <v>View</v>
      </c>
    </row>
    <row r="657" spans="1:19" ht="12.5">
      <c r="A657" s="8">
        <v>43370.92324074074</v>
      </c>
      <c r="B657" s="11" t="str">
        <f>HYPERLINK("https://twitter.com/SiroosJR","@SiroosJR")</f>
        <v>@SiroosJR</v>
      </c>
      <c r="C657" s="6" t="s">
        <v>6347</v>
      </c>
      <c r="D657" s="5" t="s">
        <v>6346</v>
      </c>
      <c r="E657" s="9" t="str">
        <f>HYPERLINK("https://twitter.com/SiroosJR/status/1045382432713789440","1045382432713789440")</f>
        <v>1045382432713789440</v>
      </c>
      <c r="F657" s="4"/>
      <c r="G657" s="10" t="s">
        <v>6345</v>
      </c>
      <c r="H657" s="4"/>
      <c r="I657" s="10" t="str">
        <f>HYPERLINK("http://twitter.com/download/android","Twitter for Android")</f>
        <v>Twitter for Android</v>
      </c>
      <c r="J657" s="2">
        <v>133</v>
      </c>
      <c r="K657" s="2">
        <v>229</v>
      </c>
      <c r="L657" s="2">
        <v>1</v>
      </c>
      <c r="M657" s="2"/>
      <c r="N657" s="8">
        <v>42276.966064814813</v>
      </c>
      <c r="O657" s="4" t="s">
        <v>6344</v>
      </c>
      <c r="P657" s="3" t="s">
        <v>6343</v>
      </c>
      <c r="Q657" s="4"/>
      <c r="R657" s="4"/>
      <c r="S657" s="9" t="str">
        <f>HYPERLINK("https://pbs.twimg.com/profile_images/959458457396109312/tZv5mB2V.jpg","View")</f>
        <v>View</v>
      </c>
    </row>
    <row r="658" spans="1:19" ht="20">
      <c r="A658" s="8">
        <v>43370.922326388885</v>
      </c>
      <c r="B658" s="11" t="str">
        <f>HYPERLINK("https://twitter.com/_Danny___Boy_","@_Danny___Boy_")</f>
        <v>@_Danny___Boy_</v>
      </c>
      <c r="C658" s="6" t="s">
        <v>6342</v>
      </c>
      <c r="D658" s="5" t="s">
        <v>6341</v>
      </c>
      <c r="E658" s="9" t="str">
        <f>HYPERLINK("https://twitter.com/_Danny___Boy_/status/1045382098717208577","1045382098717208577")</f>
        <v>1045382098717208577</v>
      </c>
      <c r="F658" s="4"/>
      <c r="G658" s="4"/>
      <c r="H658" s="4"/>
      <c r="I658" s="10" t="str">
        <f>HYPERLINK("http://twitter.com/download/android","Twitter for Android")</f>
        <v>Twitter for Android</v>
      </c>
      <c r="J658" s="2">
        <v>9</v>
      </c>
      <c r="K658" s="2">
        <v>28</v>
      </c>
      <c r="L658" s="2">
        <v>0</v>
      </c>
      <c r="M658" s="2"/>
      <c r="N658" s="8">
        <v>40380.759502314817</v>
      </c>
      <c r="O658" s="4" t="s">
        <v>10</v>
      </c>
      <c r="P658" s="3"/>
      <c r="Q658" s="4"/>
      <c r="R658" s="4"/>
      <c r="S658" s="9" t="str">
        <f>HYPERLINK("https://pbs.twimg.com/profile_images/1039867810728562688/McfmINtu.jpg","View")</f>
        <v>View</v>
      </c>
    </row>
    <row r="659" spans="1:19" ht="20">
      <c r="A659" s="8">
        <v>43370.9222337963</v>
      </c>
      <c r="B659" s="11" t="str">
        <f>HYPERLINK("https://twitter.com/alirezamajidi66","@alirezamajidi66")</f>
        <v>@alirezamajidi66</v>
      </c>
      <c r="C659" s="6" t="s">
        <v>6340</v>
      </c>
      <c r="D659" s="5" t="s">
        <v>6339</v>
      </c>
      <c r="E659" s="9" t="str">
        <f>HYPERLINK("https://twitter.com/alirezamajidi66/status/1045382066228133888","1045382066228133888")</f>
        <v>1045382066228133888</v>
      </c>
      <c r="F659" s="4"/>
      <c r="G659" s="10" t="s">
        <v>6338</v>
      </c>
      <c r="H659" s="4"/>
      <c r="I659" s="10" t="str">
        <f>HYPERLINK("http://twitter.com","Twitter Web Client")</f>
        <v>Twitter Web Client</v>
      </c>
      <c r="J659" s="2">
        <v>632</v>
      </c>
      <c r="K659" s="2">
        <v>80</v>
      </c>
      <c r="L659" s="2">
        <v>6</v>
      </c>
      <c r="M659" s="2"/>
      <c r="N659" s="8">
        <v>43229.0778125</v>
      </c>
      <c r="O659" s="4" t="s">
        <v>10</v>
      </c>
      <c r="P659" s="3" t="s">
        <v>6337</v>
      </c>
      <c r="Q659" s="4"/>
      <c r="R659" s="4"/>
      <c r="S659" s="9" t="str">
        <f>HYPERLINK("https://pbs.twimg.com/profile_images/993965479424282624/TXUWmS_G.jpg","View")</f>
        <v>View</v>
      </c>
    </row>
    <row r="660" spans="1:19" ht="30">
      <c r="A660" s="8">
        <v>43370.922175925924</v>
      </c>
      <c r="B660" s="11" t="str">
        <f>HYPERLINK("https://twitter.com/khorshidy0861","@khorshidy0861")</f>
        <v>@khorshidy0861</v>
      </c>
      <c r="C660" s="6" t="s">
        <v>1466</v>
      </c>
      <c r="D660" s="5" t="s">
        <v>6336</v>
      </c>
      <c r="E660" s="9" t="str">
        <f>HYPERLINK("https://twitter.com/khorshidy0861/status/1045382047064346626","1045382047064346626")</f>
        <v>1045382047064346626</v>
      </c>
      <c r="F660" s="4"/>
      <c r="G660" s="4"/>
      <c r="H660" s="4"/>
      <c r="I660" s="10" t="str">
        <f>HYPERLINK("http://twitter.com/download/android","Twitter for Android")</f>
        <v>Twitter for Android</v>
      </c>
      <c r="J660" s="2">
        <v>1030</v>
      </c>
      <c r="K660" s="2">
        <v>1264</v>
      </c>
      <c r="L660" s="2">
        <v>0</v>
      </c>
      <c r="M660" s="2"/>
      <c r="N660" s="8">
        <v>43049.048449074078</v>
      </c>
      <c r="O660" s="4" t="s">
        <v>1463</v>
      </c>
      <c r="P660" s="3" t="s">
        <v>1462</v>
      </c>
      <c r="Q660" s="4"/>
      <c r="R660" s="4"/>
      <c r="S660" s="9" t="str">
        <f>HYPERLINK("https://pbs.twimg.com/profile_images/1026210417692102658/0csPysjI.jpg","View")</f>
        <v>View</v>
      </c>
    </row>
    <row r="661" spans="1:19" ht="30">
      <c r="A661" s="8">
        <v>43370.921979166669</v>
      </c>
      <c r="B661" s="11" t="str">
        <f>HYPERLINK("https://twitter.com/trtpersiancom","@trtpersiancom")</f>
        <v>@trtpersiancom</v>
      </c>
      <c r="C661" s="11" t="s">
        <v>6335</v>
      </c>
      <c r="D661" s="5" t="s">
        <v>6334</v>
      </c>
      <c r="E661" s="9" t="str">
        <f>HYPERLINK("https://twitter.com/trtpersiancom/status/1045381974435811328","1045381974435811328")</f>
        <v>1045381974435811328</v>
      </c>
      <c r="F661" s="10" t="s">
        <v>6333</v>
      </c>
      <c r="G661" s="4"/>
      <c r="H661" s="4"/>
      <c r="I661" s="10" t="str">
        <f>HYPERLINK("http://twitter.com","Twitter Web Client")</f>
        <v>Twitter Web Client</v>
      </c>
      <c r="J661" s="2">
        <v>11252</v>
      </c>
      <c r="K661" s="2">
        <v>24</v>
      </c>
      <c r="L661" s="2">
        <v>35</v>
      </c>
      <c r="M661" s="2"/>
      <c r="N661" s="8">
        <v>40759.756018518521</v>
      </c>
      <c r="O661" s="4" t="s">
        <v>6332</v>
      </c>
      <c r="P661" s="3" t="s">
        <v>6331</v>
      </c>
      <c r="Q661" s="10" t="s">
        <v>6330</v>
      </c>
      <c r="R661" s="4"/>
      <c r="S661" s="9" t="str">
        <f>HYPERLINK("https://pbs.twimg.com/profile_images/767693483855478784/KAluA1uF.jpg","View")</f>
        <v>View</v>
      </c>
    </row>
    <row r="662" spans="1:19" ht="20">
      <c r="A662" s="8">
        <v>43370.921840277777</v>
      </c>
      <c r="B662" s="11" t="str">
        <f>HYPERLINK("https://twitter.com/yaalii_110","@yaalii_110")</f>
        <v>@yaalii_110</v>
      </c>
      <c r="C662" s="6" t="s">
        <v>6329</v>
      </c>
      <c r="D662" s="5" t="s">
        <v>6328</v>
      </c>
      <c r="E662" s="9" t="str">
        <f>HYPERLINK("https://twitter.com/yaalii_110/status/1045381923726602242","1045381923726602242")</f>
        <v>1045381923726602242</v>
      </c>
      <c r="F662" s="4"/>
      <c r="G662" s="4"/>
      <c r="H662" s="4"/>
      <c r="I662" s="10" t="str">
        <f>HYPERLINK("http://twitter.com/download/android","Twitter for Android")</f>
        <v>Twitter for Android</v>
      </c>
      <c r="J662" s="2">
        <v>454</v>
      </c>
      <c r="K662" s="2">
        <v>291</v>
      </c>
      <c r="L662" s="2">
        <v>2</v>
      </c>
      <c r="M662" s="2"/>
      <c r="N662" s="8">
        <v>43246.990578703699</v>
      </c>
      <c r="O662" s="4"/>
      <c r="P662" s="3" t="s">
        <v>6327</v>
      </c>
      <c r="Q662" s="4"/>
      <c r="R662" s="4"/>
      <c r="S662" s="9" t="str">
        <f>HYPERLINK("https://pbs.twimg.com/profile_images/1038729664930488322/ngMjdS2I.jpg","View")</f>
        <v>View</v>
      </c>
    </row>
    <row r="663" spans="1:19" ht="12.5">
      <c r="A663" s="8">
        <v>43370.920659722222</v>
      </c>
      <c r="B663" s="11" t="str">
        <f>HYPERLINK("https://twitter.com/ABandeloo","@ABandeloo")</f>
        <v>@ABandeloo</v>
      </c>
      <c r="C663" s="6" t="s">
        <v>2213</v>
      </c>
      <c r="D663" s="5" t="s">
        <v>6326</v>
      </c>
      <c r="E663" s="9" t="str">
        <f>HYPERLINK("https://twitter.com/ABandeloo/status/1045381495563726850","1045381495563726850")</f>
        <v>1045381495563726850</v>
      </c>
      <c r="F663" s="4"/>
      <c r="G663" s="4"/>
      <c r="H663" s="4"/>
      <c r="I663" s="10" t="str">
        <f>HYPERLINK("http://twitter.com/download/iphone","Twitter for iPhone")</f>
        <v>Twitter for iPhone</v>
      </c>
      <c r="J663" s="2">
        <v>150</v>
      </c>
      <c r="K663" s="2">
        <v>89</v>
      </c>
      <c r="L663" s="2">
        <v>1</v>
      </c>
      <c r="M663" s="2"/>
      <c r="N663" s="8">
        <v>43313.125393518523</v>
      </c>
      <c r="O663" s="4" t="s">
        <v>2211</v>
      </c>
      <c r="P663" s="3" t="s">
        <v>2210</v>
      </c>
      <c r="Q663" s="4"/>
      <c r="R663" s="4"/>
      <c r="S663" s="9" t="str">
        <f>HYPERLINK("https://pbs.twimg.com/profile_images/1029551004998610944/AsB4SHD9.jpg","View")</f>
        <v>View</v>
      </c>
    </row>
    <row r="664" spans="1:19" ht="20">
      <c r="A664" s="8">
        <v>43370.92050925926</v>
      </c>
      <c r="B664" s="11" t="str">
        <f>HYPERLINK("https://twitter.com/mosbeba","@mosbeba")</f>
        <v>@mosbeba</v>
      </c>
      <c r="C664" s="6" t="s">
        <v>5135</v>
      </c>
      <c r="D664" s="5" t="s">
        <v>6325</v>
      </c>
      <c r="E664" s="9" t="str">
        <f>HYPERLINK("https://twitter.com/mosbeba/status/1045381440148578307","1045381440148578307")</f>
        <v>1045381440148578307</v>
      </c>
      <c r="F664" s="10" t="s">
        <v>6324</v>
      </c>
      <c r="G664" s="10" t="s">
        <v>6323</v>
      </c>
      <c r="H664" s="4"/>
      <c r="I664" s="10" t="str">
        <f>HYPERLINK("http://twitter.com/download/iphone","Twitter for iPhone")</f>
        <v>Twitter for iPhone</v>
      </c>
      <c r="J664" s="2">
        <v>311</v>
      </c>
      <c r="K664" s="2">
        <v>409</v>
      </c>
      <c r="L664" s="2">
        <v>0</v>
      </c>
      <c r="M664" s="2"/>
      <c r="N664" s="8">
        <v>40026.660115740742</v>
      </c>
      <c r="O664" s="4" t="s">
        <v>5133</v>
      </c>
      <c r="P664" s="3" t="s">
        <v>5132</v>
      </c>
      <c r="Q664" s="4"/>
      <c r="R664" s="4"/>
      <c r="S664" s="9" t="str">
        <f>HYPERLINK("https://pbs.twimg.com/profile_images/999732925980725249/Xnj5Jt7T.jpg","View")</f>
        <v>View</v>
      </c>
    </row>
    <row r="665" spans="1:19" ht="20">
      <c r="A665" s="8">
        <v>43370.920393518521</v>
      </c>
      <c r="B665" s="11" t="str">
        <f>HYPERLINK("https://twitter.com/Yazdan_moradii","@Yazdan_moradii")</f>
        <v>@Yazdan_moradii</v>
      </c>
      <c r="C665" s="6" t="s">
        <v>6322</v>
      </c>
      <c r="D665" s="5" t="s">
        <v>6321</v>
      </c>
      <c r="E665" s="9" t="str">
        <f>HYPERLINK("https://twitter.com/Yazdan_moradii/status/1045381398092222464","1045381398092222464")</f>
        <v>1045381398092222464</v>
      </c>
      <c r="F665" s="4"/>
      <c r="G665" s="10" t="s">
        <v>6320</v>
      </c>
      <c r="H665" s="4"/>
      <c r="I665" s="10" t="str">
        <f>HYPERLINK("http://twitter.com/download/android","Twitter for Android")</f>
        <v>Twitter for Android</v>
      </c>
      <c r="J665" s="2">
        <v>2216</v>
      </c>
      <c r="K665" s="2">
        <v>496</v>
      </c>
      <c r="L665" s="2">
        <v>17</v>
      </c>
      <c r="M665" s="2"/>
      <c r="N665" s="8">
        <v>41565.881099537037</v>
      </c>
      <c r="O665" s="4"/>
      <c r="P665" s="3" t="s">
        <v>6319</v>
      </c>
      <c r="Q665" s="4"/>
      <c r="R665" s="4"/>
      <c r="S665" s="9" t="str">
        <f>HYPERLINK("https://pbs.twimg.com/profile_images/872472007635591168/jPYsr3dL.jpg","View")</f>
        <v>View</v>
      </c>
    </row>
    <row r="666" spans="1:19" ht="12.5">
      <c r="A666" s="8">
        <v>43370.920266203699</v>
      </c>
      <c r="B666" s="11" t="str">
        <f>HYPERLINK("https://twitter.com/saeedahmadi86","@saeedahmadi86")</f>
        <v>@saeedahmadi86</v>
      </c>
      <c r="C666" s="6" t="s">
        <v>2330</v>
      </c>
      <c r="D666" s="5" t="s">
        <v>6318</v>
      </c>
      <c r="E666" s="9" t="str">
        <f>HYPERLINK("https://twitter.com/saeedahmadi86/status/1045381354849017856","1045381354849017856")</f>
        <v>1045381354849017856</v>
      </c>
      <c r="F666" s="4"/>
      <c r="G666" s="4"/>
      <c r="H666" s="4"/>
      <c r="I666" s="10" t="str">
        <f>HYPERLINK("http://twitter.com/download/android","Twitter for Android")</f>
        <v>Twitter for Android</v>
      </c>
      <c r="J666" s="2">
        <v>107</v>
      </c>
      <c r="K666" s="2">
        <v>253</v>
      </c>
      <c r="L666" s="2">
        <v>0</v>
      </c>
      <c r="M666" s="2"/>
      <c r="N666" s="8">
        <v>41853.834120370375</v>
      </c>
      <c r="O666" s="4" t="s">
        <v>200</v>
      </c>
      <c r="P666" s="3" t="s">
        <v>2327</v>
      </c>
      <c r="Q666" s="4"/>
      <c r="R666" s="4"/>
      <c r="S666" s="9" t="str">
        <f>HYPERLINK("https://pbs.twimg.com/profile_images/1020702698201583618/j29ndKSD.jpg","View")</f>
        <v>View</v>
      </c>
    </row>
    <row r="667" spans="1:19" ht="20">
      <c r="A667" s="8">
        <v>43370.920046296298</v>
      </c>
      <c r="B667" s="11" t="str">
        <f>HYPERLINK("https://twitter.com/ShivaAmiri6","@ShivaAmiri6")</f>
        <v>@ShivaAmiri6</v>
      </c>
      <c r="C667" s="6" t="s">
        <v>6317</v>
      </c>
      <c r="D667" s="5" t="s">
        <v>6316</v>
      </c>
      <c r="E667" s="9" t="str">
        <f>HYPERLINK("https://twitter.com/ShivaAmiri6/status/1045381273374642176","1045381273374642176")</f>
        <v>1045381273374642176</v>
      </c>
      <c r="F667" s="4"/>
      <c r="G667" s="10" t="s">
        <v>6315</v>
      </c>
      <c r="H667" s="4"/>
      <c r="I667" s="10" t="str">
        <f>HYPERLINK("http://twitter.com/download/android","Twitter for Android")</f>
        <v>Twitter for Android</v>
      </c>
      <c r="J667" s="2">
        <v>1452</v>
      </c>
      <c r="K667" s="2">
        <v>1345</v>
      </c>
      <c r="L667" s="2">
        <v>4</v>
      </c>
      <c r="M667" s="2"/>
      <c r="N667" s="8">
        <v>43149.696747685186</v>
      </c>
      <c r="O667" s="4" t="s">
        <v>4996</v>
      </c>
      <c r="P667" s="3" t="s">
        <v>6314</v>
      </c>
      <c r="Q667" s="4"/>
      <c r="R667" s="4"/>
      <c r="S667" s="9" t="str">
        <f>HYPERLINK("https://pbs.twimg.com/profile_images/1031937043604103168/x5IzNMaE.jpg","View")</f>
        <v>View</v>
      </c>
    </row>
    <row r="668" spans="1:19" ht="12.5">
      <c r="A668" s="8">
        <v>43370.919988425929</v>
      </c>
      <c r="B668" s="11" t="str">
        <f>HYPERLINK("https://twitter.com/Sejil62","@Sejil62")</f>
        <v>@Sejil62</v>
      </c>
      <c r="C668" s="6" t="s">
        <v>6313</v>
      </c>
      <c r="D668" s="5" t="s">
        <v>6312</v>
      </c>
      <c r="E668" s="9" t="str">
        <f>HYPERLINK("https://twitter.com/Sejil62/status/1045381250540863488","1045381250540863488")</f>
        <v>1045381250540863488</v>
      </c>
      <c r="F668" s="4"/>
      <c r="G668" s="4"/>
      <c r="H668" s="4"/>
      <c r="I668" s="10" t="str">
        <f>HYPERLINK("http://twitter.com/download/android","Twitter for Android")</f>
        <v>Twitter for Android</v>
      </c>
      <c r="J668" s="2">
        <v>977</v>
      </c>
      <c r="K668" s="2">
        <v>1285</v>
      </c>
      <c r="L668" s="2">
        <v>2</v>
      </c>
      <c r="M668" s="2"/>
      <c r="N668" s="8">
        <v>42918.013749999998</v>
      </c>
      <c r="O668" s="4" t="s">
        <v>200</v>
      </c>
      <c r="P668" s="3" t="s">
        <v>6311</v>
      </c>
      <c r="Q668" s="4"/>
      <c r="R668" s="4"/>
      <c r="S668" s="9" t="str">
        <f>HYPERLINK("https://pbs.twimg.com/profile_images/882162192191283200/rL-Sfxli.jpg","View")</f>
        <v>View</v>
      </c>
    </row>
    <row r="669" spans="1:19" ht="12.5">
      <c r="A669" s="8">
        <v>43370.918611111112</v>
      </c>
      <c r="B669" s="11" t="str">
        <f>HYPERLINK("https://twitter.com/omiidG2","@omiidG2")</f>
        <v>@omiidG2</v>
      </c>
      <c r="C669" s="6" t="s">
        <v>2341</v>
      </c>
      <c r="D669" s="5" t="s">
        <v>6310</v>
      </c>
      <c r="E669" s="9" t="str">
        <f>HYPERLINK("https://twitter.com/omiidG2/status/1045380752614010882","1045380752614010882")</f>
        <v>1045380752614010882</v>
      </c>
      <c r="F669" s="4"/>
      <c r="G669" s="4"/>
      <c r="H669" s="4"/>
      <c r="I669" s="10" t="str">
        <f>HYPERLINK("https://mobile.twitter.com","Mobile Web (M2)")</f>
        <v>Mobile Web (M2)</v>
      </c>
      <c r="J669" s="2">
        <v>35</v>
      </c>
      <c r="K669" s="2">
        <v>228</v>
      </c>
      <c r="L669" s="2">
        <v>0</v>
      </c>
      <c r="M669" s="2"/>
      <c r="N669" s="8">
        <v>42500.104479166665</v>
      </c>
      <c r="O669" s="4" t="s">
        <v>10</v>
      </c>
      <c r="P669" s="3"/>
      <c r="Q669" s="4"/>
      <c r="R669" s="4"/>
      <c r="S669" s="9" t="str">
        <f>HYPERLINK("https://pbs.twimg.com/profile_images/733262386434560001/-CF5uVGo.jpg","View")</f>
        <v>View</v>
      </c>
    </row>
    <row r="670" spans="1:19" ht="20">
      <c r="A670" s="8">
        <v>43370.918506944443</v>
      </c>
      <c r="B670" s="11" t="str">
        <f>HYPERLINK("https://twitter.com/Paradox88646151","@Paradox88646151")</f>
        <v>@Paradox88646151</v>
      </c>
      <c r="C670" s="6" t="s">
        <v>6309</v>
      </c>
      <c r="D670" s="5" t="s">
        <v>6308</v>
      </c>
      <c r="E670" s="9" t="str">
        <f>HYPERLINK("https://twitter.com/Paradox88646151/status/1045380715242815488","1045380715242815488")</f>
        <v>1045380715242815488</v>
      </c>
      <c r="F670" s="4"/>
      <c r="G670" s="4"/>
      <c r="H670" s="4"/>
      <c r="I670" s="10" t="str">
        <f>HYPERLINK("http://twitter.com/download/iphone","Twitter for iPhone")</f>
        <v>Twitter for iPhone</v>
      </c>
      <c r="J670" s="2">
        <v>2159</v>
      </c>
      <c r="K670" s="2">
        <v>1958</v>
      </c>
      <c r="L670" s="2">
        <v>1</v>
      </c>
      <c r="M670" s="2"/>
      <c r="N670" s="8">
        <v>43286.005497685182</v>
      </c>
      <c r="O670" s="4" t="s">
        <v>6307</v>
      </c>
      <c r="P670" s="3" t="s">
        <v>6306</v>
      </c>
      <c r="Q670" s="10" t="s">
        <v>6305</v>
      </c>
      <c r="R670" s="4"/>
      <c r="S670" s="9" t="str">
        <f>HYPERLINK("https://pbs.twimg.com/profile_images/1035261076110274562/VklVPs6U.jpg","View")</f>
        <v>View</v>
      </c>
    </row>
    <row r="671" spans="1:19" ht="20">
      <c r="A671" s="8">
        <v>43370.918344907404</v>
      </c>
      <c r="B671" s="11" t="str">
        <f>HYPERLINK("https://twitter.com/taavno","@taavno")</f>
        <v>@taavno</v>
      </c>
      <c r="C671" s="6" t="s">
        <v>1240</v>
      </c>
      <c r="D671" s="5" t="s">
        <v>6304</v>
      </c>
      <c r="E671" s="9" t="str">
        <f>HYPERLINK("https://twitter.com/taavno/status/1045380657814401024","1045380657814401024")</f>
        <v>1045380657814401024</v>
      </c>
      <c r="F671" s="4"/>
      <c r="G671" s="4"/>
      <c r="H671" s="4"/>
      <c r="I671" s="10" t="str">
        <f>HYPERLINK("http://twitter.com","Twitter Web Client")</f>
        <v>Twitter Web Client</v>
      </c>
      <c r="J671" s="2">
        <v>471</v>
      </c>
      <c r="K671" s="2">
        <v>74</v>
      </c>
      <c r="L671" s="2">
        <v>1</v>
      </c>
      <c r="M671" s="2"/>
      <c r="N671" s="8">
        <v>42484.683912037042</v>
      </c>
      <c r="O671" s="4" t="s">
        <v>10</v>
      </c>
      <c r="P671" s="3" t="s">
        <v>6303</v>
      </c>
      <c r="Q671" s="4"/>
      <c r="R671" s="4"/>
      <c r="S671" s="9" t="str">
        <f>HYPERLINK("https://pbs.twimg.com/profile_images/1017848000071323649/ke7FPjwE.jpg","View")</f>
        <v>View</v>
      </c>
    </row>
    <row r="672" spans="1:19" ht="30">
      <c r="A672" s="8">
        <v>43370.917442129634</v>
      </c>
      <c r="B672" s="11" t="str">
        <f>HYPERLINK("https://twitter.com/MokhavatSara","@MokhavatSara")</f>
        <v>@MokhavatSara</v>
      </c>
      <c r="C672" s="6" t="s">
        <v>6270</v>
      </c>
      <c r="D672" s="5" t="s">
        <v>6302</v>
      </c>
      <c r="E672" s="9" t="str">
        <f>HYPERLINK("https://twitter.com/MokhavatSara/status/1045380329513635845","1045380329513635845")</f>
        <v>1045380329513635845</v>
      </c>
      <c r="F672" s="4"/>
      <c r="G672" s="4"/>
      <c r="H672" s="4"/>
      <c r="I672" s="10" t="str">
        <f>HYPERLINK("http://twitter.com/download/iphone","Twitter for iPhone")</f>
        <v>Twitter for iPhone</v>
      </c>
      <c r="J672" s="2">
        <v>228</v>
      </c>
      <c r="K672" s="2">
        <v>43</v>
      </c>
      <c r="L672" s="2">
        <v>2</v>
      </c>
      <c r="M672" s="2"/>
      <c r="N672" s="8">
        <v>42810.844907407409</v>
      </c>
      <c r="O672" s="4" t="s">
        <v>311</v>
      </c>
      <c r="P672" s="3" t="s">
        <v>6268</v>
      </c>
      <c r="Q672" s="4"/>
      <c r="R672" s="4"/>
      <c r="S672" s="9" t="str">
        <f>HYPERLINK("https://pbs.twimg.com/profile_images/1042800762974347267/VtgHCZuH.jpg","View")</f>
        <v>View</v>
      </c>
    </row>
    <row r="673" spans="1:19" ht="30">
      <c r="A673" s="8">
        <v>43370.916689814811</v>
      </c>
      <c r="B673" s="11" t="str">
        <f>HYPERLINK("https://twitter.com/yahya1267","@yahya1267")</f>
        <v>@yahya1267</v>
      </c>
      <c r="C673" s="6" t="s">
        <v>6301</v>
      </c>
      <c r="D673" s="5" t="s">
        <v>6300</v>
      </c>
      <c r="E673" s="9" t="str">
        <f>HYPERLINK("https://twitter.com/yahya1267/status/1045380055847727106","1045380055847727106")</f>
        <v>1045380055847727106</v>
      </c>
      <c r="F673" s="4"/>
      <c r="G673" s="4"/>
      <c r="H673" s="4"/>
      <c r="I673" s="10" t="str">
        <f>HYPERLINK("https://mobile.twitter.com","Twitter Lite")</f>
        <v>Twitter Lite</v>
      </c>
      <c r="J673" s="2">
        <v>642</v>
      </c>
      <c r="K673" s="2">
        <v>724</v>
      </c>
      <c r="L673" s="2">
        <v>0</v>
      </c>
      <c r="M673" s="2"/>
      <c r="N673" s="8">
        <v>42669.36855324074</v>
      </c>
      <c r="O673" s="4" t="s">
        <v>200</v>
      </c>
      <c r="P673" s="3" t="s">
        <v>6299</v>
      </c>
      <c r="Q673" s="4"/>
      <c r="R673" s="4"/>
      <c r="S673" s="9" t="str">
        <f>HYPERLINK("https://pbs.twimg.com/profile_images/1017755319227871232/3dHrxfrN.jpg","View")</f>
        <v>View</v>
      </c>
    </row>
    <row r="674" spans="1:19" ht="20">
      <c r="A674" s="8">
        <v>43370.916446759264</v>
      </c>
      <c r="B674" s="11" t="str">
        <f>HYPERLINK("https://twitter.com/the__mirza","@the__mirza")</f>
        <v>@the__mirza</v>
      </c>
      <c r="C674" s="6" t="s">
        <v>6298</v>
      </c>
      <c r="D674" s="5" t="s">
        <v>6297</v>
      </c>
      <c r="E674" s="9" t="str">
        <f>HYPERLINK("https://twitter.com/the__mirza/status/1045379970284032001","1045379970284032001")</f>
        <v>1045379970284032001</v>
      </c>
      <c r="F674" s="4"/>
      <c r="G674" s="4"/>
      <c r="H674" s="4"/>
      <c r="I674" s="10" t="str">
        <f>HYPERLINK("http://twitter.com/download/iphone","Twitter for iPhone")</f>
        <v>Twitter for iPhone</v>
      </c>
      <c r="J674" s="2">
        <v>3228</v>
      </c>
      <c r="K674" s="2">
        <v>1006</v>
      </c>
      <c r="L674" s="2">
        <v>5</v>
      </c>
      <c r="M674" s="2"/>
      <c r="N674" s="8">
        <v>42931.954965277779</v>
      </c>
      <c r="O674" s="4" t="s">
        <v>6296</v>
      </c>
      <c r="P674" s="3"/>
      <c r="Q674" s="4"/>
      <c r="R674" s="4"/>
      <c r="S674" s="9" t="str">
        <f>HYPERLINK("https://pbs.twimg.com/profile_images/975439591766446080/qXhUatKh.jpg","View")</f>
        <v>View</v>
      </c>
    </row>
    <row r="675" spans="1:19" ht="20">
      <c r="A675" s="8">
        <v>43370.916099537033</v>
      </c>
      <c r="B675" s="11" t="str">
        <f>HYPERLINK("https://twitter.com/Rohoolah_Zam","@Rohoolah_Zam")</f>
        <v>@Rohoolah_Zam</v>
      </c>
      <c r="C675" s="6" t="s">
        <v>6295</v>
      </c>
      <c r="D675" s="5" t="s">
        <v>6294</v>
      </c>
      <c r="E675" s="9" t="str">
        <f>HYPERLINK("https://twitter.com/Rohoolah_Zam/status/1045379841921560582","1045379841921560582")</f>
        <v>1045379841921560582</v>
      </c>
      <c r="F675" s="4"/>
      <c r="G675" s="4"/>
      <c r="H675" s="4"/>
      <c r="I675" s="10" t="str">
        <f>HYPERLINK("http://twitter.com/download/android","Twitter for Android")</f>
        <v>Twitter for Android</v>
      </c>
      <c r="J675" s="2">
        <v>72</v>
      </c>
      <c r="K675" s="2">
        <v>33</v>
      </c>
      <c r="L675" s="2">
        <v>0</v>
      </c>
      <c r="M675" s="2"/>
      <c r="N675" s="8">
        <v>43332.135138888887</v>
      </c>
      <c r="O675" s="4" t="s">
        <v>6293</v>
      </c>
      <c r="P675" s="3" t="s">
        <v>6292</v>
      </c>
      <c r="Q675" s="10" t="s">
        <v>6291</v>
      </c>
      <c r="R675" s="4"/>
      <c r="S675" s="9" t="str">
        <f>HYPERLINK("https://pbs.twimg.com/profile_images/1031672579759726595/6qlzY6gT.jpg","View")</f>
        <v>View</v>
      </c>
    </row>
    <row r="676" spans="1:19" ht="30">
      <c r="A676" s="8">
        <v>43370.916099537033</v>
      </c>
      <c r="B676" s="11" t="str">
        <f>HYPERLINK("https://twitter.com/yaa_zahra_213","@yaa_zahra_213")</f>
        <v>@yaa_zahra_213</v>
      </c>
      <c r="C676" s="6" t="s">
        <v>6290</v>
      </c>
      <c r="D676" s="5" t="s">
        <v>6289</v>
      </c>
      <c r="E676" s="9" t="str">
        <f>HYPERLINK("https://twitter.com/yaa_zahra_213/status/1045379841837682688","1045379841837682688")</f>
        <v>1045379841837682688</v>
      </c>
      <c r="F676" s="4"/>
      <c r="G676" s="10" t="s">
        <v>6288</v>
      </c>
      <c r="H676" s="4"/>
      <c r="I676" s="10" t="str">
        <f>HYPERLINK("http://twitter.com/download/android","Twitter for Android")</f>
        <v>Twitter for Android</v>
      </c>
      <c r="J676" s="2">
        <v>207</v>
      </c>
      <c r="K676" s="2">
        <v>260</v>
      </c>
      <c r="L676" s="2">
        <v>0</v>
      </c>
      <c r="M676" s="2"/>
      <c r="N676" s="8">
        <v>43328.360590277778</v>
      </c>
      <c r="O676" s="4" t="s">
        <v>6287</v>
      </c>
      <c r="P676" s="3" t="s">
        <v>6286</v>
      </c>
      <c r="Q676" s="4"/>
      <c r="R676" s="4"/>
      <c r="S676" s="9" t="str">
        <f>HYPERLINK("https://pbs.twimg.com/profile_images/1043928012239097859/-CBBF1CF.jpg","View")</f>
        <v>View</v>
      </c>
    </row>
    <row r="677" spans="1:19" ht="20">
      <c r="A677" s="8">
        <v>43370.915451388893</v>
      </c>
      <c r="B677" s="11" t="str">
        <f>HYPERLINK("https://twitter.com/Afrodite___228","@Afrodite___228")</f>
        <v>@Afrodite___228</v>
      </c>
      <c r="C677" s="6" t="s">
        <v>6285</v>
      </c>
      <c r="D677" s="5" t="s">
        <v>6284</v>
      </c>
      <c r="E677" s="9" t="str">
        <f>HYPERLINK("https://twitter.com/Afrodite___228/status/1045379606742732800","1045379606742732800")</f>
        <v>1045379606742732800</v>
      </c>
      <c r="F677" s="4"/>
      <c r="G677" s="4"/>
      <c r="H677" s="4"/>
      <c r="I677" s="10" t="str">
        <f>HYPERLINK("http://twitter.com/download/android","Twitter for Android")</f>
        <v>Twitter for Android</v>
      </c>
      <c r="J677" s="2">
        <v>77</v>
      </c>
      <c r="K677" s="2">
        <v>581</v>
      </c>
      <c r="L677" s="2">
        <v>0</v>
      </c>
      <c r="M677" s="2"/>
      <c r="N677" s="8">
        <v>43347.800370370373</v>
      </c>
      <c r="O677" s="4"/>
      <c r="P677" s="3" t="s">
        <v>6283</v>
      </c>
      <c r="Q677" s="4"/>
      <c r="R677" s="4"/>
      <c r="S677" s="9" t="str">
        <f>HYPERLINK("https://pbs.twimg.com/profile_images/1043634959825670145/s6uEEBI4.jpg","View")</f>
        <v>View</v>
      </c>
    </row>
    <row r="678" spans="1:19" ht="12.5">
      <c r="A678" s="8">
        <v>43370.91542824074</v>
      </c>
      <c r="B678" s="11" t="str">
        <f>HYPERLINK("https://twitter.com/haghjoo_dariush","@haghjoo_dariush")</f>
        <v>@haghjoo_dariush</v>
      </c>
      <c r="C678" s="6" t="s">
        <v>5332</v>
      </c>
      <c r="D678" s="5" t="s">
        <v>6282</v>
      </c>
      <c r="E678" s="9" t="str">
        <f>HYPERLINK("https://twitter.com/haghjoo_dariush/status/1045379599310282752","1045379599310282752")</f>
        <v>1045379599310282752</v>
      </c>
      <c r="F678" s="4"/>
      <c r="G678" s="4"/>
      <c r="H678" s="4"/>
      <c r="I678" s="10" t="str">
        <f>HYPERLINK("http://twitter.com","Twitter Web Client")</f>
        <v>Twitter Web Client</v>
      </c>
      <c r="J678" s="2">
        <v>130</v>
      </c>
      <c r="K678" s="2">
        <v>131</v>
      </c>
      <c r="L678" s="2">
        <v>0</v>
      </c>
      <c r="M678" s="2"/>
      <c r="N678" s="8">
        <v>41336.463807870372</v>
      </c>
      <c r="O678" s="4"/>
      <c r="P678" s="3"/>
      <c r="Q678" s="4"/>
      <c r="R678" s="4"/>
      <c r="S678" s="9" t="str">
        <f>HYPERLINK("https://pbs.twimg.com/profile_images/476381057265057792/_xHPCFXZ.jpeg","View")</f>
        <v>View</v>
      </c>
    </row>
    <row r="679" spans="1:19" ht="20">
      <c r="A679" s="8">
        <v>43370.914618055554</v>
      </c>
      <c r="B679" s="11" t="str">
        <f>HYPERLINK("https://twitter.com/Sed_khorsandian","@Sed_khorsandian")</f>
        <v>@Sed_khorsandian</v>
      </c>
      <c r="C679" s="6" t="s">
        <v>6281</v>
      </c>
      <c r="D679" s="5" t="s">
        <v>6280</v>
      </c>
      <c r="E679" s="9" t="str">
        <f>HYPERLINK("https://twitter.com/Sed_khorsandian/status/1045379307491725313","1045379307491725313")</f>
        <v>1045379307491725313</v>
      </c>
      <c r="F679" s="4"/>
      <c r="G679" s="4"/>
      <c r="H679" s="4"/>
      <c r="I679" s="10" t="str">
        <f>HYPERLINK("http://twitter.com/download/android","Twitter for Android")</f>
        <v>Twitter for Android</v>
      </c>
      <c r="J679" s="2">
        <v>1479</v>
      </c>
      <c r="K679" s="2">
        <v>1837</v>
      </c>
      <c r="L679" s="2">
        <v>4</v>
      </c>
      <c r="M679" s="2"/>
      <c r="N679" s="8">
        <v>42894.050740740742</v>
      </c>
      <c r="O679" s="4" t="s">
        <v>6279</v>
      </c>
      <c r="P679" s="3" t="s">
        <v>6278</v>
      </c>
      <c r="Q679" s="4"/>
      <c r="R679" s="4"/>
      <c r="S679" s="9" t="str">
        <f>HYPERLINK("https://pbs.twimg.com/profile_images/1034323967308427264/x89Tubea.jpg","View")</f>
        <v>View</v>
      </c>
    </row>
    <row r="680" spans="1:19" ht="12.5">
      <c r="A680" s="8">
        <v>43370.914606481485</v>
      </c>
      <c r="B680" s="11" t="str">
        <f>HYPERLINK("https://twitter.com/Spmosavi","@Spmosavi")</f>
        <v>@Spmosavi</v>
      </c>
      <c r="C680" s="6" t="s">
        <v>6277</v>
      </c>
      <c r="D680" s="5" t="s">
        <v>6276</v>
      </c>
      <c r="E680" s="9" t="str">
        <f>HYPERLINK("https://twitter.com/Spmosavi/status/1045379300071886848","1045379300071886848")</f>
        <v>1045379300071886848</v>
      </c>
      <c r="F680" s="4"/>
      <c r="G680" s="4"/>
      <c r="H680" s="4"/>
      <c r="I680" s="10" t="str">
        <f>HYPERLINK("https://mobile.twitter.com","Twitter Lite")</f>
        <v>Twitter Lite</v>
      </c>
      <c r="J680" s="2">
        <v>203</v>
      </c>
      <c r="K680" s="2">
        <v>551</v>
      </c>
      <c r="L680" s="2">
        <v>2</v>
      </c>
      <c r="M680" s="2"/>
      <c r="N680" s="8">
        <v>43280.791678240741</v>
      </c>
      <c r="O680" s="4"/>
      <c r="P680" s="3"/>
      <c r="Q680" s="4"/>
      <c r="R680" s="4"/>
      <c r="S680" s="9" t="str">
        <f>HYPERLINK("https://pbs.twimg.com/profile_images/1040840789172137984/gkFjbB88.jpg","View")</f>
        <v>View</v>
      </c>
    </row>
    <row r="681" spans="1:19" ht="12.5">
      <c r="A681" s="8">
        <v>43370.914490740739</v>
      </c>
      <c r="B681" s="11" t="str">
        <f>HYPERLINK("https://twitter.com/alexandernayab","@alexandernayab")</f>
        <v>@alexandernayab</v>
      </c>
      <c r="C681" s="6" t="s">
        <v>6275</v>
      </c>
      <c r="D681" s="5" t="s">
        <v>6274</v>
      </c>
      <c r="E681" s="9" t="str">
        <f>HYPERLINK("https://twitter.com/alexandernayab/status/1045379260783849473","1045379260783849473")</f>
        <v>1045379260783849473</v>
      </c>
      <c r="F681" s="4"/>
      <c r="G681" s="4"/>
      <c r="H681" s="4"/>
      <c r="I681" s="10" t="str">
        <f>HYPERLINK("http://twitter.com","Twitter Web Client")</f>
        <v>Twitter Web Client</v>
      </c>
      <c r="J681" s="2">
        <v>3</v>
      </c>
      <c r="K681" s="2">
        <v>38</v>
      </c>
      <c r="L681" s="2">
        <v>0</v>
      </c>
      <c r="M681" s="2"/>
      <c r="N681" s="8">
        <v>43213.671828703707</v>
      </c>
      <c r="O681" s="4"/>
      <c r="P681" s="3" t="s">
        <v>6273</v>
      </c>
      <c r="Q681" s="4"/>
      <c r="R681" s="4"/>
      <c r="S681" s="9" t="str">
        <f>HYPERLINK("https://pbs.twimg.com/profile_images/1044321177613799424/JAJ6d52g.jpg","View")</f>
        <v>View</v>
      </c>
    </row>
    <row r="682" spans="1:19" ht="20">
      <c r="A682" s="8">
        <v>43370.914247685185</v>
      </c>
      <c r="B682" s="11" t="str">
        <f>HYPERLINK("https://twitter.com/Bar00nNamNam","@Bar00nNamNam")</f>
        <v>@Bar00nNamNam</v>
      </c>
      <c r="C682" s="6" t="s">
        <v>3217</v>
      </c>
      <c r="D682" s="5" t="s">
        <v>6272</v>
      </c>
      <c r="E682" s="9" t="str">
        <f>HYPERLINK("https://twitter.com/Bar00nNamNam/status/1045379170052788224","1045379170052788224")</f>
        <v>1045379170052788224</v>
      </c>
      <c r="F682" s="4"/>
      <c r="G682" s="10" t="s">
        <v>6271</v>
      </c>
      <c r="H682" s="4"/>
      <c r="I682" s="10" t="str">
        <f>HYPERLINK("http://twitter.com/download/iphone","Twitter for iPhone")</f>
        <v>Twitter for iPhone</v>
      </c>
      <c r="J682" s="2">
        <v>32</v>
      </c>
      <c r="K682" s="2">
        <v>55</v>
      </c>
      <c r="L682" s="2">
        <v>0</v>
      </c>
      <c r="M682" s="2"/>
      <c r="N682" s="8">
        <v>43277.977141203708</v>
      </c>
      <c r="O682" s="4"/>
      <c r="P682" s="3" t="s">
        <v>3215</v>
      </c>
      <c r="Q682" s="4"/>
      <c r="R682" s="4"/>
      <c r="S682" s="9" t="str">
        <f>HYPERLINK("https://pbs.twimg.com/profile_images/1044899748677910534/HqN3P5Ea.jpg","View")</f>
        <v>View</v>
      </c>
    </row>
    <row r="683" spans="1:19" ht="20">
      <c r="A683" s="8">
        <v>43370.914016203707</v>
      </c>
      <c r="B683" s="11" t="str">
        <f>HYPERLINK("https://twitter.com/MokhavatSara","@MokhavatSara")</f>
        <v>@MokhavatSara</v>
      </c>
      <c r="C683" s="6" t="s">
        <v>6270</v>
      </c>
      <c r="D683" s="5" t="s">
        <v>6269</v>
      </c>
      <c r="E683" s="9" t="str">
        <f>HYPERLINK("https://twitter.com/MokhavatSara/status/1045379088553267200","1045379088553267200")</f>
        <v>1045379088553267200</v>
      </c>
      <c r="F683" s="4"/>
      <c r="G683" s="4"/>
      <c r="H683" s="4"/>
      <c r="I683" s="10" t="str">
        <f>HYPERLINK("http://twitter.com/download/iphone","Twitter for iPhone")</f>
        <v>Twitter for iPhone</v>
      </c>
      <c r="J683" s="2">
        <v>228</v>
      </c>
      <c r="K683" s="2">
        <v>43</v>
      </c>
      <c r="L683" s="2">
        <v>2</v>
      </c>
      <c r="M683" s="2"/>
      <c r="N683" s="8">
        <v>42810.844907407409</v>
      </c>
      <c r="O683" s="4" t="s">
        <v>311</v>
      </c>
      <c r="P683" s="3" t="s">
        <v>6268</v>
      </c>
      <c r="Q683" s="4"/>
      <c r="R683" s="4"/>
      <c r="S683" s="9" t="str">
        <f>HYPERLINK("https://pbs.twimg.com/profile_images/1042800762974347267/VtgHCZuH.jpg","View")</f>
        <v>View</v>
      </c>
    </row>
    <row r="684" spans="1:19" ht="40">
      <c r="A684" s="8">
        <v>43370.913900462961</v>
      </c>
      <c r="B684" s="11" t="str">
        <f>HYPERLINK("https://twitter.com/masihkhaleghver","@masihkhaleghver")</f>
        <v>@masihkhaleghver</v>
      </c>
      <c r="C684" s="6" t="s">
        <v>6267</v>
      </c>
      <c r="D684" s="5" t="s">
        <v>6266</v>
      </c>
      <c r="E684" s="9" t="str">
        <f>HYPERLINK("https://twitter.com/masihkhaleghver/status/1045379044978708483","1045379044978708483")</f>
        <v>1045379044978708483</v>
      </c>
      <c r="F684" s="4"/>
      <c r="G684" s="10" t="s">
        <v>6265</v>
      </c>
      <c r="H684" s="4"/>
      <c r="I684" s="10" t="str">
        <f>HYPERLINK("http://twitter.com/download/iphone","Twitter for iPhone")</f>
        <v>Twitter for iPhone</v>
      </c>
      <c r="J684" s="2">
        <v>29</v>
      </c>
      <c r="K684" s="2">
        <v>90</v>
      </c>
      <c r="L684" s="2">
        <v>0</v>
      </c>
      <c r="M684" s="2"/>
      <c r="N684" s="8">
        <v>42474.483159722222</v>
      </c>
      <c r="O684" s="4" t="s">
        <v>6264</v>
      </c>
      <c r="P684" s="3" t="s">
        <v>6263</v>
      </c>
      <c r="Q684" s="4"/>
      <c r="R684" s="4"/>
      <c r="S684" s="9" t="str">
        <f>HYPERLINK("https://pbs.twimg.com/profile_images/757667996664000512/JGu3tHq7.jpg","View")</f>
        <v>View</v>
      </c>
    </row>
    <row r="685" spans="1:19" ht="20">
      <c r="A685" s="8">
        <v>43370.913877314815</v>
      </c>
      <c r="B685" s="11" t="str">
        <f>HYPERLINK("https://twitter.com/mohamadrezasar1","@mohamadrezasar1")</f>
        <v>@mohamadrezasar1</v>
      </c>
      <c r="C685" s="6" t="s">
        <v>6262</v>
      </c>
      <c r="D685" s="5" t="s">
        <v>6261</v>
      </c>
      <c r="E685" s="9" t="str">
        <f>HYPERLINK("https://twitter.com/mohamadrezasar1/status/1045379037441359873","1045379037441359873")</f>
        <v>1045379037441359873</v>
      </c>
      <c r="F685" s="4"/>
      <c r="G685" s="4"/>
      <c r="H685" s="4"/>
      <c r="I685" s="10" t="str">
        <f>HYPERLINK("http://twitter.com/download/android","Twitter for Android")</f>
        <v>Twitter for Android</v>
      </c>
      <c r="J685" s="2">
        <v>113</v>
      </c>
      <c r="K685" s="2">
        <v>66</v>
      </c>
      <c r="L685" s="2">
        <v>1</v>
      </c>
      <c r="M685" s="2"/>
      <c r="N685" s="8">
        <v>41251.408888888887</v>
      </c>
      <c r="O685" s="4" t="s">
        <v>6260</v>
      </c>
      <c r="P685" s="3" t="s">
        <v>6259</v>
      </c>
      <c r="Q685" s="4"/>
      <c r="R685" s="4"/>
      <c r="S685" s="9" t="str">
        <f>HYPERLINK("https://pbs.twimg.com/profile_images/1014601897288912896/x77huJ9C.jpg","View")</f>
        <v>View</v>
      </c>
    </row>
    <row r="686" spans="1:19" ht="20">
      <c r="A686" s="8">
        <v>43370.91369212963</v>
      </c>
      <c r="B686" s="11" t="str">
        <f>HYPERLINK("https://twitter.com/Enrique_ubu","@Enrique_ubu")</f>
        <v>@Enrique_ubu</v>
      </c>
      <c r="C686" s="6" t="s">
        <v>6258</v>
      </c>
      <c r="D686" s="5" t="s">
        <v>6257</v>
      </c>
      <c r="E686" s="9" t="str">
        <f>HYPERLINK("https://twitter.com/Enrique_ubu/status/1045378970227757059","1045378970227757059")</f>
        <v>1045378970227757059</v>
      </c>
      <c r="F686" s="4"/>
      <c r="G686" s="10" t="s">
        <v>6256</v>
      </c>
      <c r="H686" s="4"/>
      <c r="I686" s="10" t="str">
        <f>HYPERLINK("http://twitter.com/download/android","Twitter for Android")</f>
        <v>Twitter for Android</v>
      </c>
      <c r="J686" s="2">
        <v>136</v>
      </c>
      <c r="K686" s="2">
        <v>126</v>
      </c>
      <c r="L686" s="2">
        <v>1</v>
      </c>
      <c r="M686" s="2"/>
      <c r="N686" s="8">
        <v>42880.617418981477</v>
      </c>
      <c r="O686" s="4" t="s">
        <v>311</v>
      </c>
      <c r="P686" s="3" t="s">
        <v>6255</v>
      </c>
      <c r="Q686" s="4"/>
      <c r="R686" s="4"/>
      <c r="S686" s="9" t="str">
        <f>HYPERLINK("https://pbs.twimg.com/profile_images/997570024347963395/Z-w7vfwo.jpg","View")</f>
        <v>View</v>
      </c>
    </row>
    <row r="687" spans="1:19" ht="40">
      <c r="A687" s="8">
        <v>43370.913368055553</v>
      </c>
      <c r="B687" s="11" t="str">
        <f>HYPERLINK("https://twitter.com/freedom92979546","@freedom92979546")</f>
        <v>@freedom92979546</v>
      </c>
      <c r="C687" s="6" t="s">
        <v>6254</v>
      </c>
      <c r="D687" s="5" t="s">
        <v>6253</v>
      </c>
      <c r="E687" s="9" t="str">
        <f>HYPERLINK("https://twitter.com/freedom92979546/status/1045378851801616384","1045378851801616384")</f>
        <v>1045378851801616384</v>
      </c>
      <c r="F687" s="4"/>
      <c r="G687" s="4"/>
      <c r="H687" s="4"/>
      <c r="I687" s="10" t="str">
        <f>HYPERLINK("http://twitter.com/download/iphone","Twitter for iPhone")</f>
        <v>Twitter for iPhone</v>
      </c>
      <c r="J687" s="2">
        <v>1313</v>
      </c>
      <c r="K687" s="2">
        <v>1544</v>
      </c>
      <c r="L687" s="2">
        <v>1</v>
      </c>
      <c r="M687" s="2"/>
      <c r="N687" s="8">
        <v>43151.590254629627</v>
      </c>
      <c r="O687" s="4"/>
      <c r="P687" s="3" t="s">
        <v>6252</v>
      </c>
      <c r="Q687" s="4"/>
      <c r="R687" s="4"/>
      <c r="S687" s="9" t="str">
        <f>HYPERLINK("https://pbs.twimg.com/profile_images/1001690335955881986/HX_rNsDf.jpg","View")</f>
        <v>View</v>
      </c>
    </row>
    <row r="688" spans="1:19" ht="20">
      <c r="A688" s="8">
        <v>43370.913124999999</v>
      </c>
      <c r="B688" s="11" t="str">
        <f>HYPERLINK("https://twitter.com/Soroushx2x","@Soroushx2x")</f>
        <v>@Soroushx2x</v>
      </c>
      <c r="C688" s="6" t="s">
        <v>4735</v>
      </c>
      <c r="D688" s="5" t="s">
        <v>6251</v>
      </c>
      <c r="E688" s="9" t="str">
        <f>HYPERLINK("https://twitter.com/Soroushx2x/status/1045378766703398912","1045378766703398912")</f>
        <v>1045378766703398912</v>
      </c>
      <c r="F688" s="4"/>
      <c r="G688" s="4"/>
      <c r="H688" s="4"/>
      <c r="I688" s="10" t="str">
        <f>HYPERLINK("http://twitter.com/download/android","Twitter for Android")</f>
        <v>Twitter for Android</v>
      </c>
      <c r="J688" s="2">
        <v>166</v>
      </c>
      <c r="K688" s="2">
        <v>479</v>
      </c>
      <c r="L688" s="2">
        <v>0</v>
      </c>
      <c r="M688" s="2"/>
      <c r="N688" s="8">
        <v>42689.791608796295</v>
      </c>
      <c r="O688" s="4"/>
      <c r="P688" s="3" t="s">
        <v>4732</v>
      </c>
      <c r="Q688" s="4"/>
      <c r="R688" s="4"/>
      <c r="S688" s="9" t="str">
        <f>HYPERLINK("https://pbs.twimg.com/profile_images/993560462368428034/8U6oMRHE.jpg","View")</f>
        <v>View</v>
      </c>
    </row>
    <row r="689" spans="1:19" ht="12.5">
      <c r="A689" s="8">
        <v>43370.912962962961</v>
      </c>
      <c r="B689" s="11" t="str">
        <f>HYPERLINK("https://twitter.com/sepehrlm","@sepehrlm")</f>
        <v>@sepehrlm</v>
      </c>
      <c r="C689" s="6" t="s">
        <v>107</v>
      </c>
      <c r="D689" s="5" t="s">
        <v>6250</v>
      </c>
      <c r="E689" s="9" t="str">
        <f>HYPERLINK("https://twitter.com/sepehrlm/status/1045378705248346112","1045378705248346112")</f>
        <v>1045378705248346112</v>
      </c>
      <c r="F689" s="10" t="s">
        <v>6249</v>
      </c>
      <c r="G689" s="4"/>
      <c r="H689" s="4"/>
      <c r="I689" s="10" t="str">
        <f>HYPERLINK("http://twitter.com/download/iphone","Twitter for iPhone")</f>
        <v>Twitter for iPhone</v>
      </c>
      <c r="J689" s="2">
        <v>182</v>
      </c>
      <c r="K689" s="2">
        <v>366</v>
      </c>
      <c r="L689" s="2">
        <v>1</v>
      </c>
      <c r="M689" s="2"/>
      <c r="N689" s="8">
        <v>42616.911122685182</v>
      </c>
      <c r="O689" s="4" t="s">
        <v>104</v>
      </c>
      <c r="P689" s="3" t="s">
        <v>103</v>
      </c>
      <c r="Q689" s="10" t="s">
        <v>102</v>
      </c>
      <c r="R689" s="4"/>
      <c r="S689" s="9" t="str">
        <f>HYPERLINK("https://pbs.twimg.com/profile_images/1037594766765170689/Khn8u_pC.jpg","View")</f>
        <v>View</v>
      </c>
    </row>
    <row r="690" spans="1:19" ht="12.5">
      <c r="A690" s="8">
        <v>43370.91269675926</v>
      </c>
      <c r="B690" s="11" t="str">
        <f>HYPERLINK("https://twitter.com/Abdy1355","@Abdy1355")</f>
        <v>@Abdy1355</v>
      </c>
      <c r="C690" s="6" t="s">
        <v>6248</v>
      </c>
      <c r="D690" s="5" t="s">
        <v>6247</v>
      </c>
      <c r="E690" s="9" t="str">
        <f>HYPERLINK("https://twitter.com/Abdy1355/status/1045378609358262272","1045378609358262272")</f>
        <v>1045378609358262272</v>
      </c>
      <c r="F690" s="4"/>
      <c r="G690" s="10" t="s">
        <v>6246</v>
      </c>
      <c r="H690" s="4"/>
      <c r="I690" s="10" t="str">
        <f>HYPERLINK("http://twitter.com/download/android","Twitter for Android")</f>
        <v>Twitter for Android</v>
      </c>
      <c r="J690" s="2">
        <v>119</v>
      </c>
      <c r="K690" s="2">
        <v>203</v>
      </c>
      <c r="L690" s="2">
        <v>1</v>
      </c>
      <c r="M690" s="2"/>
      <c r="N690" s="8">
        <v>42959.475289351853</v>
      </c>
      <c r="O690" s="4" t="s">
        <v>6245</v>
      </c>
      <c r="P690" s="3" t="s">
        <v>6244</v>
      </c>
      <c r="Q690" s="4"/>
      <c r="R690" s="4"/>
      <c r="S690" s="9" t="str">
        <f>HYPERLINK("https://pbs.twimg.com/profile_images/896267760237510656/XMK5zRxo.jpg","View")</f>
        <v>View</v>
      </c>
    </row>
    <row r="691" spans="1:19" ht="40">
      <c r="A691" s="8">
        <v>43370.912488425922</v>
      </c>
      <c r="B691" s="11" t="str">
        <f>HYPERLINK("https://twitter.com/ManMeysam","@ManMeysam")</f>
        <v>@ManMeysam</v>
      </c>
      <c r="C691" s="6" t="s">
        <v>472</v>
      </c>
      <c r="D691" s="5" t="s">
        <v>6243</v>
      </c>
      <c r="E691" s="9" t="str">
        <f>HYPERLINK("https://twitter.com/ManMeysam/status/1045378532849979393","1045378532849979393")</f>
        <v>1045378532849979393</v>
      </c>
      <c r="F691" s="4"/>
      <c r="G691" s="4"/>
      <c r="H691" s="4"/>
      <c r="I691" s="10" t="str">
        <f>HYPERLINK("http://twitter.com/download/android","Twitter for Android")</f>
        <v>Twitter for Android</v>
      </c>
      <c r="J691" s="2">
        <v>738</v>
      </c>
      <c r="K691" s="2">
        <v>90</v>
      </c>
      <c r="L691" s="2">
        <v>2</v>
      </c>
      <c r="M691" s="2"/>
      <c r="N691" s="8">
        <v>43080.934756944444</v>
      </c>
      <c r="O691" s="4"/>
      <c r="P691" s="3" t="s">
        <v>470</v>
      </c>
      <c r="Q691" s="4"/>
      <c r="R691" s="4"/>
      <c r="S691" s="9" t="str">
        <f>HYPERLINK("https://pbs.twimg.com/profile_images/990240817024589824/h1PmTrjf.jpg","View")</f>
        <v>View</v>
      </c>
    </row>
    <row r="692" spans="1:19" ht="20">
      <c r="A692" s="8">
        <v>43370.91238425926</v>
      </c>
      <c r="B692" s="11" t="str">
        <f>HYPERLINK("https://twitter.com/milaaad_sh","@milaaad_sh")</f>
        <v>@milaaad_sh</v>
      </c>
      <c r="C692" s="6" t="s">
        <v>6242</v>
      </c>
      <c r="D692" s="5" t="s">
        <v>6241</v>
      </c>
      <c r="E692" s="9" t="str">
        <f>HYPERLINK("https://twitter.com/milaaad_sh/status/1045378496099487745","1045378496099487745")</f>
        <v>1045378496099487745</v>
      </c>
      <c r="F692" s="4"/>
      <c r="G692" s="4"/>
      <c r="H692" s="4"/>
      <c r="I692" s="10" t="str">
        <f>HYPERLINK("http://twitter.com/download/android","Twitter for Android")</f>
        <v>Twitter for Android</v>
      </c>
      <c r="J692" s="2">
        <v>581</v>
      </c>
      <c r="K692" s="2">
        <v>518</v>
      </c>
      <c r="L692" s="2">
        <v>1</v>
      </c>
      <c r="M692" s="2"/>
      <c r="N692" s="8">
        <v>42754.735324074078</v>
      </c>
      <c r="O692" s="4"/>
      <c r="P692" s="3" t="s">
        <v>6240</v>
      </c>
      <c r="Q692" s="4"/>
      <c r="R692" s="4"/>
      <c r="S692" s="9" t="str">
        <f>HYPERLINK("https://pbs.twimg.com/profile_images/936339133676613633/ulI1bp8r.jpg","View")</f>
        <v>View</v>
      </c>
    </row>
    <row r="693" spans="1:19" ht="20">
      <c r="A693" s="8">
        <v>43370.91196759259</v>
      </c>
      <c r="B693" s="11" t="str">
        <f>HYPERLINK("https://twitter.com/tasvireroya","@tasvireroya")</f>
        <v>@tasvireroya</v>
      </c>
      <c r="C693" s="6" t="s">
        <v>6239</v>
      </c>
      <c r="D693" s="5" t="s">
        <v>6238</v>
      </c>
      <c r="E693" s="9" t="str">
        <f>HYPERLINK("https://twitter.com/tasvireroya/status/1045378346018844673","1045378346018844673")</f>
        <v>1045378346018844673</v>
      </c>
      <c r="F693" s="4"/>
      <c r="G693" s="10" t="s">
        <v>6237</v>
      </c>
      <c r="H693" s="4"/>
      <c r="I693" s="10" t="str">
        <f>HYPERLINK("http://twitter.com/download/iphone","Twitter for iPhone")</f>
        <v>Twitter for iPhone</v>
      </c>
      <c r="J693" s="2">
        <v>107</v>
      </c>
      <c r="K693" s="2">
        <v>155</v>
      </c>
      <c r="L693" s="2">
        <v>0</v>
      </c>
      <c r="M693" s="2"/>
      <c r="N693" s="8">
        <v>43107.872731481482</v>
      </c>
      <c r="O693" s="4" t="s">
        <v>200</v>
      </c>
      <c r="P693" s="3" t="s">
        <v>6236</v>
      </c>
      <c r="Q693" s="4"/>
      <c r="R693" s="4"/>
      <c r="S693" s="9" t="str">
        <f>HYPERLINK("https://pbs.twimg.com/profile_images/1033078672100614144/es6ZOtBK.jpg","View")</f>
        <v>View</v>
      </c>
    </row>
    <row r="694" spans="1:19" ht="20">
      <c r="A694" s="8">
        <v>43370.911747685182</v>
      </c>
      <c r="B694" s="11" t="str">
        <f>HYPERLINK("https://twitter.com/shahinshakeri","@shahinshakeri")</f>
        <v>@shahinshakeri</v>
      </c>
      <c r="C694" s="6" t="s">
        <v>6235</v>
      </c>
      <c r="D694" s="5" t="s">
        <v>6234</v>
      </c>
      <c r="E694" s="9" t="str">
        <f>HYPERLINK("https://twitter.com/shahinshakeri/status/1045378264330588160","1045378264330588160")</f>
        <v>1045378264330588160</v>
      </c>
      <c r="F694" s="4"/>
      <c r="G694" s="4"/>
      <c r="H694" s="4"/>
      <c r="I694" s="10" t="str">
        <f>HYPERLINK("https://mobile.twitter.com","Twitter Lite")</f>
        <v>Twitter Lite</v>
      </c>
      <c r="J694" s="2">
        <v>179</v>
      </c>
      <c r="K694" s="2">
        <v>188</v>
      </c>
      <c r="L694" s="2">
        <v>0</v>
      </c>
      <c r="M694" s="2"/>
      <c r="N694" s="8">
        <v>40571.036562499998</v>
      </c>
      <c r="O694" s="4"/>
      <c r="P694" s="3" t="s">
        <v>6233</v>
      </c>
      <c r="Q694" s="4"/>
      <c r="R694" s="4"/>
      <c r="S694" s="9" t="str">
        <f>HYPERLINK("https://pbs.twimg.com/profile_images/839956480904343552/7lcWwfho.jpg","View")</f>
        <v>View</v>
      </c>
    </row>
    <row r="695" spans="1:19" ht="40">
      <c r="A695" s="8">
        <v>43370.910451388889</v>
      </c>
      <c r="B695" s="11" t="str">
        <f>HYPERLINK("https://twitter.com/hashtagban","@hashtagban")</f>
        <v>@hashtagban</v>
      </c>
      <c r="C695" s="6" t="s">
        <v>6232</v>
      </c>
      <c r="D695" s="5" t="s">
        <v>6231</v>
      </c>
      <c r="E695" s="9" t="str">
        <f>HYPERLINK("https://twitter.com/hashtagban/status/1045377798028824576","1045377798028824576")</f>
        <v>1045377798028824576</v>
      </c>
      <c r="F695" s="10" t="s">
        <v>6230</v>
      </c>
      <c r="G695" s="10" t="s">
        <v>6229</v>
      </c>
      <c r="H695" s="4"/>
      <c r="I695" s="10" t="str">
        <f>HYPERLINK("https://hashtagban.com","hashtagban")</f>
        <v>hashtagban</v>
      </c>
      <c r="J695" s="2">
        <v>799</v>
      </c>
      <c r="K695" s="2">
        <v>0</v>
      </c>
      <c r="L695" s="2">
        <v>8</v>
      </c>
      <c r="M695" s="2"/>
      <c r="N695" s="8">
        <v>43289.498113425929</v>
      </c>
      <c r="O695" s="4"/>
      <c r="P695" s="3" t="s">
        <v>6228</v>
      </c>
      <c r="Q695" s="10" t="s">
        <v>6227</v>
      </c>
      <c r="R695" s="4"/>
      <c r="S695" s="9" t="str">
        <f>HYPERLINK("https://pbs.twimg.com/profile_images/1015960463132254208/jzT-0yUe.jpg","View")</f>
        <v>View</v>
      </c>
    </row>
    <row r="696" spans="1:19" ht="12.5">
      <c r="A696" s="8">
        <v>43370.91028935185</v>
      </c>
      <c r="B696" s="11" t="str">
        <f>HYPERLINK("https://twitter.com/sogand_gsl","@sogand_gsl")</f>
        <v>@sogand_gsl</v>
      </c>
      <c r="C696" s="6" t="s">
        <v>6226</v>
      </c>
      <c r="D696" s="5" t="s">
        <v>6225</v>
      </c>
      <c r="E696" s="9" t="str">
        <f>HYPERLINK("https://twitter.com/sogand_gsl/status/1045377736364228609","1045377736364228609")</f>
        <v>1045377736364228609</v>
      </c>
      <c r="F696" s="4"/>
      <c r="G696" s="4"/>
      <c r="H696" s="4"/>
      <c r="I696" s="10" t="str">
        <f>HYPERLINK("http://twitter.com/download/iphone","Twitter for iPhone")</f>
        <v>Twitter for iPhone</v>
      </c>
      <c r="J696" s="2">
        <v>65</v>
      </c>
      <c r="K696" s="2">
        <v>63</v>
      </c>
      <c r="L696" s="2">
        <v>0</v>
      </c>
      <c r="M696" s="2"/>
      <c r="N696" s="8">
        <v>42781.937905092593</v>
      </c>
      <c r="O696" s="4" t="s">
        <v>6224</v>
      </c>
      <c r="P696" s="3"/>
      <c r="Q696" s="4"/>
      <c r="R696" s="4"/>
      <c r="S696" s="9" t="str">
        <f>HYPERLINK("https://pbs.twimg.com/profile_images/872610541017149442/-gU_6Lru.jpg","View")</f>
        <v>View</v>
      </c>
    </row>
    <row r="697" spans="1:19" ht="20">
      <c r="A697" s="8">
        <v>43370.909016203703</v>
      </c>
      <c r="B697" s="11" t="str">
        <f>HYPERLINK("https://twitter.com/bhmn91925863","@bhmn91925863")</f>
        <v>@bhmn91925863</v>
      </c>
      <c r="C697" s="6" t="s">
        <v>6223</v>
      </c>
      <c r="D697" s="5" t="s">
        <v>6222</v>
      </c>
      <c r="E697" s="9" t="str">
        <f>HYPERLINK("https://twitter.com/bhmn91925863/status/1045377276056129536","1045377276056129536")</f>
        <v>1045377276056129536</v>
      </c>
      <c r="F697" s="4"/>
      <c r="G697" s="10" t="s">
        <v>6221</v>
      </c>
      <c r="H697" s="4"/>
      <c r="I697" s="10" t="str">
        <f>HYPERLINK("http://twitter.com/download/iphone","Twitter for iPhone")</f>
        <v>Twitter for iPhone</v>
      </c>
      <c r="J697" s="2">
        <v>4</v>
      </c>
      <c r="K697" s="2">
        <v>24</v>
      </c>
      <c r="L697" s="2">
        <v>0</v>
      </c>
      <c r="M697" s="2"/>
      <c r="N697" s="8">
        <v>43362.840405092589</v>
      </c>
      <c r="O697" s="4" t="s">
        <v>200</v>
      </c>
      <c r="P697" s="3"/>
      <c r="Q697" s="4"/>
      <c r="R697" s="4"/>
      <c r="S697" s="9" t="str">
        <f>HYPERLINK("https://pbs.twimg.com/profile_images/1042484446132350983/CWCq-X6R.jpg","View")</f>
        <v>View</v>
      </c>
    </row>
    <row r="698" spans="1:19" ht="20">
      <c r="A698" s="8">
        <v>43370.908807870372</v>
      </c>
      <c r="B698" s="11" t="str">
        <f>HYPERLINK("https://twitter.com/Mostafabati","@Mostafabati")</f>
        <v>@Mostafabati</v>
      </c>
      <c r="C698" s="6" t="s">
        <v>6220</v>
      </c>
      <c r="D698" s="5" t="s">
        <v>6219</v>
      </c>
      <c r="E698" s="9" t="str">
        <f>HYPERLINK("https://twitter.com/Mostafabati/status/1045377201665765376","1045377201665765376")</f>
        <v>1045377201665765376</v>
      </c>
      <c r="F698" s="4"/>
      <c r="G698" s="4"/>
      <c r="H698" s="4"/>
      <c r="I698" s="10" t="str">
        <f>HYPERLINK("http://twitter.com/download/android","Twitter for Android")</f>
        <v>Twitter for Android</v>
      </c>
      <c r="J698" s="2">
        <v>8</v>
      </c>
      <c r="K698" s="2">
        <v>51</v>
      </c>
      <c r="L698" s="2">
        <v>0</v>
      </c>
      <c r="M698" s="2"/>
      <c r="N698" s="8">
        <v>42016.566203703704</v>
      </c>
      <c r="O698" s="4" t="s">
        <v>6218</v>
      </c>
      <c r="P698" s="3"/>
      <c r="Q698" s="4"/>
      <c r="R698" s="4"/>
      <c r="S698" s="9" t="str">
        <f>HYPERLINK("https://pbs.twimg.com/profile_images/1037437140207058944/hZNuR7nc.jpg","View")</f>
        <v>View</v>
      </c>
    </row>
    <row r="699" spans="1:19" ht="20">
      <c r="A699" s="8">
        <v>43370.908773148149</v>
      </c>
      <c r="B699" s="11" t="str">
        <f>HYPERLINK("https://twitter.com/MozaffariM97","@MozaffariM97")</f>
        <v>@MozaffariM97</v>
      </c>
      <c r="C699" s="6" t="s">
        <v>6217</v>
      </c>
      <c r="D699" s="5" t="s">
        <v>6216</v>
      </c>
      <c r="E699" s="9" t="str">
        <f>HYPERLINK("https://twitter.com/MozaffariM97/status/1045377186906157056","1045377186906157056")</f>
        <v>1045377186906157056</v>
      </c>
      <c r="F699" s="4"/>
      <c r="G699" s="4"/>
      <c r="H699" s="4"/>
      <c r="I699" s="10" t="str">
        <f>HYPERLINK("http://twitter.com/download/android","Twitter for Android")</f>
        <v>Twitter for Android</v>
      </c>
      <c r="J699" s="2">
        <v>3025</v>
      </c>
      <c r="K699" s="2">
        <v>2450</v>
      </c>
      <c r="L699" s="2">
        <v>1</v>
      </c>
      <c r="M699" s="2"/>
      <c r="N699" s="8">
        <v>42577.008356481485</v>
      </c>
      <c r="O699" s="4" t="s">
        <v>6215</v>
      </c>
      <c r="P699" s="3" t="s">
        <v>6214</v>
      </c>
      <c r="Q699" s="4"/>
      <c r="R699" s="4"/>
      <c r="S699" s="9" t="str">
        <f>HYPERLINK("https://pbs.twimg.com/profile_images/941617519550517248/hvATm3Wv.jpg","View")</f>
        <v>View</v>
      </c>
    </row>
    <row r="700" spans="1:19" ht="20">
      <c r="A700" s="8">
        <v>43370.908541666664</v>
      </c>
      <c r="B700" s="11" t="str">
        <f>HYPERLINK("https://twitter.com/mehrdadtaj44","@mehrdadtaj44")</f>
        <v>@mehrdadtaj44</v>
      </c>
      <c r="C700" s="6" t="s">
        <v>6213</v>
      </c>
      <c r="D700" s="5" t="s">
        <v>6212</v>
      </c>
      <c r="E700" s="9" t="str">
        <f>HYPERLINK("https://twitter.com/mehrdadtaj44/status/1045377106295881729","1045377106295881729")</f>
        <v>1045377106295881729</v>
      </c>
      <c r="F700" s="4"/>
      <c r="G700" s="4"/>
      <c r="H700" s="4"/>
      <c r="I700" s="10" t="str">
        <f>HYPERLINK("http://twitter.com/download/android","Twitter for Android")</f>
        <v>Twitter for Android</v>
      </c>
      <c r="J700" s="2">
        <v>75</v>
      </c>
      <c r="K700" s="2">
        <v>196</v>
      </c>
      <c r="L700" s="2">
        <v>1</v>
      </c>
      <c r="M700" s="2"/>
      <c r="N700" s="8">
        <v>42802.635358796295</v>
      </c>
      <c r="O700" s="4"/>
      <c r="P700" s="3" t="s">
        <v>6211</v>
      </c>
      <c r="Q700" s="4"/>
      <c r="R700" s="4"/>
      <c r="S700" s="9" t="str">
        <f>HYPERLINK("https://pbs.twimg.com/profile_images/1022746368555843584/Nh9oE1J5.jpg","View")</f>
        <v>View</v>
      </c>
    </row>
    <row r="701" spans="1:19" ht="50">
      <c r="A701" s="8">
        <v>43370.908379629633</v>
      </c>
      <c r="B701" s="11" t="str">
        <f>HYPERLINK("https://twitter.com/mphhtc","@mphhtc")</f>
        <v>@mphhtc</v>
      </c>
      <c r="C701" s="11" t="s">
        <v>6210</v>
      </c>
      <c r="D701" s="5" t="s">
        <v>6209</v>
      </c>
      <c r="E701" s="9" t="str">
        <f>HYPERLINK("https://twitter.com/mphhtc/status/1045377045180633090","1045377045180633090")</f>
        <v>1045377045180633090</v>
      </c>
      <c r="F701" s="4"/>
      <c r="G701" s="10" t="s">
        <v>6208</v>
      </c>
      <c r="H701" s="4"/>
      <c r="I701" s="10" t="str">
        <f>HYPERLINK("https://zapier.com/","Zapier.com")</f>
        <v>Zapier.com</v>
      </c>
      <c r="J701" s="2">
        <v>13</v>
      </c>
      <c r="K701" s="2">
        <v>52</v>
      </c>
      <c r="L701" s="2">
        <v>0</v>
      </c>
      <c r="M701" s="2"/>
      <c r="N701" s="8">
        <v>42933.460162037038</v>
      </c>
      <c r="O701" s="4" t="s">
        <v>200</v>
      </c>
      <c r="P701" s="3" t="s">
        <v>6207</v>
      </c>
      <c r="Q701" s="10" t="s">
        <v>6206</v>
      </c>
      <c r="R701" s="4"/>
      <c r="S701" s="9" t="str">
        <f>HYPERLINK("https://pbs.twimg.com/profile_images/886898130016489472/jwTsWAYX.jpg","View")</f>
        <v>View</v>
      </c>
    </row>
    <row r="702" spans="1:19" ht="30">
      <c r="A702" s="8">
        <v>43370.908287037033</v>
      </c>
      <c r="B702" s="11" t="str">
        <f>HYPERLINK("https://twitter.com/Farhad_R_F","@Farhad_R_F")</f>
        <v>@Farhad_R_F</v>
      </c>
      <c r="C702" s="6" t="s">
        <v>6205</v>
      </c>
      <c r="D702" s="5" t="s">
        <v>6204</v>
      </c>
      <c r="E702" s="9" t="str">
        <f>HYPERLINK("https://twitter.com/Farhad_R_F/status/1045377012813230080","1045377012813230080")</f>
        <v>1045377012813230080</v>
      </c>
      <c r="F702" s="10" t="s">
        <v>6203</v>
      </c>
      <c r="G702" s="4"/>
      <c r="H702" s="4"/>
      <c r="I702" s="10" t="str">
        <f>HYPERLINK("http://twitter.com/download/android","Twitter for Android")</f>
        <v>Twitter for Android</v>
      </c>
      <c r="J702" s="2">
        <v>131</v>
      </c>
      <c r="K702" s="2">
        <v>835</v>
      </c>
      <c r="L702" s="2">
        <v>0</v>
      </c>
      <c r="M702" s="2"/>
      <c r="N702" s="8">
        <v>42433.06994212963</v>
      </c>
      <c r="O702" s="4"/>
      <c r="P702" s="3" t="s">
        <v>6202</v>
      </c>
      <c r="Q702" s="4"/>
      <c r="R702" s="4"/>
      <c r="S702" s="9" t="str">
        <f>HYPERLINK("https://pbs.twimg.com/profile_images/1043212401892581376/K0vlgoar.jpg","View")</f>
        <v>View</v>
      </c>
    </row>
    <row r="703" spans="1:19" ht="20">
      <c r="A703" s="8">
        <v>43370.90788194444</v>
      </c>
      <c r="B703" s="11" t="str">
        <f>HYPERLINK("https://twitter.com/Keyboard_1978","@Keyboard_1978")</f>
        <v>@Keyboard_1978</v>
      </c>
      <c r="C703" s="6" t="s">
        <v>6166</v>
      </c>
      <c r="D703" s="5" t="s">
        <v>6201</v>
      </c>
      <c r="E703" s="9" t="str">
        <f>HYPERLINK("https://twitter.com/Keyboard_1978/status/1045376866197090304","1045376866197090304")</f>
        <v>1045376866197090304</v>
      </c>
      <c r="F703" s="4"/>
      <c r="G703" s="4"/>
      <c r="H703" s="4"/>
      <c r="I703" s="10" t="str">
        <f>HYPERLINK("http://twitter.com/download/android","Twitter for Android")</f>
        <v>Twitter for Android</v>
      </c>
      <c r="J703" s="2">
        <v>65</v>
      </c>
      <c r="K703" s="2">
        <v>269</v>
      </c>
      <c r="L703" s="2">
        <v>0</v>
      </c>
      <c r="M703" s="2"/>
      <c r="N703" s="8">
        <v>40005.731377314813</v>
      </c>
      <c r="O703" s="4"/>
      <c r="P703" s="3" t="s">
        <v>6164</v>
      </c>
      <c r="Q703" s="4"/>
      <c r="R703" s="4"/>
      <c r="S703" s="9" t="str">
        <f>HYPERLINK("https://pbs.twimg.com/profile_images/1033616782416904192/AoK29e6v.jpg","View")</f>
        <v>View</v>
      </c>
    </row>
    <row r="704" spans="1:19" ht="30">
      <c r="A704" s="8">
        <v>43370.907395833332</v>
      </c>
      <c r="B704" s="11" t="str">
        <f>HYPERLINK("https://twitter.com/piroozinews","@piroozinews")</f>
        <v>@piroozinews</v>
      </c>
      <c r="C704" s="6" t="s">
        <v>764</v>
      </c>
      <c r="D704" s="5" t="s">
        <v>6200</v>
      </c>
      <c r="E704" s="9" t="str">
        <f>HYPERLINK("https://twitter.com/piroozinews/status/1045376689604317185","1045376689604317185")</f>
        <v>1045376689604317185</v>
      </c>
      <c r="F704" s="4"/>
      <c r="G704" s="4"/>
      <c r="H704" s="4"/>
      <c r="I704" s="10" t="str">
        <f>HYPERLINK("http://twitter.com/download/android","Twitter for Android")</f>
        <v>Twitter for Android</v>
      </c>
      <c r="J704" s="2">
        <v>28727</v>
      </c>
      <c r="K704" s="2">
        <v>31</v>
      </c>
      <c r="L704" s="2">
        <v>245</v>
      </c>
      <c r="M704" s="2"/>
      <c r="N704" s="8">
        <v>42343.636840277773</v>
      </c>
      <c r="O704" s="4" t="s">
        <v>762</v>
      </c>
      <c r="P704" s="3" t="s">
        <v>761</v>
      </c>
      <c r="Q704" s="10" t="s">
        <v>760</v>
      </c>
      <c r="R704" s="4"/>
      <c r="S704" s="9" t="str">
        <f>HYPERLINK("https://pbs.twimg.com/profile_images/1014483613310570497/0eFAC3lV.jpg","View")</f>
        <v>View</v>
      </c>
    </row>
    <row r="705" spans="1:19" ht="30">
      <c r="A705" s="8">
        <v>43370.906655092593</v>
      </c>
      <c r="B705" s="11" t="str">
        <f>HYPERLINK("https://twitter.com/HamzehDaneshgar","@HamzehDaneshgar")</f>
        <v>@HamzehDaneshgar</v>
      </c>
      <c r="C705" s="6" t="s">
        <v>6199</v>
      </c>
      <c r="D705" s="5" t="s">
        <v>6198</v>
      </c>
      <c r="E705" s="9" t="str">
        <f>HYPERLINK("https://twitter.com/HamzehDaneshgar/status/1045376418757193734","1045376418757193734")</f>
        <v>1045376418757193734</v>
      </c>
      <c r="F705" s="4"/>
      <c r="G705" s="4"/>
      <c r="H705" s="4"/>
      <c r="I705" s="10" t="str">
        <f>HYPERLINK("http://twitter.com/download/iphone","Twitter for iPhone")</f>
        <v>Twitter for iPhone</v>
      </c>
      <c r="J705" s="2">
        <v>143</v>
      </c>
      <c r="K705" s="2">
        <v>167</v>
      </c>
      <c r="L705" s="2">
        <v>1</v>
      </c>
      <c r="M705" s="2"/>
      <c r="N705" s="8">
        <v>43224.625335648147</v>
      </c>
      <c r="O705" s="4" t="s">
        <v>311</v>
      </c>
      <c r="P705" s="3" t="s">
        <v>6197</v>
      </c>
      <c r="Q705" s="4"/>
      <c r="R705" s="4"/>
      <c r="S705" s="9" t="str">
        <f>HYPERLINK("https://pbs.twimg.com/profile_images/1033057763428126722/kWsyo7-o.jpg","View")</f>
        <v>View</v>
      </c>
    </row>
    <row r="706" spans="1:19" ht="12.5">
      <c r="A706" s="8">
        <v>43370.9066087963</v>
      </c>
      <c r="B706" s="11" t="str">
        <f>HYPERLINK("https://twitter.com/ErfanHajbabaee","@ErfanHajbabaee")</f>
        <v>@ErfanHajbabaee</v>
      </c>
      <c r="C706" s="6" t="s">
        <v>660</v>
      </c>
      <c r="D706" s="5" t="s">
        <v>6196</v>
      </c>
      <c r="E706" s="9" t="str">
        <f>HYPERLINK("https://twitter.com/ErfanHajbabaee/status/1045376402386833408","1045376402386833408")</f>
        <v>1045376402386833408</v>
      </c>
      <c r="F706" s="4"/>
      <c r="G706" s="10" t="s">
        <v>6195</v>
      </c>
      <c r="H706" s="4"/>
      <c r="I706" s="10" t="str">
        <f>HYPERLINK("http://twitter.com/download/android","Twitter for Android")</f>
        <v>Twitter for Android</v>
      </c>
      <c r="J706" s="2">
        <v>114</v>
      </c>
      <c r="K706" s="2">
        <v>73</v>
      </c>
      <c r="L706" s="2">
        <v>0</v>
      </c>
      <c r="M706" s="2"/>
      <c r="N706" s="8">
        <v>43255.527858796297</v>
      </c>
      <c r="O706" s="4" t="s">
        <v>657</v>
      </c>
      <c r="P706" s="3" t="s">
        <v>656</v>
      </c>
      <c r="Q706" s="4"/>
      <c r="R706" s="4"/>
      <c r="S706" s="9" t="str">
        <f>HYPERLINK("https://pbs.twimg.com/profile_images/1041679103177490432/gLzwxFyO.jpg","View")</f>
        <v>View</v>
      </c>
    </row>
    <row r="707" spans="1:19" ht="12.5">
      <c r="A707" s="8">
        <v>43370.906550925924</v>
      </c>
      <c r="B707" s="11" t="str">
        <f>HYPERLINK("https://twitter.com/Nima64986020","@Nima64986020")</f>
        <v>@Nima64986020</v>
      </c>
      <c r="C707" s="6" t="s">
        <v>4132</v>
      </c>
      <c r="D707" s="5" t="s">
        <v>6194</v>
      </c>
      <c r="E707" s="9" t="str">
        <f>HYPERLINK("https://twitter.com/Nima64986020/status/1045376383378235393","1045376383378235393")</f>
        <v>1045376383378235393</v>
      </c>
      <c r="F707" s="4"/>
      <c r="G707" s="4"/>
      <c r="H707" s="4"/>
      <c r="I707" s="10" t="str">
        <f>HYPERLINK("http://twitter.com/download/android","Twitter for Android")</f>
        <v>Twitter for Android</v>
      </c>
      <c r="J707" s="2">
        <v>136</v>
      </c>
      <c r="K707" s="2">
        <v>278</v>
      </c>
      <c r="L707" s="2">
        <v>0</v>
      </c>
      <c r="M707" s="2"/>
      <c r="N707" s="8">
        <v>43105.036782407406</v>
      </c>
      <c r="O707" s="4" t="s">
        <v>72</v>
      </c>
      <c r="P707" s="3" t="s">
        <v>6193</v>
      </c>
      <c r="Q707" s="4"/>
      <c r="R707" s="4"/>
      <c r="S707" s="9" t="str">
        <f>HYPERLINK("https://pbs.twimg.com/profile_images/1016989375639384064/tGQgYlO8.jpg","View")</f>
        <v>View</v>
      </c>
    </row>
    <row r="708" spans="1:19" ht="12.5">
      <c r="A708" s="8">
        <v>43370.905601851853</v>
      </c>
      <c r="B708" s="11" t="str">
        <f>HYPERLINK("https://twitter.com/DokhtarIrani1","@DokhtarIrani1")</f>
        <v>@DokhtarIrani1</v>
      </c>
      <c r="C708" s="6" t="s">
        <v>6192</v>
      </c>
      <c r="D708" s="5" t="s">
        <v>6191</v>
      </c>
      <c r="E708" s="9" t="str">
        <f>HYPERLINK("https://twitter.com/DokhtarIrani1/status/1045376037775974403","1045376037775974403")</f>
        <v>1045376037775974403</v>
      </c>
      <c r="F708" s="4"/>
      <c r="G708" s="4"/>
      <c r="H708" s="4"/>
      <c r="I708" s="10" t="str">
        <f>HYPERLINK("http://twitter.com/download/android","Twitter for Android")</f>
        <v>Twitter for Android</v>
      </c>
      <c r="J708" s="2">
        <v>40</v>
      </c>
      <c r="K708" s="2">
        <v>64</v>
      </c>
      <c r="L708" s="2">
        <v>0</v>
      </c>
      <c r="M708" s="2"/>
      <c r="N708" s="8">
        <v>43365.467488425929</v>
      </c>
      <c r="O708" s="4"/>
      <c r="P708" s="3" t="s">
        <v>6190</v>
      </c>
      <c r="Q708" s="4"/>
      <c r="R708" s="4"/>
      <c r="S708" s="9" t="str">
        <f>HYPERLINK("https://pbs.twimg.com/profile_images/1043418034478764032/zJGfO8zg.jpg","View")</f>
        <v>View</v>
      </c>
    </row>
    <row r="709" spans="1:19" ht="40">
      <c r="A709" s="8">
        <v>43370.905173611114</v>
      </c>
      <c r="B709" s="11" t="str">
        <f>HYPERLINK("https://twitter.com/vahidnajafi61","@vahidnajafi61")</f>
        <v>@vahidnajafi61</v>
      </c>
      <c r="C709" s="6" t="s">
        <v>6189</v>
      </c>
      <c r="D709" s="5" t="s">
        <v>6188</v>
      </c>
      <c r="E709" s="9" t="str">
        <f>HYPERLINK("https://twitter.com/vahidnajafi61/status/1045375882221817856","1045375882221817856")</f>
        <v>1045375882221817856</v>
      </c>
      <c r="F709" s="4"/>
      <c r="G709" s="4"/>
      <c r="H709" s="4"/>
      <c r="I709" s="10" t="str">
        <f>HYPERLINK("https://mobile.twitter.com","Twitter Lite")</f>
        <v>Twitter Lite</v>
      </c>
      <c r="J709" s="2">
        <v>692</v>
      </c>
      <c r="K709" s="2">
        <v>1302</v>
      </c>
      <c r="L709" s="2">
        <v>2</v>
      </c>
      <c r="M709" s="2"/>
      <c r="N709" s="8">
        <v>43223.893750000003</v>
      </c>
      <c r="O709" s="4" t="s">
        <v>6187</v>
      </c>
      <c r="P709" s="3" t="s">
        <v>6186</v>
      </c>
      <c r="Q709" s="10" t="s">
        <v>6185</v>
      </c>
      <c r="R709" s="4"/>
      <c r="S709" s="9" t="str">
        <f>HYPERLINK("https://pbs.twimg.com/profile_images/992405096599191553/3Ql_s_pz.jpg","View")</f>
        <v>View</v>
      </c>
    </row>
    <row r="710" spans="1:19" ht="20">
      <c r="A710" s="8">
        <v>43370.905011574076</v>
      </c>
      <c r="B710" s="11" t="str">
        <f>HYPERLINK("https://twitter.com/safarisajad","@safarisajad")</f>
        <v>@safarisajad</v>
      </c>
      <c r="C710" s="6" t="s">
        <v>6184</v>
      </c>
      <c r="D710" s="5" t="s">
        <v>6183</v>
      </c>
      <c r="E710" s="9" t="str">
        <f>HYPERLINK("https://twitter.com/safarisajad/status/1045375823048409088","1045375823048409088")</f>
        <v>1045375823048409088</v>
      </c>
      <c r="F710" s="10" t="s">
        <v>6182</v>
      </c>
      <c r="G710" s="10" t="s">
        <v>6181</v>
      </c>
      <c r="H710" s="4"/>
      <c r="I710" s="10" t="str">
        <f>HYPERLINK("http://twitter.com/download/iphone","Twitter for iPhone")</f>
        <v>Twitter for iPhone</v>
      </c>
      <c r="J710" s="2">
        <v>735</v>
      </c>
      <c r="K710" s="2">
        <v>386</v>
      </c>
      <c r="L710" s="2">
        <v>4</v>
      </c>
      <c r="M710" s="2"/>
      <c r="N710" s="8">
        <v>41653.623148148152</v>
      </c>
      <c r="O710" s="4" t="s">
        <v>6180</v>
      </c>
      <c r="P710" s="3" t="s">
        <v>6179</v>
      </c>
      <c r="Q710" s="10" t="s">
        <v>6178</v>
      </c>
      <c r="R710" s="4"/>
      <c r="S710" s="9" t="str">
        <f>HYPERLINK("https://pbs.twimg.com/profile_images/425947987706007552/U8IyUygq.jpeg","View")</f>
        <v>View</v>
      </c>
    </row>
    <row r="711" spans="1:19" ht="12.5">
      <c r="A711" s="8">
        <v>43370.904606481483</v>
      </c>
      <c r="B711" s="11" t="str">
        <f>HYPERLINK("https://twitter.com/Reyi_han","@Reyi_han")</f>
        <v>@Reyi_han</v>
      </c>
      <c r="C711" s="6" t="s">
        <v>6177</v>
      </c>
      <c r="D711" s="5" t="s">
        <v>6176</v>
      </c>
      <c r="E711" s="9" t="str">
        <f>HYPERLINK("https://twitter.com/Reyi_han/status/1045375676658974721","1045375676658974721")</f>
        <v>1045375676658974721</v>
      </c>
      <c r="F711" s="4"/>
      <c r="G711" s="10" t="s">
        <v>6175</v>
      </c>
      <c r="H711" s="4"/>
      <c r="I711" s="10" t="str">
        <f>HYPERLINK("http://twitter.com/download/iphone","Twitter for iPhone")</f>
        <v>Twitter for iPhone</v>
      </c>
      <c r="J711" s="2">
        <v>121</v>
      </c>
      <c r="K711" s="2">
        <v>154</v>
      </c>
      <c r="L711" s="2">
        <v>0</v>
      </c>
      <c r="M711" s="2"/>
      <c r="N711" s="8">
        <v>43087.0237037037</v>
      </c>
      <c r="O711" s="4"/>
      <c r="P711" s="3" t="s">
        <v>6174</v>
      </c>
      <c r="Q711" s="4"/>
      <c r="R711" s="4"/>
      <c r="S711" s="9" t="str">
        <f>HYPERLINK("https://pbs.twimg.com/profile_images/1045374737143255042/IAFsX_1Q.jpg","View")</f>
        <v>View</v>
      </c>
    </row>
    <row r="712" spans="1:19" ht="20">
      <c r="A712" s="8">
        <v>43370.904317129629</v>
      </c>
      <c r="B712" s="11" t="str">
        <f>HYPERLINK("https://twitter.com/pourfazl","@pourfazl")</f>
        <v>@pourfazl</v>
      </c>
      <c r="C712" s="6" t="s">
        <v>6173</v>
      </c>
      <c r="D712" s="5" t="s">
        <v>6172</v>
      </c>
      <c r="E712" s="9" t="str">
        <f>HYPERLINK("https://twitter.com/pourfazl/status/1045375572581453824","1045375572581453824")</f>
        <v>1045375572581453824</v>
      </c>
      <c r="F712" s="4"/>
      <c r="G712" s="4"/>
      <c r="H712" s="4"/>
      <c r="I712" s="10" t="str">
        <f>HYPERLINK("http://twitter.com","Twitter Web Client")</f>
        <v>Twitter Web Client</v>
      </c>
      <c r="J712" s="2">
        <v>700</v>
      </c>
      <c r="K712" s="2">
        <v>486</v>
      </c>
      <c r="L712" s="2">
        <v>2</v>
      </c>
      <c r="M712" s="2"/>
      <c r="N712" s="8">
        <v>41603.365937499999</v>
      </c>
      <c r="O712" s="4"/>
      <c r="P712" s="3" t="s">
        <v>6171</v>
      </c>
      <c r="Q712" s="4"/>
      <c r="R712" s="4"/>
      <c r="S712" s="9" t="str">
        <f>HYPERLINK("https://pbs.twimg.com/profile_images/1037345604492554241/alsMB9-P.jpg","View")</f>
        <v>View</v>
      </c>
    </row>
    <row r="713" spans="1:19" ht="20">
      <c r="A713" s="8">
        <v>43370.904074074075</v>
      </c>
      <c r="B713" s="11" t="str">
        <f>HYPERLINK("https://twitter.com/Hamid_77_","@Hamid_77_")</f>
        <v>@Hamid_77_</v>
      </c>
      <c r="C713" s="6" t="s">
        <v>6170</v>
      </c>
      <c r="D713" s="5" t="s">
        <v>6169</v>
      </c>
      <c r="E713" s="9" t="str">
        <f>HYPERLINK("https://twitter.com/Hamid_77_/status/1045375486946238465","1045375486946238465")</f>
        <v>1045375486946238465</v>
      </c>
      <c r="F713" s="4"/>
      <c r="G713" s="4"/>
      <c r="H713" s="4"/>
      <c r="I713" s="10" t="str">
        <f>HYPERLINK("http://twitter.com/download/android","Twitter for Android")</f>
        <v>Twitter for Android</v>
      </c>
      <c r="J713" s="2">
        <v>3973</v>
      </c>
      <c r="K713" s="2">
        <v>4898</v>
      </c>
      <c r="L713" s="2">
        <v>2</v>
      </c>
      <c r="M713" s="2"/>
      <c r="N713" s="8">
        <v>42943.381574074076</v>
      </c>
      <c r="O713" s="4" t="s">
        <v>6168</v>
      </c>
      <c r="P713" s="3" t="s">
        <v>6167</v>
      </c>
      <c r="Q713" s="4"/>
      <c r="R713" s="4"/>
      <c r="S713" s="9" t="str">
        <f>HYPERLINK("https://pbs.twimg.com/profile_images/893096326212104192/McEavloY.jpg","View")</f>
        <v>View</v>
      </c>
    </row>
    <row r="714" spans="1:19" ht="30">
      <c r="A714" s="8">
        <v>43370.903831018513</v>
      </c>
      <c r="B714" s="11" t="str">
        <f>HYPERLINK("https://twitter.com/Keyboard_1978","@Keyboard_1978")</f>
        <v>@Keyboard_1978</v>
      </c>
      <c r="C714" s="6" t="s">
        <v>6166</v>
      </c>
      <c r="D714" s="5" t="s">
        <v>6165</v>
      </c>
      <c r="E714" s="9" t="str">
        <f>HYPERLINK("https://twitter.com/Keyboard_1978/status/1045375398253666304","1045375398253666304")</f>
        <v>1045375398253666304</v>
      </c>
      <c r="F714" s="4"/>
      <c r="G714" s="4"/>
      <c r="H714" s="4"/>
      <c r="I714" s="10" t="str">
        <f>HYPERLINK("http://twitter.com/download/android","Twitter for Android")</f>
        <v>Twitter for Android</v>
      </c>
      <c r="J714" s="2">
        <v>65</v>
      </c>
      <c r="K714" s="2">
        <v>269</v>
      </c>
      <c r="L714" s="2">
        <v>0</v>
      </c>
      <c r="M714" s="2"/>
      <c r="N714" s="8">
        <v>40005.731377314813</v>
      </c>
      <c r="O714" s="4"/>
      <c r="P714" s="3" t="s">
        <v>6164</v>
      </c>
      <c r="Q714" s="4"/>
      <c r="R714" s="4"/>
      <c r="S714" s="9" t="str">
        <f>HYPERLINK("https://pbs.twimg.com/profile_images/1033616782416904192/AoK29e6v.jpg","View")</f>
        <v>View</v>
      </c>
    </row>
    <row r="715" spans="1:19" ht="12.5">
      <c r="A715" s="8">
        <v>43370.902974537035</v>
      </c>
      <c r="B715" s="11" t="str">
        <f>HYPERLINK("https://twitter.com/ArashJournalist","@ArashJournalist")</f>
        <v>@ArashJournalist</v>
      </c>
      <c r="C715" s="6" t="s">
        <v>6163</v>
      </c>
      <c r="D715" s="5" t="s">
        <v>6162</v>
      </c>
      <c r="E715" s="9" t="str">
        <f>HYPERLINK("https://twitter.com/ArashJournalist/status/1045375086587465733","1045375086587465733")</f>
        <v>1045375086587465733</v>
      </c>
      <c r="F715" s="4"/>
      <c r="G715" s="4"/>
      <c r="H715" s="4"/>
      <c r="I715" s="10" t="str">
        <f>HYPERLINK("http://twitter.com","Twitter Web Client")</f>
        <v>Twitter Web Client</v>
      </c>
      <c r="J715" s="2">
        <v>76</v>
      </c>
      <c r="K715" s="2">
        <v>76</v>
      </c>
      <c r="L715" s="2">
        <v>0</v>
      </c>
      <c r="M715" s="2"/>
      <c r="N715" s="8">
        <v>42554.652488425927</v>
      </c>
      <c r="O715" s="4"/>
      <c r="P715" s="3" t="s">
        <v>6161</v>
      </c>
      <c r="Q715" s="4"/>
      <c r="R715" s="4"/>
      <c r="S715" s="9" t="str">
        <f>HYPERLINK("https://pbs.twimg.com/profile_images/1034740534026412032/2IxFFGpg.jpg","View")</f>
        <v>View</v>
      </c>
    </row>
    <row r="716" spans="1:19" ht="20">
      <c r="A716" s="8">
        <v>43370.902800925927</v>
      </c>
      <c r="B716" s="11" t="str">
        <f>HYPERLINK("https://twitter.com/redgirl_samira","@redgirl_samira")</f>
        <v>@redgirl_samira</v>
      </c>
      <c r="C716" s="6" t="s">
        <v>321</v>
      </c>
      <c r="D716" s="5" t="s">
        <v>6160</v>
      </c>
      <c r="E716" s="9" t="str">
        <f>HYPERLINK("https://twitter.com/redgirl_samira/status/1045375025048637440","1045375025048637440")</f>
        <v>1045375025048637440</v>
      </c>
      <c r="F716" s="4"/>
      <c r="G716" s="4"/>
      <c r="H716" s="4"/>
      <c r="I716" s="10" t="str">
        <f>HYPERLINK("http://twitter.com/download/android","Twitter for Android")</f>
        <v>Twitter for Android</v>
      </c>
      <c r="J716" s="2">
        <v>32</v>
      </c>
      <c r="K716" s="2">
        <v>51</v>
      </c>
      <c r="L716" s="2">
        <v>0</v>
      </c>
      <c r="M716" s="2"/>
      <c r="N716" s="8">
        <v>43080.140219907407</v>
      </c>
      <c r="O716" s="4" t="s">
        <v>318</v>
      </c>
      <c r="P716" s="3" t="s">
        <v>317</v>
      </c>
      <c r="Q716" s="4"/>
      <c r="R716" s="4"/>
      <c r="S716" s="9" t="str">
        <f>HYPERLINK("https://pbs.twimg.com/profile_images/1041269033524449280/N2p9S43i.jpg","View")</f>
        <v>View</v>
      </c>
    </row>
    <row r="717" spans="1:19" ht="20">
      <c r="A717" s="8">
        <v>43370.902581018519</v>
      </c>
      <c r="B717" s="11" t="str">
        <f>HYPERLINK("https://twitter.com/yaghob_saffari","@yaghob_saffari")</f>
        <v>@yaghob_saffari</v>
      </c>
      <c r="C717" s="6" t="s">
        <v>2043</v>
      </c>
      <c r="D717" s="5" t="s">
        <v>6159</v>
      </c>
      <c r="E717" s="9" t="str">
        <f>HYPERLINK("https://twitter.com/yaghob_saffari/status/1045374942785634304","1045374942785634304")</f>
        <v>1045374942785634304</v>
      </c>
      <c r="F717" s="4"/>
      <c r="G717" s="4"/>
      <c r="H717" s="4"/>
      <c r="I717" s="10" t="str">
        <f>HYPERLINK("http://twitter.com/#!/download/ipad","Twitter for iPad")</f>
        <v>Twitter for iPad</v>
      </c>
      <c r="J717" s="2">
        <v>1539</v>
      </c>
      <c r="K717" s="2">
        <v>872</v>
      </c>
      <c r="L717" s="2">
        <v>5</v>
      </c>
      <c r="M717" s="2"/>
      <c r="N717" s="8">
        <v>43140.915925925925</v>
      </c>
      <c r="O717" s="4"/>
      <c r="P717" s="3" t="s">
        <v>2041</v>
      </c>
      <c r="Q717" s="4"/>
      <c r="R717" s="4"/>
      <c r="S717" s="9" t="str">
        <f>HYPERLINK("https://pbs.twimg.com/profile_images/989926881909661696/nMhQqsnN.jpg","View")</f>
        <v>View</v>
      </c>
    </row>
    <row r="718" spans="1:19" ht="20">
      <c r="A718" s="8">
        <v>43370.902280092589</v>
      </c>
      <c r="B718" s="11" t="str">
        <f>HYPERLINK("https://twitter.com/pakdel_mahnaz","@pakdel_mahnaz")</f>
        <v>@pakdel_mahnaz</v>
      </c>
      <c r="C718" s="6" t="s">
        <v>6158</v>
      </c>
      <c r="D718" s="5" t="s">
        <v>6157</v>
      </c>
      <c r="E718" s="9" t="str">
        <f>HYPERLINK("https://twitter.com/pakdel_mahnaz/status/1045374835839328257","1045374835839328257")</f>
        <v>1045374835839328257</v>
      </c>
      <c r="F718" s="4"/>
      <c r="G718" s="4"/>
      <c r="H718" s="4"/>
      <c r="I718" s="10" t="str">
        <f>HYPERLINK("http://twitter.com/download/iphone","Twitter for iPhone")</f>
        <v>Twitter for iPhone</v>
      </c>
      <c r="J718" s="2">
        <v>39</v>
      </c>
      <c r="K718" s="2">
        <v>113</v>
      </c>
      <c r="L718" s="2">
        <v>0</v>
      </c>
      <c r="M718" s="2"/>
      <c r="N718" s="8">
        <v>42895.087708333333</v>
      </c>
      <c r="O718" s="4" t="s">
        <v>200</v>
      </c>
      <c r="P718" s="12" t="s">
        <v>6156</v>
      </c>
      <c r="Q718" s="10" t="s">
        <v>6155</v>
      </c>
      <c r="R718" s="4"/>
      <c r="S718" s="9" t="str">
        <f>HYPERLINK("https://pbs.twimg.com/profile_images/881978210640154624/J0lL9H4g.jpg","View")</f>
        <v>View</v>
      </c>
    </row>
    <row r="719" spans="1:19" ht="30">
      <c r="A719" s="8">
        <v>43370.902268518519</v>
      </c>
      <c r="B719" s="11" t="str">
        <f>HYPERLINK("https://twitter.com/rezanaderiii","@rezanaderiii")</f>
        <v>@rezanaderiii</v>
      </c>
      <c r="C719" s="6" t="s">
        <v>6154</v>
      </c>
      <c r="D719" s="5" t="s">
        <v>6153</v>
      </c>
      <c r="E719" s="9" t="str">
        <f>HYPERLINK("https://twitter.com/rezanaderiii/status/1045374830411952129","1045374830411952129")</f>
        <v>1045374830411952129</v>
      </c>
      <c r="F719" s="4"/>
      <c r="G719" s="4"/>
      <c r="H719" s="4"/>
      <c r="I719" s="10" t="str">
        <f>HYPERLINK("http://twitter.com/download/android","Twitter for Android")</f>
        <v>Twitter for Android</v>
      </c>
      <c r="J719" s="2">
        <v>4</v>
      </c>
      <c r="K719" s="2">
        <v>7</v>
      </c>
      <c r="L719" s="2">
        <v>0</v>
      </c>
      <c r="M719" s="2"/>
      <c r="N719" s="8">
        <v>43007.452511574069</v>
      </c>
      <c r="O719" s="4"/>
      <c r="P719" s="3"/>
      <c r="Q719" s="10" t="s">
        <v>6152</v>
      </c>
      <c r="R719" s="4"/>
      <c r="S719" s="9" t="str">
        <f>HYPERLINK("https://pbs.twimg.com/profile_images/1043220010318086144/XeVpH3MT.jpg","View")</f>
        <v>View</v>
      </c>
    </row>
    <row r="720" spans="1:19" ht="30">
      <c r="A720" s="8">
        <v>43370.901724537034</v>
      </c>
      <c r="B720" s="11" t="str">
        <f>HYPERLINK("https://twitter.com/amir758kh","@amir758kh")</f>
        <v>@amir758kh</v>
      </c>
      <c r="C720" s="6" t="s">
        <v>681</v>
      </c>
      <c r="D720" s="5" t="s">
        <v>6151</v>
      </c>
      <c r="E720" s="9" t="str">
        <f>HYPERLINK("https://twitter.com/amir758kh/status/1045374635024338944","1045374635024338944")</f>
        <v>1045374635024338944</v>
      </c>
      <c r="F720" s="4"/>
      <c r="G720" s="10" t="s">
        <v>6150</v>
      </c>
      <c r="H720" s="4"/>
      <c r="I720" s="10" t="str">
        <f>HYPERLINK("http://twitter.com/download/android","Twitter for Android")</f>
        <v>Twitter for Android</v>
      </c>
      <c r="J720" s="2">
        <v>185</v>
      </c>
      <c r="K720" s="2">
        <v>321</v>
      </c>
      <c r="L720" s="2">
        <v>0</v>
      </c>
      <c r="M720" s="2"/>
      <c r="N720" s="8">
        <v>41240.859444444446</v>
      </c>
      <c r="O720" s="4" t="s">
        <v>679</v>
      </c>
      <c r="P720" s="3" t="s">
        <v>678</v>
      </c>
      <c r="Q720" s="4"/>
      <c r="R720" s="4"/>
      <c r="S720" s="9" t="str">
        <f>HYPERLINK("https://pbs.twimg.com/profile_images/1013281762850504705/RmQek73U.jpg","View")</f>
        <v>View</v>
      </c>
    </row>
    <row r="721" spans="1:19" ht="40">
      <c r="A721" s="8">
        <v>43370.901608796295</v>
      </c>
      <c r="B721" s="11" t="str">
        <f>HYPERLINK("https://twitter.com/ThenardierCuz","@ThenardierCuz")</f>
        <v>@ThenardierCuz</v>
      </c>
      <c r="C721" s="6" t="s">
        <v>6149</v>
      </c>
      <c r="D721" s="5" t="s">
        <v>6148</v>
      </c>
      <c r="E721" s="9" t="str">
        <f>HYPERLINK("https://twitter.com/ThenardierCuz/status/1045374591353401344","1045374591353401344")</f>
        <v>1045374591353401344</v>
      </c>
      <c r="F721" s="4"/>
      <c r="G721" s="4"/>
      <c r="H721" s="4"/>
      <c r="I721" s="10" t="str">
        <f>HYPERLINK("http://twitter.com/download/android","Twitter for Android")</f>
        <v>Twitter for Android</v>
      </c>
      <c r="J721" s="2">
        <v>1904</v>
      </c>
      <c r="K721" s="2">
        <v>2212</v>
      </c>
      <c r="L721" s="2">
        <v>13</v>
      </c>
      <c r="M721" s="2"/>
      <c r="N721" s="8">
        <v>41224.125034722223</v>
      </c>
      <c r="O721" s="4" t="s">
        <v>200</v>
      </c>
      <c r="P721" s="3" t="s">
        <v>6147</v>
      </c>
      <c r="Q721" s="10" t="s">
        <v>6146</v>
      </c>
      <c r="R721" s="4"/>
      <c r="S721" s="9" t="str">
        <f>HYPERLINK("https://pbs.twimg.com/profile_images/1023454040510918656/GUUrek9r.jpg","View")</f>
        <v>View</v>
      </c>
    </row>
    <row r="722" spans="1:19" ht="12.5">
      <c r="A722" s="8">
        <v>43370.901469907403</v>
      </c>
      <c r="B722" s="11" t="str">
        <f>HYPERLINK("https://twitter.com/me22di","@me22di")</f>
        <v>@me22di</v>
      </c>
      <c r="C722" s="6" t="s">
        <v>6145</v>
      </c>
      <c r="D722" s="5" t="s">
        <v>6144</v>
      </c>
      <c r="E722" s="9" t="str">
        <f>HYPERLINK("https://twitter.com/me22di/status/1045374541281865730","1045374541281865730")</f>
        <v>1045374541281865730</v>
      </c>
      <c r="F722" s="4"/>
      <c r="G722" s="4"/>
      <c r="H722" s="4"/>
      <c r="I722" s="10" t="str">
        <f>HYPERLINK("http://twitter.com/download/android","Twitter for Android")</f>
        <v>Twitter for Android</v>
      </c>
      <c r="J722" s="2">
        <v>248</v>
      </c>
      <c r="K722" s="2">
        <v>247</v>
      </c>
      <c r="L722" s="2">
        <v>0</v>
      </c>
      <c r="M722" s="2"/>
      <c r="N722" s="8">
        <v>42430.580358796295</v>
      </c>
      <c r="O722" s="4" t="s">
        <v>6143</v>
      </c>
      <c r="P722" s="3"/>
      <c r="Q722" s="4"/>
      <c r="R722" s="4"/>
      <c r="S722" s="9" t="str">
        <f>HYPERLINK("https://pbs.twimg.com/profile_images/1039238064604897282/wESks0Gc.jpg","View")</f>
        <v>View</v>
      </c>
    </row>
    <row r="723" spans="1:19" ht="12.5">
      <c r="A723" s="8">
        <v>43370.901423611111</v>
      </c>
      <c r="B723" s="11" t="str">
        <f>HYPERLINK("https://twitter.com/pejman_seidal","@pejman_seidal")</f>
        <v>@pejman_seidal</v>
      </c>
      <c r="C723" s="6" t="s">
        <v>6142</v>
      </c>
      <c r="D723" s="5" t="s">
        <v>6141</v>
      </c>
      <c r="E723" s="9" t="str">
        <f>HYPERLINK("https://twitter.com/pejman_seidal/status/1045374523779022849","1045374523779022849")</f>
        <v>1045374523779022849</v>
      </c>
      <c r="F723" s="4"/>
      <c r="G723" s="4"/>
      <c r="H723" s="4"/>
      <c r="I723" s="10" t="str">
        <f>HYPERLINK("http://twitter.com/download/android","Twitter for Android")</f>
        <v>Twitter for Android</v>
      </c>
      <c r="J723" s="2">
        <v>26</v>
      </c>
      <c r="K723" s="2">
        <v>48</v>
      </c>
      <c r="L723" s="2">
        <v>0</v>
      </c>
      <c r="M723" s="2"/>
      <c r="N723" s="8">
        <v>42759.913310185184</v>
      </c>
      <c r="O723" s="4" t="s">
        <v>6140</v>
      </c>
      <c r="P723" s="3"/>
      <c r="Q723" s="4"/>
      <c r="R723" s="4"/>
      <c r="S723" s="9" t="str">
        <f>HYPERLINK("https://pbs.twimg.com/profile_images/1016092890123075586/PzeDzYAJ.jpg","View")</f>
        <v>View</v>
      </c>
    </row>
    <row r="724" spans="1:19" ht="30">
      <c r="A724" s="8">
        <v>43370.901284722218</v>
      </c>
      <c r="B724" s="11" t="str">
        <f>HYPERLINK("https://twitter.com/m8kJfaOk5CUW0GU","@m8kJfaOk5CUW0GU")</f>
        <v>@m8kJfaOk5CUW0GU</v>
      </c>
      <c r="C724" s="6" t="s">
        <v>6139</v>
      </c>
      <c r="D724" s="5" t="s">
        <v>6138</v>
      </c>
      <c r="E724" s="9" t="str">
        <f>HYPERLINK("https://twitter.com/m8kJfaOk5CUW0GU/status/1045374475032821760","1045374475032821760")</f>
        <v>1045374475032821760</v>
      </c>
      <c r="F724" s="4"/>
      <c r="G724" s="4"/>
      <c r="H724" s="4"/>
      <c r="I724" s="10" t="str">
        <f>HYPERLINK("http://twitter.com/download/android","Twitter for Android")</f>
        <v>Twitter for Android</v>
      </c>
      <c r="J724" s="2">
        <v>68</v>
      </c>
      <c r="K724" s="2">
        <v>186</v>
      </c>
      <c r="L724" s="2">
        <v>0</v>
      </c>
      <c r="M724" s="2"/>
      <c r="N724" s="8">
        <v>43185.919074074074</v>
      </c>
      <c r="O724" s="4" t="s">
        <v>6137</v>
      </c>
      <c r="P724" s="3" t="s">
        <v>6136</v>
      </c>
      <c r="Q724" s="4"/>
      <c r="R724" s="4"/>
      <c r="S724" s="9" t="str">
        <f>HYPERLINK("https://pbs.twimg.com/profile_images/1045361997842395136/rnpxH_OJ.jpg","View")</f>
        <v>View</v>
      </c>
    </row>
    <row r="725" spans="1:19" ht="20">
      <c r="A725" s="8">
        <v>43370.901203703703</v>
      </c>
      <c r="B725" s="11" t="str">
        <f>HYPERLINK("https://twitter.com/ManMeysam","@ManMeysam")</f>
        <v>@ManMeysam</v>
      </c>
      <c r="C725" s="6" t="s">
        <v>472</v>
      </c>
      <c r="D725" s="5" t="s">
        <v>6135</v>
      </c>
      <c r="E725" s="9" t="str">
        <f>HYPERLINK("https://twitter.com/ManMeysam/status/1045374443604914181","1045374443604914181")</f>
        <v>1045374443604914181</v>
      </c>
      <c r="F725" s="4"/>
      <c r="G725" s="10" t="s">
        <v>6134</v>
      </c>
      <c r="H725" s="4"/>
      <c r="I725" s="10" t="str">
        <f>HYPERLINK("http://twitter.com/download/android","Twitter for Android")</f>
        <v>Twitter for Android</v>
      </c>
      <c r="J725" s="2">
        <v>738</v>
      </c>
      <c r="K725" s="2">
        <v>90</v>
      </c>
      <c r="L725" s="2">
        <v>2</v>
      </c>
      <c r="M725" s="2"/>
      <c r="N725" s="8">
        <v>43080.934756944444</v>
      </c>
      <c r="O725" s="4"/>
      <c r="P725" s="3" t="s">
        <v>470</v>
      </c>
      <c r="Q725" s="4"/>
      <c r="R725" s="4"/>
      <c r="S725" s="9" t="str">
        <f>HYPERLINK("https://pbs.twimg.com/profile_images/990240817024589824/h1PmTrjf.jpg","View")</f>
        <v>View</v>
      </c>
    </row>
    <row r="726" spans="1:19" ht="30">
      <c r="A726" s="8">
        <v>43370.90079861111</v>
      </c>
      <c r="B726" s="11" t="str">
        <f>HYPERLINK("https://twitter.com/MizanPhoto","@MizanPhoto")</f>
        <v>@MizanPhoto</v>
      </c>
      <c r="C726" s="6" t="s">
        <v>287</v>
      </c>
      <c r="D726" s="5" t="s">
        <v>6133</v>
      </c>
      <c r="E726" s="9" t="str">
        <f>HYPERLINK("https://twitter.com/MizanPhoto/status/1045374299077574656","1045374299077574656")</f>
        <v>1045374299077574656</v>
      </c>
      <c r="F726" s="10" t="s">
        <v>6132</v>
      </c>
      <c r="G726" s="10" t="s">
        <v>6131</v>
      </c>
      <c r="H726" s="4"/>
      <c r="I726" s="10" t="str">
        <f>HYPERLINK("http://twitter.com/download/iphone","Twitter for iPhone")</f>
        <v>Twitter for iPhone</v>
      </c>
      <c r="J726" s="2">
        <v>529</v>
      </c>
      <c r="K726" s="2">
        <v>29</v>
      </c>
      <c r="L726" s="2">
        <v>4</v>
      </c>
      <c r="M726" s="2"/>
      <c r="N726" s="8">
        <v>43235.8044212963</v>
      </c>
      <c r="O726" s="4" t="s">
        <v>200</v>
      </c>
      <c r="P726" s="3" t="s">
        <v>283</v>
      </c>
      <c r="Q726" s="10" t="s">
        <v>282</v>
      </c>
      <c r="R726" s="4"/>
      <c r="S726" s="9" t="str">
        <f>HYPERLINK("https://pbs.twimg.com/profile_images/996413934839230467/xy1Ku2x3.jpg","View")</f>
        <v>View</v>
      </c>
    </row>
    <row r="727" spans="1:19" ht="20">
      <c r="A727" s="8">
        <v>43370.900787037041</v>
      </c>
      <c r="B727" s="11" t="str">
        <f>HYPERLINK("https://twitter.com/hamed_sh80","@hamed_sh80")</f>
        <v>@hamed_sh80</v>
      </c>
      <c r="C727" s="6" t="s">
        <v>6111</v>
      </c>
      <c r="D727" s="5" t="s">
        <v>6130</v>
      </c>
      <c r="E727" s="9" t="str">
        <f>HYPERLINK("https://twitter.com/hamed_sh80/status/1045374294602248192","1045374294602248192")</f>
        <v>1045374294602248192</v>
      </c>
      <c r="F727" s="4"/>
      <c r="G727" s="10" t="s">
        <v>6129</v>
      </c>
      <c r="H727" s="4"/>
      <c r="I727" s="10" t="str">
        <f>HYPERLINK("http://twitter.com/download/android","Twitter for Android")</f>
        <v>Twitter for Android</v>
      </c>
      <c r="J727" s="2">
        <v>207</v>
      </c>
      <c r="K727" s="2">
        <v>162</v>
      </c>
      <c r="L727" s="2">
        <v>0</v>
      </c>
      <c r="M727" s="2"/>
      <c r="N727" s="8">
        <v>42644.394363425927</v>
      </c>
      <c r="O727" s="4"/>
      <c r="P727" s="3" t="s">
        <v>6108</v>
      </c>
      <c r="Q727" s="10" t="s">
        <v>6107</v>
      </c>
      <c r="R727" s="4"/>
      <c r="S727" s="9" t="str">
        <f>HYPERLINK("https://pbs.twimg.com/profile_images/1018953561164656640/idMxqGPO.jpg","View")</f>
        <v>View</v>
      </c>
    </row>
    <row r="728" spans="1:19" ht="20">
      <c r="A728" s="8">
        <v>43370.900729166664</v>
      </c>
      <c r="B728" s="11" t="str">
        <f>HYPERLINK("https://twitter.com/Bikhiyal99","@Bikhiyal99")</f>
        <v>@Bikhiyal99</v>
      </c>
      <c r="C728" s="6" t="s">
        <v>6128</v>
      </c>
      <c r="D728" s="5" t="s">
        <v>6127</v>
      </c>
      <c r="E728" s="9" t="str">
        <f>HYPERLINK("https://twitter.com/Bikhiyal99/status/1045374273462960135","1045374273462960135")</f>
        <v>1045374273462960135</v>
      </c>
      <c r="F728" s="4"/>
      <c r="G728" s="4"/>
      <c r="H728" s="4"/>
      <c r="I728" s="10" t="str">
        <f>HYPERLINK("http://twitter.com/download/android","Twitter for Android")</f>
        <v>Twitter for Android</v>
      </c>
      <c r="J728" s="2">
        <v>6</v>
      </c>
      <c r="K728" s="2">
        <v>19</v>
      </c>
      <c r="L728" s="2">
        <v>0</v>
      </c>
      <c r="M728" s="2"/>
      <c r="N728" s="8">
        <v>43106.131412037037</v>
      </c>
      <c r="O728" s="4"/>
      <c r="P728" s="3" t="s">
        <v>6126</v>
      </c>
      <c r="Q728" s="4"/>
      <c r="R728" s="4"/>
      <c r="S728" s="9" t="str">
        <f>HYPERLINK("https://pbs.twimg.com/profile_images/993608035598831617/C-qlTAkc.jpg","View")</f>
        <v>View</v>
      </c>
    </row>
    <row r="729" spans="1:19" ht="20">
      <c r="A729" s="8">
        <v>43370.900219907402</v>
      </c>
      <c r="B729" s="11" t="str">
        <f>HYPERLINK("https://twitter.com/babifrown","@babifrown")</f>
        <v>@babifrown</v>
      </c>
      <c r="C729" s="6" t="s">
        <v>6125</v>
      </c>
      <c r="D729" s="5" t="s">
        <v>6124</v>
      </c>
      <c r="E729" s="9" t="str">
        <f>HYPERLINK("https://twitter.com/babifrown/status/1045374090155085825","1045374090155085825")</f>
        <v>1045374090155085825</v>
      </c>
      <c r="F729" s="4"/>
      <c r="G729" s="4"/>
      <c r="H729" s="4"/>
      <c r="I729" s="10" t="str">
        <f>HYPERLINK("http://twitter.com/download/iphone","Twitter for iPhone")</f>
        <v>Twitter for iPhone</v>
      </c>
      <c r="J729" s="2">
        <v>184</v>
      </c>
      <c r="K729" s="2">
        <v>279</v>
      </c>
      <c r="L729" s="2">
        <v>4</v>
      </c>
      <c r="M729" s="2"/>
      <c r="N729" s="8">
        <v>42792.227465277778</v>
      </c>
      <c r="O729" s="4" t="s">
        <v>6123</v>
      </c>
      <c r="P729" s="3"/>
      <c r="Q729" s="10" t="s">
        <v>6122</v>
      </c>
      <c r="R729" s="4"/>
      <c r="S729" s="9" t="str">
        <f>HYPERLINK("https://pbs.twimg.com/profile_images/1034167747746451456/v2pNt7Wx.jpg","View")</f>
        <v>View</v>
      </c>
    </row>
    <row r="730" spans="1:19" ht="20">
      <c r="A730" s="8">
        <v>43370.900046296301</v>
      </c>
      <c r="B730" s="11" t="str">
        <f>HYPERLINK("https://twitter.com/s315z","@s315z")</f>
        <v>@s315z</v>
      </c>
      <c r="C730" s="6" t="s">
        <v>6121</v>
      </c>
      <c r="D730" s="5" t="s">
        <v>6120</v>
      </c>
      <c r="E730" s="9" t="str">
        <f>HYPERLINK("https://twitter.com/s315z/status/1045374024665182208","1045374024665182208")</f>
        <v>1045374024665182208</v>
      </c>
      <c r="F730" s="4"/>
      <c r="G730" s="4"/>
      <c r="H730" s="4"/>
      <c r="I730" s="10" t="str">
        <f>HYPERLINK("http://twitter.com/download/android","Twitter for Android")</f>
        <v>Twitter for Android</v>
      </c>
      <c r="J730" s="2">
        <v>2223</v>
      </c>
      <c r="K730" s="2">
        <v>1897</v>
      </c>
      <c r="L730" s="2">
        <v>5</v>
      </c>
      <c r="M730" s="2"/>
      <c r="N730" s="8">
        <v>43227.672037037039</v>
      </c>
      <c r="O730" s="4" t="s">
        <v>200</v>
      </c>
      <c r="P730" s="3" t="s">
        <v>6119</v>
      </c>
      <c r="Q730" s="4"/>
      <c r="R730" s="4"/>
      <c r="S730" s="9" t="str">
        <f>HYPERLINK("https://pbs.twimg.com/profile_images/1044731566734422017/gfLmdERq.jpg","View")</f>
        <v>View</v>
      </c>
    </row>
    <row r="731" spans="1:19" ht="30">
      <c r="A731" s="8">
        <v>43370.900011574078</v>
      </c>
      <c r="B731" s="11" t="str">
        <f>HYPERLINK("https://twitter.com/amir758kh","@amir758kh")</f>
        <v>@amir758kh</v>
      </c>
      <c r="C731" s="6" t="s">
        <v>681</v>
      </c>
      <c r="D731" s="5" t="s">
        <v>6118</v>
      </c>
      <c r="E731" s="9" t="str">
        <f>HYPERLINK("https://twitter.com/amir758kh/status/1045374013353017344","1045374013353017344")</f>
        <v>1045374013353017344</v>
      </c>
      <c r="F731" s="4"/>
      <c r="G731" s="4"/>
      <c r="H731" s="4"/>
      <c r="I731" s="10" t="str">
        <f>HYPERLINK("http://twitter.com/download/android","Twitter for Android")</f>
        <v>Twitter for Android</v>
      </c>
      <c r="J731" s="2">
        <v>185</v>
      </c>
      <c r="K731" s="2">
        <v>321</v>
      </c>
      <c r="L731" s="2">
        <v>0</v>
      </c>
      <c r="M731" s="2"/>
      <c r="N731" s="8">
        <v>41240.859444444446</v>
      </c>
      <c r="O731" s="4" t="s">
        <v>679</v>
      </c>
      <c r="P731" s="3" t="s">
        <v>678</v>
      </c>
      <c r="Q731" s="4"/>
      <c r="R731" s="4"/>
      <c r="S731" s="9" t="str">
        <f>HYPERLINK("https://pbs.twimg.com/profile_images/1013281762850504705/RmQek73U.jpg","View")</f>
        <v>View</v>
      </c>
    </row>
    <row r="732" spans="1:19" ht="20">
      <c r="A732" s="8">
        <v>43370.899606481486</v>
      </c>
      <c r="B732" s="11" t="str">
        <f>HYPERLINK("https://twitter.com/haleFollowsyou","@haleFollowsyou")</f>
        <v>@haleFollowsyou</v>
      </c>
      <c r="C732" s="6" t="s">
        <v>6117</v>
      </c>
      <c r="D732" s="5" t="s">
        <v>6116</v>
      </c>
      <c r="E732" s="9" t="str">
        <f>HYPERLINK("https://twitter.com/haleFollowsyou/status/1045373867512999936","1045373867512999936")</f>
        <v>1045373867512999936</v>
      </c>
      <c r="F732" s="4"/>
      <c r="G732" s="4"/>
      <c r="H732" s="4"/>
      <c r="I732" s="10" t="str">
        <f>HYPERLINK("http://twitter.com/download/android","Twitter for Android")</f>
        <v>Twitter for Android</v>
      </c>
      <c r="J732" s="2">
        <v>3699</v>
      </c>
      <c r="K732" s="2">
        <v>3548</v>
      </c>
      <c r="L732" s="2">
        <v>1</v>
      </c>
      <c r="M732" s="2"/>
      <c r="N732" s="8">
        <v>43088.462106481486</v>
      </c>
      <c r="O732" s="4"/>
      <c r="P732" s="3" t="s">
        <v>6115</v>
      </c>
      <c r="Q732" s="4"/>
      <c r="R732" s="4"/>
      <c r="S732" s="9" t="str">
        <f>HYPERLINK("https://pbs.twimg.com/profile_images/945894257079943170/JK5r5pnZ.jpg","View")</f>
        <v>View</v>
      </c>
    </row>
    <row r="733" spans="1:19" ht="20">
      <c r="A733" s="8">
        <v>43370.89943287037</v>
      </c>
      <c r="B733" s="11" t="str">
        <f>HYPERLINK("https://twitter.com/Saeed_21_S","@Saeed_21_S")</f>
        <v>@Saeed_21_S</v>
      </c>
      <c r="C733" s="6" t="s">
        <v>6114</v>
      </c>
      <c r="D733" s="5" t="s">
        <v>6113</v>
      </c>
      <c r="E733" s="9" t="str">
        <f>HYPERLINK("https://twitter.com/Saeed_21_S/status/1045373802107097093","1045373802107097093")</f>
        <v>1045373802107097093</v>
      </c>
      <c r="F733" s="4"/>
      <c r="G733" s="4"/>
      <c r="H733" s="4"/>
      <c r="I733" s="10" t="str">
        <f>HYPERLINK("http://twitter.com/download/android","Twitter for Android")</f>
        <v>Twitter for Android</v>
      </c>
      <c r="J733" s="2">
        <v>3491</v>
      </c>
      <c r="K733" s="2">
        <v>3331</v>
      </c>
      <c r="L733" s="2">
        <v>2</v>
      </c>
      <c r="M733" s="2"/>
      <c r="N733" s="8">
        <v>43202.594814814816</v>
      </c>
      <c r="O733" s="4" t="s">
        <v>556</v>
      </c>
      <c r="P733" s="3" t="s">
        <v>6112</v>
      </c>
      <c r="Q733" s="4"/>
      <c r="R733" s="4"/>
      <c r="S733" s="9" t="str">
        <f>HYPERLINK("https://pbs.twimg.com/profile_images/1030777051614203904/LZ-uag2s.jpg","View")</f>
        <v>View</v>
      </c>
    </row>
    <row r="734" spans="1:19" ht="20">
      <c r="A734" s="8">
        <v>43370.899340277778</v>
      </c>
      <c r="B734" s="11" t="str">
        <f>HYPERLINK("https://twitter.com/hamed_sh80","@hamed_sh80")</f>
        <v>@hamed_sh80</v>
      </c>
      <c r="C734" s="6" t="s">
        <v>6111</v>
      </c>
      <c r="D734" s="5" t="s">
        <v>6110</v>
      </c>
      <c r="E734" s="9" t="str">
        <f>HYPERLINK("https://twitter.com/hamed_sh80/status/1045373770838544384","1045373770838544384")</f>
        <v>1045373770838544384</v>
      </c>
      <c r="F734" s="4"/>
      <c r="G734" s="10" t="s">
        <v>6109</v>
      </c>
      <c r="H734" s="4"/>
      <c r="I734" s="10" t="str">
        <f>HYPERLINK("http://twitter.com/download/android","Twitter for Android")</f>
        <v>Twitter for Android</v>
      </c>
      <c r="J734" s="2">
        <v>207</v>
      </c>
      <c r="K734" s="2">
        <v>162</v>
      </c>
      <c r="L734" s="2">
        <v>0</v>
      </c>
      <c r="M734" s="2"/>
      <c r="N734" s="8">
        <v>42644.394363425927</v>
      </c>
      <c r="O734" s="4"/>
      <c r="P734" s="3" t="s">
        <v>6108</v>
      </c>
      <c r="Q734" s="10" t="s">
        <v>6107</v>
      </c>
      <c r="R734" s="4"/>
      <c r="S734" s="9" t="str">
        <f>HYPERLINK("https://pbs.twimg.com/profile_images/1018953561164656640/idMxqGPO.jpg","View")</f>
        <v>View</v>
      </c>
    </row>
    <row r="735" spans="1:19" ht="20">
      <c r="A735" s="8">
        <v>43370.899282407408</v>
      </c>
      <c r="B735" s="11" t="str">
        <f>HYPERLINK("https://twitter.com/MHqorbani","@MHqorbani")</f>
        <v>@MHqorbani</v>
      </c>
      <c r="C735" s="6" t="s">
        <v>6106</v>
      </c>
      <c r="D735" s="5" t="s">
        <v>6105</v>
      </c>
      <c r="E735" s="9" t="str">
        <f>HYPERLINK("https://twitter.com/MHqorbani/status/1045373750869463041","1045373750869463041")</f>
        <v>1045373750869463041</v>
      </c>
      <c r="F735" s="4"/>
      <c r="G735" s="4"/>
      <c r="H735" s="4"/>
      <c r="I735" s="10" t="str">
        <f>HYPERLINK("http://twitter.com/download/android","Twitter for Android")</f>
        <v>Twitter for Android</v>
      </c>
      <c r="J735" s="2">
        <v>71</v>
      </c>
      <c r="K735" s="2">
        <v>173</v>
      </c>
      <c r="L735" s="2">
        <v>1</v>
      </c>
      <c r="M735" s="2"/>
      <c r="N735" s="8">
        <v>43285.879803240736</v>
      </c>
      <c r="O735" s="4"/>
      <c r="P735" s="3" t="s">
        <v>6104</v>
      </c>
      <c r="Q735" s="4"/>
      <c r="R735" s="4"/>
      <c r="S735" s="9" t="str">
        <f>HYPERLINK("https://pbs.twimg.com/profile_images/1041182190493736961/ib3xbR2f.jpg","View")</f>
        <v>View</v>
      </c>
    </row>
    <row r="736" spans="1:19" ht="40">
      <c r="A736" s="8">
        <v>43370.899282407408</v>
      </c>
      <c r="B736" s="11" t="str">
        <f>HYPERLINK("https://twitter.com/ManMeysam","@ManMeysam")</f>
        <v>@ManMeysam</v>
      </c>
      <c r="C736" s="6" t="s">
        <v>472</v>
      </c>
      <c r="D736" s="5" t="s">
        <v>6103</v>
      </c>
      <c r="E736" s="9" t="str">
        <f>HYPERLINK("https://twitter.com/ManMeysam/status/1045373750399705088","1045373750399705088")</f>
        <v>1045373750399705088</v>
      </c>
      <c r="F736" s="4"/>
      <c r="G736" s="4"/>
      <c r="H736" s="4"/>
      <c r="I736" s="10" t="str">
        <f>HYPERLINK("http://twitter.com/download/android","Twitter for Android")</f>
        <v>Twitter for Android</v>
      </c>
      <c r="J736" s="2">
        <v>738</v>
      </c>
      <c r="K736" s="2">
        <v>90</v>
      </c>
      <c r="L736" s="2">
        <v>2</v>
      </c>
      <c r="M736" s="2"/>
      <c r="N736" s="8">
        <v>43080.934756944444</v>
      </c>
      <c r="O736" s="4"/>
      <c r="P736" s="3" t="s">
        <v>470</v>
      </c>
      <c r="Q736" s="4"/>
      <c r="R736" s="4"/>
      <c r="S736" s="9" t="str">
        <f>HYPERLINK("https://pbs.twimg.com/profile_images/990240817024589824/h1PmTrjf.jpg","View")</f>
        <v>View</v>
      </c>
    </row>
    <row r="737" spans="1:19" ht="40">
      <c r="A737" s="8">
        <v>43370.899270833332</v>
      </c>
      <c r="B737" s="11" t="str">
        <f>HYPERLINK("https://twitter.com/ladyhnygaga","@ladyhnygaga")</f>
        <v>@ladyhnygaga</v>
      </c>
      <c r="C737" s="6" t="s">
        <v>1541</v>
      </c>
      <c r="D737" s="5" t="s">
        <v>6102</v>
      </c>
      <c r="E737" s="9" t="str">
        <f>HYPERLINK("https://twitter.com/ladyhnygaga/status/1045373742837354498","1045373742837354498")</f>
        <v>1045373742837354498</v>
      </c>
      <c r="F737" s="4"/>
      <c r="G737" s="4"/>
      <c r="H737" s="4"/>
      <c r="I737" s="10" t="str">
        <f>HYPERLINK("http://twitter.com/download/android","Twitter for Android")</f>
        <v>Twitter for Android</v>
      </c>
      <c r="J737" s="2">
        <v>1881</v>
      </c>
      <c r="K737" s="2">
        <v>251</v>
      </c>
      <c r="L737" s="2">
        <v>11</v>
      </c>
      <c r="M737" s="2"/>
      <c r="N737" s="8">
        <v>42639.110648148147</v>
      </c>
      <c r="O737" s="4" t="s">
        <v>1540</v>
      </c>
      <c r="P737" s="3" t="s">
        <v>1539</v>
      </c>
      <c r="Q737" s="4"/>
      <c r="R737" s="4"/>
      <c r="S737" s="9" t="str">
        <f>HYPERLINK("https://pbs.twimg.com/profile_images/1041705167736000513/ckTnPCuv.jpg","View")</f>
        <v>View</v>
      </c>
    </row>
    <row r="738" spans="1:19" ht="12.5">
      <c r="A738" s="8">
        <v>43370.888124999998</v>
      </c>
      <c r="B738" s="11" t="str">
        <f>HYPERLINK("https://twitter.com/may3am89","@may3am89")</f>
        <v>@may3am89</v>
      </c>
      <c r="C738" s="6" t="s">
        <v>5689</v>
      </c>
      <c r="D738" s="5" t="s">
        <v>6101</v>
      </c>
      <c r="E738" s="9" t="str">
        <f>HYPERLINK("https://twitter.com/may3am89/status/1045369706176106496","1045369706176106496")</f>
        <v>1045369706176106496</v>
      </c>
      <c r="F738" s="4"/>
      <c r="G738" s="4"/>
      <c r="H738" s="4"/>
      <c r="I738" s="10" t="str">
        <f>HYPERLINK("https://mobile.twitter.com","Twitter Lite")</f>
        <v>Twitter Lite</v>
      </c>
      <c r="J738" s="2">
        <v>234</v>
      </c>
      <c r="K738" s="2">
        <v>2214</v>
      </c>
      <c r="L738" s="2">
        <v>0</v>
      </c>
      <c r="M738" s="2"/>
      <c r="N738" s="8">
        <v>43050.979016203702</v>
      </c>
      <c r="O738" s="4" t="s">
        <v>5687</v>
      </c>
      <c r="P738" s="3"/>
      <c r="Q738" s="10" t="s">
        <v>5686</v>
      </c>
      <c r="R738" s="4"/>
      <c r="S738" s="9" t="str">
        <f>HYPERLINK("https://pbs.twimg.com/profile_images/1035516585648291841/Pumoxwtm.jpg","View")</f>
        <v>View</v>
      </c>
    </row>
    <row r="739" spans="1:19" ht="30">
      <c r="A739" s="8">
        <v>43370.888067129628</v>
      </c>
      <c r="B739" s="11" t="str">
        <f>HYPERLINK("https://twitter.com/Atiyehnajari","@Atiyehnajari")</f>
        <v>@Atiyehnajari</v>
      </c>
      <c r="C739" s="6" t="s">
        <v>6100</v>
      </c>
      <c r="D739" s="5" t="s">
        <v>6099</v>
      </c>
      <c r="E739" s="9" t="str">
        <f>HYPERLINK("https://twitter.com/Atiyehnajari/status/1045369685905031168","1045369685905031168")</f>
        <v>1045369685905031168</v>
      </c>
      <c r="F739" s="4"/>
      <c r="G739" s="4"/>
      <c r="H739" s="4"/>
      <c r="I739" s="10" t="str">
        <f>HYPERLINK("http://twitter.com/download/android","Twitter for Android")</f>
        <v>Twitter for Android</v>
      </c>
      <c r="J739" s="2">
        <v>15</v>
      </c>
      <c r="K739" s="2">
        <v>24</v>
      </c>
      <c r="L739" s="2">
        <v>0</v>
      </c>
      <c r="M739" s="2"/>
      <c r="N739" s="8">
        <v>43106.875844907408</v>
      </c>
      <c r="O739" s="4" t="s">
        <v>6098</v>
      </c>
      <c r="P739" s="3" t="s">
        <v>6097</v>
      </c>
      <c r="Q739" s="4"/>
      <c r="R739" s="4"/>
      <c r="S739" s="9" t="str">
        <f>HYPERLINK("https://pbs.twimg.com/profile_images/949700865329377287/3QZW9-Id.jpg","View")</f>
        <v>View</v>
      </c>
    </row>
    <row r="740" spans="1:19" ht="20">
      <c r="A740" s="8">
        <v>43370.887615740736</v>
      </c>
      <c r="B740" s="11" t="str">
        <f>HYPERLINK("https://twitter.com/khorshidy0861","@khorshidy0861")</f>
        <v>@khorshidy0861</v>
      </c>
      <c r="C740" s="6" t="s">
        <v>1466</v>
      </c>
      <c r="D740" s="5" t="s">
        <v>6096</v>
      </c>
      <c r="E740" s="9" t="str">
        <f>HYPERLINK("https://twitter.com/khorshidy0861/status/1045369521995800577","1045369521995800577")</f>
        <v>1045369521995800577</v>
      </c>
      <c r="F740" s="4"/>
      <c r="G740" s="4"/>
      <c r="H740" s="4"/>
      <c r="I740" s="10" t="str">
        <f>HYPERLINK("http://twitter.com/download/android","Twitter for Android")</f>
        <v>Twitter for Android</v>
      </c>
      <c r="J740" s="2">
        <v>1033</v>
      </c>
      <c r="K740" s="2">
        <v>1263</v>
      </c>
      <c r="L740" s="2">
        <v>0</v>
      </c>
      <c r="M740" s="2"/>
      <c r="N740" s="8">
        <v>43049.048449074078</v>
      </c>
      <c r="O740" s="4" t="s">
        <v>1463</v>
      </c>
      <c r="P740" s="3" t="s">
        <v>1462</v>
      </c>
      <c r="Q740" s="4"/>
      <c r="R740" s="4"/>
      <c r="S740" s="9" t="str">
        <f>HYPERLINK("https://pbs.twimg.com/profile_images/1026210417692102658/0csPysjI.jpg","View")</f>
        <v>View</v>
      </c>
    </row>
    <row r="741" spans="1:19" ht="20">
      <c r="A741" s="8">
        <v>43370.887569444443</v>
      </c>
      <c r="B741" s="11" t="str">
        <f>HYPERLINK("https://twitter.com/cathyhclf","@cathyhclf")</f>
        <v>@cathyhclf</v>
      </c>
      <c r="C741" s="6" t="s">
        <v>6095</v>
      </c>
      <c r="D741" s="5" t="s">
        <v>6094</v>
      </c>
      <c r="E741" s="9" t="str">
        <f>HYPERLINK("https://twitter.com/cathyhclf/status/1045369504249917440","1045369504249917440")</f>
        <v>1045369504249917440</v>
      </c>
      <c r="F741" s="4"/>
      <c r="G741" s="4"/>
      <c r="H741" s="4"/>
      <c r="I741" s="10" t="str">
        <f>HYPERLINK("http://twitter.com/download/iphone","Twitter for iPhone")</f>
        <v>Twitter for iPhone</v>
      </c>
      <c r="J741" s="2">
        <v>333</v>
      </c>
      <c r="K741" s="2">
        <v>140</v>
      </c>
      <c r="L741" s="2">
        <v>0</v>
      </c>
      <c r="M741" s="2"/>
      <c r="N741" s="8">
        <v>43134.868425925924</v>
      </c>
      <c r="O741" s="4" t="s">
        <v>6093</v>
      </c>
      <c r="P741" s="3" t="s">
        <v>6092</v>
      </c>
      <c r="Q741" s="4"/>
      <c r="R741" s="4"/>
      <c r="S741" s="9" t="str">
        <f>HYPERLINK("https://pbs.twimg.com/profile_images/1011855138888306688/Bx4wQ-AV.jpg","View")</f>
        <v>View</v>
      </c>
    </row>
    <row r="742" spans="1:19" ht="20">
      <c r="A742" s="8">
        <v>43370.887476851851</v>
      </c>
      <c r="B742" s="11" t="str">
        <f>HYPERLINK("https://twitter.com/aboo_zahra","@aboo_zahra")</f>
        <v>@aboo_zahra</v>
      </c>
      <c r="C742" s="6" t="s">
        <v>6091</v>
      </c>
      <c r="D742" s="5" t="s">
        <v>6090</v>
      </c>
      <c r="E742" s="9" t="str">
        <f>HYPERLINK("https://twitter.com/aboo_zahra/status/1045369470812901376","1045369470812901376")</f>
        <v>1045369470812901376</v>
      </c>
      <c r="F742" s="4"/>
      <c r="G742" s="4"/>
      <c r="H742" s="4"/>
      <c r="I742" s="10" t="str">
        <f>HYPERLINK("http://twitter.com/download/android","Twitter for Android")</f>
        <v>Twitter for Android</v>
      </c>
      <c r="J742" s="2">
        <v>196</v>
      </c>
      <c r="K742" s="2">
        <v>281</v>
      </c>
      <c r="L742" s="2">
        <v>0</v>
      </c>
      <c r="M742" s="2"/>
      <c r="N742" s="8">
        <v>42753.800717592589</v>
      </c>
      <c r="O742" s="4" t="s">
        <v>62</v>
      </c>
      <c r="P742" s="3" t="s">
        <v>6089</v>
      </c>
      <c r="Q742" s="10" t="s">
        <v>6088</v>
      </c>
      <c r="R742" s="4"/>
      <c r="S742" s="9" t="str">
        <f>HYPERLINK("https://pbs.twimg.com/profile_images/979649648829849600/5ObavRbN.jpg","View")</f>
        <v>View</v>
      </c>
    </row>
    <row r="743" spans="1:19" ht="20">
      <c r="A743" s="8">
        <v>43370.887361111112</v>
      </c>
      <c r="B743" s="11" t="str">
        <f>HYPERLINK("https://twitter.com/samianarshist","@samianarshist")</f>
        <v>@samianarshist</v>
      </c>
      <c r="C743" s="6" t="s">
        <v>6087</v>
      </c>
      <c r="D743" s="5" t="s">
        <v>6086</v>
      </c>
      <c r="E743" s="9" t="str">
        <f>HYPERLINK("https://twitter.com/samianarshist/status/1045369428819488769","1045369428819488769")</f>
        <v>1045369428819488769</v>
      </c>
      <c r="F743" s="4"/>
      <c r="G743" s="4"/>
      <c r="H743" s="4"/>
      <c r="I743" s="10" t="str">
        <f>HYPERLINK("http://twitter.com/download/iphone","Twitter for iPhone")</f>
        <v>Twitter for iPhone</v>
      </c>
      <c r="J743" s="2">
        <v>45</v>
      </c>
      <c r="K743" s="2">
        <v>94</v>
      </c>
      <c r="L743" s="2">
        <v>0</v>
      </c>
      <c r="M743" s="2"/>
      <c r="N743" s="8">
        <v>41328.936851851853</v>
      </c>
      <c r="O743" s="4"/>
      <c r="P743" s="3" t="s">
        <v>6085</v>
      </c>
      <c r="Q743" s="4"/>
      <c r="R743" s="4"/>
      <c r="S743" s="9" t="str">
        <f>HYPERLINK("https://pbs.twimg.com/profile_images/1031984329826680832/cJDNZ9wV.jpg","View")</f>
        <v>View</v>
      </c>
    </row>
    <row r="744" spans="1:19" ht="12.5">
      <c r="A744" s="8">
        <v>43370.887256944443</v>
      </c>
      <c r="B744" s="11" t="str">
        <f>HYPERLINK("https://twitter.com/BrunoCortez0","@BrunoCortez0")</f>
        <v>@BrunoCortez0</v>
      </c>
      <c r="C744" s="6" t="s">
        <v>6084</v>
      </c>
      <c r="D744" s="5" t="s">
        <v>6083</v>
      </c>
      <c r="E744" s="9" t="str">
        <f>HYPERLINK("https://twitter.com/BrunoCortez0/status/1045369389405667329","1045369389405667329")</f>
        <v>1045369389405667329</v>
      </c>
      <c r="F744" s="4"/>
      <c r="G744" s="4"/>
      <c r="H744" s="4"/>
      <c r="I744" s="10" t="str">
        <f>HYPERLINK("http://twitter.com/download/android","Twitter for Android")</f>
        <v>Twitter for Android</v>
      </c>
      <c r="J744" s="2">
        <v>62</v>
      </c>
      <c r="K744" s="2">
        <v>143</v>
      </c>
      <c r="L744" s="2">
        <v>0</v>
      </c>
      <c r="M744" s="2"/>
      <c r="N744" s="8">
        <v>43097.110937500001</v>
      </c>
      <c r="O744" s="4"/>
      <c r="P744" s="3" t="s">
        <v>6082</v>
      </c>
      <c r="Q744" s="4"/>
      <c r="R744" s="4"/>
      <c r="S744" s="9" t="str">
        <f>HYPERLINK("https://pbs.twimg.com/profile_images/1037664584398721025/gWjp6P6L.jpg","View")</f>
        <v>View</v>
      </c>
    </row>
    <row r="745" spans="1:19" ht="30">
      <c r="A745" s="8">
        <v>43370.887222222227</v>
      </c>
      <c r="B745" s="11" t="str">
        <f>HYPERLINK("https://twitter.com/amir758kh","@amir758kh")</f>
        <v>@amir758kh</v>
      </c>
      <c r="C745" s="6" t="s">
        <v>681</v>
      </c>
      <c r="D745" s="5" t="s">
        <v>6081</v>
      </c>
      <c r="E745" s="9" t="str">
        <f>HYPERLINK("https://twitter.com/amir758kh/status/1045369376407400449","1045369376407400449")</f>
        <v>1045369376407400449</v>
      </c>
      <c r="F745" s="4"/>
      <c r="G745" s="4"/>
      <c r="H745" s="4"/>
      <c r="I745" s="10" t="str">
        <f>HYPERLINK("http://twitter.com/download/android","Twitter for Android")</f>
        <v>Twitter for Android</v>
      </c>
      <c r="J745" s="2">
        <v>184</v>
      </c>
      <c r="K745" s="2">
        <v>321</v>
      </c>
      <c r="L745" s="2">
        <v>0</v>
      </c>
      <c r="M745" s="2"/>
      <c r="N745" s="8">
        <v>41240.859444444446</v>
      </c>
      <c r="O745" s="4" t="s">
        <v>679</v>
      </c>
      <c r="P745" s="3" t="s">
        <v>678</v>
      </c>
      <c r="Q745" s="4"/>
      <c r="R745" s="4"/>
      <c r="S745" s="9" t="str">
        <f>HYPERLINK("https://pbs.twimg.com/profile_images/1013281762850504705/RmQek73U.jpg","View")</f>
        <v>View</v>
      </c>
    </row>
    <row r="746" spans="1:19" ht="12.5">
      <c r="A746" s="8">
        <v>43370.887118055558</v>
      </c>
      <c r="B746" s="11" t="str">
        <f>HYPERLINK("https://twitter.com/Arman6312","@Arman6312")</f>
        <v>@Arman6312</v>
      </c>
      <c r="C746" s="6" t="s">
        <v>6080</v>
      </c>
      <c r="D746" s="5" t="s">
        <v>6079</v>
      </c>
      <c r="E746" s="9" t="str">
        <f>HYPERLINK("https://twitter.com/Arman6312/status/1045369341984661505","1045369341984661505")</f>
        <v>1045369341984661505</v>
      </c>
      <c r="F746" s="4"/>
      <c r="G746" s="4"/>
      <c r="H746" s="4"/>
      <c r="I746" s="10" t="str">
        <f>HYPERLINK("http://twitter.com/download/android","Twitter for Android")</f>
        <v>Twitter for Android</v>
      </c>
      <c r="J746" s="2">
        <v>36</v>
      </c>
      <c r="K746" s="2">
        <v>80</v>
      </c>
      <c r="L746" s="2">
        <v>0</v>
      </c>
      <c r="M746" s="2"/>
      <c r="N746" s="8">
        <v>41836.647118055553</v>
      </c>
      <c r="O746" s="4"/>
      <c r="P746" s="3"/>
      <c r="Q746" s="4"/>
      <c r="R746" s="4"/>
      <c r="S746" s="9" t="str">
        <f>HYPERLINK("https://pbs.twimg.com/profile_images/489367036909195264/LzSln4rZ.jpeg","View")</f>
        <v>View</v>
      </c>
    </row>
    <row r="747" spans="1:19" ht="30">
      <c r="A747" s="8">
        <v>43370.886979166666</v>
      </c>
      <c r="B747" s="11" t="str">
        <f>HYPERLINK("https://twitter.com/ostKEppF08gciEU","@ostKEppF08gciEU")</f>
        <v>@ostKEppF08gciEU</v>
      </c>
      <c r="C747" s="6" t="s">
        <v>6078</v>
      </c>
      <c r="D747" s="5" t="s">
        <v>6077</v>
      </c>
      <c r="E747" s="9" t="str">
        <f>HYPERLINK("https://twitter.com/ostKEppF08gciEU/status/1045369289597808640","1045369289597808640")</f>
        <v>1045369289597808640</v>
      </c>
      <c r="F747" s="4"/>
      <c r="G747" s="4"/>
      <c r="H747" s="4"/>
      <c r="I747" s="10" t="str">
        <f>HYPERLINK("http://twitter.com/download/iphone","Twitter for iPhone")</f>
        <v>Twitter for iPhone</v>
      </c>
      <c r="J747" s="2">
        <v>20</v>
      </c>
      <c r="K747" s="2">
        <v>25</v>
      </c>
      <c r="L747" s="2">
        <v>0</v>
      </c>
      <c r="M747" s="2"/>
      <c r="N747" s="8">
        <v>43305.580717592587</v>
      </c>
      <c r="O747" s="4" t="s">
        <v>6076</v>
      </c>
      <c r="P747" s="3"/>
      <c r="Q747" s="4"/>
      <c r="R747" s="4"/>
      <c r="S747" s="9" t="str">
        <f>HYPERLINK("https://pbs.twimg.com/profile_images/1021690884776251392/j63IdvjJ.jpg","View")</f>
        <v>View</v>
      </c>
    </row>
    <row r="748" spans="1:19" ht="20">
      <c r="A748" s="8">
        <v>43370.88690972222</v>
      </c>
      <c r="B748" s="11" t="str">
        <f>HYPERLINK("https://twitter.com/Mo_ba_fatthi","@Mo_ba_fatthi")</f>
        <v>@Mo_ba_fatthi</v>
      </c>
      <c r="C748" s="6" t="s">
        <v>6075</v>
      </c>
      <c r="D748" s="5" t="s">
        <v>6074</v>
      </c>
      <c r="E748" s="9" t="str">
        <f>HYPERLINK("https://twitter.com/Mo_ba_fatthi/status/1045369263417176064","1045369263417176064")</f>
        <v>1045369263417176064</v>
      </c>
      <c r="F748" s="4"/>
      <c r="G748" s="4"/>
      <c r="H748" s="4"/>
      <c r="I748" s="10" t="str">
        <f>HYPERLINK("http://twitter.com/download/android","Twitter for Android")</f>
        <v>Twitter for Android</v>
      </c>
      <c r="J748" s="2">
        <v>511</v>
      </c>
      <c r="K748" s="2">
        <v>483</v>
      </c>
      <c r="L748" s="2">
        <v>0</v>
      </c>
      <c r="M748" s="2"/>
      <c r="N748" s="8">
        <v>43137.924317129626</v>
      </c>
      <c r="O748" s="4"/>
      <c r="P748" s="3" t="s">
        <v>6073</v>
      </c>
      <c r="Q748" s="10" t="s">
        <v>6072</v>
      </c>
      <c r="R748" s="4"/>
      <c r="S748" s="9" t="str">
        <f>HYPERLINK("https://pbs.twimg.com/profile_images/1031652037904150528/jiQ6jSFJ.jpg","View")</f>
        <v>View</v>
      </c>
    </row>
    <row r="749" spans="1:19" ht="30">
      <c r="A749" s="8">
        <v>43370.886770833335</v>
      </c>
      <c r="B749" s="11" t="str">
        <f>HYPERLINK("https://twitter.com/bijansalehi1","@bijansalehi1")</f>
        <v>@bijansalehi1</v>
      </c>
      <c r="C749" s="6" t="s">
        <v>6071</v>
      </c>
      <c r="D749" s="5" t="s">
        <v>6070</v>
      </c>
      <c r="E749" s="9" t="str">
        <f>HYPERLINK("https://twitter.com/bijansalehi1/status/1045369215782248449","1045369215782248449")</f>
        <v>1045369215782248449</v>
      </c>
      <c r="F749" s="4"/>
      <c r="G749" s="4"/>
      <c r="H749" s="4"/>
      <c r="I749" s="10" t="str">
        <f>HYPERLINK("http://twitter.com/download/iphone","Twitter for iPhone")</f>
        <v>Twitter for iPhone</v>
      </c>
      <c r="J749" s="2">
        <v>210</v>
      </c>
      <c r="K749" s="2">
        <v>203</v>
      </c>
      <c r="L749" s="2">
        <v>5</v>
      </c>
      <c r="M749" s="2"/>
      <c r="N749" s="8">
        <v>41549.872685185182</v>
      </c>
      <c r="O749" s="4" t="s">
        <v>1674</v>
      </c>
      <c r="P749" s="3" t="s">
        <v>6069</v>
      </c>
      <c r="Q749" s="10" t="s">
        <v>6068</v>
      </c>
      <c r="R749" s="4"/>
      <c r="S749" s="9" t="str">
        <f>HYPERLINK("https://pbs.twimg.com/profile_images/995057150392262656/FkdtNY_o.jpg","View")</f>
        <v>View</v>
      </c>
    </row>
    <row r="750" spans="1:19" ht="20">
      <c r="A750" s="8">
        <v>43370.886689814812</v>
      </c>
      <c r="B750" s="11" t="str">
        <f>HYPERLINK("https://twitter.com/mohammadrasul_n","@mohammadrasul_n")</f>
        <v>@mohammadrasul_n</v>
      </c>
      <c r="C750" s="6" t="s">
        <v>6067</v>
      </c>
      <c r="D750" s="5" t="s">
        <v>6066</v>
      </c>
      <c r="E750" s="9" t="str">
        <f>HYPERLINK("https://twitter.com/mohammadrasul_n/status/1045369187420368896","1045369187420368896")</f>
        <v>1045369187420368896</v>
      </c>
      <c r="F750" s="4"/>
      <c r="G750" s="4"/>
      <c r="H750" s="4"/>
      <c r="I750" s="10" t="str">
        <f>HYPERLINK("http://twitter.com/download/android","Twitter for Android")</f>
        <v>Twitter for Android</v>
      </c>
      <c r="J750" s="2">
        <v>1628</v>
      </c>
      <c r="K750" s="2">
        <v>1241</v>
      </c>
      <c r="L750" s="2">
        <v>3</v>
      </c>
      <c r="M750" s="2"/>
      <c r="N750" s="8">
        <v>42735.574224537035</v>
      </c>
      <c r="O750" s="4" t="s">
        <v>62</v>
      </c>
      <c r="P750" s="3" t="s">
        <v>6065</v>
      </c>
      <c r="Q750" s="10" t="s">
        <v>6064</v>
      </c>
      <c r="R750" s="4"/>
      <c r="S750" s="9" t="str">
        <f>HYPERLINK("https://pbs.twimg.com/profile_images/1039169902249226241/0A0ZGpSY.jpg","View")</f>
        <v>View</v>
      </c>
    </row>
    <row r="751" spans="1:19" ht="12.5">
      <c r="A751" s="8">
        <v>43370.886377314819</v>
      </c>
      <c r="B751" s="11" t="str">
        <f>HYPERLINK("https://twitter.com/kazicature","@kazicature")</f>
        <v>@kazicature</v>
      </c>
      <c r="C751" s="6" t="s">
        <v>6063</v>
      </c>
      <c r="D751" s="5" t="s">
        <v>6062</v>
      </c>
      <c r="E751" s="9" t="str">
        <f>HYPERLINK("https://twitter.com/kazicature/status/1045369070365761536","1045369070365761536")</f>
        <v>1045369070365761536</v>
      </c>
      <c r="F751" s="4"/>
      <c r="G751" s="10" t="s">
        <v>6061</v>
      </c>
      <c r="H751" s="4"/>
      <c r="I751" s="10" t="str">
        <f>HYPERLINK("http://twitter.com","Twitter Web Client")</f>
        <v>Twitter Web Client</v>
      </c>
      <c r="J751" s="2">
        <v>49</v>
      </c>
      <c r="K751" s="2">
        <v>106</v>
      </c>
      <c r="L751" s="2">
        <v>0</v>
      </c>
      <c r="M751" s="2"/>
      <c r="N751" s="8">
        <v>40623.505115740743</v>
      </c>
      <c r="O751" s="4" t="s">
        <v>55</v>
      </c>
      <c r="P751" s="3" t="s">
        <v>6060</v>
      </c>
      <c r="Q751" s="4"/>
      <c r="R751" s="4"/>
      <c r="S751" s="9" t="str">
        <f>HYPERLINK("https://pbs.twimg.com/profile_images/1006770214439129089/Kx1SGy9a.jpg","View")</f>
        <v>View</v>
      </c>
    </row>
    <row r="752" spans="1:19" ht="30">
      <c r="A752" s="8">
        <v>43370.885833333334</v>
      </c>
      <c r="B752" s="11" t="str">
        <f>HYPERLINK("https://twitter.com/entracte_iran","@entracte_iran")</f>
        <v>@entracte_iran</v>
      </c>
      <c r="C752" s="6" t="s">
        <v>6059</v>
      </c>
      <c r="D752" s="5" t="s">
        <v>6058</v>
      </c>
      <c r="E752" s="9" t="str">
        <f>HYPERLINK("https://twitter.com/entracte_iran/status/1045368874110091266","1045368874110091266")</f>
        <v>1045368874110091266</v>
      </c>
      <c r="F752" s="4"/>
      <c r="G752" s="4"/>
      <c r="H752" s="4"/>
      <c r="I752" s="10" t="str">
        <f>HYPERLINK("http://twitter.com/download/android","Twitter for Android")</f>
        <v>Twitter for Android</v>
      </c>
      <c r="J752" s="2">
        <v>517</v>
      </c>
      <c r="K752" s="2">
        <v>1868</v>
      </c>
      <c r="L752" s="2">
        <v>0</v>
      </c>
      <c r="M752" s="2"/>
      <c r="N752" s="8">
        <v>43303.449722222227</v>
      </c>
      <c r="O752" s="4" t="s">
        <v>6057</v>
      </c>
      <c r="P752" s="3" t="s">
        <v>6056</v>
      </c>
      <c r="Q752" s="4"/>
      <c r="R752" s="4"/>
      <c r="S752" s="9" t="str">
        <f>HYPERLINK("https://pbs.twimg.com/profile_images/1029356406242197504/YCEb0WlK.jpg","View")</f>
        <v>View</v>
      </c>
    </row>
    <row r="753" spans="1:19" ht="20">
      <c r="A753" s="8">
        <v>43370.88581018518</v>
      </c>
      <c r="B753" s="11" t="str">
        <f>HYPERLINK("https://twitter.com/ChMinooshi","@ChMinooshi")</f>
        <v>@ChMinooshi</v>
      </c>
      <c r="C753" s="6" t="s">
        <v>6055</v>
      </c>
      <c r="D753" s="5" t="s">
        <v>6054</v>
      </c>
      <c r="E753" s="9" t="str">
        <f>HYPERLINK("https://twitter.com/ChMinooshi/status/1045368866480816129","1045368866480816129")</f>
        <v>1045368866480816129</v>
      </c>
      <c r="F753" s="4"/>
      <c r="G753" s="4"/>
      <c r="H753" s="4"/>
      <c r="I753" s="10" t="str">
        <f>HYPERLINK("http://twitter.com/download/iphone","Twitter for iPhone")</f>
        <v>Twitter for iPhone</v>
      </c>
      <c r="J753" s="2">
        <v>1010</v>
      </c>
      <c r="K753" s="2">
        <v>1009</v>
      </c>
      <c r="L753" s="2">
        <v>2</v>
      </c>
      <c r="M753" s="2"/>
      <c r="N753" s="8">
        <v>42793.204594907409</v>
      </c>
      <c r="O753" s="4"/>
      <c r="P753" s="3" t="s">
        <v>6053</v>
      </c>
      <c r="Q753" s="4"/>
      <c r="R753" s="4"/>
      <c r="S753" s="9" t="str">
        <f>HYPERLINK("https://pbs.twimg.com/profile_images/1025687804054003716/UIeqcmul.jpg","View")</f>
        <v>View</v>
      </c>
    </row>
    <row r="754" spans="1:19" ht="30">
      <c r="A754" s="8">
        <v>43370.885787037041</v>
      </c>
      <c r="B754" s="11" t="str">
        <f>HYPERLINK("https://twitter.com/Soheilfa1","@Soheilfa1")</f>
        <v>@Soheilfa1</v>
      </c>
      <c r="C754" s="11" t="s">
        <v>6052</v>
      </c>
      <c r="D754" s="5" t="s">
        <v>6051</v>
      </c>
      <c r="E754" s="9" t="str">
        <f>HYPERLINK("https://twitter.com/Soheilfa1/status/1045368858998005760","1045368858998005760")</f>
        <v>1045368858998005760</v>
      </c>
      <c r="F754" s="4"/>
      <c r="G754" s="4"/>
      <c r="H754" s="4"/>
      <c r="I754" s="10" t="str">
        <f>HYPERLINK("http://twitter.com/download/iphone","Twitter for iPhone")</f>
        <v>Twitter for iPhone</v>
      </c>
      <c r="J754" s="2">
        <v>68</v>
      </c>
      <c r="K754" s="2">
        <v>96</v>
      </c>
      <c r="L754" s="2">
        <v>0</v>
      </c>
      <c r="M754" s="2"/>
      <c r="N754" s="8">
        <v>43327.368263888886</v>
      </c>
      <c r="O754" s="4" t="s">
        <v>200</v>
      </c>
      <c r="P754" s="3" t="s">
        <v>6050</v>
      </c>
      <c r="Q754" s="4"/>
      <c r="R754" s="4"/>
      <c r="S754" s="9" t="str">
        <f>HYPERLINK("https://pbs.twimg.com/profile_images/1030046678278189056/jS8QKsqn.jpg","View")</f>
        <v>View</v>
      </c>
    </row>
    <row r="755" spans="1:19" ht="12.5">
      <c r="A755" s="8">
        <v>43370.885752314818</v>
      </c>
      <c r="B755" s="11" t="str">
        <f>HYPERLINK("https://twitter.com/miiiikh","@miiiikh")</f>
        <v>@miiiikh</v>
      </c>
      <c r="C755" s="6" t="s">
        <v>6049</v>
      </c>
      <c r="D755" s="5" t="s">
        <v>6048</v>
      </c>
      <c r="E755" s="9" t="str">
        <f>HYPERLINK("https://twitter.com/miiiikh/status/1045368847258202112","1045368847258202112")</f>
        <v>1045368847258202112</v>
      </c>
      <c r="F755" s="4"/>
      <c r="G755" s="10" t="s">
        <v>6047</v>
      </c>
      <c r="H755" s="4"/>
      <c r="I755" s="10" t="str">
        <f>HYPERLINK("http://twitter.com/download/android","Twitter for Android")</f>
        <v>Twitter for Android</v>
      </c>
      <c r="J755" s="2">
        <v>1650</v>
      </c>
      <c r="K755" s="2">
        <v>1827</v>
      </c>
      <c r="L755" s="2">
        <v>1</v>
      </c>
      <c r="M755" s="2"/>
      <c r="N755" s="8">
        <v>43261.888148148151</v>
      </c>
      <c r="O755" s="4"/>
      <c r="P755" s="3" t="s">
        <v>6046</v>
      </c>
      <c r="Q755" s="4"/>
      <c r="R755" s="4"/>
      <c r="S755" s="9" t="str">
        <f>HYPERLINK("https://pbs.twimg.com/profile_images/1024573426399211520/w0Bf7fCs.jpg","View")</f>
        <v>View</v>
      </c>
    </row>
    <row r="756" spans="1:19" ht="60">
      <c r="A756" s="8">
        <v>43370.885497685187</v>
      </c>
      <c r="B756" s="11" t="str">
        <f>HYPERLINK("https://twitter.com/sheldon_derder","@sheldon_derder")</f>
        <v>@sheldon_derder</v>
      </c>
      <c r="C756" s="6" t="s">
        <v>1879</v>
      </c>
      <c r="D756" s="5" t="s">
        <v>6045</v>
      </c>
      <c r="E756" s="9" t="str">
        <f>HYPERLINK("https://twitter.com/sheldon_derder/status/1045368754387869696","1045368754387869696")</f>
        <v>1045368754387869696</v>
      </c>
      <c r="F756" s="10" t="s">
        <v>6044</v>
      </c>
      <c r="G756" s="10" t="s">
        <v>5968</v>
      </c>
      <c r="H756" s="4"/>
      <c r="I756" s="10" t="str">
        <f>HYPERLINK("http://twitter.com/download/android","Twitter for Android")</f>
        <v>Twitter for Android</v>
      </c>
      <c r="J756" s="2">
        <v>712</v>
      </c>
      <c r="K756" s="2">
        <v>328</v>
      </c>
      <c r="L756" s="2">
        <v>12</v>
      </c>
      <c r="M756" s="2"/>
      <c r="N756" s="8">
        <v>41363.798645833333</v>
      </c>
      <c r="O756" s="4" t="s">
        <v>254</v>
      </c>
      <c r="P756" s="3" t="s">
        <v>1878</v>
      </c>
      <c r="Q756" s="4"/>
      <c r="R756" s="4"/>
      <c r="S756" s="9" t="str">
        <f>HYPERLINK("https://pbs.twimg.com/profile_images/868746557809717249/BNMUbrxn.jpg","View")</f>
        <v>View</v>
      </c>
    </row>
    <row r="757" spans="1:19" ht="20">
      <c r="A757" s="8">
        <v>43370.885439814811</v>
      </c>
      <c r="B757" s="11" t="str">
        <f>HYPERLINK("https://twitter.com/IntermilanIran","@IntermilanIran")</f>
        <v>@IntermilanIran</v>
      </c>
      <c r="C757" s="6" t="s">
        <v>6043</v>
      </c>
      <c r="D757" s="5" t="s">
        <v>6042</v>
      </c>
      <c r="E757" s="9" t="str">
        <f>HYPERLINK("https://twitter.com/IntermilanIran/status/1045368730845249536","1045368730845249536")</f>
        <v>1045368730845249536</v>
      </c>
      <c r="F757" s="4"/>
      <c r="G757" s="4"/>
      <c r="H757" s="4"/>
      <c r="I757" s="10" t="str">
        <f>HYPERLINK("http://twitter.com/download/iphone","Twitter for iPhone")</f>
        <v>Twitter for iPhone</v>
      </c>
      <c r="J757" s="2">
        <v>2244</v>
      </c>
      <c r="K757" s="2">
        <v>2243</v>
      </c>
      <c r="L757" s="2">
        <v>1</v>
      </c>
      <c r="M757" s="2"/>
      <c r="N757" s="8">
        <v>43325.367280092592</v>
      </c>
      <c r="O757" s="4" t="s">
        <v>6041</v>
      </c>
      <c r="P757" s="3" t="s">
        <v>6040</v>
      </c>
      <c r="Q757" s="4"/>
      <c r="R757" s="4"/>
      <c r="S757" s="9" t="str">
        <f>HYPERLINK("https://pbs.twimg.com/profile_images/1029324091466162182/Rx0XZmBR.jpg","View")</f>
        <v>View</v>
      </c>
    </row>
    <row r="758" spans="1:19" ht="40">
      <c r="A758" s="8">
        <v>43370.885428240741</v>
      </c>
      <c r="B758" s="11" t="str">
        <f>HYPERLINK("https://twitter.com/sorosh37","@sorosh37")</f>
        <v>@sorosh37</v>
      </c>
      <c r="C758" s="6" t="s">
        <v>6039</v>
      </c>
      <c r="D758" s="5" t="s">
        <v>6038</v>
      </c>
      <c r="E758" s="9" t="str">
        <f>HYPERLINK("https://twitter.com/sorosh37/status/1045368727506767874","1045368727506767874")</f>
        <v>1045368727506767874</v>
      </c>
      <c r="F758" s="4"/>
      <c r="G758" s="4"/>
      <c r="H758" s="4"/>
      <c r="I758" s="10" t="str">
        <f>HYPERLINK("https://mobile.twitter.com","Twitter Lite")</f>
        <v>Twitter Lite</v>
      </c>
      <c r="J758" s="2">
        <v>377</v>
      </c>
      <c r="K758" s="2">
        <v>147</v>
      </c>
      <c r="L758" s="2">
        <v>0</v>
      </c>
      <c r="M758" s="2"/>
      <c r="N758" s="8">
        <v>43080.071805555555</v>
      </c>
      <c r="O758" s="4" t="s">
        <v>6037</v>
      </c>
      <c r="P758" s="3" t="s">
        <v>6036</v>
      </c>
      <c r="Q758" s="4"/>
      <c r="R758" s="4"/>
      <c r="S758" s="9" t="str">
        <f>HYPERLINK("https://pbs.twimg.com/profile_images/1037339806295109632/AY4_4oDL.jpg","View")</f>
        <v>View</v>
      </c>
    </row>
    <row r="759" spans="1:19" ht="12.5">
      <c r="A759" s="8">
        <v>43370.885300925926</v>
      </c>
      <c r="B759" s="11" t="str">
        <f>HYPERLINK("https://twitter.com/sina_senna","@sina_senna")</f>
        <v>@sina_senna</v>
      </c>
      <c r="C759" s="6" t="s">
        <v>6035</v>
      </c>
      <c r="D759" s="5" t="s">
        <v>6034</v>
      </c>
      <c r="E759" s="9" t="str">
        <f>HYPERLINK("https://twitter.com/sina_senna/status/1045368683265064960","1045368683265064960")</f>
        <v>1045368683265064960</v>
      </c>
      <c r="F759" s="4"/>
      <c r="G759" s="4"/>
      <c r="H759" s="4"/>
      <c r="I759" s="10" t="str">
        <f>HYPERLINK("http://twitter.com/download/android","Twitter for Android")</f>
        <v>Twitter for Android</v>
      </c>
      <c r="J759" s="2">
        <v>46</v>
      </c>
      <c r="K759" s="2">
        <v>138</v>
      </c>
      <c r="L759" s="2">
        <v>1</v>
      </c>
      <c r="M759" s="2"/>
      <c r="N759" s="8">
        <v>41086.5940625</v>
      </c>
      <c r="O759" s="4"/>
      <c r="P759" s="3"/>
      <c r="Q759" s="4"/>
      <c r="R759" s="4"/>
      <c r="S759" s="9" t="str">
        <f>HYPERLINK("https://pbs.twimg.com/profile_images/1038408592125292544/0CPIDsBj.jpg","View")</f>
        <v>View</v>
      </c>
    </row>
    <row r="760" spans="1:19" ht="30">
      <c r="A760" s="8">
        <v>43370.885034722218</v>
      </c>
      <c r="B760" s="11" t="str">
        <f>HYPERLINK("https://twitter.com/Amarezzi","@Amarezzi")</f>
        <v>@Amarezzi</v>
      </c>
      <c r="C760" s="6" t="s">
        <v>6033</v>
      </c>
      <c r="D760" s="5" t="s">
        <v>6032</v>
      </c>
      <c r="E760" s="9" t="str">
        <f>HYPERLINK("https://twitter.com/Amarezzi/status/1045368585881833472","1045368585881833472")</f>
        <v>1045368585881833472</v>
      </c>
      <c r="F760" s="4"/>
      <c r="G760" s="4"/>
      <c r="H760" s="4"/>
      <c r="I760" s="10" t="str">
        <f>HYPERLINK("http://twitter.com/download/iphone","Twitter for iPhone")</f>
        <v>Twitter for iPhone</v>
      </c>
      <c r="J760" s="2">
        <v>981</v>
      </c>
      <c r="K760" s="2">
        <v>364</v>
      </c>
      <c r="L760" s="2">
        <v>12</v>
      </c>
      <c r="M760" s="2"/>
      <c r="N760" s="8">
        <v>41588.686840277776</v>
      </c>
      <c r="O760" s="4" t="s">
        <v>311</v>
      </c>
      <c r="P760" s="3" t="s">
        <v>6031</v>
      </c>
      <c r="Q760" s="4"/>
      <c r="R760" s="4"/>
      <c r="S760" s="9" t="str">
        <f>HYPERLINK("https://pbs.twimg.com/profile_images/1040583195715137537/2oMLRxwL.jpg","View")</f>
        <v>View</v>
      </c>
    </row>
    <row r="761" spans="1:19" ht="30">
      <c r="A761" s="8">
        <v>43370.884745370371</v>
      </c>
      <c r="B761" s="11" t="str">
        <f>HYPERLINK("https://twitter.com/BLiND_x7","@BLiND_x7")</f>
        <v>@BLiND_x7</v>
      </c>
      <c r="C761" s="6" t="s">
        <v>6030</v>
      </c>
      <c r="D761" s="5" t="s">
        <v>6029</v>
      </c>
      <c r="E761" s="9" t="str">
        <f>HYPERLINK("https://twitter.com/BLiND_x7/status/1045368480382570496","1045368480382570496")</f>
        <v>1045368480382570496</v>
      </c>
      <c r="F761" s="4"/>
      <c r="G761" s="4"/>
      <c r="H761" s="4"/>
      <c r="I761" s="10" t="str">
        <f>HYPERLINK("https://mobile.twitter.com","Twitter Lite")</f>
        <v>Twitter Lite</v>
      </c>
      <c r="J761" s="2">
        <v>3185</v>
      </c>
      <c r="K761" s="2">
        <v>3183</v>
      </c>
      <c r="L761" s="2">
        <v>3</v>
      </c>
      <c r="M761" s="2"/>
      <c r="N761" s="8">
        <v>43148.564143518517</v>
      </c>
      <c r="O761" s="4" t="s">
        <v>6028</v>
      </c>
      <c r="P761" s="3" t="s">
        <v>6027</v>
      </c>
      <c r="Q761" s="4"/>
      <c r="R761" s="4"/>
      <c r="S761" s="9" t="str">
        <f>HYPERLINK("https://pbs.twimg.com/profile_images/1013008485150281728/Z6JFp1JP.jpg","View")</f>
        <v>View</v>
      </c>
    </row>
    <row r="762" spans="1:19" ht="20">
      <c r="A762" s="8">
        <v>43370.88453703704</v>
      </c>
      <c r="B762" s="11" t="str">
        <f>HYPERLINK("https://twitter.com/hesmaili95","@hesmaili95")</f>
        <v>@hesmaili95</v>
      </c>
      <c r="C762" s="6" t="s">
        <v>5379</v>
      </c>
      <c r="D762" s="5" t="s">
        <v>6026</v>
      </c>
      <c r="E762" s="9" t="str">
        <f>HYPERLINK("https://twitter.com/hesmaili95/status/1045368405732220928","1045368405732220928")</f>
        <v>1045368405732220928</v>
      </c>
      <c r="F762" s="4"/>
      <c r="G762" s="4"/>
      <c r="H762" s="4"/>
      <c r="I762" s="10" t="str">
        <f>HYPERLINK("http://twitter.com/download/android","Twitter for Android")</f>
        <v>Twitter for Android</v>
      </c>
      <c r="J762" s="2">
        <v>199</v>
      </c>
      <c r="K762" s="2">
        <v>128</v>
      </c>
      <c r="L762" s="2">
        <v>10</v>
      </c>
      <c r="M762" s="2"/>
      <c r="N762" s="8">
        <v>41522.773379629631</v>
      </c>
      <c r="O762" s="4" t="s">
        <v>5377</v>
      </c>
      <c r="P762" s="3" t="s">
        <v>5376</v>
      </c>
      <c r="Q762" s="10" t="s">
        <v>5375</v>
      </c>
      <c r="R762" s="4"/>
      <c r="S762" s="9" t="str">
        <f>HYPERLINK("https://pbs.twimg.com/profile_images/848078314249965569/bEgd_DFq.jpg","View")</f>
        <v>View</v>
      </c>
    </row>
    <row r="763" spans="1:19" ht="20">
      <c r="A763" s="8">
        <v>43370.88444444444</v>
      </c>
      <c r="B763" s="11" t="str">
        <f>HYPERLINK("https://twitter.com/rhllor_fa","@rhllor_fa")</f>
        <v>@rhllor_fa</v>
      </c>
      <c r="C763" s="6" t="s">
        <v>6025</v>
      </c>
      <c r="D763" s="5" t="s">
        <v>6024</v>
      </c>
      <c r="E763" s="9" t="str">
        <f>HYPERLINK("https://twitter.com/rhllor_fa/status/1045368373213687808","1045368373213687808")</f>
        <v>1045368373213687808</v>
      </c>
      <c r="F763" s="4"/>
      <c r="G763" s="4"/>
      <c r="H763" s="4"/>
      <c r="I763" s="10" t="str">
        <f>HYPERLINK("http://twitter.com/download/android","Twitter for Android")</f>
        <v>Twitter for Android</v>
      </c>
      <c r="J763" s="2">
        <v>785</v>
      </c>
      <c r="K763" s="2">
        <v>838</v>
      </c>
      <c r="L763" s="2">
        <v>1</v>
      </c>
      <c r="M763" s="2"/>
      <c r="N763" s="8">
        <v>43114.671041666668</v>
      </c>
      <c r="O763" s="4" t="s">
        <v>6023</v>
      </c>
      <c r="P763" s="3" t="s">
        <v>6022</v>
      </c>
      <c r="Q763" s="4"/>
      <c r="R763" s="4"/>
      <c r="S763" s="9" t="str">
        <f>HYPERLINK("https://pbs.twimg.com/profile_images/1008960466222305280/KraQjwsT.jpg","View")</f>
        <v>View</v>
      </c>
    </row>
    <row r="764" spans="1:19" ht="40">
      <c r="A764" s="8">
        <v>43370.884432870371</v>
      </c>
      <c r="B764" s="11" t="str">
        <f>HYPERLINK("https://twitter.com/lil_kocholo","@lil_kocholo")</f>
        <v>@lil_kocholo</v>
      </c>
      <c r="C764" s="6" t="s">
        <v>1281</v>
      </c>
      <c r="D764" s="5" t="s">
        <v>6021</v>
      </c>
      <c r="E764" s="9" t="str">
        <f>HYPERLINK("https://twitter.com/lil_kocholo/status/1045368369510154241","1045368369510154241")</f>
        <v>1045368369510154241</v>
      </c>
      <c r="F764" s="4"/>
      <c r="G764" s="4"/>
      <c r="H764" s="4"/>
      <c r="I764" s="10" t="str">
        <f>HYPERLINK("http://twitter.com","Twitter Web Client")</f>
        <v>Twitter Web Client</v>
      </c>
      <c r="J764" s="2">
        <v>268</v>
      </c>
      <c r="K764" s="2">
        <v>675</v>
      </c>
      <c r="L764" s="2">
        <v>0</v>
      </c>
      <c r="M764" s="2"/>
      <c r="N764" s="8">
        <v>43368.06212962963</v>
      </c>
      <c r="O764" s="4" t="s">
        <v>1278</v>
      </c>
      <c r="P764" s="3" t="s">
        <v>1277</v>
      </c>
      <c r="Q764" s="4"/>
      <c r="R764" s="4"/>
      <c r="S764" s="9" t="str">
        <f>HYPERLINK("https://pbs.twimg.com/profile_images/1044346019042004992/6yOjSOk9.jpg","View")</f>
        <v>View</v>
      </c>
    </row>
    <row r="765" spans="1:19" ht="30">
      <c r="A765" s="8">
        <v>43370.884328703702</v>
      </c>
      <c r="B765" s="11" t="str">
        <f>HYPERLINK("https://twitter.com/bamadour","@bamadour")</f>
        <v>@bamadour</v>
      </c>
      <c r="C765" s="6" t="s">
        <v>6020</v>
      </c>
      <c r="D765" s="5" t="s">
        <v>6019</v>
      </c>
      <c r="E765" s="9" t="str">
        <f>HYPERLINK("https://twitter.com/bamadour/status/1045368328712155137","1045368328712155137")</f>
        <v>1045368328712155137</v>
      </c>
      <c r="F765" s="4"/>
      <c r="G765" s="4"/>
      <c r="H765" s="4"/>
      <c r="I765" s="10" t="str">
        <f>HYPERLINK("https://mobile.twitter.com","Twitter Lite")</f>
        <v>Twitter Lite</v>
      </c>
      <c r="J765" s="2">
        <v>823</v>
      </c>
      <c r="K765" s="2">
        <v>746</v>
      </c>
      <c r="L765" s="2">
        <v>2</v>
      </c>
      <c r="M765" s="2"/>
      <c r="N765" s="8">
        <v>42774.049143518518</v>
      </c>
      <c r="O765" s="4" t="s">
        <v>200</v>
      </c>
      <c r="P765" s="3" t="s">
        <v>6018</v>
      </c>
      <c r="Q765" s="4"/>
      <c r="R765" s="4"/>
      <c r="S765" s="9" t="str">
        <f>HYPERLINK("https://pbs.twimg.com/profile_images/1044997247455424512/jbxPAl7o.jpg","View")</f>
        <v>View</v>
      </c>
    </row>
    <row r="766" spans="1:19" ht="12.5">
      <c r="A766" s="8">
        <v>43370.884305555555</v>
      </c>
      <c r="B766" s="11" t="str">
        <f>HYPERLINK("https://twitter.com/sinalfc8","@sinalfc8")</f>
        <v>@sinalfc8</v>
      </c>
      <c r="C766" s="6" t="s">
        <v>2455</v>
      </c>
      <c r="D766" s="5" t="s">
        <v>6017</v>
      </c>
      <c r="E766" s="9" t="str">
        <f>HYPERLINK("https://twitter.com/sinalfc8/status/1045368320789082112","1045368320789082112")</f>
        <v>1045368320789082112</v>
      </c>
      <c r="F766" s="4"/>
      <c r="G766" s="4"/>
      <c r="H766" s="4"/>
      <c r="I766" s="10" t="str">
        <f>HYPERLINK("http://twitter.com/download/android","Twitter for Android")</f>
        <v>Twitter for Android</v>
      </c>
      <c r="J766" s="2">
        <v>102</v>
      </c>
      <c r="K766" s="2">
        <v>38</v>
      </c>
      <c r="L766" s="2">
        <v>0</v>
      </c>
      <c r="M766" s="2"/>
      <c r="N766" s="8">
        <v>42933.601388888885</v>
      </c>
      <c r="O766" s="4"/>
      <c r="P766" s="3" t="s">
        <v>6016</v>
      </c>
      <c r="Q766" s="4"/>
      <c r="R766" s="4"/>
      <c r="S766" s="9" t="str">
        <f>HYPERLINK("https://pbs.twimg.com/profile_images/1032929723633074177/nnJpz7w3.jpg","View")</f>
        <v>View</v>
      </c>
    </row>
    <row r="767" spans="1:19" ht="30">
      <c r="A767" s="8">
        <v>43370.884120370371</v>
      </c>
      <c r="B767" s="11" t="str">
        <f>HYPERLINK("https://twitter.com/kamran_baranji","@kamran_baranji")</f>
        <v>@kamran_baranji</v>
      </c>
      <c r="C767" s="6" t="s">
        <v>5008</v>
      </c>
      <c r="D767" s="5" t="s">
        <v>6015</v>
      </c>
      <c r="E767" s="9" t="str">
        <f>HYPERLINK("https://twitter.com/kamran_baranji/status/1045368254104051712","1045368254104051712")</f>
        <v>1045368254104051712</v>
      </c>
      <c r="F767" s="4"/>
      <c r="G767" s="10" t="s">
        <v>6014</v>
      </c>
      <c r="H767" s="4"/>
      <c r="I767" s="10" t="str">
        <f>HYPERLINK("http://twitter.com/download/android","Twitter for Android")</f>
        <v>Twitter for Android</v>
      </c>
      <c r="J767" s="2">
        <v>1008</v>
      </c>
      <c r="K767" s="2">
        <v>95</v>
      </c>
      <c r="L767" s="2">
        <v>10</v>
      </c>
      <c r="M767" s="2"/>
      <c r="N767" s="8">
        <v>42734.90225694445</v>
      </c>
      <c r="O767" s="4"/>
      <c r="P767" s="3" t="s">
        <v>5005</v>
      </c>
      <c r="Q767" s="10" t="s">
        <v>5004</v>
      </c>
      <c r="R767" s="4"/>
      <c r="S767" s="9" t="str">
        <f>HYPERLINK("https://pbs.twimg.com/profile_images/1027603438828437505/o-tg-Nk6.jpg","View")</f>
        <v>View</v>
      </c>
    </row>
    <row r="768" spans="1:19" ht="20">
      <c r="A768" s="8">
        <v>43370.884074074071</v>
      </c>
      <c r="B768" s="11" t="str">
        <f>HYPERLINK("https://twitter.com/BHZ1353","@BHZ1353")</f>
        <v>@BHZ1353</v>
      </c>
      <c r="C768" s="6" t="s">
        <v>4275</v>
      </c>
      <c r="D768" s="5" t="s">
        <v>6013</v>
      </c>
      <c r="E768" s="9" t="str">
        <f>HYPERLINK("https://twitter.com/BHZ1353/status/1045368239067418624","1045368239067418624")</f>
        <v>1045368239067418624</v>
      </c>
      <c r="F768" s="4"/>
      <c r="G768" s="4"/>
      <c r="H768" s="4"/>
      <c r="I768" s="10" t="str">
        <f>HYPERLINK("http://twitter.com/download/android","Twitter for Android")</f>
        <v>Twitter for Android</v>
      </c>
      <c r="J768" s="2">
        <v>248</v>
      </c>
      <c r="K768" s="2">
        <v>329</v>
      </c>
      <c r="L768" s="2">
        <v>0</v>
      </c>
      <c r="M768" s="2"/>
      <c r="N768" s="8">
        <v>42917.578310185185</v>
      </c>
      <c r="O768" s="4" t="s">
        <v>200</v>
      </c>
      <c r="P768" s="3" t="s">
        <v>4273</v>
      </c>
      <c r="Q768" s="4"/>
      <c r="R768" s="4"/>
      <c r="S768" s="9" t="str">
        <f>HYPERLINK("https://pbs.twimg.com/profile_images/1016532563509305344/YJ0u0bsm.jpg","View")</f>
        <v>View</v>
      </c>
    </row>
    <row r="769" spans="1:19" ht="20">
      <c r="A769" s="8">
        <v>43370.883900462963</v>
      </c>
      <c r="B769" s="11" t="str">
        <f>HYPERLINK("https://twitter.com/sahrasheikh35","@sahrasheikh35")</f>
        <v>@sahrasheikh35</v>
      </c>
      <c r="C769" s="6" t="s">
        <v>6012</v>
      </c>
      <c r="D769" s="5" t="s">
        <v>6011</v>
      </c>
      <c r="E769" s="9" t="str">
        <f>HYPERLINK("https://twitter.com/sahrasheikh35/status/1045368172822417408","1045368172822417408")</f>
        <v>1045368172822417408</v>
      </c>
      <c r="F769" s="4"/>
      <c r="G769" s="4"/>
      <c r="H769" s="4"/>
      <c r="I769" s="10" t="str">
        <f>HYPERLINK("http://twitter.com/download/iphone","Twitter for iPhone")</f>
        <v>Twitter for iPhone</v>
      </c>
      <c r="J769" s="2">
        <v>220</v>
      </c>
      <c r="K769" s="2">
        <v>272</v>
      </c>
      <c r="L769" s="2">
        <v>0</v>
      </c>
      <c r="M769" s="2"/>
      <c r="N769" s="8">
        <v>42524.809745370367</v>
      </c>
      <c r="O769" s="4" t="s">
        <v>6010</v>
      </c>
      <c r="P769" s="3" t="s">
        <v>6009</v>
      </c>
      <c r="Q769" s="4"/>
      <c r="R769" s="4"/>
      <c r="S769" s="9" t="str">
        <f>HYPERLINK("https://pbs.twimg.com/profile_images/1035669236327309315/vsvpcWjc.jpg","View")</f>
        <v>View</v>
      </c>
    </row>
    <row r="770" spans="1:19" ht="30">
      <c r="A770" s="8">
        <v>43370.883877314816</v>
      </c>
      <c r="B770" s="11" t="str">
        <f>HYPERLINK("https://twitter.com/Ehsantal","@Ehsantal")</f>
        <v>@Ehsantal</v>
      </c>
      <c r="C770" s="6" t="s">
        <v>6008</v>
      </c>
      <c r="D770" s="5" t="s">
        <v>6007</v>
      </c>
      <c r="E770" s="9" t="str">
        <f>HYPERLINK("https://twitter.com/Ehsantal/status/1045368167168524288","1045368167168524288")</f>
        <v>1045368167168524288</v>
      </c>
      <c r="F770" s="4"/>
      <c r="G770" s="4"/>
      <c r="H770" s="4"/>
      <c r="I770" s="10" t="str">
        <f>HYPERLINK("http://twitter.com/download/android","Twitter for Android")</f>
        <v>Twitter for Android</v>
      </c>
      <c r="J770" s="2">
        <v>37</v>
      </c>
      <c r="K770" s="2">
        <v>69</v>
      </c>
      <c r="L770" s="2">
        <v>0</v>
      </c>
      <c r="M770" s="2"/>
      <c r="N770" s="8">
        <v>42712.338796296295</v>
      </c>
      <c r="O770" s="4" t="s">
        <v>6006</v>
      </c>
      <c r="P770" s="3" t="s">
        <v>6005</v>
      </c>
      <c r="Q770" s="4"/>
      <c r="R770" s="4"/>
      <c r="S770" s="9" t="str">
        <f>HYPERLINK("https://pbs.twimg.com/profile_images/1022044093969510400/P7cU85JF.jpg","View")</f>
        <v>View</v>
      </c>
    </row>
    <row r="771" spans="1:19" ht="40">
      <c r="A771" s="8">
        <v>43370.883668981478</v>
      </c>
      <c r="B771" s="11" t="str">
        <f>HYPERLINK("https://twitter.com/iran_sara","@iran_sara")</f>
        <v>@iran_sara</v>
      </c>
      <c r="C771" s="6" t="s">
        <v>6004</v>
      </c>
      <c r="D771" s="5" t="s">
        <v>6003</v>
      </c>
      <c r="E771" s="9" t="str">
        <f>HYPERLINK("https://twitter.com/iran_sara/status/1045368089200734208","1045368089200734208")</f>
        <v>1045368089200734208</v>
      </c>
      <c r="F771" s="4"/>
      <c r="G771" s="4"/>
      <c r="H771" s="4"/>
      <c r="I771" s="10" t="str">
        <f>HYPERLINK("http://twitter.com/download/android","Twitter for Android")</f>
        <v>Twitter for Android</v>
      </c>
      <c r="J771" s="2">
        <v>118</v>
      </c>
      <c r="K771" s="2">
        <v>163</v>
      </c>
      <c r="L771" s="2">
        <v>0</v>
      </c>
      <c r="M771" s="2"/>
      <c r="N771" s="8">
        <v>43317.675266203703</v>
      </c>
      <c r="O771" s="4" t="s">
        <v>673</v>
      </c>
      <c r="P771" s="3" t="s">
        <v>6002</v>
      </c>
      <c r="Q771" s="4"/>
      <c r="R771" s="4"/>
      <c r="S771" s="9" t="str">
        <f>HYPERLINK("https://pbs.twimg.com/profile_images/1026089989904453633/YQqd4yUV.jpg","View")</f>
        <v>View</v>
      </c>
    </row>
    <row r="772" spans="1:19" ht="20">
      <c r="A772" s="8">
        <v>43370.883553240739</v>
      </c>
      <c r="B772" s="11" t="str">
        <f>HYPERLINK("https://twitter.com/AMIR8MAJD","@AMIR8MAJD")</f>
        <v>@AMIR8MAJD</v>
      </c>
      <c r="C772" s="6" t="s">
        <v>173</v>
      </c>
      <c r="D772" s="5" t="s">
        <v>6001</v>
      </c>
      <c r="E772" s="9" t="str">
        <f>HYPERLINK("https://twitter.com/AMIR8MAJD/status/1045368049560248320","1045368049560248320")</f>
        <v>1045368049560248320</v>
      </c>
      <c r="F772" s="4"/>
      <c r="G772" s="4"/>
      <c r="H772" s="4"/>
      <c r="I772" s="10" t="str">
        <f>HYPERLINK("http://twitter.com/download/android","Twitter for Android")</f>
        <v>Twitter for Android</v>
      </c>
      <c r="J772" s="2">
        <v>18</v>
      </c>
      <c r="K772" s="2">
        <v>18</v>
      </c>
      <c r="L772" s="2">
        <v>0</v>
      </c>
      <c r="M772" s="2"/>
      <c r="N772" s="8">
        <v>42678.993009259255</v>
      </c>
      <c r="O772" s="4" t="s">
        <v>170</v>
      </c>
      <c r="P772" s="3" t="s">
        <v>169</v>
      </c>
      <c r="Q772" s="4"/>
      <c r="R772" s="4"/>
      <c r="S772" s="9" t="str">
        <f>HYPERLINK("https://pbs.twimg.com/profile_images/1044289871748067328/u8hs3Eoc.jpg","View")</f>
        <v>View</v>
      </c>
    </row>
    <row r="773" spans="1:19" ht="40">
      <c r="A773" s="8">
        <v>43370.883321759262</v>
      </c>
      <c r="B773" s="11" t="str">
        <f>HYPERLINK("https://twitter.com/MasoudFadak","@MasoudFadak")</f>
        <v>@MasoudFadak</v>
      </c>
      <c r="C773" s="6" t="s">
        <v>6000</v>
      </c>
      <c r="D773" s="5" t="s">
        <v>5999</v>
      </c>
      <c r="E773" s="9" t="str">
        <f>HYPERLINK("https://twitter.com/MasoudFadak/status/1045367964567044096","1045367964567044096")</f>
        <v>1045367964567044096</v>
      </c>
      <c r="F773" s="4"/>
      <c r="G773" s="4"/>
      <c r="H773" s="4"/>
      <c r="I773" s="10" t="str">
        <f>HYPERLINK("http://twitter.com/download/android","Twitter for Android")</f>
        <v>Twitter for Android</v>
      </c>
      <c r="J773" s="2">
        <v>7293</v>
      </c>
      <c r="K773" s="2">
        <v>6335</v>
      </c>
      <c r="L773" s="2">
        <v>31</v>
      </c>
      <c r="M773" s="2"/>
      <c r="N773" s="8">
        <v>42854.617997685185</v>
      </c>
      <c r="O773" s="4"/>
      <c r="P773" s="3" t="s">
        <v>5998</v>
      </c>
      <c r="Q773" s="10" t="s">
        <v>5997</v>
      </c>
      <c r="R773" s="4"/>
      <c r="S773" s="9" t="str">
        <f>HYPERLINK("https://pbs.twimg.com/profile_images/1036922713892372480/vGL2hCfz.jpg","View")</f>
        <v>View</v>
      </c>
    </row>
    <row r="774" spans="1:19" ht="40">
      <c r="A774" s="8">
        <v>43370.883275462962</v>
      </c>
      <c r="B774" s="11" t="str">
        <f>HYPERLINK("https://twitter.com/SoodabehRadfard","@SoodabehRadfard")</f>
        <v>@SoodabehRadfard</v>
      </c>
      <c r="C774" s="6" t="s">
        <v>5996</v>
      </c>
      <c r="D774" s="5" t="s">
        <v>5995</v>
      </c>
      <c r="E774" s="9" t="str">
        <f>HYPERLINK("https://twitter.com/SoodabehRadfard/status/1045367946795606016","1045367946795606016")</f>
        <v>1045367946795606016</v>
      </c>
      <c r="F774" s="4"/>
      <c r="G774" s="10" t="s">
        <v>5994</v>
      </c>
      <c r="H774" s="4"/>
      <c r="I774" s="10" t="str">
        <f>HYPERLINK("http://twitter.com/download/android","Twitter for Android")</f>
        <v>Twitter for Android</v>
      </c>
      <c r="J774" s="2">
        <v>670</v>
      </c>
      <c r="K774" s="2">
        <v>352</v>
      </c>
      <c r="L774" s="2">
        <v>3</v>
      </c>
      <c r="M774" s="2"/>
      <c r="N774" s="8">
        <v>42859.030833333338</v>
      </c>
      <c r="O774" s="4" t="s">
        <v>200</v>
      </c>
      <c r="P774" s="3" t="s">
        <v>5993</v>
      </c>
      <c r="Q774" s="4"/>
      <c r="R774" s="4"/>
      <c r="S774" s="9" t="str">
        <f>HYPERLINK("https://pbs.twimg.com/profile_images/862190876952592384/vVUfH6Lh.jpg","View")</f>
        <v>View</v>
      </c>
    </row>
    <row r="775" spans="1:19" ht="12.5">
      <c r="A775" s="8">
        <v>43370.882858796293</v>
      </c>
      <c r="B775" s="11" t="str">
        <f>HYPERLINK("https://twitter.com/ERFAN_SALAME","@ERFAN_SALAME")</f>
        <v>@ERFAN_SALAME</v>
      </c>
      <c r="C775" s="6" t="s">
        <v>17</v>
      </c>
      <c r="D775" s="5" t="s">
        <v>5992</v>
      </c>
      <c r="E775" s="9" t="str">
        <f>HYPERLINK("https://twitter.com/ERFAN_SALAME/status/1045367795209261056","1045367795209261056")</f>
        <v>1045367795209261056</v>
      </c>
      <c r="F775" s="4"/>
      <c r="G775" s="10" t="s">
        <v>5991</v>
      </c>
      <c r="H775" s="4"/>
      <c r="I775" s="10" t="str">
        <f>HYPERLINK("http://twitter.com/download/android","Twitter for Android")</f>
        <v>Twitter for Android</v>
      </c>
      <c r="J775" s="2">
        <v>9</v>
      </c>
      <c r="K775" s="2">
        <v>16</v>
      </c>
      <c r="L775" s="2">
        <v>0</v>
      </c>
      <c r="M775" s="2"/>
      <c r="N775" s="8">
        <v>43315.948518518519</v>
      </c>
      <c r="O775" s="4" t="s">
        <v>14</v>
      </c>
      <c r="P775" s="3"/>
      <c r="Q775" s="4"/>
      <c r="R775" s="4"/>
      <c r="S775" s="9" t="str">
        <f>HYPERLINK("https://pbs.twimg.com/profile_images/1034183459466629122/i4JYMDK-.jpg","View")</f>
        <v>View</v>
      </c>
    </row>
    <row r="776" spans="1:19" ht="12.5">
      <c r="A776" s="8">
        <v>43370.88280092593</v>
      </c>
      <c r="B776" s="11" t="str">
        <f>HYPERLINK("https://twitter.com/yeganeh_assari","@yeganeh_assari")</f>
        <v>@yeganeh_assari</v>
      </c>
      <c r="C776" s="6" t="s">
        <v>5990</v>
      </c>
      <c r="D776" s="5" t="s">
        <v>5989</v>
      </c>
      <c r="E776" s="9" t="str">
        <f>HYPERLINK("https://twitter.com/yeganeh_assari/status/1045367778176200704","1045367778176200704")</f>
        <v>1045367778176200704</v>
      </c>
      <c r="F776" s="4"/>
      <c r="G776" s="4"/>
      <c r="H776" s="4"/>
      <c r="I776" s="10" t="str">
        <f>HYPERLINK("http://twitter.com/download/iphone","Twitter for iPhone")</f>
        <v>Twitter for iPhone</v>
      </c>
      <c r="J776" s="2">
        <v>41</v>
      </c>
      <c r="K776" s="2">
        <v>30</v>
      </c>
      <c r="L776" s="2">
        <v>0</v>
      </c>
      <c r="M776" s="2"/>
      <c r="N776" s="8">
        <v>43162.615949074076</v>
      </c>
      <c r="O776" s="4" t="s">
        <v>10</v>
      </c>
      <c r="P776" s="3" t="s">
        <v>5988</v>
      </c>
      <c r="Q776" s="4"/>
      <c r="R776" s="4"/>
      <c r="S776" s="9" t="str">
        <f>HYPERLINK("https://pbs.twimg.com/profile_images/969901020309610496/U6Xfa3UX.jpg","View")</f>
        <v>View</v>
      </c>
    </row>
    <row r="777" spans="1:19" ht="30">
      <c r="A777" s="8">
        <v>43370.88280092593</v>
      </c>
      <c r="B777" s="11" t="str">
        <f>HYPERLINK("https://twitter.com/Soroush_3kb","@Soroush_3kb")</f>
        <v>@Soroush_3kb</v>
      </c>
      <c r="C777" s="6" t="s">
        <v>5987</v>
      </c>
      <c r="D777" s="5" t="s">
        <v>5986</v>
      </c>
      <c r="E777" s="9" t="str">
        <f>HYPERLINK("https://twitter.com/Soroush_3kb/status/1045367776930484224","1045367776930484224")</f>
        <v>1045367776930484224</v>
      </c>
      <c r="F777" s="4"/>
      <c r="G777" s="4"/>
      <c r="H777" s="4"/>
      <c r="I777" s="10" t="str">
        <f>HYPERLINK("http://twitter.com/download/android","Twitter for Android")</f>
        <v>Twitter for Android</v>
      </c>
      <c r="J777" s="2">
        <v>16</v>
      </c>
      <c r="K777" s="2">
        <v>40</v>
      </c>
      <c r="L777" s="2">
        <v>0</v>
      </c>
      <c r="M777" s="2"/>
      <c r="N777" s="8">
        <v>43226.083275462966</v>
      </c>
      <c r="O777" s="4" t="s">
        <v>200</v>
      </c>
      <c r="P777" s="3" t="s">
        <v>5985</v>
      </c>
      <c r="Q777" s="4"/>
      <c r="R777" s="4"/>
      <c r="S777" s="9" t="str">
        <f>HYPERLINK("https://pbs.twimg.com/profile_images/993953816742637570/equj6Kni.jpg","View")</f>
        <v>View</v>
      </c>
    </row>
    <row r="778" spans="1:19" ht="20">
      <c r="A778" s="8">
        <v>43370.882604166662</v>
      </c>
      <c r="B778" s="11" t="str">
        <f>HYPERLINK("https://twitter.com/hadi_sg8","@hadi_sg8")</f>
        <v>@hadi_sg8</v>
      </c>
      <c r="C778" s="6" t="s">
        <v>5984</v>
      </c>
      <c r="D778" s="5" t="s">
        <v>5983</v>
      </c>
      <c r="E778" s="9" t="str">
        <f>HYPERLINK("https://twitter.com/hadi_sg8/status/1045367705459658752","1045367705459658752")</f>
        <v>1045367705459658752</v>
      </c>
      <c r="F778" s="4"/>
      <c r="G778" s="4"/>
      <c r="H778" s="4"/>
      <c r="I778" s="10" t="str">
        <f>HYPERLINK("http://twitter.com/download/android","Twitter for Android")</f>
        <v>Twitter for Android</v>
      </c>
      <c r="J778" s="2">
        <v>451</v>
      </c>
      <c r="K778" s="2">
        <v>411</v>
      </c>
      <c r="L778" s="2">
        <v>0</v>
      </c>
      <c r="M778" s="2"/>
      <c r="N778" s="8">
        <v>42593.028344907405</v>
      </c>
      <c r="O778" s="4" t="s">
        <v>10</v>
      </c>
      <c r="P778" s="3" t="s">
        <v>5982</v>
      </c>
      <c r="Q778" s="4"/>
      <c r="R778" s="4"/>
      <c r="S778" s="9" t="str">
        <f>HYPERLINK("https://pbs.twimg.com/profile_images/1041587817028222978/h0vJ7nag.jpg","View")</f>
        <v>View</v>
      </c>
    </row>
    <row r="779" spans="1:19" ht="30">
      <c r="A779" s="8">
        <v>43370.882511574076</v>
      </c>
      <c r="B779" s="11" t="str">
        <f>HYPERLINK("https://twitter.com/hamidebrahimii","@hamidebrahimii")</f>
        <v>@hamidebrahimii</v>
      </c>
      <c r="C779" s="6" t="s">
        <v>5981</v>
      </c>
      <c r="D779" s="5" t="s">
        <v>5980</v>
      </c>
      <c r="E779" s="9" t="str">
        <f>HYPERLINK("https://twitter.com/hamidebrahimii/status/1045367670084755456","1045367670084755456")</f>
        <v>1045367670084755456</v>
      </c>
      <c r="F779" s="4"/>
      <c r="G779" s="4"/>
      <c r="H779" s="4"/>
      <c r="I779" s="10" t="str">
        <f>HYPERLINK("http://twitter.com/download/iphone","Twitter for iPhone")</f>
        <v>Twitter for iPhone</v>
      </c>
      <c r="J779" s="2">
        <v>513</v>
      </c>
      <c r="K779" s="2">
        <v>219</v>
      </c>
      <c r="L779" s="2">
        <v>0</v>
      </c>
      <c r="M779" s="2"/>
      <c r="N779" s="8">
        <v>41381.528807870374</v>
      </c>
      <c r="O779" s="4" t="s">
        <v>55</v>
      </c>
      <c r="P779" s="3" t="s">
        <v>5979</v>
      </c>
      <c r="Q779" s="10" t="s">
        <v>5978</v>
      </c>
      <c r="R779" s="4"/>
      <c r="S779" s="9" t="str">
        <f>HYPERLINK("https://pbs.twimg.com/profile_images/886291069763301377/nRN6FFOY.jpg","View")</f>
        <v>View</v>
      </c>
    </row>
    <row r="780" spans="1:19" ht="20">
      <c r="A780" s="8">
        <v>43370.8824537037</v>
      </c>
      <c r="B780" s="11" t="str">
        <f>HYPERLINK("https://twitter.com/kheng7496","@kheng7496")</f>
        <v>@kheng7496</v>
      </c>
      <c r="C780" s="6" t="s">
        <v>3307</v>
      </c>
      <c r="D780" s="5" t="s">
        <v>5977</v>
      </c>
      <c r="E780" s="9" t="str">
        <f>HYPERLINK("https://twitter.com/kheng7496/status/1045367650665168898","1045367650665168898")</f>
        <v>1045367650665168898</v>
      </c>
      <c r="F780" s="4"/>
      <c r="G780" s="4"/>
      <c r="H780" s="4"/>
      <c r="I780" s="10" t="str">
        <f>HYPERLINK("http://twitter.com/download/android","Twitter for Android")</f>
        <v>Twitter for Android</v>
      </c>
      <c r="J780" s="2">
        <v>58</v>
      </c>
      <c r="K780" s="2">
        <v>56</v>
      </c>
      <c r="L780" s="2">
        <v>0</v>
      </c>
      <c r="M780" s="2"/>
      <c r="N780" s="8">
        <v>43357.926168981481</v>
      </c>
      <c r="O780" s="4" t="s">
        <v>10</v>
      </c>
      <c r="P780" s="3"/>
      <c r="Q780" s="4"/>
      <c r="R780" s="4"/>
      <c r="S780" s="9" t="str">
        <f>HYPERLINK("https://pbs.twimg.com/profile_images/1043191325976403968/jqFx0GlA.jpg","View")</f>
        <v>View</v>
      </c>
    </row>
    <row r="781" spans="1:19" ht="30">
      <c r="A781" s="8">
        <v>43370.882025462968</v>
      </c>
      <c r="B781" s="11" t="str">
        <f>HYPERLINK("https://twitter.com/mkarimi62","@mkarimi62")</f>
        <v>@mkarimi62</v>
      </c>
      <c r="C781" s="6" t="s">
        <v>5961</v>
      </c>
      <c r="D781" s="5" t="s">
        <v>5976</v>
      </c>
      <c r="E781" s="9" t="str">
        <f>HYPERLINK("https://twitter.com/mkarimi62/status/1045367494867705857","1045367494867705857")</f>
        <v>1045367494867705857</v>
      </c>
      <c r="F781" s="4"/>
      <c r="G781" s="4"/>
      <c r="H781" s="4"/>
      <c r="I781" s="10" t="str">
        <f>HYPERLINK("http://twitter.com/download/android","Twitter for Android")</f>
        <v>Twitter for Android</v>
      </c>
      <c r="J781" s="2">
        <v>436</v>
      </c>
      <c r="K781" s="2">
        <v>613</v>
      </c>
      <c r="L781" s="2">
        <v>5</v>
      </c>
      <c r="M781" s="2"/>
      <c r="N781" s="8">
        <v>41467.613310185188</v>
      </c>
      <c r="O781" s="4" t="s">
        <v>200</v>
      </c>
      <c r="P781" s="3" t="s">
        <v>5959</v>
      </c>
      <c r="Q781" s="10" t="s">
        <v>5958</v>
      </c>
      <c r="R781" s="4"/>
      <c r="S781" s="9" t="str">
        <f>HYPERLINK("https://pbs.twimg.com/profile_images/786516975128309761/cfINMGgL.jpg","View")</f>
        <v>View</v>
      </c>
    </row>
    <row r="782" spans="1:19" ht="30">
      <c r="A782" s="8">
        <v>43370.881967592592</v>
      </c>
      <c r="B782" s="11" t="str">
        <f>HYPERLINK("https://twitter.com/amir758kh","@amir758kh")</f>
        <v>@amir758kh</v>
      </c>
      <c r="C782" s="6" t="s">
        <v>681</v>
      </c>
      <c r="D782" s="5" t="s">
        <v>4979</v>
      </c>
      <c r="E782" s="9" t="str">
        <f>HYPERLINK("https://twitter.com/amir758kh/status/1045367475863318528","1045367475863318528")</f>
        <v>1045367475863318528</v>
      </c>
      <c r="F782" s="4"/>
      <c r="G782" s="4"/>
      <c r="H782" s="4"/>
      <c r="I782" s="10" t="str">
        <f>HYPERLINK("http://twitter.com/download/android","Twitter for Android")</f>
        <v>Twitter for Android</v>
      </c>
      <c r="J782" s="2">
        <v>184</v>
      </c>
      <c r="K782" s="2">
        <v>321</v>
      </c>
      <c r="L782" s="2">
        <v>0</v>
      </c>
      <c r="M782" s="2"/>
      <c r="N782" s="8">
        <v>41240.859444444446</v>
      </c>
      <c r="O782" s="4" t="s">
        <v>679</v>
      </c>
      <c r="P782" s="3" t="s">
        <v>678</v>
      </c>
      <c r="Q782" s="4"/>
      <c r="R782" s="4"/>
      <c r="S782" s="9" t="str">
        <f>HYPERLINK("https://pbs.twimg.com/profile_images/1013281762850504705/RmQek73U.jpg","View")</f>
        <v>View</v>
      </c>
    </row>
    <row r="783" spans="1:19" ht="20">
      <c r="A783" s="8">
        <v>43370.881967592592</v>
      </c>
      <c r="B783" s="11" t="str">
        <f>HYPERLINK("https://twitter.com/Mr_Engineer21","@Mr_Engineer21")</f>
        <v>@Mr_Engineer21</v>
      </c>
      <c r="C783" s="6" t="s">
        <v>5975</v>
      </c>
      <c r="D783" s="5" t="s">
        <v>5974</v>
      </c>
      <c r="E783" s="9" t="str">
        <f>HYPERLINK("https://twitter.com/Mr_Engineer21/status/1045367473845858304","1045367473845858304")</f>
        <v>1045367473845858304</v>
      </c>
      <c r="F783" s="4"/>
      <c r="G783" s="4"/>
      <c r="H783" s="4"/>
      <c r="I783" s="10" t="str">
        <f>HYPERLINK("http://twitter.com/download/android","Twitter for Android")</f>
        <v>Twitter for Android</v>
      </c>
      <c r="J783" s="2">
        <v>232</v>
      </c>
      <c r="K783" s="2">
        <v>476</v>
      </c>
      <c r="L783" s="2">
        <v>0</v>
      </c>
      <c r="M783" s="2"/>
      <c r="N783" s="8">
        <v>43228.944050925929</v>
      </c>
      <c r="O783" s="4" t="s">
        <v>200</v>
      </c>
      <c r="P783" s="3" t="s">
        <v>5973</v>
      </c>
      <c r="Q783" s="4"/>
      <c r="R783" s="4"/>
      <c r="S783" s="9" t="str">
        <f>HYPERLINK("https://pbs.twimg.com/profile_images/1030840368122798081/z5-GvXLJ.jpg","View")</f>
        <v>View</v>
      </c>
    </row>
    <row r="784" spans="1:19" ht="20">
      <c r="A784" s="8">
        <v>43370.881782407407</v>
      </c>
      <c r="B784" s="11" t="str">
        <f>HYPERLINK("https://twitter.com/maass_94","@maass_94")</f>
        <v>@maass_94</v>
      </c>
      <c r="C784" s="6" t="s">
        <v>5972</v>
      </c>
      <c r="D784" s="5" t="s">
        <v>5971</v>
      </c>
      <c r="E784" s="9" t="str">
        <f>HYPERLINK("https://twitter.com/maass_94/status/1045367405185093632","1045367405185093632")</f>
        <v>1045367405185093632</v>
      </c>
      <c r="F784" s="4"/>
      <c r="G784" s="4"/>
      <c r="H784" s="4"/>
      <c r="I784" s="10" t="str">
        <f>HYPERLINK("http://twitter.com/download/iphone","Twitter for iPhone")</f>
        <v>Twitter for iPhone</v>
      </c>
      <c r="J784" s="2">
        <v>70</v>
      </c>
      <c r="K784" s="2">
        <v>81</v>
      </c>
      <c r="L784" s="2">
        <v>1</v>
      </c>
      <c r="M784" s="2"/>
      <c r="N784" s="8">
        <v>42886.494432870371</v>
      </c>
      <c r="O784" s="4"/>
      <c r="P784" s="3" t="s">
        <v>5970</v>
      </c>
      <c r="Q784" s="4"/>
      <c r="R784" s="4"/>
      <c r="S784" s="9" t="str">
        <f>HYPERLINK("https://pbs.twimg.com/profile_images/1001512967874207745/sKicMTeV.jpg","View")</f>
        <v>View</v>
      </c>
    </row>
    <row r="785" spans="1:19" ht="40">
      <c r="A785" s="8">
        <v>43370.881597222222</v>
      </c>
      <c r="B785" s="11" t="str">
        <f>HYPERLINK("https://twitter.com/Ghahhar","@Ghahhar")</f>
        <v>@Ghahhar</v>
      </c>
      <c r="C785" s="6" t="s">
        <v>3667</v>
      </c>
      <c r="D785" s="5" t="s">
        <v>5969</v>
      </c>
      <c r="E785" s="9" t="str">
        <f>HYPERLINK("https://twitter.com/Ghahhar/status/1045367338126790657","1045367338126790657")</f>
        <v>1045367338126790657</v>
      </c>
      <c r="F785" s="4"/>
      <c r="G785" s="10" t="s">
        <v>5968</v>
      </c>
      <c r="H785" s="4"/>
      <c r="I785" s="10" t="str">
        <f>HYPERLINK("http://twitter.com/download/iphone","Twitter for iPhone")</f>
        <v>Twitter for iPhone</v>
      </c>
      <c r="J785" s="2">
        <v>3862</v>
      </c>
      <c r="K785" s="2">
        <v>319</v>
      </c>
      <c r="L785" s="2">
        <v>14</v>
      </c>
      <c r="M785" s="2"/>
      <c r="N785" s="8">
        <v>41135.69840277778</v>
      </c>
      <c r="O785" s="4"/>
      <c r="P785" s="3" t="s">
        <v>3664</v>
      </c>
      <c r="Q785" s="10" t="s">
        <v>3663</v>
      </c>
      <c r="R785" s="4"/>
      <c r="S785" s="9" t="str">
        <f>HYPERLINK("https://pbs.twimg.com/profile_images/1044020442330222592/7KcT8ECd.jpg","View")</f>
        <v>View</v>
      </c>
    </row>
    <row r="786" spans="1:19" ht="20">
      <c r="A786" s="8">
        <v>43370.881388888884</v>
      </c>
      <c r="B786" s="11" t="str">
        <f>HYPERLINK("https://twitter.com/tvnavadofficial","@tvnavadofficial")</f>
        <v>@tvnavadofficial</v>
      </c>
      <c r="C786" s="6" t="s">
        <v>5965</v>
      </c>
      <c r="D786" s="5" t="s">
        <v>5967</v>
      </c>
      <c r="E786" s="9" t="str">
        <f>HYPERLINK("https://twitter.com/tvnavadofficial/status/1045367265590423552","1045367265590423552")</f>
        <v>1045367265590423552</v>
      </c>
      <c r="F786" s="10" t="s">
        <v>5966</v>
      </c>
      <c r="G786" s="4"/>
      <c r="H786" s="4"/>
      <c r="I786" s="10" t="str">
        <f>HYPERLINK("https://ifttt.com","IFTTT")</f>
        <v>IFTTT</v>
      </c>
      <c r="J786" s="2">
        <v>195</v>
      </c>
      <c r="K786" s="2">
        <v>0</v>
      </c>
      <c r="L786" s="2">
        <v>0</v>
      </c>
      <c r="M786" s="2"/>
      <c r="N786" s="8">
        <v>42520.035185185188</v>
      </c>
      <c r="O786" s="4"/>
      <c r="P786" s="3"/>
      <c r="Q786" s="10" t="s">
        <v>5962</v>
      </c>
      <c r="R786" s="4"/>
      <c r="S786" s="9" t="str">
        <f>HYPERLINK("https://pbs.twimg.com/profile_images/838672499776843776/UTlbgcH7.jpg","View")</f>
        <v>View</v>
      </c>
    </row>
    <row r="787" spans="1:19" ht="20">
      <c r="A787" s="8">
        <v>43370.881388888884</v>
      </c>
      <c r="B787" s="11" t="str">
        <f>HYPERLINK("https://twitter.com/tvnavadofficial","@tvnavadofficial")</f>
        <v>@tvnavadofficial</v>
      </c>
      <c r="C787" s="6" t="s">
        <v>5965</v>
      </c>
      <c r="D787" s="5" t="s">
        <v>5964</v>
      </c>
      <c r="E787" s="9" t="str">
        <f>HYPERLINK("https://twitter.com/tvnavadofficial/status/1045367263338074112","1045367263338074112")</f>
        <v>1045367263338074112</v>
      </c>
      <c r="F787" s="10" t="s">
        <v>5963</v>
      </c>
      <c r="G787" s="4"/>
      <c r="H787" s="4"/>
      <c r="I787" s="10" t="str">
        <f>HYPERLINK("https://ifttt.com","IFTTT")</f>
        <v>IFTTT</v>
      </c>
      <c r="J787" s="2">
        <v>195</v>
      </c>
      <c r="K787" s="2">
        <v>0</v>
      </c>
      <c r="L787" s="2">
        <v>0</v>
      </c>
      <c r="M787" s="2"/>
      <c r="N787" s="8">
        <v>42520.035185185188</v>
      </c>
      <c r="O787" s="4"/>
      <c r="P787" s="3"/>
      <c r="Q787" s="10" t="s">
        <v>5962</v>
      </c>
      <c r="R787" s="4"/>
      <c r="S787" s="9" t="str">
        <f>HYPERLINK("https://pbs.twimg.com/profile_images/838672499776843776/UTlbgcH7.jpg","View")</f>
        <v>View</v>
      </c>
    </row>
    <row r="788" spans="1:19" ht="30">
      <c r="A788" s="8">
        <v>43370.881284722222</v>
      </c>
      <c r="B788" s="11" t="str">
        <f>HYPERLINK("https://twitter.com/mkarimi62","@mkarimi62")</f>
        <v>@mkarimi62</v>
      </c>
      <c r="C788" s="6" t="s">
        <v>5961</v>
      </c>
      <c r="D788" s="5" t="s">
        <v>5960</v>
      </c>
      <c r="E788" s="9" t="str">
        <f>HYPERLINK("https://twitter.com/mkarimi62/status/1045367226935562240","1045367226935562240")</f>
        <v>1045367226935562240</v>
      </c>
      <c r="F788" s="4"/>
      <c r="G788" s="4"/>
      <c r="H788" s="4"/>
      <c r="I788" s="10" t="str">
        <f>HYPERLINK("http://twitter.com/download/android","Twitter for Android")</f>
        <v>Twitter for Android</v>
      </c>
      <c r="J788" s="2">
        <v>436</v>
      </c>
      <c r="K788" s="2">
        <v>613</v>
      </c>
      <c r="L788" s="2">
        <v>5</v>
      </c>
      <c r="M788" s="2"/>
      <c r="N788" s="8">
        <v>41467.613310185188</v>
      </c>
      <c r="O788" s="4" t="s">
        <v>200</v>
      </c>
      <c r="P788" s="3" t="s">
        <v>5959</v>
      </c>
      <c r="Q788" s="10" t="s">
        <v>5958</v>
      </c>
      <c r="R788" s="4"/>
      <c r="S788" s="9" t="str">
        <f>HYPERLINK("https://pbs.twimg.com/profile_images/786516975128309761/cfINMGgL.jpg","View")</f>
        <v>View</v>
      </c>
    </row>
    <row r="789" spans="1:19" ht="30">
      <c r="A789" s="8">
        <v>43370.880752314813</v>
      </c>
      <c r="B789" s="11" t="str">
        <f>HYPERLINK("https://twitter.com/IranVarzeshi","@IranVarzeshi")</f>
        <v>@IranVarzeshi</v>
      </c>
      <c r="C789" s="6" t="s">
        <v>212</v>
      </c>
      <c r="D789" s="5" t="s">
        <v>5957</v>
      </c>
      <c r="E789" s="9" t="str">
        <f>HYPERLINK("https://twitter.com/IranVarzeshi/status/1045367034609991680","1045367034609991680")</f>
        <v>1045367034609991680</v>
      </c>
      <c r="F789" s="4"/>
      <c r="G789" s="10" t="s">
        <v>5956</v>
      </c>
      <c r="H789" s="4"/>
      <c r="I789" s="10" t="str">
        <f>HYPERLINK("http://twitter.com/download/iphone","Twitter for iPhone")</f>
        <v>Twitter for iPhone</v>
      </c>
      <c r="J789" s="2">
        <v>668</v>
      </c>
      <c r="K789" s="2">
        <v>20</v>
      </c>
      <c r="L789" s="2">
        <v>9</v>
      </c>
      <c r="M789" s="2"/>
      <c r="N789" s="8">
        <v>43233.76258101852</v>
      </c>
      <c r="O789" s="4"/>
      <c r="P789" s="3" t="s">
        <v>210</v>
      </c>
      <c r="Q789" s="10" t="s">
        <v>209</v>
      </c>
      <c r="R789" s="4"/>
      <c r="S789" s="9" t="str">
        <f>HYPERLINK("https://pbs.twimg.com/profile_images/1001132674306670593/nV9S7juu.jpg","View")</f>
        <v>View</v>
      </c>
    </row>
    <row r="790" spans="1:19" ht="20">
      <c r="A790" s="8">
        <v>43370.880729166667</v>
      </c>
      <c r="B790" s="11" t="str">
        <f>HYPERLINK("https://twitter.com/reza_haghdoust","@reza_haghdoust")</f>
        <v>@reza_haghdoust</v>
      </c>
      <c r="C790" s="6" t="s">
        <v>5955</v>
      </c>
      <c r="D790" s="5" t="s">
        <v>5954</v>
      </c>
      <c r="E790" s="9" t="str">
        <f>HYPERLINK("https://twitter.com/reza_haghdoust/status/1045367026368356354","1045367026368356354")</f>
        <v>1045367026368356354</v>
      </c>
      <c r="F790" s="4"/>
      <c r="G790" s="4"/>
      <c r="H790" s="4"/>
      <c r="I790" s="10" t="str">
        <f>HYPERLINK("http://twitter.com/download/android","Twitter for Android")</f>
        <v>Twitter for Android</v>
      </c>
      <c r="J790" s="2">
        <v>1494</v>
      </c>
      <c r="K790" s="2">
        <v>1508</v>
      </c>
      <c r="L790" s="2">
        <v>1</v>
      </c>
      <c r="M790" s="2"/>
      <c r="N790" s="8">
        <v>42899.446840277778</v>
      </c>
      <c r="O790" s="4" t="s">
        <v>5953</v>
      </c>
      <c r="P790" s="3" t="s">
        <v>5952</v>
      </c>
      <c r="Q790" s="4"/>
      <c r="R790" s="4"/>
      <c r="S790" s="9" t="str">
        <f>HYPERLINK("https://pbs.twimg.com/profile_images/1039780342830379008/r1TnNY3E.jpg","View")</f>
        <v>View</v>
      </c>
    </row>
    <row r="791" spans="1:19" ht="20">
      <c r="A791" s="8">
        <v>43370.880567129629</v>
      </c>
      <c r="B791" s="11" t="str">
        <f>HYPERLINK("https://twitter.com/Armin_AghaIna","@Armin_AghaIna")</f>
        <v>@Armin_AghaIna</v>
      </c>
      <c r="C791" s="6" t="s">
        <v>5825</v>
      </c>
      <c r="D791" s="5" t="s">
        <v>5951</v>
      </c>
      <c r="E791" s="9" t="str">
        <f>HYPERLINK("https://twitter.com/Armin_AghaIna/status/1045366967077466112","1045366967077466112")</f>
        <v>1045366967077466112</v>
      </c>
      <c r="F791" s="4"/>
      <c r="G791" s="4"/>
      <c r="H791" s="4"/>
      <c r="I791" s="10" t="str">
        <f>HYPERLINK("http://twitter.com/download/iphone","Twitter for iPhone")</f>
        <v>Twitter for iPhone</v>
      </c>
      <c r="J791" s="2">
        <v>869</v>
      </c>
      <c r="K791" s="2">
        <v>116</v>
      </c>
      <c r="L791" s="2">
        <v>6</v>
      </c>
      <c r="M791" s="2"/>
      <c r="N791" s="8">
        <v>40667.671400462961</v>
      </c>
      <c r="O791" s="4" t="s">
        <v>5823</v>
      </c>
      <c r="P791" s="3" t="s">
        <v>5822</v>
      </c>
      <c r="Q791" s="4"/>
      <c r="R791" s="4"/>
      <c r="S791" s="9" t="str">
        <f>HYPERLINK("https://pbs.twimg.com/profile_images/1032373071339024389/o8cpddvs.jpg","View")</f>
        <v>View</v>
      </c>
    </row>
    <row r="792" spans="1:19" ht="20">
      <c r="A792" s="8">
        <v>43370.880555555559</v>
      </c>
      <c r="B792" s="11" t="str">
        <f>HYPERLINK("https://twitter.com/Ateke_banoo","@Ateke_banoo")</f>
        <v>@Ateke_banoo</v>
      </c>
      <c r="C792" s="6" t="s">
        <v>5950</v>
      </c>
      <c r="D792" s="5" t="s">
        <v>5949</v>
      </c>
      <c r="E792" s="9" t="str">
        <f>HYPERLINK("https://twitter.com/Ateke_banoo/status/1045366964552691712","1045366964552691712")</f>
        <v>1045366964552691712</v>
      </c>
      <c r="F792" s="4"/>
      <c r="G792" s="4"/>
      <c r="H792" s="4"/>
      <c r="I792" s="10" t="str">
        <f>HYPERLINK("http://twitter.com/download/android","Twitter for Android")</f>
        <v>Twitter for Android</v>
      </c>
      <c r="J792" s="2">
        <v>384</v>
      </c>
      <c r="K792" s="2">
        <v>202</v>
      </c>
      <c r="L792" s="2">
        <v>0</v>
      </c>
      <c r="M792" s="2"/>
      <c r="N792" s="8">
        <v>42958.588599537034</v>
      </c>
      <c r="O792" s="4"/>
      <c r="P792" s="3" t="s">
        <v>5948</v>
      </c>
      <c r="Q792" s="4"/>
      <c r="R792" s="4"/>
      <c r="S792" s="9" t="str">
        <f>HYPERLINK("https://pbs.twimg.com/profile_images/1033764463076290560/q91MQhzS.jpg","View")</f>
        <v>View</v>
      </c>
    </row>
    <row r="793" spans="1:19" ht="20">
      <c r="A793" s="8">
        <v>43370.880520833336</v>
      </c>
      <c r="B793" s="11" t="str">
        <f>HYPERLINK("https://twitter.com/SAJlllll","@SAJlllll")</f>
        <v>@SAJlllll</v>
      </c>
      <c r="C793" s="6" t="s">
        <v>5947</v>
      </c>
      <c r="D793" s="5" t="s">
        <v>5946</v>
      </c>
      <c r="E793" s="9" t="str">
        <f>HYPERLINK("https://twitter.com/SAJlllll/status/1045366948698021888","1045366948698021888")</f>
        <v>1045366948698021888</v>
      </c>
      <c r="F793" s="4"/>
      <c r="G793" s="4"/>
      <c r="H793" s="4"/>
      <c r="I793" s="10" t="str">
        <f>HYPERLINK("http://twitter.com/download/android","Twitter for Android")</f>
        <v>Twitter for Android</v>
      </c>
      <c r="J793" s="2">
        <v>79</v>
      </c>
      <c r="K793" s="2">
        <v>88</v>
      </c>
      <c r="L793" s="2">
        <v>2</v>
      </c>
      <c r="M793" s="2"/>
      <c r="N793" s="8">
        <v>40669.027337962965</v>
      </c>
      <c r="O793" s="4" t="s">
        <v>673</v>
      </c>
      <c r="P793" s="3" t="s">
        <v>5945</v>
      </c>
      <c r="Q793" s="4"/>
      <c r="R793" s="4"/>
      <c r="S793" s="9" t="str">
        <f>HYPERLINK("https://pbs.twimg.com/profile_images/1033879553054101504/ovoMJ59p.jpg","View")</f>
        <v>View</v>
      </c>
    </row>
    <row r="794" spans="1:19" ht="20">
      <c r="A794" s="8">
        <v>43370.88013888889</v>
      </c>
      <c r="B794" s="11" t="str">
        <f>HYPERLINK("https://twitter.com/HadiNajafzadeh","@HadiNajafzadeh")</f>
        <v>@HadiNajafzadeh</v>
      </c>
      <c r="C794" s="6" t="s">
        <v>5944</v>
      </c>
      <c r="D794" s="5" t="s">
        <v>5943</v>
      </c>
      <c r="E794" s="9" t="str">
        <f>HYPERLINK("https://twitter.com/HadiNajafzadeh/status/1045366811363962880","1045366811363962880")</f>
        <v>1045366811363962880</v>
      </c>
      <c r="F794" s="4"/>
      <c r="G794" s="10" t="s">
        <v>5942</v>
      </c>
      <c r="H794" s="4"/>
      <c r="I794" s="10" t="str">
        <f>HYPERLINK("http://twitter.com/download/android","Twitter for Android")</f>
        <v>Twitter for Android</v>
      </c>
      <c r="J794" s="2">
        <v>1295</v>
      </c>
      <c r="K794" s="2">
        <v>682</v>
      </c>
      <c r="L794" s="2">
        <v>8</v>
      </c>
      <c r="M794" s="2"/>
      <c r="N794" s="8">
        <v>42687.776122685187</v>
      </c>
      <c r="O794" s="4" t="s">
        <v>5941</v>
      </c>
      <c r="P794" s="3" t="s">
        <v>5940</v>
      </c>
      <c r="Q794" s="4"/>
      <c r="R794" s="4"/>
      <c r="S794" s="9" t="str">
        <f>HYPERLINK("https://pbs.twimg.com/profile_images/906425584087175168/duI0kfLR.jpg","View")</f>
        <v>View</v>
      </c>
    </row>
    <row r="795" spans="1:19" ht="30">
      <c r="A795" s="8">
        <v>43370.880127314813</v>
      </c>
      <c r="B795" s="11" t="str">
        <f>HYPERLINK("https://twitter.com/antarektika","@antarektika")</f>
        <v>@antarektika</v>
      </c>
      <c r="C795" s="6" t="s">
        <v>5939</v>
      </c>
      <c r="D795" s="5" t="s">
        <v>5938</v>
      </c>
      <c r="E795" s="9" t="str">
        <f>HYPERLINK("https://twitter.com/antarektika/status/1045366809183113218","1045366809183113218")</f>
        <v>1045366809183113218</v>
      </c>
      <c r="F795" s="4"/>
      <c r="G795" s="4"/>
      <c r="H795" s="4"/>
      <c r="I795" s="10" t="str">
        <f>HYPERLINK("http://twitter.com/download/iphone","Twitter for iPhone")</f>
        <v>Twitter for iPhone</v>
      </c>
      <c r="J795" s="2">
        <v>1558</v>
      </c>
      <c r="K795" s="2">
        <v>1391</v>
      </c>
      <c r="L795" s="2">
        <v>1</v>
      </c>
      <c r="M795" s="2"/>
      <c r="N795" s="8">
        <v>43066.781956018516</v>
      </c>
      <c r="O795" s="4" t="s">
        <v>5937</v>
      </c>
      <c r="P795" s="3" t="s">
        <v>5936</v>
      </c>
      <c r="Q795" s="4"/>
      <c r="R795" s="4"/>
      <c r="S795" s="9" t="str">
        <f>HYPERLINK("https://pbs.twimg.com/profile_images/1038807173130842113/jcvkGVO0.jpg","View")</f>
        <v>View</v>
      </c>
    </row>
    <row r="796" spans="1:19" ht="20">
      <c r="A796" s="8">
        <v>43370.88008101852</v>
      </c>
      <c r="B796" s="11" t="str">
        <f>HYPERLINK("https://twitter.com/Armin_AghaIna","@Armin_AghaIna")</f>
        <v>@Armin_AghaIna</v>
      </c>
      <c r="C796" s="6" t="s">
        <v>5825</v>
      </c>
      <c r="D796" s="5" t="s">
        <v>5935</v>
      </c>
      <c r="E796" s="9" t="str">
        <f>HYPERLINK("https://twitter.com/Armin_AghaIna/status/1045366789872353281","1045366789872353281")</f>
        <v>1045366789872353281</v>
      </c>
      <c r="F796" s="4"/>
      <c r="G796" s="4"/>
      <c r="H796" s="4"/>
      <c r="I796" s="10" t="str">
        <f>HYPERLINK("http://twitter.com/download/iphone","Twitter for iPhone")</f>
        <v>Twitter for iPhone</v>
      </c>
      <c r="J796" s="2">
        <v>869</v>
      </c>
      <c r="K796" s="2">
        <v>116</v>
      </c>
      <c r="L796" s="2">
        <v>6</v>
      </c>
      <c r="M796" s="2"/>
      <c r="N796" s="8">
        <v>40667.671400462961</v>
      </c>
      <c r="O796" s="4" t="s">
        <v>5823</v>
      </c>
      <c r="P796" s="3" t="s">
        <v>5822</v>
      </c>
      <c r="Q796" s="4"/>
      <c r="R796" s="4"/>
      <c r="S796" s="9" t="str">
        <f>HYPERLINK("https://pbs.twimg.com/profile_images/1032373071339024389/o8cpddvs.jpg","View")</f>
        <v>View</v>
      </c>
    </row>
    <row r="797" spans="1:19" ht="12.5">
      <c r="A797" s="8">
        <v>43370.879826388889</v>
      </c>
      <c r="B797" s="11" t="str">
        <f>HYPERLINK("https://twitter.com/yaghob_saffari","@yaghob_saffari")</f>
        <v>@yaghob_saffari</v>
      </c>
      <c r="C797" s="6" t="s">
        <v>2043</v>
      </c>
      <c r="D797" s="5" t="s">
        <v>5934</v>
      </c>
      <c r="E797" s="9" t="str">
        <f>HYPERLINK("https://twitter.com/yaghob_saffari/status/1045366699761889280","1045366699761889280")</f>
        <v>1045366699761889280</v>
      </c>
      <c r="F797" s="4"/>
      <c r="G797" s="4"/>
      <c r="H797" s="4"/>
      <c r="I797" s="10" t="str">
        <f>HYPERLINK("http://twitter.com/#!/download/ipad","Twitter for iPad")</f>
        <v>Twitter for iPad</v>
      </c>
      <c r="J797" s="2">
        <v>1539</v>
      </c>
      <c r="K797" s="2">
        <v>871</v>
      </c>
      <c r="L797" s="2">
        <v>5</v>
      </c>
      <c r="M797" s="2"/>
      <c r="N797" s="8">
        <v>43140.915925925925</v>
      </c>
      <c r="O797" s="4"/>
      <c r="P797" s="3" t="s">
        <v>2041</v>
      </c>
      <c r="Q797" s="4"/>
      <c r="R797" s="4"/>
      <c r="S797" s="9" t="str">
        <f>HYPERLINK("https://pbs.twimg.com/profile_images/989926881909661696/nMhQqsnN.jpg","View")</f>
        <v>View</v>
      </c>
    </row>
    <row r="798" spans="1:19" ht="50">
      <c r="A798" s="8">
        <v>43370.879803240736</v>
      </c>
      <c r="B798" s="11" t="str">
        <f>HYPERLINK("https://twitter.com/vimani1990","@vimani1990")</f>
        <v>@vimani1990</v>
      </c>
      <c r="C798" s="6" t="s">
        <v>5933</v>
      </c>
      <c r="D798" s="5" t="s">
        <v>5932</v>
      </c>
      <c r="E798" s="9" t="str">
        <f>HYPERLINK("https://twitter.com/vimani1990/status/1045366689645432832","1045366689645432832")</f>
        <v>1045366689645432832</v>
      </c>
      <c r="F798" s="10" t="s">
        <v>5931</v>
      </c>
      <c r="G798" s="4"/>
      <c r="H798" s="4"/>
      <c r="I798" s="10" t="str">
        <f>HYPERLINK("http://twitter.com/download/android","Twitter for Android")</f>
        <v>Twitter for Android</v>
      </c>
      <c r="J798" s="2">
        <v>37</v>
      </c>
      <c r="K798" s="2">
        <v>80</v>
      </c>
      <c r="L798" s="2">
        <v>0</v>
      </c>
      <c r="M798" s="2"/>
      <c r="N798" s="8">
        <v>43153.911782407406</v>
      </c>
      <c r="O798" s="4"/>
      <c r="P798" s="3" t="s">
        <v>5930</v>
      </c>
      <c r="Q798" s="4"/>
      <c r="R798" s="4"/>
      <c r="S798" s="9" t="str">
        <f>HYPERLINK("https://pbs.twimg.com/profile_images/967909521254506502/isklnDCU.jpg","View")</f>
        <v>View</v>
      </c>
    </row>
    <row r="799" spans="1:19" ht="30">
      <c r="A799" s="8">
        <v>43370.879375000004</v>
      </c>
      <c r="B799" s="11" t="str">
        <f>HYPERLINK("https://twitter.com/Leelako","@Leelako")</f>
        <v>@Leelako</v>
      </c>
      <c r="C799" s="6" t="s">
        <v>5929</v>
      </c>
      <c r="D799" s="5" t="s">
        <v>5928</v>
      </c>
      <c r="E799" s="9" t="str">
        <f>HYPERLINK("https://twitter.com/Leelako/status/1045366532665004032","1045366532665004032")</f>
        <v>1045366532665004032</v>
      </c>
      <c r="F799" s="4"/>
      <c r="G799" s="4"/>
      <c r="H799" s="4"/>
      <c r="I799" s="10" t="str">
        <f>HYPERLINK("http://twitter.com/download/iphone","Twitter for iPhone")</f>
        <v>Twitter for iPhone</v>
      </c>
      <c r="J799" s="2">
        <v>995</v>
      </c>
      <c r="K799" s="2">
        <v>1005</v>
      </c>
      <c r="L799" s="2">
        <v>31</v>
      </c>
      <c r="M799" s="2"/>
      <c r="N799" s="8">
        <v>40686.517824074072</v>
      </c>
      <c r="O799" s="4" t="s">
        <v>5395</v>
      </c>
      <c r="P799" s="3" t="s">
        <v>5927</v>
      </c>
      <c r="Q799" s="4"/>
      <c r="R799" s="4"/>
      <c r="S799" s="9" t="str">
        <f>HYPERLINK("https://pbs.twimg.com/profile_images/1024715993317294081/Bp9FwrC4.jpg","View")</f>
        <v>View</v>
      </c>
    </row>
    <row r="800" spans="1:19" ht="20">
      <c r="A800" s="8">
        <v>43370.879189814819</v>
      </c>
      <c r="B800" s="11" t="str">
        <f>HYPERLINK("https://twitter.com/aghaeifard","@aghaeifard")</f>
        <v>@aghaeifard</v>
      </c>
      <c r="C800" s="6" t="s">
        <v>4006</v>
      </c>
      <c r="D800" s="5" t="s">
        <v>5926</v>
      </c>
      <c r="E800" s="9" t="str">
        <f>HYPERLINK("https://twitter.com/aghaeifard/status/1045366469649788928","1045366469649788928")</f>
        <v>1045366469649788928</v>
      </c>
      <c r="F800" s="4"/>
      <c r="G800" s="10" t="s">
        <v>5925</v>
      </c>
      <c r="H800" s="4"/>
      <c r="I800" s="10" t="str">
        <f>HYPERLINK("http://twitter.com/download/iphone","Twitter for iPhone")</f>
        <v>Twitter for iPhone</v>
      </c>
      <c r="J800" s="2">
        <v>572</v>
      </c>
      <c r="K800" s="2">
        <v>79</v>
      </c>
      <c r="L800" s="2">
        <v>7</v>
      </c>
      <c r="M800" s="2"/>
      <c r="N800" s="8">
        <v>42805.010740740741</v>
      </c>
      <c r="O800" s="4" t="s">
        <v>200</v>
      </c>
      <c r="P800" s="3" t="s">
        <v>4003</v>
      </c>
      <c r="Q800" s="10" t="s">
        <v>4002</v>
      </c>
      <c r="R800" s="4"/>
      <c r="S800" s="9" t="str">
        <f>HYPERLINK("https://pbs.twimg.com/profile_images/995970388462129152/JXifpLyJ.jpg","View")</f>
        <v>View</v>
      </c>
    </row>
    <row r="801" spans="1:19" ht="30">
      <c r="A801" s="8">
        <v>43370.879155092596</v>
      </c>
      <c r="B801" s="11" t="str">
        <f>HYPERLINK("https://twitter.com/davood_hd","@davood_hd")</f>
        <v>@davood_hd</v>
      </c>
      <c r="C801" s="6" t="s">
        <v>5924</v>
      </c>
      <c r="D801" s="5" t="s">
        <v>5923</v>
      </c>
      <c r="E801" s="9" t="str">
        <f>HYPERLINK("https://twitter.com/davood_hd/status/1045366453891936256","1045366453891936256")</f>
        <v>1045366453891936256</v>
      </c>
      <c r="F801" s="4"/>
      <c r="G801" s="4"/>
      <c r="H801" s="4"/>
      <c r="I801" s="10" t="str">
        <f>HYPERLINK("http://twitter.com/download/iphone","Twitter for iPhone")</f>
        <v>Twitter for iPhone</v>
      </c>
      <c r="J801" s="2">
        <v>85</v>
      </c>
      <c r="K801" s="2">
        <v>127</v>
      </c>
      <c r="L801" s="2">
        <v>1</v>
      </c>
      <c r="M801" s="2"/>
      <c r="N801" s="8">
        <v>42982.476886574077</v>
      </c>
      <c r="O801" s="4"/>
      <c r="P801" s="3" t="s">
        <v>5922</v>
      </c>
      <c r="Q801" s="4"/>
      <c r="R801" s="4"/>
      <c r="S801" s="9" t="str">
        <f>HYPERLINK("https://pbs.twimg.com/profile_images/1020438381451505664/Op2DPMHs.jpg","View")</f>
        <v>View</v>
      </c>
    </row>
    <row r="802" spans="1:19" ht="12.5">
      <c r="A802" s="8">
        <v>43370.878958333335</v>
      </c>
      <c r="B802" s="11" t="str">
        <f>HYPERLINK("https://twitter.com/marquis_074","@marquis_074")</f>
        <v>@marquis_074</v>
      </c>
      <c r="C802" s="6" t="s">
        <v>5921</v>
      </c>
      <c r="D802" s="5" t="s">
        <v>5920</v>
      </c>
      <c r="E802" s="9" t="str">
        <f>HYPERLINK("https://twitter.com/marquis_074/status/1045366385654681600","1045366385654681600")</f>
        <v>1045366385654681600</v>
      </c>
      <c r="F802" s="4"/>
      <c r="G802" s="4"/>
      <c r="H802" s="4"/>
      <c r="I802" s="10" t="str">
        <f>HYPERLINK("http://twitter.com/download/android","Twitter for Android")</f>
        <v>Twitter for Android</v>
      </c>
      <c r="J802" s="2">
        <v>159</v>
      </c>
      <c r="K802" s="2">
        <v>309</v>
      </c>
      <c r="L802" s="2">
        <v>0</v>
      </c>
      <c r="M802" s="2"/>
      <c r="N802" s="8">
        <v>43323.608703703707</v>
      </c>
      <c r="O802" s="4"/>
      <c r="P802" s="3" t="s">
        <v>5919</v>
      </c>
      <c r="Q802" s="4"/>
      <c r="R802" s="4"/>
      <c r="S802" s="9" t="str">
        <f>HYPERLINK("https://pbs.twimg.com/profile_images/1044524712771104768/kKgRxUCK.jpg","View")</f>
        <v>View</v>
      </c>
    </row>
    <row r="803" spans="1:19" ht="20">
      <c r="A803" s="8">
        <v>43370.878877314812</v>
      </c>
      <c r="B803" s="11" t="str">
        <f>HYPERLINK("https://twitter.com/Mahanmehrabi1","@Mahanmehrabi1")</f>
        <v>@Mahanmehrabi1</v>
      </c>
      <c r="C803" s="6" t="s">
        <v>3415</v>
      </c>
      <c r="D803" s="5" t="s">
        <v>5918</v>
      </c>
      <c r="E803" s="9" t="str">
        <f>HYPERLINK("https://twitter.com/Mahanmehrabi1/status/1045366355703287808","1045366355703287808")</f>
        <v>1045366355703287808</v>
      </c>
      <c r="F803" s="4"/>
      <c r="G803" s="4"/>
      <c r="H803" s="4"/>
      <c r="I803" s="10" t="str">
        <f>HYPERLINK("http://twitter.com/download/android","Twitter for Android")</f>
        <v>Twitter for Android</v>
      </c>
      <c r="J803" s="2">
        <v>1262</v>
      </c>
      <c r="K803" s="2">
        <v>1299</v>
      </c>
      <c r="L803" s="2">
        <v>1</v>
      </c>
      <c r="M803" s="2"/>
      <c r="N803" s="8">
        <v>43263.517557870371</v>
      </c>
      <c r="O803" s="4"/>
      <c r="P803" s="3" t="s">
        <v>3412</v>
      </c>
      <c r="Q803" s="4"/>
      <c r="R803" s="4"/>
      <c r="S803" s="9" t="str">
        <f>HYPERLINK("https://pbs.twimg.com/profile_images/1006446723202469888/vzEqzQDE.jpg","View")</f>
        <v>View</v>
      </c>
    </row>
    <row r="804" spans="1:19" ht="12.5">
      <c r="A804" s="8">
        <v>43370.878784722227</v>
      </c>
      <c r="B804" s="11" t="str">
        <f>HYPERLINK("https://twitter.com/sh00866n","@sh00866n")</f>
        <v>@sh00866n</v>
      </c>
      <c r="C804" s="6" t="s">
        <v>5917</v>
      </c>
      <c r="D804" s="5" t="s">
        <v>5916</v>
      </c>
      <c r="E804" s="9" t="str">
        <f>HYPERLINK("https://twitter.com/sh00866n/status/1045366321121292288","1045366321121292288")</f>
        <v>1045366321121292288</v>
      </c>
      <c r="F804" s="4"/>
      <c r="G804" s="4"/>
      <c r="H804" s="4"/>
      <c r="I804" s="10" t="str">
        <f>HYPERLINK("http://twitter.com/download/iphone","Twitter for iPhone")</f>
        <v>Twitter for iPhone</v>
      </c>
      <c r="J804" s="2">
        <v>1885</v>
      </c>
      <c r="K804" s="2">
        <v>1399</v>
      </c>
      <c r="L804" s="2">
        <v>11</v>
      </c>
      <c r="M804" s="2"/>
      <c r="N804" s="8">
        <v>42869.853009259255</v>
      </c>
      <c r="O804" s="4" t="s">
        <v>10</v>
      </c>
      <c r="P804" s="3" t="s">
        <v>5915</v>
      </c>
      <c r="Q804" s="4"/>
      <c r="R804" s="4"/>
      <c r="S804" s="9" t="str">
        <f>HYPERLINK("https://pbs.twimg.com/profile_images/1043924137188757514/GDpvNnTP.jpg","View")</f>
        <v>View</v>
      </c>
    </row>
    <row r="805" spans="1:19" ht="40">
      <c r="A805" s="8">
        <v>43370.878668981481</v>
      </c>
      <c r="B805" s="11" t="str">
        <f>HYPERLINK("https://twitter.com/saeidnajafiasli","@saeidnajafiasli")</f>
        <v>@saeidnajafiasli</v>
      </c>
      <c r="C805" s="6" t="s">
        <v>5914</v>
      </c>
      <c r="D805" s="5" t="s">
        <v>5913</v>
      </c>
      <c r="E805" s="9" t="str">
        <f>HYPERLINK("https://twitter.com/saeidnajafiasli/status/1045366280751058944","1045366280751058944")</f>
        <v>1045366280751058944</v>
      </c>
      <c r="F805" s="10" t="s">
        <v>5912</v>
      </c>
      <c r="G805" s="10" t="s">
        <v>5081</v>
      </c>
      <c r="H805" s="4"/>
      <c r="I805" s="10" t="str">
        <f>HYPERLINK("https://mobile.twitter.com","Twitter Lite")</f>
        <v>Twitter Lite</v>
      </c>
      <c r="J805" s="2">
        <v>87</v>
      </c>
      <c r="K805" s="2">
        <v>6</v>
      </c>
      <c r="L805" s="2">
        <v>0</v>
      </c>
      <c r="M805" s="2"/>
      <c r="N805" s="8">
        <v>43138.899201388893</v>
      </c>
      <c r="O805" s="4" t="s">
        <v>5911</v>
      </c>
      <c r="P805" s="3" t="s">
        <v>5910</v>
      </c>
      <c r="Q805" s="10" t="s">
        <v>5909</v>
      </c>
      <c r="R805" s="4"/>
      <c r="S805" s="9" t="str">
        <f>HYPERLINK("https://pbs.twimg.com/profile_images/1044460912646787077/7VRRuACT.jpg","View")</f>
        <v>View</v>
      </c>
    </row>
    <row r="806" spans="1:19" ht="20">
      <c r="A806" s="8">
        <v>43370.878564814819</v>
      </c>
      <c r="B806" s="11" t="str">
        <f>HYPERLINK("https://twitter.com/Rascollnicov","@Rascollnicov")</f>
        <v>@Rascollnicov</v>
      </c>
      <c r="C806" s="6" t="s">
        <v>5908</v>
      </c>
      <c r="D806" s="5" t="s">
        <v>5907</v>
      </c>
      <c r="E806" s="9" t="str">
        <f>HYPERLINK("https://twitter.com/Rascollnicov/status/1045366242842939393","1045366242842939393")</f>
        <v>1045366242842939393</v>
      </c>
      <c r="F806" s="4"/>
      <c r="G806" s="4"/>
      <c r="H806" s="4"/>
      <c r="I806" s="10" t="str">
        <f>HYPERLINK("http://twitter.com/download/android","Twitter for Android")</f>
        <v>Twitter for Android</v>
      </c>
      <c r="J806" s="2">
        <v>57</v>
      </c>
      <c r="K806" s="2">
        <v>192</v>
      </c>
      <c r="L806" s="2">
        <v>0</v>
      </c>
      <c r="M806" s="2"/>
      <c r="N806" s="8">
        <v>43197.467511574076</v>
      </c>
      <c r="O806" s="4"/>
      <c r="P806" s="3" t="s">
        <v>5906</v>
      </c>
      <c r="Q806" s="4"/>
      <c r="R806" s="4"/>
      <c r="S806" s="9" t="str">
        <f>HYPERLINK("https://pbs.twimg.com/profile_images/983041008316440576/nTJESQw9.jpg","View")</f>
        <v>View</v>
      </c>
    </row>
    <row r="807" spans="1:19" ht="30">
      <c r="A807" s="8">
        <v>43370.878518518519</v>
      </c>
      <c r="B807" s="11" t="str">
        <f>HYPERLINK("https://twitter.com/FaridShokrieh","@FaridShokrieh")</f>
        <v>@FaridShokrieh</v>
      </c>
      <c r="C807" s="6" t="s">
        <v>5905</v>
      </c>
      <c r="D807" s="5" t="s">
        <v>5904</v>
      </c>
      <c r="E807" s="9" t="str">
        <f>HYPERLINK("https://twitter.com/FaridShokrieh/status/1045366225042198528","1045366225042198528")</f>
        <v>1045366225042198528</v>
      </c>
      <c r="F807" s="4"/>
      <c r="G807" s="4"/>
      <c r="H807" s="4"/>
      <c r="I807" s="10" t="str">
        <f>HYPERLINK("http://twitter.com/download/iphone","Twitter for iPhone")</f>
        <v>Twitter for iPhone</v>
      </c>
      <c r="J807" s="2">
        <v>580</v>
      </c>
      <c r="K807" s="2">
        <v>480</v>
      </c>
      <c r="L807" s="2">
        <v>13</v>
      </c>
      <c r="M807" s="2"/>
      <c r="N807" s="8">
        <v>41477.743263888886</v>
      </c>
      <c r="O807" s="4" t="s">
        <v>311</v>
      </c>
      <c r="P807" s="3" t="s">
        <v>5903</v>
      </c>
      <c r="Q807" s="10" t="s">
        <v>5902</v>
      </c>
      <c r="R807" s="4"/>
      <c r="S807" s="9" t="str">
        <f>HYPERLINK("https://pbs.twimg.com/profile_images/941304514069630976/wBwKoLf9.jpg","View")</f>
        <v>View</v>
      </c>
    </row>
    <row r="808" spans="1:19" ht="30">
      <c r="A808" s="8">
        <v>43370.878518518519</v>
      </c>
      <c r="B808" s="11" t="str">
        <f>HYPERLINK("https://twitter.com/omid_seyfi","@omid_seyfi")</f>
        <v>@omid_seyfi</v>
      </c>
      <c r="C808" s="6" t="s">
        <v>4071</v>
      </c>
      <c r="D808" s="5" t="s">
        <v>5901</v>
      </c>
      <c r="E808" s="9" t="str">
        <f>HYPERLINK("https://twitter.com/omid_seyfi/status/1045366222680772609","1045366222680772609")</f>
        <v>1045366222680772609</v>
      </c>
      <c r="F808" s="4"/>
      <c r="G808" s="4"/>
      <c r="H808" s="4"/>
      <c r="I808" s="10" t="str">
        <f>HYPERLINK("https://mobile.twitter.com","Twitter Lite")</f>
        <v>Twitter Lite</v>
      </c>
      <c r="J808" s="2">
        <v>11</v>
      </c>
      <c r="K808" s="2">
        <v>27</v>
      </c>
      <c r="L808" s="2">
        <v>0</v>
      </c>
      <c r="M808" s="2"/>
      <c r="N808" s="8">
        <v>42504.976388888885</v>
      </c>
      <c r="O808" s="4" t="s">
        <v>72</v>
      </c>
      <c r="P808" s="3" t="s">
        <v>4068</v>
      </c>
      <c r="Q808" s="4"/>
      <c r="R808" s="4"/>
      <c r="S808" s="9" t="str">
        <f>HYPERLINK("https://pbs.twimg.com/profile_images/1030736320635842560/nBFjCu-F.jpg","View")</f>
        <v>View</v>
      </c>
    </row>
    <row r="809" spans="1:19" ht="20">
      <c r="A809" s="8">
        <v>43370.878425925926</v>
      </c>
      <c r="B809" s="11" t="str">
        <f>HYPERLINK("https://twitter.com/yasersadeghi","@yasersadeghi")</f>
        <v>@yasersadeghi</v>
      </c>
      <c r="C809" s="6" t="s">
        <v>5900</v>
      </c>
      <c r="D809" s="5" t="s">
        <v>5899</v>
      </c>
      <c r="E809" s="9" t="str">
        <f>HYPERLINK("https://twitter.com/yasersadeghi/status/1045366192507154433","1045366192507154433")</f>
        <v>1045366192507154433</v>
      </c>
      <c r="F809" s="4"/>
      <c r="G809" s="4"/>
      <c r="H809" s="4"/>
      <c r="I809" s="10" t="str">
        <f>HYPERLINK("http://twitter.com/download/android","Twitter for Android")</f>
        <v>Twitter for Android</v>
      </c>
      <c r="J809" s="2">
        <v>822</v>
      </c>
      <c r="K809" s="2">
        <v>182</v>
      </c>
      <c r="L809" s="2">
        <v>10</v>
      </c>
      <c r="M809" s="2"/>
      <c r="N809" s="8">
        <v>41123.541898148149</v>
      </c>
      <c r="O809" s="4"/>
      <c r="P809" s="3" t="s">
        <v>5898</v>
      </c>
      <c r="Q809" s="10" t="s">
        <v>5897</v>
      </c>
      <c r="R809" s="4"/>
      <c r="S809" s="9" t="str">
        <f>HYPERLINK("https://pbs.twimg.com/profile_images/791148012206784512/fmZL0ZR1.jpg","View")</f>
        <v>View</v>
      </c>
    </row>
    <row r="810" spans="1:19" ht="30">
      <c r="A810" s="8">
        <v>43370.878275462965</v>
      </c>
      <c r="B810" s="11" t="str">
        <f>HYPERLINK("https://twitter.com/MforMobin","@MforMobin")</f>
        <v>@MforMobin</v>
      </c>
      <c r="C810" s="6" t="s">
        <v>3012</v>
      </c>
      <c r="D810" s="5" t="s">
        <v>5896</v>
      </c>
      <c r="E810" s="9" t="str">
        <f>HYPERLINK("https://twitter.com/MforMobin/status/1045366135233818624","1045366135233818624")</f>
        <v>1045366135233818624</v>
      </c>
      <c r="F810" s="4"/>
      <c r="G810" s="4"/>
      <c r="H810" s="4"/>
      <c r="I810" s="10" t="str">
        <f>HYPERLINK("http://twitter.com","Twitter Web Client")</f>
        <v>Twitter Web Client</v>
      </c>
      <c r="J810" s="2">
        <v>44</v>
      </c>
      <c r="K810" s="2">
        <v>192</v>
      </c>
      <c r="L810" s="2">
        <v>0</v>
      </c>
      <c r="M810" s="2"/>
      <c r="N810" s="8">
        <v>43363.57913194444</v>
      </c>
      <c r="O810" s="4" t="s">
        <v>200</v>
      </c>
      <c r="P810" s="3" t="s">
        <v>3010</v>
      </c>
      <c r="Q810" s="10" t="s">
        <v>3009</v>
      </c>
      <c r="R810" s="4"/>
      <c r="S810" s="9" t="str">
        <f>HYPERLINK("https://pbs.twimg.com/profile_images/1045278718665474050/pObfU_l6.jpg","View")</f>
        <v>View</v>
      </c>
    </row>
    <row r="811" spans="1:19" ht="20">
      <c r="A811" s="8">
        <v>43370.878217592588</v>
      </c>
      <c r="B811" s="11" t="str">
        <f>HYPERLINK("https://twitter.com/peyman97","@peyman97")</f>
        <v>@peyman97</v>
      </c>
      <c r="C811" s="6" t="s">
        <v>5887</v>
      </c>
      <c r="D811" s="5" t="s">
        <v>5895</v>
      </c>
      <c r="E811" s="9" t="str">
        <f>HYPERLINK("https://twitter.com/peyman97/status/1045366113310248961","1045366113310248961")</f>
        <v>1045366113310248961</v>
      </c>
      <c r="F811" s="4"/>
      <c r="G811" s="4"/>
      <c r="H811" s="4"/>
      <c r="I811" s="10" t="str">
        <f>HYPERLINK("http://twitter.com/download/android","Twitter for Android")</f>
        <v>Twitter for Android</v>
      </c>
      <c r="J811" s="2">
        <v>187</v>
      </c>
      <c r="K811" s="2">
        <v>555</v>
      </c>
      <c r="L811" s="2">
        <v>0</v>
      </c>
      <c r="M811" s="2"/>
      <c r="N811" s="8">
        <v>40864.675810185188</v>
      </c>
      <c r="O811" s="4" t="s">
        <v>55</v>
      </c>
      <c r="P811" s="3" t="s">
        <v>5885</v>
      </c>
      <c r="Q811" s="4"/>
      <c r="R811" s="4"/>
      <c r="S811" s="9" t="str">
        <f>HYPERLINK("https://pbs.twimg.com/profile_images/1018876179334483969/oLyKyN_8.jpg","View")</f>
        <v>View</v>
      </c>
    </row>
    <row r="812" spans="1:19" ht="12.5">
      <c r="A812" s="8">
        <v>43370.877905092595</v>
      </c>
      <c r="B812" s="11" t="str">
        <f>HYPERLINK("https://twitter.com/kooshagm","@kooshagm")</f>
        <v>@kooshagm</v>
      </c>
      <c r="C812" s="6" t="s">
        <v>5894</v>
      </c>
      <c r="D812" s="5" t="s">
        <v>5893</v>
      </c>
      <c r="E812" s="9" t="str">
        <f>HYPERLINK("https://twitter.com/kooshagm/status/1045366002253475840","1045366002253475840")</f>
        <v>1045366002253475840</v>
      </c>
      <c r="F812" s="4"/>
      <c r="G812" s="4"/>
      <c r="H812" s="4"/>
      <c r="I812" s="10" t="str">
        <f>HYPERLINK("http://twitter.com/download/iphone","Twitter for iPhone")</f>
        <v>Twitter for iPhone</v>
      </c>
      <c r="J812" s="2">
        <v>36</v>
      </c>
      <c r="K812" s="2">
        <v>124</v>
      </c>
      <c r="L812" s="2">
        <v>0</v>
      </c>
      <c r="M812" s="2"/>
      <c r="N812" s="8">
        <v>41031.922743055555</v>
      </c>
      <c r="O812" s="4" t="s">
        <v>5892</v>
      </c>
      <c r="P812" s="3"/>
      <c r="Q812" s="4"/>
      <c r="R812" s="4"/>
      <c r="S812" s="9" t="str">
        <f>HYPERLINK("https://pbs.twimg.com/profile_images/890276301910802434/opT59mLR.jpg","View")</f>
        <v>View</v>
      </c>
    </row>
    <row r="813" spans="1:19" ht="12.5">
      <c r="A813" s="8">
        <v>43370.87773148148</v>
      </c>
      <c r="B813" s="11" t="str">
        <f>HYPERLINK("https://twitter.com/peyman97","@peyman97")</f>
        <v>@peyman97</v>
      </c>
      <c r="C813" s="6" t="s">
        <v>5887</v>
      </c>
      <c r="D813" s="5" t="s">
        <v>5891</v>
      </c>
      <c r="E813" s="9" t="str">
        <f>HYPERLINK("https://twitter.com/peyman97/status/1045365939644948480","1045365939644948480")</f>
        <v>1045365939644948480</v>
      </c>
      <c r="F813" s="4"/>
      <c r="G813" s="4"/>
      <c r="H813" s="4"/>
      <c r="I813" s="10" t="str">
        <f>HYPERLINK("http://twitter.com/download/android","Twitter for Android")</f>
        <v>Twitter for Android</v>
      </c>
      <c r="J813" s="2">
        <v>187</v>
      </c>
      <c r="K813" s="2">
        <v>555</v>
      </c>
      <c r="L813" s="2">
        <v>0</v>
      </c>
      <c r="M813" s="2"/>
      <c r="N813" s="8">
        <v>40864.675810185188</v>
      </c>
      <c r="O813" s="4" t="s">
        <v>55</v>
      </c>
      <c r="P813" s="3" t="s">
        <v>5885</v>
      </c>
      <c r="Q813" s="4"/>
      <c r="R813" s="4"/>
      <c r="S813" s="9" t="str">
        <f>HYPERLINK("https://pbs.twimg.com/profile_images/1018876179334483969/oLyKyN_8.jpg","View")</f>
        <v>View</v>
      </c>
    </row>
    <row r="814" spans="1:19" ht="30">
      <c r="A814" s="8">
        <v>43370.877696759257</v>
      </c>
      <c r="B814" s="11" t="str">
        <f>HYPERLINK("https://twitter.com/Sheyda101","@Sheyda101")</f>
        <v>@Sheyda101</v>
      </c>
      <c r="C814" s="6" t="s">
        <v>5890</v>
      </c>
      <c r="D814" s="5" t="s">
        <v>5889</v>
      </c>
      <c r="E814" s="9" t="str">
        <f>HYPERLINK("https://twitter.com/Sheyda101/status/1045365928559616001","1045365928559616001")</f>
        <v>1045365928559616001</v>
      </c>
      <c r="F814" s="4"/>
      <c r="G814" s="4"/>
      <c r="H814" s="4"/>
      <c r="I814" s="10" t="str">
        <f>HYPERLINK("https://mobile.twitter.com","Mobile Web (M2)")</f>
        <v>Mobile Web (M2)</v>
      </c>
      <c r="J814" s="2">
        <v>109</v>
      </c>
      <c r="K814" s="2">
        <v>107</v>
      </c>
      <c r="L814" s="2">
        <v>3</v>
      </c>
      <c r="M814" s="2"/>
      <c r="N814" s="8">
        <v>41073.031307870369</v>
      </c>
      <c r="O814" s="4" t="s">
        <v>72</v>
      </c>
      <c r="P814" s="3" t="s">
        <v>5888</v>
      </c>
      <c r="Q814" s="4"/>
      <c r="R814" s="4"/>
      <c r="S814" s="9" t="str">
        <f>HYPERLINK("https://pbs.twimg.com/profile_images/866701782281596929/I6xL8k0z.jpg","View")</f>
        <v>View</v>
      </c>
    </row>
    <row r="815" spans="1:19" ht="12.5">
      <c r="A815" s="8">
        <v>43370.877442129626</v>
      </c>
      <c r="B815" s="11" t="str">
        <f>HYPERLINK("https://twitter.com/peyman97","@peyman97")</f>
        <v>@peyman97</v>
      </c>
      <c r="C815" s="6" t="s">
        <v>5887</v>
      </c>
      <c r="D815" s="5" t="s">
        <v>5886</v>
      </c>
      <c r="E815" s="9" t="str">
        <f>HYPERLINK("https://twitter.com/peyman97/status/1045365835026427904","1045365835026427904")</f>
        <v>1045365835026427904</v>
      </c>
      <c r="F815" s="4"/>
      <c r="G815" s="4"/>
      <c r="H815" s="4"/>
      <c r="I815" s="10" t="str">
        <f>HYPERLINK("http://twitter.com/download/android","Twitter for Android")</f>
        <v>Twitter for Android</v>
      </c>
      <c r="J815" s="2">
        <v>187</v>
      </c>
      <c r="K815" s="2">
        <v>555</v>
      </c>
      <c r="L815" s="2">
        <v>0</v>
      </c>
      <c r="M815" s="2"/>
      <c r="N815" s="8">
        <v>40864.675810185188</v>
      </c>
      <c r="O815" s="4" t="s">
        <v>55</v>
      </c>
      <c r="P815" s="3" t="s">
        <v>5885</v>
      </c>
      <c r="Q815" s="4"/>
      <c r="R815" s="4"/>
      <c r="S815" s="9" t="str">
        <f>HYPERLINK("https://pbs.twimg.com/profile_images/1018876179334483969/oLyKyN_8.jpg","View")</f>
        <v>View</v>
      </c>
    </row>
    <row r="816" spans="1:19" ht="20">
      <c r="A816" s="8">
        <v>43370.877395833333</v>
      </c>
      <c r="B816" s="11" t="str">
        <f>HYPERLINK("https://twitter.com/AbOo_kqz","@AbOo_kqz")</f>
        <v>@AbOo_kqz</v>
      </c>
      <c r="C816" s="6" t="s">
        <v>1533</v>
      </c>
      <c r="D816" s="5" t="s">
        <v>5884</v>
      </c>
      <c r="E816" s="9" t="str">
        <f>HYPERLINK("https://twitter.com/AbOo_kqz/status/1045365816978374656","1045365816978374656")</f>
        <v>1045365816978374656</v>
      </c>
      <c r="F816" s="4"/>
      <c r="G816" s="4"/>
      <c r="H816" s="4"/>
      <c r="I816" s="10" t="str">
        <f>HYPERLINK("http://twitter.com","Twitter Web Client")</f>
        <v>Twitter Web Client</v>
      </c>
      <c r="J816" s="2">
        <v>50</v>
      </c>
      <c r="K816" s="2">
        <v>121</v>
      </c>
      <c r="L816" s="2">
        <v>0</v>
      </c>
      <c r="M816" s="2"/>
      <c r="N816" s="8">
        <v>42521.938738425924</v>
      </c>
      <c r="O816" s="4" t="s">
        <v>1531</v>
      </c>
      <c r="P816" s="3" t="s">
        <v>1530</v>
      </c>
      <c r="Q816" s="4"/>
      <c r="R816" s="4"/>
      <c r="S816" s="9" t="str">
        <f>HYPERLINK("https://pbs.twimg.com/profile_images/737706601084157952/exyDQSiE.jpg","View")</f>
        <v>View</v>
      </c>
    </row>
    <row r="817" spans="1:19" ht="12.5">
      <c r="A817" s="8">
        <v>43370.877314814818</v>
      </c>
      <c r="B817" s="11" t="str">
        <f>HYPERLINK("https://twitter.com/SinnermanR","@SinnermanR")</f>
        <v>@SinnermanR</v>
      </c>
      <c r="C817" s="6" t="s">
        <v>5883</v>
      </c>
      <c r="D817" s="5" t="s">
        <v>5882</v>
      </c>
      <c r="E817" s="9" t="str">
        <f>HYPERLINK("https://twitter.com/SinnermanR/status/1045365788528455681","1045365788528455681")</f>
        <v>1045365788528455681</v>
      </c>
      <c r="F817" s="4"/>
      <c r="G817" s="4"/>
      <c r="H817" s="4"/>
      <c r="I817" s="10" t="str">
        <f>HYPERLINK("http://twitter.com/download/iphone","Twitter for iPhone")</f>
        <v>Twitter for iPhone</v>
      </c>
      <c r="J817" s="2">
        <v>12</v>
      </c>
      <c r="K817" s="2">
        <v>78</v>
      </c>
      <c r="L817" s="2">
        <v>0</v>
      </c>
      <c r="M817" s="2"/>
      <c r="N817" s="8">
        <v>42333.373229166667</v>
      </c>
      <c r="O817" s="4" t="s">
        <v>200</v>
      </c>
      <c r="P817" s="3" t="s">
        <v>5881</v>
      </c>
      <c r="Q817" s="4"/>
      <c r="R817" s="4"/>
      <c r="S817" s="9" t="str">
        <f>HYPERLINK("https://pbs.twimg.com/profile_images/1037400329204060160/doI2-RME.jpg","View")</f>
        <v>View</v>
      </c>
    </row>
    <row r="818" spans="1:19" ht="30">
      <c r="A818" s="8">
        <v>43370.877187499995</v>
      </c>
      <c r="B818" s="11" t="str">
        <f>HYPERLINK("https://twitter.com/Salmanamiri96","@Salmanamiri96")</f>
        <v>@Salmanamiri96</v>
      </c>
      <c r="C818" s="6" t="s">
        <v>5880</v>
      </c>
      <c r="D818" s="5" t="s">
        <v>5879</v>
      </c>
      <c r="E818" s="9" t="str">
        <f>HYPERLINK("https://twitter.com/Salmanamiri96/status/1045365741682188288","1045365741682188288")</f>
        <v>1045365741682188288</v>
      </c>
      <c r="F818" s="4"/>
      <c r="G818" s="4"/>
      <c r="H818" s="4"/>
      <c r="I818" s="10" t="str">
        <f>HYPERLINK("http://twitter.com/download/android","Twitter for Android")</f>
        <v>Twitter for Android</v>
      </c>
      <c r="J818" s="2">
        <v>501</v>
      </c>
      <c r="K818" s="2">
        <v>1005</v>
      </c>
      <c r="L818" s="2">
        <v>0</v>
      </c>
      <c r="M818" s="2"/>
      <c r="N818" s="8">
        <v>43189.496435185181</v>
      </c>
      <c r="O818" s="4" t="s">
        <v>62</v>
      </c>
      <c r="P818" s="3" t="s">
        <v>5878</v>
      </c>
      <c r="Q818" s="4"/>
      <c r="R818" s="4"/>
      <c r="S818" s="9" t="str">
        <f>HYPERLINK("https://pbs.twimg.com/profile_images/979623867282051073/fDD1h3fe.jpg","View")</f>
        <v>View</v>
      </c>
    </row>
    <row r="819" spans="1:19" ht="20">
      <c r="A819" s="8">
        <v>43370.876944444448</v>
      </c>
      <c r="B819" s="11" t="str">
        <f>HYPERLINK("https://twitter.com/Bahar84977527","@Bahar84977527")</f>
        <v>@Bahar84977527</v>
      </c>
      <c r="C819" s="6" t="s">
        <v>4208</v>
      </c>
      <c r="D819" s="5" t="s">
        <v>5877</v>
      </c>
      <c r="E819" s="9" t="str">
        <f>HYPERLINK("https://twitter.com/Bahar84977527/status/1045365653287260166","1045365653287260166")</f>
        <v>1045365653287260166</v>
      </c>
      <c r="F819" s="4"/>
      <c r="G819" s="10" t="s">
        <v>5876</v>
      </c>
      <c r="H819" s="4"/>
      <c r="I819" s="10" t="str">
        <f>HYPERLINK("http://twitter.com/download/android","Twitter for Android")</f>
        <v>Twitter for Android</v>
      </c>
      <c r="J819" s="2">
        <v>28</v>
      </c>
      <c r="K819" s="2">
        <v>41</v>
      </c>
      <c r="L819" s="2">
        <v>0</v>
      </c>
      <c r="M819" s="2"/>
      <c r="N819" s="8">
        <v>43347.497418981482</v>
      </c>
      <c r="O819" s="4" t="s">
        <v>170</v>
      </c>
      <c r="P819" s="3" t="s">
        <v>4206</v>
      </c>
      <c r="Q819" s="4"/>
      <c r="R819" s="4"/>
      <c r="S819" s="9" t="str">
        <f>HYPERLINK("https://pbs.twimg.com/profile_images/1043450848947462144/P4RJqURF.jpg","View")</f>
        <v>View</v>
      </c>
    </row>
    <row r="820" spans="1:19" ht="20">
      <c r="A820" s="8">
        <v>43370.876886574071</v>
      </c>
      <c r="B820" s="11" t="str">
        <f>HYPERLINK("https://twitter.com/saamblacki","@saamblacki")</f>
        <v>@saamblacki</v>
      </c>
      <c r="C820" s="6" t="s">
        <v>5875</v>
      </c>
      <c r="D820" s="5" t="s">
        <v>5874</v>
      </c>
      <c r="E820" s="9" t="str">
        <f>HYPERLINK("https://twitter.com/saamblacki/status/1045365631145525248","1045365631145525248")</f>
        <v>1045365631145525248</v>
      </c>
      <c r="F820" s="4"/>
      <c r="G820" s="4"/>
      <c r="H820" s="4"/>
      <c r="I820" s="10" t="str">
        <f>HYPERLINK("http://twitter.com/download/android","Twitter for Android")</f>
        <v>Twitter for Android</v>
      </c>
      <c r="J820" s="2">
        <v>1012</v>
      </c>
      <c r="K820" s="2">
        <v>50</v>
      </c>
      <c r="L820" s="2">
        <v>10</v>
      </c>
      <c r="M820" s="2"/>
      <c r="N820" s="8">
        <v>42769.134409722217</v>
      </c>
      <c r="O820" s="4" t="s">
        <v>5873</v>
      </c>
      <c r="P820" s="3" t="s">
        <v>5872</v>
      </c>
      <c r="Q820" s="4"/>
      <c r="R820" s="4"/>
      <c r="S820" s="9" t="str">
        <f>HYPERLINK("https://pbs.twimg.com/profile_images/1042601159591186432/4_xlWYdB.jpg","View")</f>
        <v>View</v>
      </c>
    </row>
    <row r="821" spans="1:19" ht="20">
      <c r="A821" s="8">
        <v>43370.876539351855</v>
      </c>
      <c r="B821" s="11" t="str">
        <f>HYPERLINK("https://twitter.com/m_a_motazedian","@m_a_motazedian")</f>
        <v>@m_a_motazedian</v>
      </c>
      <c r="C821" s="6" t="s">
        <v>5871</v>
      </c>
      <c r="D821" s="5" t="s">
        <v>5870</v>
      </c>
      <c r="E821" s="9" t="str">
        <f>HYPERLINK("https://twitter.com/m_a_motazedian/status/1045365505203294208","1045365505203294208")</f>
        <v>1045365505203294208</v>
      </c>
      <c r="F821" s="4"/>
      <c r="G821" s="4"/>
      <c r="H821" s="4"/>
      <c r="I821" s="10" t="str">
        <f>HYPERLINK("http://twitter.com/download/android","Twitter for Android")</f>
        <v>Twitter for Android</v>
      </c>
      <c r="J821" s="2">
        <v>5428</v>
      </c>
      <c r="K821" s="2">
        <v>5325</v>
      </c>
      <c r="L821" s="2">
        <v>11</v>
      </c>
      <c r="M821" s="2"/>
      <c r="N821" s="8">
        <v>42729.569722222222</v>
      </c>
      <c r="O821" s="4" t="s">
        <v>1525</v>
      </c>
      <c r="P821" s="3" t="s">
        <v>5869</v>
      </c>
      <c r="Q821" s="4"/>
      <c r="R821" s="4"/>
      <c r="S821" s="9" t="str">
        <f>HYPERLINK("https://pbs.twimg.com/profile_images/1044290551804309504/nEelFZeO.jpg","View")</f>
        <v>View</v>
      </c>
    </row>
    <row r="822" spans="1:19" ht="30">
      <c r="A822" s="8">
        <v>43370.876504629632</v>
      </c>
      <c r="B822" s="11" t="str">
        <f>HYPERLINK("https://twitter.com/aliiwss","@aliiwss")</f>
        <v>@aliiwss</v>
      </c>
      <c r="C822" s="6" t="s">
        <v>5868</v>
      </c>
      <c r="D822" s="5" t="s">
        <v>5867</v>
      </c>
      <c r="E822" s="9" t="str">
        <f>HYPERLINK("https://twitter.com/aliiwss/status/1045365495690539009","1045365495690539009")</f>
        <v>1045365495690539009</v>
      </c>
      <c r="F822" s="4"/>
      <c r="G822" s="4"/>
      <c r="H822" s="4"/>
      <c r="I822" s="10" t="str">
        <f>HYPERLINK("http://twitter.com/download/iphone","Twitter for iPhone")</f>
        <v>Twitter for iPhone</v>
      </c>
      <c r="J822" s="2">
        <v>236</v>
      </c>
      <c r="K822" s="2">
        <v>243</v>
      </c>
      <c r="L822" s="2">
        <v>1</v>
      </c>
      <c r="M822" s="2"/>
      <c r="N822" s="8">
        <v>40530.613865740743</v>
      </c>
      <c r="O822" s="4"/>
      <c r="P822" s="3" t="s">
        <v>5866</v>
      </c>
      <c r="Q822" s="4"/>
      <c r="R822" s="4"/>
      <c r="S822" s="9" t="str">
        <f>HYPERLINK("https://pbs.twimg.com/profile_images/627866661647847424/s9jFEyTn.jpg","View")</f>
        <v>View</v>
      </c>
    </row>
    <row r="823" spans="1:19" ht="30">
      <c r="A823" s="8">
        <v>43370.876469907409</v>
      </c>
      <c r="B823" s="11" t="str">
        <f>HYPERLINK("https://twitter.com/Roorshak","@Roorshak")</f>
        <v>@Roorshak</v>
      </c>
      <c r="C823" s="6" t="s">
        <v>5865</v>
      </c>
      <c r="D823" s="5" t="s">
        <v>5864</v>
      </c>
      <c r="E823" s="9" t="str">
        <f>HYPERLINK("https://twitter.com/Roorshak/status/1045365481748787201","1045365481748787201")</f>
        <v>1045365481748787201</v>
      </c>
      <c r="F823" s="4"/>
      <c r="G823" s="4"/>
      <c r="H823" s="4"/>
      <c r="I823" s="10" t="str">
        <f>HYPERLINK("http://twitter.com/download/android","Twitter for Android")</f>
        <v>Twitter for Android</v>
      </c>
      <c r="J823" s="2">
        <v>1602</v>
      </c>
      <c r="K823" s="2">
        <v>182</v>
      </c>
      <c r="L823" s="2">
        <v>22</v>
      </c>
      <c r="M823" s="2"/>
      <c r="N823" s="8">
        <v>41428.695104166669</v>
      </c>
      <c r="O823" s="4" t="s">
        <v>5863</v>
      </c>
      <c r="P823" s="3" t="s">
        <v>5862</v>
      </c>
      <c r="Q823" s="4"/>
      <c r="R823" s="4"/>
      <c r="S823" s="9" t="str">
        <f>HYPERLINK("https://pbs.twimg.com/profile_images/870126794673983489/df8lMpXs.jpg","View")</f>
        <v>View</v>
      </c>
    </row>
    <row r="824" spans="1:19" ht="30">
      <c r="A824" s="8">
        <v>43370.876261574071</v>
      </c>
      <c r="B824" s="11" t="str">
        <f>HYPERLINK("https://twitter.com/FFMoghaddam","@FFMoghaddam")</f>
        <v>@FFMoghaddam</v>
      </c>
      <c r="C824" s="6" t="s">
        <v>1850</v>
      </c>
      <c r="D824" s="5" t="s">
        <v>5861</v>
      </c>
      <c r="E824" s="9" t="str">
        <f>HYPERLINK("https://twitter.com/FFMoghaddam/status/1045365405215313921","1045365405215313921")</f>
        <v>1045365405215313921</v>
      </c>
      <c r="F824" s="4"/>
      <c r="G824" s="4"/>
      <c r="H824" s="4"/>
      <c r="I824" s="10" t="str">
        <f>HYPERLINK("http://twitter.com/download/iphone","Twitter for iPhone")</f>
        <v>Twitter for iPhone</v>
      </c>
      <c r="J824" s="2">
        <v>169</v>
      </c>
      <c r="K824" s="2">
        <v>39</v>
      </c>
      <c r="L824" s="2">
        <v>0</v>
      </c>
      <c r="M824" s="2"/>
      <c r="N824" s="8">
        <v>43090.779224537036</v>
      </c>
      <c r="O824" s="4" t="s">
        <v>1848</v>
      </c>
      <c r="P824" s="3" t="s">
        <v>1847</v>
      </c>
      <c r="Q824" s="10" t="s">
        <v>1846</v>
      </c>
      <c r="R824" s="4"/>
      <c r="S824" s="9" t="str">
        <f>HYPERLINK("https://pbs.twimg.com/profile_images/1041413577872220161/E-Ls-zLe.jpg","View")</f>
        <v>View</v>
      </c>
    </row>
    <row r="825" spans="1:19" ht="12.5">
      <c r="A825" s="8">
        <v>43370.876215277778</v>
      </c>
      <c r="B825" s="11" t="str">
        <f>HYPERLINK("https://twitter.com/aghapedro","@aghapedro")</f>
        <v>@aghapedro</v>
      </c>
      <c r="C825" s="6" t="s">
        <v>5860</v>
      </c>
      <c r="D825" s="5" t="s">
        <v>5859</v>
      </c>
      <c r="E825" s="9" t="str">
        <f>HYPERLINK("https://twitter.com/aghapedro/status/1045365388991696896","1045365388991696896")</f>
        <v>1045365388991696896</v>
      </c>
      <c r="F825" s="4"/>
      <c r="G825" s="4"/>
      <c r="H825" s="4"/>
      <c r="I825" s="10" t="str">
        <f>HYPERLINK("http://twitter.com/download/iphone","Twitter for iPhone")</f>
        <v>Twitter for iPhone</v>
      </c>
      <c r="J825" s="2">
        <v>247</v>
      </c>
      <c r="K825" s="2">
        <v>208</v>
      </c>
      <c r="L825" s="2">
        <v>0</v>
      </c>
      <c r="M825" s="2"/>
      <c r="N825" s="8">
        <v>41724.374490740738</v>
      </c>
      <c r="O825" s="4"/>
      <c r="P825" s="3"/>
      <c r="Q825" s="4"/>
      <c r="R825" s="4"/>
      <c r="S825" s="9" t="str">
        <f>HYPERLINK("https://pbs.twimg.com/profile_images/1023544990201532416/QJ8IxgGA.jpg","View")</f>
        <v>View</v>
      </c>
    </row>
    <row r="826" spans="1:19" ht="30">
      <c r="A826" s="8">
        <v>43370.876180555555</v>
      </c>
      <c r="B826" s="11" t="str">
        <f>HYPERLINK("https://twitter.com/navidak8","@navidak8")</f>
        <v>@navidak8</v>
      </c>
      <c r="C826" s="6" t="s">
        <v>3620</v>
      </c>
      <c r="D826" s="5" t="s">
        <v>5858</v>
      </c>
      <c r="E826" s="9" t="str">
        <f>HYPERLINK("https://twitter.com/navidak8/status/1045365376635170816","1045365376635170816")</f>
        <v>1045365376635170816</v>
      </c>
      <c r="F826" s="4"/>
      <c r="G826" s="10" t="s">
        <v>5857</v>
      </c>
      <c r="H826" s="4"/>
      <c r="I826" s="10" t="str">
        <f>HYPERLINK("http://twitter.com/download/iphone","Twitter for iPhone")</f>
        <v>Twitter for iPhone</v>
      </c>
      <c r="J826" s="2">
        <v>172</v>
      </c>
      <c r="K826" s="2">
        <v>292</v>
      </c>
      <c r="L826" s="2">
        <v>0</v>
      </c>
      <c r="M826" s="2"/>
      <c r="N826" s="8">
        <v>42898.530347222222</v>
      </c>
      <c r="O826" s="4" t="s">
        <v>254</v>
      </c>
      <c r="P826" s="3" t="s">
        <v>3617</v>
      </c>
      <c r="Q826" s="4"/>
      <c r="R826" s="4"/>
      <c r="S826" s="9" t="str">
        <f>HYPERLINK("https://pbs.twimg.com/profile_images/1027300700886392838/KphAo2OK.jpg","View")</f>
        <v>View</v>
      </c>
    </row>
    <row r="827" spans="1:19" ht="20">
      <c r="A827" s="8">
        <v>43370.876134259262</v>
      </c>
      <c r="B827" s="11" t="str">
        <f>HYPERLINK("https://twitter.com/nasisdg","@nasisdg")</f>
        <v>@nasisdg</v>
      </c>
      <c r="C827" s="6" t="s">
        <v>5856</v>
      </c>
      <c r="D827" s="5" t="s">
        <v>5855</v>
      </c>
      <c r="E827" s="9" t="str">
        <f>HYPERLINK("https://twitter.com/nasisdg/status/1045365359920975873","1045365359920975873")</f>
        <v>1045365359920975873</v>
      </c>
      <c r="F827" s="4"/>
      <c r="G827" s="4"/>
      <c r="H827" s="4"/>
      <c r="I827" s="10" t="str">
        <f>HYPERLINK("http://twitter.com/download/iphone","Twitter for iPhone")</f>
        <v>Twitter for iPhone</v>
      </c>
      <c r="J827" s="2">
        <v>16</v>
      </c>
      <c r="K827" s="2">
        <v>88</v>
      </c>
      <c r="L827" s="2">
        <v>0</v>
      </c>
      <c r="M827" s="2"/>
      <c r="N827" s="8">
        <v>43223.632291666669</v>
      </c>
      <c r="O827" s="4" t="s">
        <v>72</v>
      </c>
      <c r="P827" s="3" t="s">
        <v>5854</v>
      </c>
      <c r="Q827" s="4"/>
      <c r="R827" s="4"/>
      <c r="S827" s="9" t="str">
        <f>HYPERLINK("https://pbs.twimg.com/profile_images/991993749394919426/nMxhzXAz.jpg","View")</f>
        <v>View</v>
      </c>
    </row>
    <row r="828" spans="1:19" ht="20">
      <c r="A828" s="8">
        <v>43370.876122685186</v>
      </c>
      <c r="B828" s="11" t="str">
        <f>HYPERLINK("https://twitter.com/alishir_mehdi","@alishir_mehdi")</f>
        <v>@alishir_mehdi</v>
      </c>
      <c r="C828" s="6" t="s">
        <v>5853</v>
      </c>
      <c r="D828" s="5" t="s">
        <v>5852</v>
      </c>
      <c r="E828" s="9" t="str">
        <f>HYPERLINK("https://twitter.com/alishir_mehdi/status/1045365357798674432","1045365357798674432")</f>
        <v>1045365357798674432</v>
      </c>
      <c r="F828" s="4"/>
      <c r="G828" s="4"/>
      <c r="H828" s="4"/>
      <c r="I828" s="10" t="str">
        <f>HYPERLINK("http://twitter.com/download/android","Twitter for Android")</f>
        <v>Twitter for Android</v>
      </c>
      <c r="J828" s="2">
        <v>227</v>
      </c>
      <c r="K828" s="2">
        <v>253</v>
      </c>
      <c r="L828" s="2">
        <v>1</v>
      </c>
      <c r="M828" s="2"/>
      <c r="N828" s="8">
        <v>42860.967581018514</v>
      </c>
      <c r="O828" s="4" t="s">
        <v>1525</v>
      </c>
      <c r="P828" s="3"/>
      <c r="Q828" s="4"/>
      <c r="R828" s="4"/>
      <c r="S828" s="9" t="str">
        <f>HYPERLINK("https://pbs.twimg.com/profile_images/1039439593790230528/jNHSbzxE.jpg","View")</f>
        <v>View</v>
      </c>
    </row>
    <row r="829" spans="1:19" ht="30">
      <c r="A829" s="8">
        <v>43370.876087962963</v>
      </c>
      <c r="B829" s="11" t="str">
        <f>HYPERLINK("https://twitter.com/IranVarzeshi","@IranVarzeshi")</f>
        <v>@IranVarzeshi</v>
      </c>
      <c r="C829" s="6" t="s">
        <v>212</v>
      </c>
      <c r="D829" s="5" t="s">
        <v>5851</v>
      </c>
      <c r="E829" s="9" t="str">
        <f>HYPERLINK("https://twitter.com/IranVarzeshi/status/1045365341428371459","1045365341428371459")</f>
        <v>1045365341428371459</v>
      </c>
      <c r="F829" s="4"/>
      <c r="G829" s="10" t="s">
        <v>5850</v>
      </c>
      <c r="H829" s="4"/>
      <c r="I829" s="10" t="str">
        <f>HYPERLINK("http://twitter.com/download/iphone","Twitter for iPhone")</f>
        <v>Twitter for iPhone</v>
      </c>
      <c r="J829" s="2">
        <v>668</v>
      </c>
      <c r="K829" s="2">
        <v>20</v>
      </c>
      <c r="L829" s="2">
        <v>9</v>
      </c>
      <c r="M829" s="2"/>
      <c r="N829" s="8">
        <v>43233.76258101852</v>
      </c>
      <c r="O829" s="4"/>
      <c r="P829" s="3" t="s">
        <v>210</v>
      </c>
      <c r="Q829" s="10" t="s">
        <v>209</v>
      </c>
      <c r="R829" s="4"/>
      <c r="S829" s="9" t="str">
        <f>HYPERLINK("https://pbs.twimg.com/profile_images/1001132674306670593/nV9S7juu.jpg","View")</f>
        <v>View</v>
      </c>
    </row>
    <row r="830" spans="1:19" ht="12.5">
      <c r="A830" s="8">
        <v>43370.875972222224</v>
      </c>
      <c r="B830" s="11" t="str">
        <f>HYPERLINK("https://twitter.com/MahdiMoghbeli","@MahdiMoghbeli")</f>
        <v>@MahdiMoghbeli</v>
      </c>
      <c r="C830" s="6" t="s">
        <v>5849</v>
      </c>
      <c r="D830" s="5" t="s">
        <v>5848</v>
      </c>
      <c r="E830" s="9" t="str">
        <f>HYPERLINK("https://twitter.com/MahdiMoghbeli/status/1045365303075463168","1045365303075463168")</f>
        <v>1045365303075463168</v>
      </c>
      <c r="F830" s="4"/>
      <c r="G830" s="10" t="s">
        <v>5847</v>
      </c>
      <c r="H830" s="4"/>
      <c r="I830" s="10" t="str">
        <f>HYPERLINK("http://twitter.com/download/iphone","Twitter for iPhone")</f>
        <v>Twitter for iPhone</v>
      </c>
      <c r="J830" s="2">
        <v>184</v>
      </c>
      <c r="K830" s="2">
        <v>182</v>
      </c>
      <c r="L830" s="2">
        <v>0</v>
      </c>
      <c r="M830" s="2"/>
      <c r="N830" s="8">
        <v>43250.843506944446</v>
      </c>
      <c r="O830" s="4" t="s">
        <v>200</v>
      </c>
      <c r="P830" s="3" t="s">
        <v>5846</v>
      </c>
      <c r="Q830" s="4"/>
      <c r="R830" s="4"/>
      <c r="S830" s="9" t="str">
        <f>HYPERLINK("https://pbs.twimg.com/profile_images/1001860924884639744/63diEETs.jpg","View")</f>
        <v>View</v>
      </c>
    </row>
    <row r="831" spans="1:19" ht="20">
      <c r="A831" s="8">
        <v>43370.875810185185</v>
      </c>
      <c r="B831" s="11" t="str">
        <f>HYPERLINK("https://twitter.com/Bahar84977527","@Bahar84977527")</f>
        <v>@Bahar84977527</v>
      </c>
      <c r="C831" s="6" t="s">
        <v>4208</v>
      </c>
      <c r="D831" s="5" t="s">
        <v>5845</v>
      </c>
      <c r="E831" s="9" t="str">
        <f>HYPERLINK("https://twitter.com/Bahar84977527/status/1045365244132880384","1045365244132880384")</f>
        <v>1045365244132880384</v>
      </c>
      <c r="F831" s="4"/>
      <c r="G831" s="10" t="s">
        <v>5844</v>
      </c>
      <c r="H831" s="4"/>
      <c r="I831" s="10" t="str">
        <f>HYPERLINK("http://twitter.com/download/android","Twitter for Android")</f>
        <v>Twitter for Android</v>
      </c>
      <c r="J831" s="2">
        <v>28</v>
      </c>
      <c r="K831" s="2">
        <v>41</v>
      </c>
      <c r="L831" s="2">
        <v>0</v>
      </c>
      <c r="M831" s="2"/>
      <c r="N831" s="8">
        <v>43347.497418981482</v>
      </c>
      <c r="O831" s="4" t="s">
        <v>170</v>
      </c>
      <c r="P831" s="3" t="s">
        <v>4206</v>
      </c>
      <c r="Q831" s="4"/>
      <c r="R831" s="4"/>
      <c r="S831" s="9" t="str">
        <f>HYPERLINK("https://pbs.twimg.com/profile_images/1043450848947462144/P4RJqURF.jpg","View")</f>
        <v>View</v>
      </c>
    </row>
    <row r="832" spans="1:19" ht="30">
      <c r="A832" s="8">
        <v>43370.87572916667</v>
      </c>
      <c r="B832" s="11" t="str">
        <f>HYPERLINK("https://twitter.com/Mojinjo1","@Mojinjo1")</f>
        <v>@Mojinjo1</v>
      </c>
      <c r="C832" s="6" t="s">
        <v>5843</v>
      </c>
      <c r="D832" s="5" t="s">
        <v>5842</v>
      </c>
      <c r="E832" s="9" t="str">
        <f>HYPERLINK("https://twitter.com/Mojinjo1/status/1045365212012982272","1045365212012982272")</f>
        <v>1045365212012982272</v>
      </c>
      <c r="F832" s="4"/>
      <c r="G832" s="10" t="s">
        <v>5841</v>
      </c>
      <c r="H832" s="4"/>
      <c r="I832" s="10" t="str">
        <f>HYPERLINK("http://twitter.com","Twitter Web Client")</f>
        <v>Twitter Web Client</v>
      </c>
      <c r="J832" s="2">
        <v>20</v>
      </c>
      <c r="K832" s="2">
        <v>187</v>
      </c>
      <c r="L832" s="2">
        <v>0</v>
      </c>
      <c r="M832" s="2"/>
      <c r="N832" s="8">
        <v>43340.777337962965</v>
      </c>
      <c r="O832" s="4"/>
      <c r="P832" s="3" t="s">
        <v>5840</v>
      </c>
      <c r="Q832" s="4"/>
      <c r="R832" s="4"/>
      <c r="S832" s="9" t="str">
        <f>HYPERLINK("https://pbs.twimg.com/profile_images/1034444604790194176/ihJ7nPit.jpg","View")</f>
        <v>View</v>
      </c>
    </row>
    <row r="833" spans="1:19" ht="20">
      <c r="A833" s="8">
        <v>43370.875613425931</v>
      </c>
      <c r="B833" s="11" t="str">
        <f>HYPERLINK("https://twitter.com/Ali_Yari66","@Ali_Yari66")</f>
        <v>@Ali_Yari66</v>
      </c>
      <c r="C833" s="6" t="s">
        <v>5839</v>
      </c>
      <c r="D833" s="5" t="s">
        <v>5838</v>
      </c>
      <c r="E833" s="9" t="str">
        <f>HYPERLINK("https://twitter.com/Ali_Yari66/status/1045365170912911360","1045365170912911360")</f>
        <v>1045365170912911360</v>
      </c>
      <c r="F833" s="4"/>
      <c r="G833" s="4"/>
      <c r="H833" s="4"/>
      <c r="I833" s="10" t="str">
        <f>HYPERLINK("http://twitter.com/download/android","Twitter for Android")</f>
        <v>Twitter for Android</v>
      </c>
      <c r="J833" s="2">
        <v>829</v>
      </c>
      <c r="K833" s="2">
        <v>1102</v>
      </c>
      <c r="L833" s="2">
        <v>1</v>
      </c>
      <c r="M833" s="2"/>
      <c r="N833" s="8">
        <v>42946.549085648148</v>
      </c>
      <c r="O833" s="4" t="s">
        <v>5837</v>
      </c>
      <c r="P833" s="3" t="s">
        <v>5836</v>
      </c>
      <c r="Q833" s="10" t="s">
        <v>5835</v>
      </c>
      <c r="R833" s="4"/>
      <c r="S833" s="9" t="str">
        <f>HYPERLINK("https://pbs.twimg.com/profile_images/891587949854425089/MHYwSh85.jpg","View")</f>
        <v>View</v>
      </c>
    </row>
    <row r="834" spans="1:19" ht="20">
      <c r="A834" s="8">
        <v>43370.875451388885</v>
      </c>
      <c r="B834" s="11" t="str">
        <f>HYPERLINK("https://twitter.com/ARJ555ARJ","@ARJ555ARJ")</f>
        <v>@ARJ555ARJ</v>
      </c>
      <c r="C834" s="6" t="s">
        <v>4890</v>
      </c>
      <c r="D834" s="5" t="s">
        <v>5834</v>
      </c>
      <c r="E834" s="9" t="str">
        <f>HYPERLINK("https://twitter.com/ARJ555ARJ/status/1045365113262227456","1045365113262227456")</f>
        <v>1045365113262227456</v>
      </c>
      <c r="F834" s="4"/>
      <c r="G834" s="10" t="s">
        <v>5833</v>
      </c>
      <c r="H834" s="4"/>
      <c r="I834" s="10" t="str">
        <f>HYPERLINK("http://twitter.com/download/android","Twitter for Android")</f>
        <v>Twitter for Android</v>
      </c>
      <c r="J834" s="2">
        <v>142</v>
      </c>
      <c r="K834" s="2">
        <v>132</v>
      </c>
      <c r="L834" s="2">
        <v>1</v>
      </c>
      <c r="M834" s="2"/>
      <c r="N834" s="8">
        <v>43027.834594907406</v>
      </c>
      <c r="O834" s="4" t="s">
        <v>4888</v>
      </c>
      <c r="P834" s="3" t="s">
        <v>4887</v>
      </c>
      <c r="Q834" s="4"/>
      <c r="R834" s="4"/>
      <c r="S834" s="9" t="str">
        <f>HYPERLINK("https://pbs.twimg.com/profile_images/1004431649818464265/YoxB6YZ5.jpg","View")</f>
        <v>View</v>
      </c>
    </row>
    <row r="835" spans="1:19" ht="20">
      <c r="A835" s="8">
        <v>43370.875393518523</v>
      </c>
      <c r="B835" s="11" t="str">
        <f>HYPERLINK("https://twitter.com/Mokhlasi","@Mokhlasi")</f>
        <v>@Mokhlasi</v>
      </c>
      <c r="C835" s="6" t="s">
        <v>5832</v>
      </c>
      <c r="D835" s="5" t="s">
        <v>5831</v>
      </c>
      <c r="E835" s="9" t="str">
        <f>HYPERLINK("https://twitter.com/Mokhlasi/status/1045365093569982464","1045365093569982464")</f>
        <v>1045365093569982464</v>
      </c>
      <c r="F835" s="4"/>
      <c r="G835" s="4"/>
      <c r="H835" s="4"/>
      <c r="I835" s="10" t="str">
        <f>HYPERLINK("http://twitter.com/download/android","Twitter for Android")</f>
        <v>Twitter for Android</v>
      </c>
      <c r="J835" s="2">
        <v>5630</v>
      </c>
      <c r="K835" s="2">
        <v>5223</v>
      </c>
      <c r="L835" s="2">
        <v>6</v>
      </c>
      <c r="M835" s="2"/>
      <c r="N835" s="8">
        <v>41843.532118055555</v>
      </c>
      <c r="O835" s="4"/>
      <c r="P835" s="3" t="s">
        <v>5830</v>
      </c>
      <c r="Q835" s="4"/>
      <c r="R835" s="4"/>
      <c r="S835" s="9" t="str">
        <f>HYPERLINK("https://pbs.twimg.com/profile_images/1044638523897327616/3WcdK6wJ.jpg","View")</f>
        <v>View</v>
      </c>
    </row>
    <row r="836" spans="1:19" ht="20">
      <c r="A836" s="8">
        <v>43370.875324074077</v>
      </c>
      <c r="B836" s="11" t="str">
        <f>HYPERLINK("https://twitter.com/tkcupHDhYXsvcsR","@tkcupHDhYXsvcsR")</f>
        <v>@tkcupHDhYXsvcsR</v>
      </c>
      <c r="C836" s="6" t="s">
        <v>5829</v>
      </c>
      <c r="D836" s="5" t="s">
        <v>5828</v>
      </c>
      <c r="E836" s="9" t="str">
        <f>HYPERLINK("https://twitter.com/tkcupHDhYXsvcsR/status/1045365068282691590","1045365068282691590")</f>
        <v>1045365068282691590</v>
      </c>
      <c r="F836" s="4"/>
      <c r="G836" s="4"/>
      <c r="H836" s="4"/>
      <c r="I836" s="10" t="str">
        <f>HYPERLINK("http://twitter.com/download/android","Twitter for Android")</f>
        <v>Twitter for Android</v>
      </c>
      <c r="J836" s="2">
        <v>2109</v>
      </c>
      <c r="K836" s="2">
        <v>2062</v>
      </c>
      <c r="L836" s="2">
        <v>0</v>
      </c>
      <c r="M836" s="2"/>
      <c r="N836" s="8">
        <v>43108.718518518523</v>
      </c>
      <c r="O836" s="4" t="s">
        <v>5827</v>
      </c>
      <c r="P836" s="3" t="s">
        <v>5826</v>
      </c>
      <c r="Q836" s="4"/>
      <c r="R836" s="4"/>
      <c r="S836" s="9" t="str">
        <f>HYPERLINK("https://pbs.twimg.com/profile_images/1039059982015193088/AMfbFycn.jpg","View")</f>
        <v>View</v>
      </c>
    </row>
    <row r="837" spans="1:19" ht="20">
      <c r="A837" s="8">
        <v>43370.875219907408</v>
      </c>
      <c r="B837" s="11" t="str">
        <f>HYPERLINK("https://twitter.com/Armin_AghaIna","@Armin_AghaIna")</f>
        <v>@Armin_AghaIna</v>
      </c>
      <c r="C837" s="6" t="s">
        <v>5825</v>
      </c>
      <c r="D837" s="5" t="s">
        <v>5824</v>
      </c>
      <c r="E837" s="9" t="str">
        <f>HYPERLINK("https://twitter.com/Armin_AghaIna/status/1045365027820244992","1045365027820244992")</f>
        <v>1045365027820244992</v>
      </c>
      <c r="F837" s="4"/>
      <c r="G837" s="4"/>
      <c r="H837" s="4"/>
      <c r="I837" s="10" t="str">
        <f>HYPERLINK("http://twitter.com/download/iphone","Twitter for iPhone")</f>
        <v>Twitter for iPhone</v>
      </c>
      <c r="J837" s="2">
        <v>869</v>
      </c>
      <c r="K837" s="2">
        <v>116</v>
      </c>
      <c r="L837" s="2">
        <v>6</v>
      </c>
      <c r="M837" s="2"/>
      <c r="N837" s="8">
        <v>40667.671400462961</v>
      </c>
      <c r="O837" s="4" t="s">
        <v>5823</v>
      </c>
      <c r="P837" s="3" t="s">
        <v>5822</v>
      </c>
      <c r="Q837" s="4"/>
      <c r="R837" s="4"/>
      <c r="S837" s="9" t="str">
        <f>HYPERLINK("https://pbs.twimg.com/profile_images/1032373071339024389/o8cpddvs.jpg","View")</f>
        <v>View</v>
      </c>
    </row>
    <row r="838" spans="1:19" ht="12.5">
      <c r="A838" s="8">
        <v>43370.846504629633</v>
      </c>
      <c r="B838" s="11" t="str">
        <f>HYPERLINK("https://twitter.com/nazi_sar89","@nazi_sar89")</f>
        <v>@nazi_sar89</v>
      </c>
      <c r="C838" s="6" t="s">
        <v>5821</v>
      </c>
      <c r="D838" s="5" t="s">
        <v>5820</v>
      </c>
      <c r="E838" s="9" t="str">
        <f>HYPERLINK("https://twitter.com/nazi_sar89/status/1045354621517135872","1045354621517135872")</f>
        <v>1045354621517135872</v>
      </c>
      <c r="F838" s="4"/>
      <c r="G838" s="4"/>
      <c r="H838" s="4"/>
      <c r="I838" s="10" t="str">
        <f>HYPERLINK("http://twitter.com/download/android","Twitter for Android")</f>
        <v>Twitter for Android</v>
      </c>
      <c r="J838" s="2">
        <v>953</v>
      </c>
      <c r="K838" s="2">
        <v>458</v>
      </c>
      <c r="L838" s="2">
        <v>3</v>
      </c>
      <c r="M838" s="2"/>
      <c r="N838" s="8">
        <v>42842.558344907404</v>
      </c>
      <c r="O838" s="4" t="s">
        <v>254</v>
      </c>
      <c r="P838" s="3" t="s">
        <v>5819</v>
      </c>
      <c r="Q838" s="4"/>
      <c r="R838" s="4"/>
      <c r="S838" s="9" t="str">
        <f>HYPERLINK("https://pbs.twimg.com/profile_images/858262179136589824/S-MGGeEo.jpg","View")</f>
        <v>View</v>
      </c>
    </row>
    <row r="839" spans="1:19" ht="12.5">
      <c r="A839" s="8">
        <v>43370.846319444448</v>
      </c>
      <c r="B839" s="11" t="str">
        <f>HYPERLINK("https://twitter.com/babaie_official","@babaie_official")</f>
        <v>@babaie_official</v>
      </c>
      <c r="C839" s="6" t="s">
        <v>5818</v>
      </c>
      <c r="D839" s="5" t="s">
        <v>5817</v>
      </c>
      <c r="E839" s="9" t="str">
        <f>HYPERLINK("https://twitter.com/babaie_official/status/1045354555230367744","1045354555230367744")</f>
        <v>1045354555230367744</v>
      </c>
      <c r="F839" s="4"/>
      <c r="G839" s="10" t="s">
        <v>5816</v>
      </c>
      <c r="H839" s="4"/>
      <c r="I839" s="10" t="str">
        <f>HYPERLINK("http://twitter.com/download/android","Twitter for Android")</f>
        <v>Twitter for Android</v>
      </c>
      <c r="J839" s="2">
        <v>1181</v>
      </c>
      <c r="K839" s="2">
        <v>288</v>
      </c>
      <c r="L839" s="2">
        <v>9</v>
      </c>
      <c r="M839" s="2"/>
      <c r="N839" s="8">
        <v>42847.874016203699</v>
      </c>
      <c r="O839" s="4" t="s">
        <v>200</v>
      </c>
      <c r="P839" s="3" t="s">
        <v>5815</v>
      </c>
      <c r="Q839" s="4"/>
      <c r="R839" s="4"/>
      <c r="S839" s="9" t="str">
        <f>HYPERLINK("https://pbs.twimg.com/profile_images/1038517041605615616/y8YduU4I.jpg","View")</f>
        <v>View</v>
      </c>
    </row>
    <row r="840" spans="1:19" ht="12.5">
      <c r="A840" s="8">
        <v>43370.846087962964</v>
      </c>
      <c r="B840" s="11" t="str">
        <f>HYPERLINK("https://twitter.com/Saghar_Ghaderi","@Saghar_Ghaderi")</f>
        <v>@Saghar_Ghaderi</v>
      </c>
      <c r="C840" s="6" t="s">
        <v>5814</v>
      </c>
      <c r="D840" s="5" t="s">
        <v>5813</v>
      </c>
      <c r="E840" s="9" t="str">
        <f>HYPERLINK("https://twitter.com/Saghar_Ghaderi/status/1045354473269473282","1045354473269473282")</f>
        <v>1045354473269473282</v>
      </c>
      <c r="F840" s="4"/>
      <c r="G840" s="4"/>
      <c r="H840" s="4"/>
      <c r="I840" s="10" t="str">
        <f>HYPERLINK("http://twitter.com/download/iphone","Twitter for iPhone")</f>
        <v>Twitter for iPhone</v>
      </c>
      <c r="J840" s="2">
        <v>340</v>
      </c>
      <c r="K840" s="2">
        <v>253</v>
      </c>
      <c r="L840" s="2">
        <v>1</v>
      </c>
      <c r="M840" s="2"/>
      <c r="N840" s="8">
        <v>41808.613935185189</v>
      </c>
      <c r="O840" s="4"/>
      <c r="P840" s="3"/>
      <c r="Q840" s="4"/>
      <c r="R840" s="4"/>
      <c r="S840" s="9" t="str">
        <f>HYPERLINK("https://pbs.twimg.com/profile_images/1041634625225940992/s2WvMOrK.jpg","View")</f>
        <v>View</v>
      </c>
    </row>
    <row r="841" spans="1:19" ht="40">
      <c r="A841" s="8">
        <v>43370.845914351856</v>
      </c>
      <c r="B841" s="11" t="str">
        <f>HYPERLINK("https://twitter.com/Eh_loei","@Eh_loei")</f>
        <v>@Eh_loei</v>
      </c>
      <c r="C841" s="6" t="s">
        <v>5812</v>
      </c>
      <c r="D841" s="5" t="s">
        <v>5811</v>
      </c>
      <c r="E841" s="9" t="str">
        <f>HYPERLINK("https://twitter.com/Eh_loei/status/1045354410199707650","1045354410199707650")</f>
        <v>1045354410199707650</v>
      </c>
      <c r="F841" s="4"/>
      <c r="G841" s="4"/>
      <c r="H841" s="4"/>
      <c r="I841" s="10" t="str">
        <f>HYPERLINK("http://twitter.com/download/android","Twitter for Android")</f>
        <v>Twitter for Android</v>
      </c>
      <c r="J841" s="2">
        <v>22</v>
      </c>
      <c r="K841" s="2">
        <v>34</v>
      </c>
      <c r="L841" s="2">
        <v>0</v>
      </c>
      <c r="M841" s="2"/>
      <c r="N841" s="8">
        <v>41315.105416666665</v>
      </c>
      <c r="O841" s="4" t="s">
        <v>10</v>
      </c>
      <c r="P841" s="3" t="s">
        <v>5810</v>
      </c>
      <c r="Q841" s="4"/>
      <c r="R841" s="4"/>
      <c r="S841" s="9" t="str">
        <f>HYPERLINK("https://pbs.twimg.com/profile_images/1010140110329925632/XuzLbAtw.jpg","View")</f>
        <v>View</v>
      </c>
    </row>
    <row r="842" spans="1:19" ht="50">
      <c r="A842" s="8">
        <v>43370.845914351856</v>
      </c>
      <c r="B842" s="11" t="str">
        <f>HYPERLINK("https://twitter.com/iranteammelli","@iranteammelli")</f>
        <v>@iranteammelli</v>
      </c>
      <c r="C842" s="6" t="s">
        <v>1044</v>
      </c>
      <c r="D842" s="5" t="s">
        <v>5809</v>
      </c>
      <c r="E842" s="9" t="str">
        <f>HYPERLINK("https://twitter.com/iranteammelli/status/1045354410044542977","1045354410044542977")</f>
        <v>1045354410044542977</v>
      </c>
      <c r="F842" s="4"/>
      <c r="G842" s="4"/>
      <c r="H842" s="4"/>
      <c r="I842" s="10" t="str">
        <f>HYPERLINK("http://twitter.com","Twitter Web Client")</f>
        <v>Twitter Web Client</v>
      </c>
      <c r="J842" s="2">
        <v>1084</v>
      </c>
      <c r="K842" s="2">
        <v>375</v>
      </c>
      <c r="L842" s="2">
        <v>67</v>
      </c>
      <c r="M842" s="2"/>
      <c r="N842" s="8">
        <v>41797.646249999998</v>
      </c>
      <c r="O842" s="4" t="s">
        <v>62</v>
      </c>
      <c r="P842" s="3" t="s">
        <v>1041</v>
      </c>
      <c r="Q842" s="10" t="s">
        <v>1040</v>
      </c>
      <c r="R842" s="4"/>
      <c r="S842" s="9" t="str">
        <f>HYPERLINK("https://pbs.twimg.com/profile_images/757538975724761088/D2_y6aCK.jpg","View")</f>
        <v>View</v>
      </c>
    </row>
    <row r="843" spans="1:19" ht="20">
      <c r="A843" s="8">
        <v>43370.845821759256</v>
      </c>
      <c r="B843" s="11" t="str">
        <f>HYPERLINK("https://twitter.com/chandgerefti","@chandgerefti")</f>
        <v>@chandgerefti</v>
      </c>
      <c r="C843" s="6" t="s">
        <v>5808</v>
      </c>
      <c r="D843" s="5" t="s">
        <v>5807</v>
      </c>
      <c r="E843" s="9" t="str">
        <f>HYPERLINK("https://twitter.com/chandgerefti/status/1045354373507887105","1045354373507887105")</f>
        <v>1045354373507887105</v>
      </c>
      <c r="F843" s="4"/>
      <c r="G843" s="4"/>
      <c r="H843" s="4"/>
      <c r="I843" s="10" t="str">
        <f>HYPERLINK("http://twitter.com/download/android","Twitter for Android")</f>
        <v>Twitter for Android</v>
      </c>
      <c r="J843" s="2">
        <v>23</v>
      </c>
      <c r="K843" s="2">
        <v>51</v>
      </c>
      <c r="L843" s="2">
        <v>0</v>
      </c>
      <c r="M843" s="2"/>
      <c r="N843" s="8">
        <v>43203.556226851855</v>
      </c>
      <c r="O843" s="4" t="s">
        <v>200</v>
      </c>
      <c r="P843" s="3" t="s">
        <v>5806</v>
      </c>
      <c r="Q843" s="4"/>
      <c r="R843" s="4"/>
      <c r="S843" s="9" t="str">
        <f>HYPERLINK("https://pbs.twimg.com/profile_images/1025389489211035648/Agi7UEJs.jpg","View")</f>
        <v>View</v>
      </c>
    </row>
    <row r="844" spans="1:19" ht="20">
      <c r="A844" s="8">
        <v>43370.845729166671</v>
      </c>
      <c r="B844" s="11" t="str">
        <f>HYPERLINK("https://twitter.com/Parisa6586","@Parisa6586")</f>
        <v>@Parisa6586</v>
      </c>
      <c r="C844" s="6" t="s">
        <v>5805</v>
      </c>
      <c r="D844" s="5" t="s">
        <v>5804</v>
      </c>
      <c r="E844" s="9" t="str">
        <f>HYPERLINK("https://twitter.com/Parisa6586/status/1045354342520410114","1045354342520410114")</f>
        <v>1045354342520410114</v>
      </c>
      <c r="F844" s="4"/>
      <c r="G844" s="4"/>
      <c r="H844" s="4"/>
      <c r="I844" s="10" t="str">
        <f>HYPERLINK("http://twitter.com/download/iphone","Twitter for iPhone")</f>
        <v>Twitter for iPhone</v>
      </c>
      <c r="J844" s="2">
        <v>1599</v>
      </c>
      <c r="K844" s="2">
        <v>239</v>
      </c>
      <c r="L844" s="2">
        <v>19</v>
      </c>
      <c r="M844" s="2"/>
      <c r="N844" s="8">
        <v>42512.762071759258</v>
      </c>
      <c r="O844" s="4" t="s">
        <v>4755</v>
      </c>
      <c r="P844" s="3" t="s">
        <v>5803</v>
      </c>
      <c r="Q844" s="4"/>
      <c r="R844" s="4"/>
      <c r="S844" s="9" t="str">
        <f>HYPERLINK("https://pbs.twimg.com/profile_images/1037813166342897664/HU13x0kB.jpg","View")</f>
        <v>View</v>
      </c>
    </row>
    <row r="845" spans="1:19" ht="12.5">
      <c r="A845" s="8">
        <v>43370.845717592594</v>
      </c>
      <c r="B845" s="11" t="str">
        <f>HYPERLINK("https://twitter.com/may3am89","@may3am89")</f>
        <v>@may3am89</v>
      </c>
      <c r="C845" s="6" t="s">
        <v>5689</v>
      </c>
      <c r="D845" s="5" t="s">
        <v>5802</v>
      </c>
      <c r="E845" s="9" t="str">
        <f>HYPERLINK("https://twitter.com/may3am89/status/1045354338556805120","1045354338556805120")</f>
        <v>1045354338556805120</v>
      </c>
      <c r="F845" s="4"/>
      <c r="G845" s="4"/>
      <c r="H845" s="4"/>
      <c r="I845" s="10" t="str">
        <f>HYPERLINK("https://mobile.twitter.com","Twitter Lite")</f>
        <v>Twitter Lite</v>
      </c>
      <c r="J845" s="2">
        <v>233</v>
      </c>
      <c r="K845" s="2">
        <v>2214</v>
      </c>
      <c r="L845" s="2">
        <v>0</v>
      </c>
      <c r="M845" s="2"/>
      <c r="N845" s="8">
        <v>43050.979016203702</v>
      </c>
      <c r="O845" s="4" t="s">
        <v>5687</v>
      </c>
      <c r="P845" s="3"/>
      <c r="Q845" s="10" t="s">
        <v>5686</v>
      </c>
      <c r="R845" s="4"/>
      <c r="S845" s="9" t="str">
        <f>HYPERLINK("https://pbs.twimg.com/profile_images/1035516585648291841/Pumoxwtm.jpg","View")</f>
        <v>View</v>
      </c>
    </row>
    <row r="846" spans="1:19" ht="12.5">
      <c r="A846" s="8">
        <v>43370.845682870371</v>
      </c>
      <c r="B846" s="11" t="str">
        <f>HYPERLINK("https://twitter.com/8paaa","@8paaa")</f>
        <v>@8paaa</v>
      </c>
      <c r="C846" s="6" t="s">
        <v>4318</v>
      </c>
      <c r="D846" s="5" t="s">
        <v>5801</v>
      </c>
      <c r="E846" s="9" t="str">
        <f>HYPERLINK("https://twitter.com/8paaa/status/1045354324635897857","1045354324635897857")</f>
        <v>1045354324635897857</v>
      </c>
      <c r="F846" s="4"/>
      <c r="G846" s="4"/>
      <c r="H846" s="4"/>
      <c r="I846" s="10" t="str">
        <f>HYPERLINK("http://twitter.com/download/android","Twitter for Android")</f>
        <v>Twitter for Android</v>
      </c>
      <c r="J846" s="2">
        <v>1293</v>
      </c>
      <c r="K846" s="2">
        <v>1365</v>
      </c>
      <c r="L846" s="2">
        <v>5</v>
      </c>
      <c r="M846" s="2"/>
      <c r="N846" s="8">
        <v>40519.082569444443</v>
      </c>
      <c r="O846" s="4"/>
      <c r="P846" s="3" t="s">
        <v>4316</v>
      </c>
      <c r="Q846" s="4"/>
      <c r="R846" s="4"/>
      <c r="S846" s="9" t="str">
        <f>HYPERLINK("https://pbs.twimg.com/profile_images/1026065059498401792/aqGSrtX7.jpg","View")</f>
        <v>View</v>
      </c>
    </row>
    <row r="847" spans="1:19" ht="20">
      <c r="A847" s="8">
        <v>43370.845648148148</v>
      </c>
      <c r="B847" s="11" t="str">
        <f>HYPERLINK("https://twitter.com/hooman_shini","@hooman_shini")</f>
        <v>@hooman_shini</v>
      </c>
      <c r="C847" s="6" t="s">
        <v>5800</v>
      </c>
      <c r="D847" s="5" t="s">
        <v>5799</v>
      </c>
      <c r="E847" s="9" t="str">
        <f>HYPERLINK("https://twitter.com/hooman_shini/status/1045354310815666176","1045354310815666176")</f>
        <v>1045354310815666176</v>
      </c>
      <c r="F847" s="4"/>
      <c r="G847" s="4"/>
      <c r="H847" s="4"/>
      <c r="I847" s="10" t="str">
        <f>HYPERLINK("http://twitter.com/download/iphone","Twitter for iPhone")</f>
        <v>Twitter for iPhone</v>
      </c>
      <c r="J847" s="2">
        <v>5</v>
      </c>
      <c r="K847" s="2">
        <v>23</v>
      </c>
      <c r="L847" s="2">
        <v>0</v>
      </c>
      <c r="M847" s="2"/>
      <c r="N847" s="8">
        <v>42306.109895833331</v>
      </c>
      <c r="O847" s="4"/>
      <c r="P847" s="3"/>
      <c r="Q847" s="4"/>
      <c r="R847" s="4"/>
      <c r="S847" s="9" t="str">
        <f>HYPERLINK("https://pbs.twimg.com/profile_images/1014683670010040320/RAKoN3XV.jpg","View")</f>
        <v>View</v>
      </c>
    </row>
    <row r="848" spans="1:19" ht="12.5">
      <c r="A848" s="8">
        <v>43370.845601851848</v>
      </c>
      <c r="B848" s="11" t="str">
        <f>HYPERLINK("https://twitter.com/majidpasha61088","@majidpasha61088")</f>
        <v>@majidpasha61088</v>
      </c>
      <c r="C848" s="6" t="s">
        <v>5798</v>
      </c>
      <c r="D848" s="5" t="s">
        <v>5797</v>
      </c>
      <c r="E848" s="9" t="str">
        <f>HYPERLINK("https://twitter.com/majidpasha61088/status/1045354294826938368","1045354294826938368")</f>
        <v>1045354294826938368</v>
      </c>
      <c r="F848" s="4"/>
      <c r="G848" s="4"/>
      <c r="H848" s="4"/>
      <c r="I848" s="10" t="str">
        <f>HYPERLINK("http://twitter.com/download/android","Twitter for Android")</f>
        <v>Twitter for Android</v>
      </c>
      <c r="J848" s="2">
        <v>921</v>
      </c>
      <c r="K848" s="2">
        <v>738</v>
      </c>
      <c r="L848" s="2">
        <v>3</v>
      </c>
      <c r="M848" s="2"/>
      <c r="N848" s="8">
        <v>41808.359988425924</v>
      </c>
      <c r="O848" s="4" t="s">
        <v>5796</v>
      </c>
      <c r="P848" s="3" t="s">
        <v>5795</v>
      </c>
      <c r="Q848" s="4"/>
      <c r="R848" s="4"/>
      <c r="S848" s="9" t="str">
        <f>HYPERLINK("https://pbs.twimg.com/profile_images/1037619886627979265/HBzeMsGF.jpg","View")</f>
        <v>View</v>
      </c>
    </row>
    <row r="849" spans="1:19" ht="20">
      <c r="A849" s="8">
        <v>43370.845532407402</v>
      </c>
      <c r="B849" s="11" t="str">
        <f>HYPERLINK("https://twitter.com/ZParazit","@ZParazit")</f>
        <v>@ZParazit</v>
      </c>
      <c r="C849" s="6" t="s">
        <v>5794</v>
      </c>
      <c r="D849" s="5" t="s">
        <v>5793</v>
      </c>
      <c r="E849" s="9" t="str">
        <f>HYPERLINK("https://twitter.com/ZParazit/status/1045354271250604032","1045354271250604032")</f>
        <v>1045354271250604032</v>
      </c>
      <c r="F849" s="4"/>
      <c r="G849" s="4"/>
      <c r="H849" s="4"/>
      <c r="I849" s="10" t="str">
        <f>HYPERLINK("http://twitter.com/download/android","Twitter for Android")</f>
        <v>Twitter for Android</v>
      </c>
      <c r="J849" s="2">
        <v>120</v>
      </c>
      <c r="K849" s="2">
        <v>539</v>
      </c>
      <c r="L849" s="2">
        <v>0</v>
      </c>
      <c r="M849" s="2"/>
      <c r="N849" s="8">
        <v>40968.606828703705</v>
      </c>
      <c r="O849" s="4" t="s">
        <v>5792</v>
      </c>
      <c r="P849" s="3"/>
      <c r="Q849" s="4"/>
      <c r="R849" s="4"/>
      <c r="S849" s="9" t="str">
        <f>HYPERLINK("https://pbs.twimg.com/profile_images/627231978769784832/erDmbsf7.jpg","View")</f>
        <v>View</v>
      </c>
    </row>
    <row r="850" spans="1:19" ht="50">
      <c r="A850" s="8">
        <v>43370.845462962963</v>
      </c>
      <c r="B850" s="11" t="str">
        <f>HYPERLINK("https://twitter.com/CalcioIraniano","@CalcioIraniano")</f>
        <v>@CalcioIraniano</v>
      </c>
      <c r="C850" s="6" t="s">
        <v>1078</v>
      </c>
      <c r="D850" s="5" t="s">
        <v>5791</v>
      </c>
      <c r="E850" s="9" t="str">
        <f>HYPERLINK("https://twitter.com/CalcioIraniano/status/1045354243362877441","1045354243362877441")</f>
        <v>1045354243362877441</v>
      </c>
      <c r="F850" s="4"/>
      <c r="G850" s="4"/>
      <c r="H850" s="4"/>
      <c r="I850" s="10" t="str">
        <f>HYPERLINK("http://twitter.com","Twitter Web Client")</f>
        <v>Twitter Web Client</v>
      </c>
      <c r="J850" s="2">
        <v>98</v>
      </c>
      <c r="K850" s="2">
        <v>73</v>
      </c>
      <c r="L850" s="2">
        <v>2</v>
      </c>
      <c r="M850" s="2"/>
      <c r="N850" s="8">
        <v>42943.737407407403</v>
      </c>
      <c r="O850" s="4" t="s">
        <v>1075</v>
      </c>
      <c r="P850" s="3" t="s">
        <v>1074</v>
      </c>
      <c r="Q850" s="10" t="s">
        <v>1073</v>
      </c>
      <c r="R850" s="4"/>
      <c r="S850" s="9" t="str">
        <f>HYPERLINK("https://pbs.twimg.com/profile_images/890563384915243008/kZ2we3yk.jpg","View")</f>
        <v>View</v>
      </c>
    </row>
    <row r="851" spans="1:19" ht="12.5">
      <c r="A851" s="8">
        <v>43370.845451388886</v>
      </c>
      <c r="B851" s="11" t="str">
        <f>HYPERLINK("https://twitter.com/Meysamhb66","@Meysamhb66")</f>
        <v>@Meysamhb66</v>
      </c>
      <c r="C851" s="6" t="s">
        <v>5790</v>
      </c>
      <c r="D851" s="5" t="s">
        <v>5789</v>
      </c>
      <c r="E851" s="9" t="str">
        <f>HYPERLINK("https://twitter.com/Meysamhb66/status/1045354240544137217","1045354240544137217")</f>
        <v>1045354240544137217</v>
      </c>
      <c r="F851" s="4"/>
      <c r="G851" s="4"/>
      <c r="H851" s="4"/>
      <c r="I851" s="10" t="str">
        <f>HYPERLINK("https://mobile.twitter.com","Mobile Web (M2)")</f>
        <v>Mobile Web (M2)</v>
      </c>
      <c r="J851" s="2">
        <v>1</v>
      </c>
      <c r="K851" s="2">
        <v>69</v>
      </c>
      <c r="L851" s="2">
        <v>0</v>
      </c>
      <c r="M851" s="2"/>
      <c r="N851" s="8">
        <v>42962.744733796295</v>
      </c>
      <c r="O851" s="4" t="s">
        <v>10</v>
      </c>
      <c r="P851" s="3"/>
      <c r="Q851" s="4"/>
      <c r="R851" s="4"/>
      <c r="S851" s="9" t="str">
        <f>HYPERLINK("https://pbs.twimg.com/profile_images/900027898815492096/BrkjlIeL.jpg","View")</f>
        <v>View</v>
      </c>
    </row>
    <row r="852" spans="1:19" ht="40">
      <c r="A852" s="8">
        <v>43370.845451388886</v>
      </c>
      <c r="B852" s="11" t="str">
        <f>HYPERLINK("https://twitter.com/iiCiiGiirl","@iiCiiGiirl")</f>
        <v>@iiCiiGiirl</v>
      </c>
      <c r="C852" s="6" t="s">
        <v>5589</v>
      </c>
      <c r="D852" s="5" t="s">
        <v>5788</v>
      </c>
      <c r="E852" s="9" t="str">
        <f>HYPERLINK("https://twitter.com/iiCiiGiirl/status/1045354239273431040","1045354239273431040")</f>
        <v>1045354239273431040</v>
      </c>
      <c r="F852" s="4"/>
      <c r="G852" s="4"/>
      <c r="H852" s="4"/>
      <c r="I852" s="10" t="str">
        <f>HYPERLINK("http://twitter.com/download/iphone","Twitter for iPhone")</f>
        <v>Twitter for iPhone</v>
      </c>
      <c r="J852" s="2">
        <v>1039</v>
      </c>
      <c r="K852" s="2">
        <v>494</v>
      </c>
      <c r="L852" s="2">
        <v>8</v>
      </c>
      <c r="M852" s="2"/>
      <c r="N852" s="8">
        <v>42381.529513888891</v>
      </c>
      <c r="O852" s="4" t="s">
        <v>10</v>
      </c>
      <c r="P852" s="3" t="s">
        <v>5587</v>
      </c>
      <c r="Q852" s="4"/>
      <c r="R852" s="4"/>
      <c r="S852" s="9" t="str">
        <f>HYPERLINK("https://pbs.twimg.com/profile_images/932253081353576448/_YN6mJYe.jpg","View")</f>
        <v>View</v>
      </c>
    </row>
    <row r="853" spans="1:19" ht="20">
      <c r="A853" s="8">
        <v>43370.845312500001</v>
      </c>
      <c r="B853" s="11" t="str">
        <f>HYPERLINK("https://twitter.com/khatibi1112","@khatibi1112")</f>
        <v>@khatibi1112</v>
      </c>
      <c r="C853" s="6" t="s">
        <v>1329</v>
      </c>
      <c r="D853" s="5" t="s">
        <v>5787</v>
      </c>
      <c r="E853" s="9" t="str">
        <f>HYPERLINK("https://twitter.com/khatibi1112/status/1045354189671419904","1045354189671419904")</f>
        <v>1045354189671419904</v>
      </c>
      <c r="F853" s="4"/>
      <c r="G853" s="4"/>
      <c r="H853" s="4"/>
      <c r="I853" s="10" t="str">
        <f>HYPERLINK("http://twitter.com","Twitter Web Client")</f>
        <v>Twitter Web Client</v>
      </c>
      <c r="J853" s="2">
        <v>77</v>
      </c>
      <c r="K853" s="2">
        <v>74</v>
      </c>
      <c r="L853" s="2">
        <v>0</v>
      </c>
      <c r="M853" s="2"/>
      <c r="N853" s="8">
        <v>43367.044328703705</v>
      </c>
      <c r="O853" s="4"/>
      <c r="P853" s="3" t="s">
        <v>1327</v>
      </c>
      <c r="Q853" s="4"/>
      <c r="R853" s="4"/>
      <c r="S853" s="9" t="str">
        <f>HYPERLINK("https://pbs.twimg.com/profile_images/1044342926476750848/6Oxcv3Ku.jpg","View")</f>
        <v>View</v>
      </c>
    </row>
    <row r="854" spans="1:19" ht="12.5">
      <c r="A854" s="8">
        <v>43370.845289351855</v>
      </c>
      <c r="B854" s="11" t="str">
        <f>HYPERLINK("https://twitter.com/Mohsen4reall","@Mohsen4reall")</f>
        <v>@Mohsen4reall</v>
      </c>
      <c r="C854" s="6" t="s">
        <v>705</v>
      </c>
      <c r="D854" s="5" t="s">
        <v>5786</v>
      </c>
      <c r="E854" s="9" t="str">
        <f>HYPERLINK("https://twitter.com/Mohsen4reall/status/1045354180846768129","1045354180846768129")</f>
        <v>1045354180846768129</v>
      </c>
      <c r="F854" s="4"/>
      <c r="G854" s="4"/>
      <c r="H854" s="4"/>
      <c r="I854" s="10" t="str">
        <f>HYPERLINK("http://twitter.com/download/android","Twitter for Android")</f>
        <v>Twitter for Android</v>
      </c>
      <c r="J854" s="2">
        <v>338</v>
      </c>
      <c r="K854" s="2">
        <v>231</v>
      </c>
      <c r="L854" s="2">
        <v>0</v>
      </c>
      <c r="M854" s="2"/>
      <c r="N854" s="8">
        <v>42986.55846064815</v>
      </c>
      <c r="O854" s="4" t="s">
        <v>72</v>
      </c>
      <c r="P854" s="3" t="s">
        <v>5785</v>
      </c>
      <c r="Q854" s="4"/>
      <c r="R854" s="4"/>
      <c r="S854" s="9" t="str">
        <f>HYPERLINK("https://pbs.twimg.com/profile_images/1038502489983803392/RY1Zr3mM.jpg","View")</f>
        <v>View</v>
      </c>
    </row>
    <row r="855" spans="1:19" ht="12.5">
      <c r="A855" s="8">
        <v>43370.845277777778</v>
      </c>
      <c r="B855" s="11" t="str">
        <f>HYPERLINK("https://twitter.com/bohluol","@bohluol")</f>
        <v>@bohluol</v>
      </c>
      <c r="C855" s="6" t="s">
        <v>5300</v>
      </c>
      <c r="D855" s="5" t="s">
        <v>5784</v>
      </c>
      <c r="E855" s="9" t="str">
        <f>HYPERLINK("https://twitter.com/bohluol/status/1045354177696845824","1045354177696845824")</f>
        <v>1045354177696845824</v>
      </c>
      <c r="F855" s="4"/>
      <c r="G855" s="4"/>
      <c r="H855" s="4"/>
      <c r="I855" s="10" t="str">
        <f>HYPERLINK("http://twitter.com/download/android","Twitter for Android")</f>
        <v>Twitter for Android</v>
      </c>
      <c r="J855" s="2">
        <v>9710</v>
      </c>
      <c r="K855" s="2">
        <v>922</v>
      </c>
      <c r="L855" s="2">
        <v>81</v>
      </c>
      <c r="M855" s="2"/>
      <c r="N855" s="8">
        <v>42132.986886574072</v>
      </c>
      <c r="O855" s="4"/>
      <c r="P855" s="3" t="s">
        <v>5298</v>
      </c>
      <c r="Q855" s="10" t="s">
        <v>5297</v>
      </c>
      <c r="R855" s="4"/>
      <c r="S855" s="9" t="str">
        <f>HYPERLINK("https://pbs.twimg.com/profile_images/1042893235205627905/6LE1Fb7V.jpg","View")</f>
        <v>View</v>
      </c>
    </row>
    <row r="856" spans="1:19" ht="20">
      <c r="A856" s="8">
        <v>43370.845231481479</v>
      </c>
      <c r="B856" s="11" t="str">
        <f>HYPERLINK("https://twitter.com/reyhanejat","@reyhanejat")</f>
        <v>@reyhanejat</v>
      </c>
      <c r="C856" s="6" t="s">
        <v>5783</v>
      </c>
      <c r="D856" s="5" t="s">
        <v>5782</v>
      </c>
      <c r="E856" s="9" t="str">
        <f>HYPERLINK("https://twitter.com/reyhanejat/status/1045354162160984065","1045354162160984065")</f>
        <v>1045354162160984065</v>
      </c>
      <c r="F856" s="4"/>
      <c r="G856" s="4"/>
      <c r="H856" s="4"/>
      <c r="I856" s="10" t="str">
        <f>HYPERLINK("http://twitter.com/download/iphone","Twitter for iPhone")</f>
        <v>Twitter for iPhone</v>
      </c>
      <c r="J856" s="2">
        <v>10</v>
      </c>
      <c r="K856" s="2">
        <v>76</v>
      </c>
      <c r="L856" s="2">
        <v>0</v>
      </c>
      <c r="M856" s="2"/>
      <c r="N856" s="8">
        <v>43348.835682870369</v>
      </c>
      <c r="O856" s="4"/>
      <c r="P856" s="3"/>
      <c r="Q856" s="4"/>
      <c r="R856" s="4"/>
      <c r="S856" s="9" t="str">
        <f>HYPERLINK("https://pbs.twimg.com/profile_images/1040661673672097794/k5akur1D.jpg","View")</f>
        <v>View</v>
      </c>
    </row>
    <row r="857" spans="1:19" ht="40">
      <c r="A857" s="8">
        <v>43370.845185185186</v>
      </c>
      <c r="B857" s="11" t="str">
        <f>HYPERLINK("https://twitter.com/karimian_maisam","@karimian_maisam")</f>
        <v>@karimian_maisam</v>
      </c>
      <c r="C857" s="6" t="s">
        <v>5781</v>
      </c>
      <c r="D857" s="5" t="s">
        <v>5780</v>
      </c>
      <c r="E857" s="9" t="str">
        <f>HYPERLINK("https://twitter.com/karimian_maisam/status/1045354144977104896","1045354144977104896")</f>
        <v>1045354144977104896</v>
      </c>
      <c r="F857" s="4"/>
      <c r="G857" s="4"/>
      <c r="H857" s="4"/>
      <c r="I857" s="10" t="str">
        <f>HYPERLINK("http://twitter.com/download/android","Twitter for Android")</f>
        <v>Twitter for Android</v>
      </c>
      <c r="J857" s="2">
        <v>300</v>
      </c>
      <c r="K857" s="2">
        <v>195</v>
      </c>
      <c r="L857" s="2">
        <v>1</v>
      </c>
      <c r="M857" s="2"/>
      <c r="N857" s="8">
        <v>43228.567106481481</v>
      </c>
      <c r="O857" s="4" t="s">
        <v>62</v>
      </c>
      <c r="P857" s="3" t="s">
        <v>5779</v>
      </c>
      <c r="Q857" s="4"/>
      <c r="R857" s="4"/>
      <c r="S857" s="9" t="str">
        <f>HYPERLINK("https://pbs.twimg.com/profile_images/1039367183900528640/pKleFXvM.jpg","View")</f>
        <v>View</v>
      </c>
    </row>
    <row r="858" spans="1:19" ht="20">
      <c r="A858" s="8">
        <v>43370.845057870371</v>
      </c>
      <c r="B858" s="11" t="str">
        <f>HYPERLINK("https://twitter.com/maryam71156","@maryam71156")</f>
        <v>@maryam71156</v>
      </c>
      <c r="C858" s="6" t="s">
        <v>5778</v>
      </c>
      <c r="D858" s="5" t="s">
        <v>5777</v>
      </c>
      <c r="E858" s="9" t="str">
        <f>HYPERLINK("https://twitter.com/maryam71156/status/1045354099888345089","1045354099888345089")</f>
        <v>1045354099888345089</v>
      </c>
      <c r="F858" s="4"/>
      <c r="G858" s="10" t="s">
        <v>5776</v>
      </c>
      <c r="H858" s="4"/>
      <c r="I858" s="10" t="str">
        <f>HYPERLINK("http://twitter.com/download/android","Twitter for Android")</f>
        <v>Twitter for Android</v>
      </c>
      <c r="J858" s="2">
        <v>602</v>
      </c>
      <c r="K858" s="2">
        <v>79</v>
      </c>
      <c r="L858" s="2">
        <v>2</v>
      </c>
      <c r="M858" s="2"/>
      <c r="N858" s="8">
        <v>42516.800289351857</v>
      </c>
      <c r="O858" s="4"/>
      <c r="P858" s="3" t="s">
        <v>5775</v>
      </c>
      <c r="Q858" s="4"/>
      <c r="R858" s="4"/>
      <c r="S858" s="9" t="str">
        <f>HYPERLINK("https://pbs.twimg.com/profile_images/1026069792275480577/CVOLWzL1.jpg","View")</f>
        <v>View</v>
      </c>
    </row>
    <row r="859" spans="1:19" ht="40">
      <c r="A859" s="8">
        <v>43370.844988425924</v>
      </c>
      <c r="B859" s="11" t="str">
        <f>HYPERLINK("https://twitter.com/FcEsteghlal","@FcEsteghlal")</f>
        <v>@FcEsteghlal</v>
      </c>
      <c r="C859" s="6" t="s">
        <v>2582</v>
      </c>
      <c r="D859" s="5" t="s">
        <v>5774</v>
      </c>
      <c r="E859" s="9" t="str">
        <f>HYPERLINK("https://twitter.com/FcEsteghlal/status/1045354071799066624","1045354071799066624")</f>
        <v>1045354071799066624</v>
      </c>
      <c r="F859" s="4"/>
      <c r="G859" s="4"/>
      <c r="H859" s="4"/>
      <c r="I859" s="10" t="str">
        <f>HYPERLINK("http://twitter.com","Twitter Web Client")</f>
        <v>Twitter Web Client</v>
      </c>
      <c r="J859" s="2">
        <v>30061</v>
      </c>
      <c r="K859" s="2">
        <v>20</v>
      </c>
      <c r="L859" s="2">
        <v>94</v>
      </c>
      <c r="M859" s="2"/>
      <c r="N859" s="8">
        <v>40386.474282407406</v>
      </c>
      <c r="O859" s="4" t="s">
        <v>2579</v>
      </c>
      <c r="P859" s="3" t="s">
        <v>2578</v>
      </c>
      <c r="Q859" s="10" t="s">
        <v>2577</v>
      </c>
      <c r="R859" s="4"/>
      <c r="S859" s="9" t="str">
        <f>HYPERLINK("https://pbs.twimg.com/profile_images/873957969242804224/bHd1FU0k.jpg","View")</f>
        <v>View</v>
      </c>
    </row>
    <row r="860" spans="1:19" ht="12.5">
      <c r="A860" s="8">
        <v>43370.844861111109</v>
      </c>
      <c r="B860" s="11" t="str">
        <f>HYPERLINK("https://twitter.com/sedfarbot","@sedfarbot")</f>
        <v>@sedfarbot</v>
      </c>
      <c r="C860" s="6" t="s">
        <v>5773</v>
      </c>
      <c r="D860" s="5" t="s">
        <v>5772</v>
      </c>
      <c r="E860" s="9" t="str">
        <f>HYPERLINK("https://twitter.com/sedfarbot/status/1045354026420850688","1045354026420850688")</f>
        <v>1045354026420850688</v>
      </c>
      <c r="F860" s="4"/>
      <c r="G860" s="4"/>
      <c r="H860" s="4"/>
      <c r="I860" s="10" t="str">
        <f>HYPERLINK("http://twitter.com/download/android","Twitter for Android")</f>
        <v>Twitter for Android</v>
      </c>
      <c r="J860" s="2">
        <v>120</v>
      </c>
      <c r="K860" s="2">
        <v>120</v>
      </c>
      <c r="L860" s="2">
        <v>0</v>
      </c>
      <c r="M860" s="2"/>
      <c r="N860" s="8">
        <v>43215.200416666667</v>
      </c>
      <c r="O860" s="4" t="s">
        <v>594</v>
      </c>
      <c r="P860" s="3"/>
      <c r="Q860" s="4"/>
      <c r="R860" s="4"/>
      <c r="S860" s="9" t="str">
        <f>HYPERLINK("https://pbs.twimg.com/profile_images/1027021311422484483/CXYkRN6P.jpg","View")</f>
        <v>View</v>
      </c>
    </row>
    <row r="861" spans="1:19" ht="20">
      <c r="A861" s="8">
        <v>43370.844849537039</v>
      </c>
      <c r="B861" s="11" t="str">
        <f>HYPERLINK("https://twitter.com/M_Mahdi_Bgh","@M_Mahdi_Bgh")</f>
        <v>@M_Mahdi_Bgh</v>
      </c>
      <c r="C861" s="6" t="s">
        <v>5771</v>
      </c>
      <c r="D861" s="5" t="s">
        <v>5770</v>
      </c>
      <c r="E861" s="9" t="str">
        <f>HYPERLINK("https://twitter.com/M_Mahdi_Bgh/status/1045354024139190273","1045354024139190273")</f>
        <v>1045354024139190273</v>
      </c>
      <c r="F861" s="4"/>
      <c r="G861" s="10" t="s">
        <v>5769</v>
      </c>
      <c r="H861" s="4"/>
      <c r="I861" s="10" t="str">
        <f>HYPERLINK("http://twitter.com/download/android","Twitter for Android")</f>
        <v>Twitter for Android</v>
      </c>
      <c r="J861" s="2">
        <v>21</v>
      </c>
      <c r="K861" s="2">
        <v>65</v>
      </c>
      <c r="L861" s="2">
        <v>0</v>
      </c>
      <c r="M861" s="2"/>
      <c r="N861" s="8">
        <v>43210.89643518519</v>
      </c>
      <c r="O861" s="4" t="s">
        <v>5768</v>
      </c>
      <c r="P861" s="3" t="s">
        <v>5767</v>
      </c>
      <c r="Q861" s="4"/>
      <c r="R861" s="4"/>
      <c r="S861" s="9" t="str">
        <f>HYPERLINK("https://pbs.twimg.com/profile_images/1028117454755717120/Kv2o_QHD.jpg","View")</f>
        <v>View</v>
      </c>
    </row>
    <row r="862" spans="1:19" ht="20">
      <c r="A862" s="8">
        <v>43370.844814814816</v>
      </c>
      <c r="B862" s="11" t="str">
        <f>HYPERLINK("https://twitter.com/Triple_sofas","@Triple_sofas")</f>
        <v>@Triple_sofas</v>
      </c>
      <c r="C862" s="6" t="s">
        <v>5766</v>
      </c>
      <c r="D862" s="5" t="s">
        <v>5765</v>
      </c>
      <c r="E862" s="9" t="str">
        <f>HYPERLINK("https://twitter.com/Triple_sofas/status/1045354010587398144","1045354010587398144")</f>
        <v>1045354010587398144</v>
      </c>
      <c r="F862" s="4"/>
      <c r="G862" s="4"/>
      <c r="H862" s="4"/>
      <c r="I862" s="10" t="str">
        <f>HYPERLINK("http://twitter.com/download/android","Twitter for Android")</f>
        <v>Twitter for Android</v>
      </c>
      <c r="J862" s="2">
        <v>1140</v>
      </c>
      <c r="K862" s="2">
        <v>1141</v>
      </c>
      <c r="L862" s="2">
        <v>2</v>
      </c>
      <c r="M862" s="2"/>
      <c r="N862" s="8">
        <v>42535.554560185185</v>
      </c>
      <c r="O862" s="4" t="s">
        <v>5764</v>
      </c>
      <c r="P862" s="3" t="s">
        <v>5763</v>
      </c>
      <c r="Q862" s="4"/>
      <c r="R862" s="4"/>
      <c r="S862" s="9" t="str">
        <f>HYPERLINK("https://pbs.twimg.com/profile_images/1013339364397649920/yYenA75X.jpg","View")</f>
        <v>View</v>
      </c>
    </row>
    <row r="863" spans="1:19" ht="12.5">
      <c r="A863" s="8">
        <v>43370.844768518524</v>
      </c>
      <c r="B863" s="11" t="str">
        <f>HYPERLINK("https://twitter.com/mehdigheybi","@mehdigheybi")</f>
        <v>@mehdigheybi</v>
      </c>
      <c r="C863" s="6" t="s">
        <v>5762</v>
      </c>
      <c r="D863" s="5" t="s">
        <v>5761</v>
      </c>
      <c r="E863" s="9" t="str">
        <f>HYPERLINK("https://twitter.com/mehdigheybi/status/1045353991998263301","1045353991998263301")</f>
        <v>1045353991998263301</v>
      </c>
      <c r="F863" s="4"/>
      <c r="G863" s="4"/>
      <c r="H863" s="4"/>
      <c r="I863" s="10" t="str">
        <f>HYPERLINK("http://twitter.com/download/android","Twitter for Android")</f>
        <v>Twitter for Android</v>
      </c>
      <c r="J863" s="2">
        <v>268</v>
      </c>
      <c r="K863" s="2">
        <v>115</v>
      </c>
      <c r="L863" s="2">
        <v>3</v>
      </c>
      <c r="M863" s="2"/>
      <c r="N863" s="8">
        <v>42213.340324074074</v>
      </c>
      <c r="O863" s="4" t="s">
        <v>5384</v>
      </c>
      <c r="P863" s="3" t="s">
        <v>5760</v>
      </c>
      <c r="Q863" s="10" t="s">
        <v>5759</v>
      </c>
      <c r="R863" s="4"/>
      <c r="S863" s="9" t="str">
        <f>HYPERLINK("https://pbs.twimg.com/profile_images/1018354307496898561/O2PN9cg7.jpg","View")</f>
        <v>View</v>
      </c>
    </row>
    <row r="864" spans="1:19" ht="50">
      <c r="A864" s="8">
        <v>43370.84474537037</v>
      </c>
      <c r="B864" s="11" t="str">
        <f>HYPERLINK("https://twitter.com/iranteammelli","@iranteammelli")</f>
        <v>@iranteammelli</v>
      </c>
      <c r="C864" s="6" t="s">
        <v>1044</v>
      </c>
      <c r="D864" s="5" t="s">
        <v>5758</v>
      </c>
      <c r="E864" s="9" t="str">
        <f>HYPERLINK("https://twitter.com/iranteammelli/status/1045353983890608128","1045353983890608128")</f>
        <v>1045353983890608128</v>
      </c>
      <c r="F864" s="4"/>
      <c r="G864" s="4"/>
      <c r="H864" s="4"/>
      <c r="I864" s="10" t="str">
        <f>HYPERLINK("http://twitter.com","Twitter Web Client")</f>
        <v>Twitter Web Client</v>
      </c>
      <c r="J864" s="2">
        <v>1084</v>
      </c>
      <c r="K864" s="2">
        <v>375</v>
      </c>
      <c r="L864" s="2">
        <v>67</v>
      </c>
      <c r="M864" s="2"/>
      <c r="N864" s="8">
        <v>41797.646249999998</v>
      </c>
      <c r="O864" s="4" t="s">
        <v>62</v>
      </c>
      <c r="P864" s="3" t="s">
        <v>1041</v>
      </c>
      <c r="Q864" s="10" t="s">
        <v>1040</v>
      </c>
      <c r="R864" s="4"/>
      <c r="S864" s="9" t="str">
        <f>HYPERLINK("https://pbs.twimg.com/profile_images/757538975724761088/D2_y6aCK.jpg","View")</f>
        <v>View</v>
      </c>
    </row>
    <row r="865" spans="1:19" ht="12.5">
      <c r="A865" s="8">
        <v>43370.844687500001</v>
      </c>
      <c r="B865" s="11" t="str">
        <f>HYPERLINK("https://twitter.com/M_Danesh","@M_Danesh")</f>
        <v>@M_Danesh</v>
      </c>
      <c r="C865" s="6" t="s">
        <v>5757</v>
      </c>
      <c r="D865" s="5" t="s">
        <v>5756</v>
      </c>
      <c r="E865" s="9" t="str">
        <f>HYPERLINK("https://twitter.com/M_Danesh/status/1045353965712359424","1045353965712359424")</f>
        <v>1045353965712359424</v>
      </c>
      <c r="F865" s="4"/>
      <c r="G865" s="4"/>
      <c r="H865" s="4"/>
      <c r="I865" s="10" t="str">
        <f>HYPERLINK("http://twitter.com/download/android","Twitter for Android")</f>
        <v>Twitter for Android</v>
      </c>
      <c r="J865" s="2">
        <v>253</v>
      </c>
      <c r="K865" s="2">
        <v>454</v>
      </c>
      <c r="L865" s="2">
        <v>0</v>
      </c>
      <c r="M865" s="2"/>
      <c r="N865" s="8">
        <v>39984.673402777778</v>
      </c>
      <c r="O865" s="4" t="s">
        <v>69</v>
      </c>
      <c r="P865" s="3"/>
      <c r="Q865" s="4"/>
      <c r="R865" s="4"/>
      <c r="S865" s="9" t="str">
        <f>HYPERLINK("https://pbs.twimg.com/profile_images/827412434075914240/vA97zotn.jpg","View")</f>
        <v>View</v>
      </c>
    </row>
    <row r="866" spans="1:19" ht="30">
      <c r="A866" s="8">
        <v>43370.844687500001</v>
      </c>
      <c r="B866" s="11" t="str">
        <f>HYPERLINK("https://twitter.com/may3am89","@may3am89")</f>
        <v>@may3am89</v>
      </c>
      <c r="C866" s="6" t="s">
        <v>5689</v>
      </c>
      <c r="D866" s="5" t="s">
        <v>5755</v>
      </c>
      <c r="E866" s="9" t="str">
        <f>HYPERLINK("https://twitter.com/may3am89/status/1045353964236152839","1045353964236152839")</f>
        <v>1045353964236152839</v>
      </c>
      <c r="F866" s="10" t="s">
        <v>5754</v>
      </c>
      <c r="G866" s="4"/>
      <c r="H866" s="4"/>
      <c r="I866" s="10" t="str">
        <f>HYPERLINK("https://mobile.twitter.com","Twitter Lite")</f>
        <v>Twitter Lite</v>
      </c>
      <c r="J866" s="2">
        <v>233</v>
      </c>
      <c r="K866" s="2">
        <v>2214</v>
      </c>
      <c r="L866" s="2">
        <v>0</v>
      </c>
      <c r="M866" s="2"/>
      <c r="N866" s="8">
        <v>43050.979016203702</v>
      </c>
      <c r="O866" s="4" t="s">
        <v>5687</v>
      </c>
      <c r="P866" s="3"/>
      <c r="Q866" s="10" t="s">
        <v>5686</v>
      </c>
      <c r="R866" s="4"/>
      <c r="S866" s="9" t="str">
        <f>HYPERLINK("https://pbs.twimg.com/profile_images/1035516585648291841/Pumoxwtm.jpg","View")</f>
        <v>View</v>
      </c>
    </row>
    <row r="867" spans="1:19" ht="20">
      <c r="A867" s="8">
        <v>43370.844629629632</v>
      </c>
      <c r="B867" s="11" t="str">
        <f>HYPERLINK("https://twitter.com/echchbbb","@echchbbb")</f>
        <v>@echchbbb</v>
      </c>
      <c r="C867" s="6" t="s">
        <v>5753</v>
      </c>
      <c r="D867" s="5" t="s">
        <v>5752</v>
      </c>
      <c r="E867" s="9" t="str">
        <f>HYPERLINK("https://twitter.com/echchbbb/status/1045353942723506178","1045353942723506178")</f>
        <v>1045353942723506178</v>
      </c>
      <c r="F867" s="4"/>
      <c r="G867" s="4"/>
      <c r="H867" s="4"/>
      <c r="I867" s="10" t="str">
        <f>HYPERLINK("http://twitter.com/download/iphone","Twitter for iPhone")</f>
        <v>Twitter for iPhone</v>
      </c>
      <c r="J867" s="2">
        <v>67</v>
      </c>
      <c r="K867" s="2">
        <v>573</v>
      </c>
      <c r="L867" s="2">
        <v>0</v>
      </c>
      <c r="M867" s="2"/>
      <c r="N867" s="8">
        <v>41684.816840277781</v>
      </c>
      <c r="O867" s="4"/>
      <c r="P867" s="3" t="s">
        <v>5751</v>
      </c>
      <c r="Q867" s="4"/>
      <c r="R867" s="4"/>
      <c r="S867" s="9" t="str">
        <f>HYPERLINK("https://pbs.twimg.com/profile_images/867680561212645377/hQnLs9UP.jpg","View")</f>
        <v>View</v>
      </c>
    </row>
    <row r="868" spans="1:19" ht="12.5">
      <c r="A868" s="8">
        <v>43370.844618055555</v>
      </c>
      <c r="B868" s="11" t="str">
        <f>HYPERLINK("https://twitter.com/AmirReza_zh","@AmirReza_zh")</f>
        <v>@AmirReza_zh</v>
      </c>
      <c r="C868" s="6" t="s">
        <v>5750</v>
      </c>
      <c r="D868" s="5" t="s">
        <v>5749</v>
      </c>
      <c r="E868" s="9" t="str">
        <f>HYPERLINK("https://twitter.com/AmirReza_zh/status/1045353941263949824","1045353941263949824")</f>
        <v>1045353941263949824</v>
      </c>
      <c r="F868" s="4"/>
      <c r="G868" s="4"/>
      <c r="H868" s="4"/>
      <c r="I868" s="10" t="str">
        <f>HYPERLINK("http://twitter.com/download/android","Twitter for Android")</f>
        <v>Twitter for Android</v>
      </c>
      <c r="J868" s="2">
        <v>540</v>
      </c>
      <c r="K868" s="2">
        <v>318</v>
      </c>
      <c r="L868" s="2">
        <v>0</v>
      </c>
      <c r="M868" s="2"/>
      <c r="N868" s="8">
        <v>43142.590624999997</v>
      </c>
      <c r="O868" s="4" t="s">
        <v>72</v>
      </c>
      <c r="P868" s="3" t="s">
        <v>5748</v>
      </c>
      <c r="Q868" s="4"/>
      <c r="R868" s="4"/>
      <c r="S868" s="9" t="str">
        <f>HYPERLINK("https://pbs.twimg.com/profile_images/1039884375071105025/XaDwuiFK.jpg","View")</f>
        <v>View</v>
      </c>
    </row>
    <row r="869" spans="1:19" ht="12.5">
      <c r="A869" s="8">
        <v>43370.844606481478</v>
      </c>
      <c r="B869" s="11" t="str">
        <f>HYPERLINK("https://twitter.com/ashkanmhr","@ashkanmhr")</f>
        <v>@ashkanmhr</v>
      </c>
      <c r="C869" s="6" t="s">
        <v>5747</v>
      </c>
      <c r="D869" s="5" t="s">
        <v>5746</v>
      </c>
      <c r="E869" s="9" t="str">
        <f>HYPERLINK("https://twitter.com/ashkanmhr/status/1045353936318857216","1045353936318857216")</f>
        <v>1045353936318857216</v>
      </c>
      <c r="F869" s="4"/>
      <c r="G869" s="4"/>
      <c r="H869" s="4"/>
      <c r="I869" s="10" t="str">
        <f>HYPERLINK("http://twitter.com/download/android","Twitter for Android")</f>
        <v>Twitter for Android</v>
      </c>
      <c r="J869" s="2">
        <v>356</v>
      </c>
      <c r="K869" s="2">
        <v>731</v>
      </c>
      <c r="L869" s="2">
        <v>0</v>
      </c>
      <c r="M869" s="2"/>
      <c r="N869" s="8">
        <v>42997.018263888887</v>
      </c>
      <c r="O869" s="4" t="s">
        <v>5745</v>
      </c>
      <c r="P869" s="3" t="s">
        <v>5744</v>
      </c>
      <c r="Q869" s="4"/>
      <c r="R869" s="4"/>
      <c r="S869" s="9" t="str">
        <f>HYPERLINK("https://pbs.twimg.com/profile_images/992856089220837377/60SMg3wx.jpg","View")</f>
        <v>View</v>
      </c>
    </row>
    <row r="870" spans="1:19" ht="20">
      <c r="A870" s="8">
        <v>43370.844571759255</v>
      </c>
      <c r="B870" s="11" t="str">
        <f>HYPERLINK("https://twitter.com/famil_door","@famil_door")</f>
        <v>@famil_door</v>
      </c>
      <c r="C870" s="6" t="s">
        <v>5659</v>
      </c>
      <c r="D870" s="5" t="s">
        <v>5743</v>
      </c>
      <c r="E870" s="9" t="str">
        <f>HYPERLINK("https://twitter.com/famil_door/status/1045353920896233472","1045353920896233472")</f>
        <v>1045353920896233472</v>
      </c>
      <c r="F870" s="4"/>
      <c r="G870" s="4"/>
      <c r="H870" s="4"/>
      <c r="I870" s="10" t="str">
        <f>HYPERLINK("http://twitter.com/download/android","Twitter for Android")</f>
        <v>Twitter for Android</v>
      </c>
      <c r="J870" s="2">
        <v>18822</v>
      </c>
      <c r="K870" s="2">
        <v>577</v>
      </c>
      <c r="L870" s="2">
        <v>112</v>
      </c>
      <c r="M870" s="2"/>
      <c r="N870" s="8">
        <v>42913.117893518516</v>
      </c>
      <c r="O870" s="4" t="s">
        <v>5657</v>
      </c>
      <c r="P870" s="3" t="s">
        <v>5656</v>
      </c>
      <c r="Q870" s="4"/>
      <c r="R870" s="4"/>
      <c r="S870" s="9" t="str">
        <f>HYPERLINK("https://pbs.twimg.com/profile_images/1039122736881303552/Fj0CUSwP.jpg","View")</f>
        <v>View</v>
      </c>
    </row>
    <row r="871" spans="1:19" ht="12.5">
      <c r="A871" s="8">
        <v>43370.844398148147</v>
      </c>
      <c r="B871" s="11" t="str">
        <f>HYPERLINK("https://twitter.com/paiz_zana","@paiz_zana")</f>
        <v>@paiz_zana</v>
      </c>
      <c r="C871" s="6" t="s">
        <v>5742</v>
      </c>
      <c r="D871" s="5" t="s">
        <v>5741</v>
      </c>
      <c r="E871" s="9" t="str">
        <f>HYPERLINK("https://twitter.com/paiz_zana/status/1045353857453355008","1045353857453355008")</f>
        <v>1045353857453355008</v>
      </c>
      <c r="F871" s="4"/>
      <c r="G871" s="4"/>
      <c r="H871" s="4"/>
      <c r="I871" s="10" t="str">
        <f>HYPERLINK("http://twitter.com/download/iphone","Twitter for iPhone")</f>
        <v>Twitter for iPhone</v>
      </c>
      <c r="J871" s="2">
        <v>111</v>
      </c>
      <c r="K871" s="2">
        <v>137</v>
      </c>
      <c r="L871" s="2">
        <v>0</v>
      </c>
      <c r="M871" s="2"/>
      <c r="N871" s="8">
        <v>42692.795798611114</v>
      </c>
      <c r="O871" s="4" t="s">
        <v>5740</v>
      </c>
      <c r="P871" s="3" t="s">
        <v>5739</v>
      </c>
      <c r="Q871" s="4"/>
      <c r="R871" s="4"/>
      <c r="S871" s="9" t="str">
        <f>HYPERLINK("https://pbs.twimg.com/profile_images/799676703530422272/2G2Ktr3v.jpg","View")</f>
        <v>View</v>
      </c>
    </row>
    <row r="872" spans="1:19" ht="20">
      <c r="A872" s="8">
        <v>43370.844351851847</v>
      </c>
      <c r="B872" s="11" t="str">
        <f>HYPERLINK("https://twitter.com/pedram_gipsy","@pedram_gipsy")</f>
        <v>@pedram_gipsy</v>
      </c>
      <c r="C872" s="6" t="s">
        <v>5738</v>
      </c>
      <c r="D872" s="5" t="s">
        <v>5737</v>
      </c>
      <c r="E872" s="9" t="str">
        <f>HYPERLINK("https://twitter.com/pedram_gipsy/status/1045353841749823489","1045353841749823489")</f>
        <v>1045353841749823489</v>
      </c>
      <c r="F872" s="4"/>
      <c r="G872" s="4"/>
      <c r="H872" s="4"/>
      <c r="I872" s="10" t="str">
        <f>HYPERLINK("http://twitter.com/download/android","Twitter for Android")</f>
        <v>Twitter for Android</v>
      </c>
      <c r="J872" s="2">
        <v>165</v>
      </c>
      <c r="K872" s="2">
        <v>133</v>
      </c>
      <c r="L872" s="2">
        <v>0</v>
      </c>
      <c r="M872" s="2"/>
      <c r="N872" s="8">
        <v>41486.745648148149</v>
      </c>
      <c r="O872" s="4" t="s">
        <v>5736</v>
      </c>
      <c r="P872" s="3" t="s">
        <v>5735</v>
      </c>
      <c r="Q872" s="4"/>
      <c r="R872" s="4"/>
      <c r="S872" s="9" t="str">
        <f>HYPERLINK("https://pbs.twimg.com/profile_images/981092742523772928/HjcHHBPO.jpg","View")</f>
        <v>View</v>
      </c>
    </row>
    <row r="873" spans="1:19" ht="12.5">
      <c r="A873" s="8">
        <v>43370.844236111108</v>
      </c>
      <c r="B873" s="11" t="str">
        <f>HYPERLINK("https://twitter.com/Lermond65","@Lermond65")</f>
        <v>@Lermond65</v>
      </c>
      <c r="C873" s="6" t="s">
        <v>5734</v>
      </c>
      <c r="D873" s="5" t="s">
        <v>5733</v>
      </c>
      <c r="E873" s="9" t="str">
        <f>HYPERLINK("https://twitter.com/Lermond65/status/1045353800834461697","1045353800834461697")</f>
        <v>1045353800834461697</v>
      </c>
      <c r="F873" s="4"/>
      <c r="G873" s="4"/>
      <c r="H873" s="4"/>
      <c r="I873" s="10" t="str">
        <f>HYPERLINK("http://twitter.com/download/iphone","Twitter for iPhone")</f>
        <v>Twitter for iPhone</v>
      </c>
      <c r="J873" s="2">
        <v>27</v>
      </c>
      <c r="K873" s="2">
        <v>95</v>
      </c>
      <c r="L873" s="2">
        <v>0</v>
      </c>
      <c r="M873" s="2"/>
      <c r="N873" s="8">
        <v>42760.705416666664</v>
      </c>
      <c r="O873" s="4" t="s">
        <v>4676</v>
      </c>
      <c r="P873" s="3"/>
      <c r="Q873" s="4"/>
      <c r="R873" s="4"/>
      <c r="S873" s="9" t="str">
        <f>HYPERLINK("https://pbs.twimg.com/profile_images/824254556251033600/POEDEEcs.jpg","View")</f>
        <v>View</v>
      </c>
    </row>
    <row r="874" spans="1:19" ht="20">
      <c r="A874" s="8">
        <v>43370.844189814816</v>
      </c>
      <c r="B874" s="11" t="str">
        <f>HYPERLINK("https://twitter.com/somayehabdolahi","@somayehabdolahi")</f>
        <v>@somayehabdolahi</v>
      </c>
      <c r="C874" s="6" t="s">
        <v>4998</v>
      </c>
      <c r="D874" s="5" t="s">
        <v>5732</v>
      </c>
      <c r="E874" s="9" t="str">
        <f>HYPERLINK("https://twitter.com/somayehabdolahi/status/1045353783881068544","1045353783881068544")</f>
        <v>1045353783881068544</v>
      </c>
      <c r="F874" s="4"/>
      <c r="G874" s="4"/>
      <c r="H874" s="4"/>
      <c r="I874" s="10" t="str">
        <f>HYPERLINK("http://twitter.com/download/android","Twitter for Android")</f>
        <v>Twitter for Android</v>
      </c>
      <c r="J874" s="2">
        <v>715</v>
      </c>
      <c r="K874" s="2">
        <v>480</v>
      </c>
      <c r="L874" s="2">
        <v>2</v>
      </c>
      <c r="M874" s="2"/>
      <c r="N874" s="8">
        <v>42965.714317129634</v>
      </c>
      <c r="O874" s="4" t="s">
        <v>4996</v>
      </c>
      <c r="P874" s="3" t="s">
        <v>4995</v>
      </c>
      <c r="Q874" s="4"/>
      <c r="R874" s="4"/>
      <c r="S874" s="9" t="str">
        <f>HYPERLINK("https://pbs.twimg.com/profile_images/948944682494709761/4aACbKkP.jpg","View")</f>
        <v>View</v>
      </c>
    </row>
    <row r="875" spans="1:19" ht="20">
      <c r="A875" s="8">
        <v>43370.844166666662</v>
      </c>
      <c r="B875" s="11" t="str">
        <f>HYPERLINK("https://twitter.com/mirzaaa_m","@mirzaaa_m")</f>
        <v>@mirzaaa_m</v>
      </c>
      <c r="C875" s="6" t="s">
        <v>5731</v>
      </c>
      <c r="D875" s="5" t="s">
        <v>5730</v>
      </c>
      <c r="E875" s="9" t="str">
        <f>HYPERLINK("https://twitter.com/mirzaaa_m/status/1045353774850740227","1045353774850740227")</f>
        <v>1045353774850740227</v>
      </c>
      <c r="F875" s="4"/>
      <c r="G875" s="4"/>
      <c r="H875" s="4"/>
      <c r="I875" s="10" t="str">
        <f>HYPERLINK("http://twitter.com/download/android","Twitter for Android")</f>
        <v>Twitter for Android</v>
      </c>
      <c r="J875" s="2">
        <v>105</v>
      </c>
      <c r="K875" s="2">
        <v>234</v>
      </c>
      <c r="L875" s="2">
        <v>0</v>
      </c>
      <c r="M875" s="2"/>
      <c r="N875" s="8">
        <v>42910.006365740745</v>
      </c>
      <c r="O875" s="4"/>
      <c r="P875" s="3" t="s">
        <v>5729</v>
      </c>
      <c r="Q875" s="4"/>
      <c r="R875" s="4"/>
      <c r="S875" s="9" t="str">
        <f>HYPERLINK("https://pbs.twimg.com/profile_images/1020371437129994240/nBfWv-kY.jpg","View")</f>
        <v>View</v>
      </c>
    </row>
    <row r="876" spans="1:19" ht="40">
      <c r="A876" s="8">
        <v>43370.844085648147</v>
      </c>
      <c r="B876" s="11" t="str">
        <f>HYPERLINK("https://twitter.com/ninash_tala","@ninash_tala")</f>
        <v>@ninash_tala</v>
      </c>
      <c r="C876" s="6" t="s">
        <v>5663</v>
      </c>
      <c r="D876" s="5" t="s">
        <v>5728</v>
      </c>
      <c r="E876" s="9" t="str">
        <f>HYPERLINK("https://twitter.com/ninash_tala/status/1045353746300129280","1045353746300129280")</f>
        <v>1045353746300129280</v>
      </c>
      <c r="F876" s="4"/>
      <c r="G876" s="4"/>
      <c r="H876" s="4"/>
      <c r="I876" s="10" t="str">
        <f>HYPERLINK("http://twitter.com/download/android","Twitter for Android")</f>
        <v>Twitter for Android</v>
      </c>
      <c r="J876" s="2">
        <v>9035</v>
      </c>
      <c r="K876" s="2">
        <v>8489</v>
      </c>
      <c r="L876" s="2">
        <v>18</v>
      </c>
      <c r="M876" s="2"/>
      <c r="N876" s="8">
        <v>43139.641423611116</v>
      </c>
      <c r="O876" s="4" t="s">
        <v>5661</v>
      </c>
      <c r="P876" s="3" t="s">
        <v>5660</v>
      </c>
      <c r="Q876" s="4"/>
      <c r="R876" s="4"/>
      <c r="S876" s="9" t="str">
        <f>HYPERLINK("https://pbs.twimg.com/profile_images/1043744532645511168/gL7Fp27h.jpg","View")</f>
        <v>View</v>
      </c>
    </row>
    <row r="877" spans="1:19" ht="12.5">
      <c r="A877" s="8">
        <v>43370.844039351854</v>
      </c>
      <c r="B877" s="11" t="str">
        <f>HYPERLINK("https://twitter.com/JAlchemist4","@JAlchemist4")</f>
        <v>@JAlchemist4</v>
      </c>
      <c r="C877" s="6" t="s">
        <v>5727</v>
      </c>
      <c r="D877" s="5" t="s">
        <v>5726</v>
      </c>
      <c r="E877" s="9" t="str">
        <f>HYPERLINK("https://twitter.com/JAlchemist4/status/1045353731058020353","1045353731058020353")</f>
        <v>1045353731058020353</v>
      </c>
      <c r="F877" s="4"/>
      <c r="G877" s="4"/>
      <c r="H877" s="4"/>
      <c r="I877" s="10" t="str">
        <f>HYPERLINK("http://twitter.com/download/android","Twitter for Android")</f>
        <v>Twitter for Android</v>
      </c>
      <c r="J877" s="2">
        <v>0</v>
      </c>
      <c r="K877" s="2">
        <v>5</v>
      </c>
      <c r="L877" s="2">
        <v>0</v>
      </c>
      <c r="M877" s="2"/>
      <c r="N877" s="8">
        <v>43338.077962962961</v>
      </c>
      <c r="O877" s="4"/>
      <c r="P877" s="3"/>
      <c r="Q877" s="4"/>
      <c r="R877" s="4"/>
      <c r="S877" s="2" t="s">
        <v>259</v>
      </c>
    </row>
    <row r="878" spans="1:19" ht="12.5">
      <c r="A878" s="8">
        <v>43370.844027777777</v>
      </c>
      <c r="B878" s="11" t="str">
        <f>HYPERLINK("https://twitter.com/kiumars_shojaei","@kiumars_shojaei")</f>
        <v>@kiumars_shojaei</v>
      </c>
      <c r="C878" s="6" t="s">
        <v>5725</v>
      </c>
      <c r="D878" s="5" t="s">
        <v>5724</v>
      </c>
      <c r="E878" s="9" t="str">
        <f>HYPERLINK("https://twitter.com/kiumars_shojaei/status/1045353723369857025","1045353723369857025")</f>
        <v>1045353723369857025</v>
      </c>
      <c r="F878" s="4"/>
      <c r="G878" s="4"/>
      <c r="H878" s="4"/>
      <c r="I878" s="10" t="str">
        <f>HYPERLINK("https://mobile.twitter.com","Twitter Lite")</f>
        <v>Twitter Lite</v>
      </c>
      <c r="J878" s="2">
        <v>0</v>
      </c>
      <c r="K878" s="2">
        <v>35</v>
      </c>
      <c r="L878" s="2">
        <v>0</v>
      </c>
      <c r="M878" s="2"/>
      <c r="N878" s="8">
        <v>43201.899953703702</v>
      </c>
      <c r="O878" s="4"/>
      <c r="P878" s="3"/>
      <c r="Q878" s="4"/>
      <c r="R878" s="4"/>
      <c r="S878" s="9" t="str">
        <f>HYPERLINK("https://pbs.twimg.com/profile_images/984117887358169090/s9qm-62M.jpg","View")</f>
        <v>View</v>
      </c>
    </row>
    <row r="879" spans="1:19" ht="20">
      <c r="A879" s="8">
        <v>43370.843993055554</v>
      </c>
      <c r="B879" s="11" t="str">
        <f>HYPERLINK("https://twitter.com/s_golmoradian","@s_golmoradian")</f>
        <v>@s_golmoradian</v>
      </c>
      <c r="C879" s="6" t="s">
        <v>5723</v>
      </c>
      <c r="D879" s="5" t="s">
        <v>5722</v>
      </c>
      <c r="E879" s="9" t="str">
        <f>HYPERLINK("https://twitter.com/s_golmoradian/status/1045353714494713856","1045353714494713856")</f>
        <v>1045353714494713856</v>
      </c>
      <c r="F879" s="4"/>
      <c r="G879" s="4"/>
      <c r="H879" s="4"/>
      <c r="I879" s="10" t="str">
        <f>HYPERLINK("http://twitter.com/download/android","Twitter for Android")</f>
        <v>Twitter for Android</v>
      </c>
      <c r="J879" s="2">
        <v>991</v>
      </c>
      <c r="K879" s="2">
        <v>368</v>
      </c>
      <c r="L879" s="2">
        <v>2</v>
      </c>
      <c r="M879" s="2"/>
      <c r="N879" s="8">
        <v>42877.516944444447</v>
      </c>
      <c r="O879" s="4" t="s">
        <v>524</v>
      </c>
      <c r="P879" s="3" t="s">
        <v>5721</v>
      </c>
      <c r="Q879" s="4"/>
      <c r="R879" s="4"/>
      <c r="S879" s="9" t="str">
        <f>HYPERLINK("https://pbs.twimg.com/profile_images/1029795470615474178/Z8bN_WIt.jpg","View")</f>
        <v>View</v>
      </c>
    </row>
    <row r="880" spans="1:19" ht="30">
      <c r="A880" s="8">
        <v>43370.843946759254</v>
      </c>
      <c r="B880" s="11" t="str">
        <f>HYPERLINK("https://twitter.com/Mourt__23","@Mourt__23")</f>
        <v>@Mourt__23</v>
      </c>
      <c r="C880" s="6" t="s">
        <v>5720</v>
      </c>
      <c r="D880" s="5" t="s">
        <v>5719</v>
      </c>
      <c r="E880" s="9" t="str">
        <f>HYPERLINK("https://twitter.com/Mourt__23/status/1045353696207540226","1045353696207540226")</f>
        <v>1045353696207540226</v>
      </c>
      <c r="F880" s="4"/>
      <c r="G880" s="4"/>
      <c r="H880" s="4"/>
      <c r="I880" s="10" t="str">
        <f>HYPERLINK("http://twitter.com/download/iphone","Twitter for iPhone")</f>
        <v>Twitter for iPhone</v>
      </c>
      <c r="J880" s="2">
        <v>196</v>
      </c>
      <c r="K880" s="2">
        <v>240</v>
      </c>
      <c r="L880" s="2">
        <v>0</v>
      </c>
      <c r="M880" s="2"/>
      <c r="N880" s="8">
        <v>42628.741539351853</v>
      </c>
      <c r="O880" s="4"/>
      <c r="P880" s="3" t="s">
        <v>5718</v>
      </c>
      <c r="Q880" s="4"/>
      <c r="R880" s="4"/>
      <c r="S880" s="9" t="str">
        <f>HYPERLINK("https://pbs.twimg.com/profile_images/948193854120964096/JC7OCs5Y.jpg","View")</f>
        <v>View</v>
      </c>
    </row>
    <row r="881" spans="1:19" ht="20">
      <c r="A881" s="8">
        <v>43370.843923611115</v>
      </c>
      <c r="B881" s="11" t="str">
        <f>HYPERLINK("https://twitter.com/febrahimzade","@febrahimzade")</f>
        <v>@febrahimzade</v>
      </c>
      <c r="C881" s="6" t="s">
        <v>5717</v>
      </c>
      <c r="D881" s="5" t="s">
        <v>5716</v>
      </c>
      <c r="E881" s="9" t="str">
        <f>HYPERLINK("https://twitter.com/febrahimzade/status/1045353689026887681","1045353689026887681")</f>
        <v>1045353689026887681</v>
      </c>
      <c r="F881" s="4"/>
      <c r="G881" s="4"/>
      <c r="H881" s="4"/>
      <c r="I881" s="10" t="str">
        <f>HYPERLINK("http://twitter.com/download/iphone","Twitter for iPhone")</f>
        <v>Twitter for iPhone</v>
      </c>
      <c r="J881" s="2">
        <v>34711</v>
      </c>
      <c r="K881" s="2">
        <v>895</v>
      </c>
      <c r="L881" s="2">
        <v>176</v>
      </c>
      <c r="M881" s="2" t="s">
        <v>1701</v>
      </c>
      <c r="N881" s="8">
        <v>40455.854999999996</v>
      </c>
      <c r="O881" s="4" t="s">
        <v>200</v>
      </c>
      <c r="P881" s="3" t="s">
        <v>5715</v>
      </c>
      <c r="Q881" s="10" t="s">
        <v>5714</v>
      </c>
      <c r="R881" s="4"/>
      <c r="S881" s="9" t="str">
        <f>HYPERLINK("https://pbs.twimg.com/profile_images/1041729689197391873/Iz4KvIXW.jpg","View")</f>
        <v>View</v>
      </c>
    </row>
    <row r="882" spans="1:19" ht="12.5">
      <c r="A882" s="8">
        <v>43370.843877314815</v>
      </c>
      <c r="B882" s="11" t="str">
        <f>HYPERLINK("https://twitter.com/zeynabkarimian","@zeynabkarimian")</f>
        <v>@zeynabkarimian</v>
      </c>
      <c r="C882" s="6" t="s">
        <v>328</v>
      </c>
      <c r="D882" s="5" t="s">
        <v>5713</v>
      </c>
      <c r="E882" s="9" t="str">
        <f>HYPERLINK("https://twitter.com/zeynabkarimian/status/1045353669468868609","1045353669468868609")</f>
        <v>1045353669468868609</v>
      </c>
      <c r="F882" s="4"/>
      <c r="G882" s="4"/>
      <c r="H882" s="4"/>
      <c r="I882" s="10" t="str">
        <f>HYPERLINK("http://twitter.com/download/android","Twitter for Android")</f>
        <v>Twitter for Android</v>
      </c>
      <c r="J882" s="2">
        <v>346</v>
      </c>
      <c r="K882" s="2">
        <v>99</v>
      </c>
      <c r="L882" s="2">
        <v>1</v>
      </c>
      <c r="M882" s="2"/>
      <c r="N882" s="8">
        <v>41193.877233796295</v>
      </c>
      <c r="O882" s="4"/>
      <c r="P882" s="3" t="s">
        <v>327</v>
      </c>
      <c r="Q882" s="4"/>
      <c r="R882" s="4"/>
      <c r="S882" s="9" t="str">
        <f>HYPERLINK("https://pbs.twimg.com/profile_images/1042864350573281280/JQc4WRNd.jpg","View")</f>
        <v>View</v>
      </c>
    </row>
    <row r="883" spans="1:19" ht="12.5">
      <c r="A883" s="8">
        <v>43370.843726851846</v>
      </c>
      <c r="B883" s="11" t="str">
        <f>HYPERLINK("https://twitter.com/Shahbaz_m_h","@Shahbaz_m_h")</f>
        <v>@Shahbaz_m_h</v>
      </c>
      <c r="C883" s="6" t="s">
        <v>5712</v>
      </c>
      <c r="D883" s="5" t="s">
        <v>5711</v>
      </c>
      <c r="E883" s="9" t="str">
        <f>HYPERLINK("https://twitter.com/Shahbaz_m_h/status/1045353614523469824","1045353614523469824")</f>
        <v>1045353614523469824</v>
      </c>
      <c r="F883" s="4"/>
      <c r="G883" s="4"/>
      <c r="H883" s="4"/>
      <c r="I883" s="10" t="str">
        <f>HYPERLINK("http://twitter.com/download/android","Twitter for Android")</f>
        <v>Twitter for Android</v>
      </c>
      <c r="J883" s="2">
        <v>167</v>
      </c>
      <c r="K883" s="2">
        <v>564</v>
      </c>
      <c r="L883" s="2">
        <v>1</v>
      </c>
      <c r="M883" s="2"/>
      <c r="N883" s="8">
        <v>42720.616875</v>
      </c>
      <c r="O883" s="4" t="s">
        <v>5710</v>
      </c>
      <c r="P883" s="3" t="s">
        <v>5709</v>
      </c>
      <c r="Q883" s="4"/>
      <c r="R883" s="4"/>
      <c r="S883" s="9" t="str">
        <f>HYPERLINK("https://pbs.twimg.com/profile_images/1042162399304794112/dVekMe5C.jpg","View")</f>
        <v>View</v>
      </c>
    </row>
    <row r="884" spans="1:19" ht="12.5">
      <c r="A884" s="8">
        <v>43370.843622685185</v>
      </c>
      <c r="B884" s="11" t="str">
        <f>HYPERLINK("https://twitter.com/VahiidRahmani","@VahiidRahmani")</f>
        <v>@VahiidRahmani</v>
      </c>
      <c r="C884" s="6" t="s">
        <v>553</v>
      </c>
      <c r="D884" s="5" t="s">
        <v>5708</v>
      </c>
      <c r="E884" s="9" t="str">
        <f>HYPERLINK("https://twitter.com/VahiidRahmani/status/1045353580142551040","1045353580142551040")</f>
        <v>1045353580142551040</v>
      </c>
      <c r="F884" s="4"/>
      <c r="G884" s="4"/>
      <c r="H884" s="4"/>
      <c r="I884" s="10" t="str">
        <f>HYPERLINK("http://twitter.com/download/iphone","Twitter for iPhone")</f>
        <v>Twitter for iPhone</v>
      </c>
      <c r="J884" s="2">
        <v>1063</v>
      </c>
      <c r="K884" s="2">
        <v>1346</v>
      </c>
      <c r="L884" s="2">
        <v>1</v>
      </c>
      <c r="M884" s="2"/>
      <c r="N884" s="8">
        <v>42202.708726851852</v>
      </c>
      <c r="O884" s="4"/>
      <c r="P884" s="3" t="s">
        <v>552</v>
      </c>
      <c r="Q884" s="4"/>
      <c r="R884" s="4"/>
      <c r="S884" s="9" t="str">
        <f>HYPERLINK("https://pbs.twimg.com/profile_images/1040178637071413255/cvmkA1Pg.jpg","View")</f>
        <v>View</v>
      </c>
    </row>
    <row r="885" spans="1:19" ht="12.5">
      <c r="A885" s="8">
        <v>43370.843553240746</v>
      </c>
      <c r="B885" s="11" t="str">
        <f>HYPERLINK("https://twitter.com/mehraan_1984","@mehraan_1984")</f>
        <v>@mehraan_1984</v>
      </c>
      <c r="C885" s="6" t="s">
        <v>5707</v>
      </c>
      <c r="D885" s="5" t="s">
        <v>5706</v>
      </c>
      <c r="E885" s="9" t="str">
        <f>HYPERLINK("https://twitter.com/mehraan_1984/status/1045353554968498176","1045353554968498176")</f>
        <v>1045353554968498176</v>
      </c>
      <c r="F885" s="4"/>
      <c r="G885" s="4"/>
      <c r="H885" s="4"/>
      <c r="I885" s="10" t="str">
        <f>HYPERLINK("http://twitter.com/download/iphone","Twitter for iPhone")</f>
        <v>Twitter for iPhone</v>
      </c>
      <c r="J885" s="2">
        <v>314</v>
      </c>
      <c r="K885" s="2">
        <v>1315</v>
      </c>
      <c r="L885" s="2">
        <v>0</v>
      </c>
      <c r="M885" s="2"/>
      <c r="N885" s="8">
        <v>43187.097627314812</v>
      </c>
      <c r="O885" s="4" t="s">
        <v>5705</v>
      </c>
      <c r="P885" s="3"/>
      <c r="Q885" s="4"/>
      <c r="R885" s="4"/>
      <c r="S885" s="9" t="str">
        <f>HYPERLINK("https://pbs.twimg.com/profile_images/978757191250268160/NsK6K9Rb.jpg","View")</f>
        <v>View</v>
      </c>
    </row>
    <row r="886" spans="1:19" ht="12.5">
      <c r="A886" s="8">
        <v>43370.843506944446</v>
      </c>
      <c r="B886" s="11" t="str">
        <f>HYPERLINK("https://twitter.com/tayebeh_b","@tayebeh_b")</f>
        <v>@tayebeh_b</v>
      </c>
      <c r="C886" s="6" t="s">
        <v>5704</v>
      </c>
      <c r="D886" s="5" t="s">
        <v>5703</v>
      </c>
      <c r="E886" s="9" t="str">
        <f>HYPERLINK("https://twitter.com/tayebeh_b/status/1045353536689774592","1045353536689774592")</f>
        <v>1045353536689774592</v>
      </c>
      <c r="F886" s="4"/>
      <c r="G886" s="4"/>
      <c r="H886" s="4"/>
      <c r="I886" s="10" t="str">
        <f>HYPERLINK("http://twitter.com/download/android","Twitter for Android")</f>
        <v>Twitter for Android</v>
      </c>
      <c r="J886" s="2">
        <v>99</v>
      </c>
      <c r="K886" s="2">
        <v>100</v>
      </c>
      <c r="L886" s="2">
        <v>1</v>
      </c>
      <c r="M886" s="2"/>
      <c r="N886" s="8">
        <v>40620.748518518521</v>
      </c>
      <c r="O886" s="4" t="s">
        <v>2842</v>
      </c>
      <c r="P886" s="3"/>
      <c r="Q886" s="4"/>
      <c r="R886" s="4"/>
      <c r="S886" s="9" t="str">
        <f>HYPERLINK("https://pbs.twimg.com/profile_images/1044594337760317446/WXPaBiql.jpg","View")</f>
        <v>View</v>
      </c>
    </row>
    <row r="887" spans="1:19" ht="30">
      <c r="A887" s="8">
        <v>43370.843472222223</v>
      </c>
      <c r="B887" s="11" t="str">
        <f>HYPERLINK("https://twitter.com/gringottsboss","@gringottsboss")</f>
        <v>@gringottsboss</v>
      </c>
      <c r="C887" s="6" t="s">
        <v>5702</v>
      </c>
      <c r="D887" s="5" t="s">
        <v>5701</v>
      </c>
      <c r="E887" s="9" t="str">
        <f>HYPERLINK("https://twitter.com/gringottsboss/status/1045353524165570565","1045353524165570565")</f>
        <v>1045353524165570565</v>
      </c>
      <c r="F887" s="4"/>
      <c r="G887" s="4"/>
      <c r="H887" s="4"/>
      <c r="I887" s="10" t="str">
        <f>HYPERLINK("http://twitter.com/download/android","Twitter for Android")</f>
        <v>Twitter for Android</v>
      </c>
      <c r="J887" s="2">
        <v>362</v>
      </c>
      <c r="K887" s="2">
        <v>984</v>
      </c>
      <c r="L887" s="2">
        <v>2</v>
      </c>
      <c r="M887" s="2"/>
      <c r="N887" s="8">
        <v>42618.816527777773</v>
      </c>
      <c r="O887" s="4" t="s">
        <v>5700</v>
      </c>
      <c r="P887" s="3" t="s">
        <v>5699</v>
      </c>
      <c r="Q887" s="4"/>
      <c r="R887" s="4"/>
      <c r="S887" s="9" t="str">
        <f>HYPERLINK("https://pbs.twimg.com/profile_images/1035775515699949568/KVbzM5pm.jpg","View")</f>
        <v>View</v>
      </c>
    </row>
    <row r="888" spans="1:19" ht="12.5">
      <c r="A888" s="8">
        <v>43370.843414351853</v>
      </c>
      <c r="B888" s="11" t="str">
        <f>HYPERLINK("https://twitter.com/mamehrara","@mamehrara")</f>
        <v>@mamehrara</v>
      </c>
      <c r="C888" s="6" t="s">
        <v>5698</v>
      </c>
      <c r="D888" s="5" t="s">
        <v>5697</v>
      </c>
      <c r="E888" s="9" t="str">
        <f>HYPERLINK("https://twitter.com/mamehrara/status/1045353503965810689","1045353503965810689")</f>
        <v>1045353503965810689</v>
      </c>
      <c r="F888" s="4"/>
      <c r="G888" s="4"/>
      <c r="H888" s="4"/>
      <c r="I888" s="10" t="str">
        <f>HYPERLINK("http://twitter.com/download/iphone","Twitter for iPhone")</f>
        <v>Twitter for iPhone</v>
      </c>
      <c r="J888" s="2">
        <v>3</v>
      </c>
      <c r="K888" s="2">
        <v>3</v>
      </c>
      <c r="L888" s="2">
        <v>0</v>
      </c>
      <c r="M888" s="2"/>
      <c r="N888" s="8">
        <v>42626.032569444447</v>
      </c>
      <c r="O888" s="4" t="s">
        <v>200</v>
      </c>
      <c r="P888" s="3" t="s">
        <v>5696</v>
      </c>
      <c r="Q888" s="10" t="s">
        <v>5695</v>
      </c>
      <c r="R888" s="4"/>
      <c r="S888" s="9" t="str">
        <f>HYPERLINK("https://pbs.twimg.com/profile_images/1043586975817719808/uuIctGrV.jpg","View")</f>
        <v>View</v>
      </c>
    </row>
    <row r="889" spans="1:19" ht="30">
      <c r="A889" s="8">
        <v>43370.843356481477</v>
      </c>
      <c r="B889" s="11" t="str">
        <f>HYPERLINK("https://twitter.com/Azadi__2018","@Azadi__2018")</f>
        <v>@Azadi__2018</v>
      </c>
      <c r="C889" s="6" t="s">
        <v>5593</v>
      </c>
      <c r="D889" s="5" t="s">
        <v>5694</v>
      </c>
      <c r="E889" s="9" t="str">
        <f>HYPERLINK("https://twitter.com/Azadi__2018/status/1045353483229114369","1045353483229114369")</f>
        <v>1045353483229114369</v>
      </c>
      <c r="F889" s="4"/>
      <c r="G889" s="4"/>
      <c r="H889" s="4"/>
      <c r="I889" s="10" t="str">
        <f>HYPERLINK("http://twitter.com/download/android","Twitter for Android")</f>
        <v>Twitter for Android</v>
      </c>
      <c r="J889" s="2">
        <v>1</v>
      </c>
      <c r="K889" s="2">
        <v>1</v>
      </c>
      <c r="L889" s="2">
        <v>0</v>
      </c>
      <c r="M889" s="2"/>
      <c r="N889" s="8">
        <v>43369.760555555556</v>
      </c>
      <c r="O889" s="4" t="s">
        <v>949</v>
      </c>
      <c r="P889" s="3" t="s">
        <v>5591</v>
      </c>
      <c r="Q889" s="4"/>
      <c r="R889" s="4"/>
      <c r="S889" s="9" t="str">
        <f>HYPERLINK("https://pbs.twimg.com/profile_images/1044961507266752514/N3d45p7o.jpg","View")</f>
        <v>View</v>
      </c>
    </row>
    <row r="890" spans="1:19" ht="12.5">
      <c r="A890" s="8">
        <v>43370.843344907407</v>
      </c>
      <c r="B890" s="11" t="str">
        <f>HYPERLINK("https://twitter.com/saaminw","@saaminw")</f>
        <v>@saaminw</v>
      </c>
      <c r="C890" s="6" t="s">
        <v>5693</v>
      </c>
      <c r="D890" s="5" t="s">
        <v>5692</v>
      </c>
      <c r="E890" s="9" t="str">
        <f>HYPERLINK("https://twitter.com/saaminw/status/1045353477411663873","1045353477411663873")</f>
        <v>1045353477411663873</v>
      </c>
      <c r="F890" s="4"/>
      <c r="G890" s="4"/>
      <c r="H890" s="4"/>
      <c r="I890" s="10" t="str">
        <f>HYPERLINK("http://twitter.com/download/iphone","Twitter for iPhone")</f>
        <v>Twitter for iPhone</v>
      </c>
      <c r="J890" s="2">
        <v>29</v>
      </c>
      <c r="K890" s="2">
        <v>32</v>
      </c>
      <c r="L890" s="2">
        <v>0</v>
      </c>
      <c r="M890" s="2"/>
      <c r="N890" s="8">
        <v>43340.91673611111</v>
      </c>
      <c r="O890" s="4" t="s">
        <v>5691</v>
      </c>
      <c r="P890" s="3" t="s">
        <v>5690</v>
      </c>
      <c r="Q890" s="4"/>
      <c r="R890" s="4"/>
      <c r="S890" s="9" t="str">
        <f>HYPERLINK("https://pbs.twimg.com/profile_images/1034494349797728257/Fg15nhK9.jpg","View")</f>
        <v>View</v>
      </c>
    </row>
    <row r="891" spans="1:19" ht="12.5">
      <c r="A891" s="8">
        <v>43370.843298611115</v>
      </c>
      <c r="B891" s="11" t="str">
        <f>HYPERLINK("https://twitter.com/may3am89","@may3am89")</f>
        <v>@may3am89</v>
      </c>
      <c r="C891" s="6" t="s">
        <v>5689</v>
      </c>
      <c r="D891" s="5" t="s">
        <v>5688</v>
      </c>
      <c r="E891" s="9" t="str">
        <f>HYPERLINK("https://twitter.com/may3am89/status/1045353460718276609","1045353460718276609")</f>
        <v>1045353460718276609</v>
      </c>
      <c r="F891" s="4"/>
      <c r="G891" s="4"/>
      <c r="H891" s="4"/>
      <c r="I891" s="10" t="str">
        <f>HYPERLINK("https://mobile.twitter.com","Twitter Lite")</f>
        <v>Twitter Lite</v>
      </c>
      <c r="J891" s="2">
        <v>233</v>
      </c>
      <c r="K891" s="2">
        <v>2214</v>
      </c>
      <c r="L891" s="2">
        <v>0</v>
      </c>
      <c r="M891" s="2"/>
      <c r="N891" s="8">
        <v>43050.979016203702</v>
      </c>
      <c r="O891" s="4" t="s">
        <v>5687</v>
      </c>
      <c r="P891" s="3"/>
      <c r="Q891" s="10" t="s">
        <v>5686</v>
      </c>
      <c r="R891" s="4"/>
      <c r="S891" s="9" t="str">
        <f>HYPERLINK("https://pbs.twimg.com/profile_images/1035516585648291841/Pumoxwtm.jpg","View")</f>
        <v>View</v>
      </c>
    </row>
    <row r="892" spans="1:19" ht="40">
      <c r="A892" s="8">
        <v>43370.843194444446</v>
      </c>
      <c r="B892" s="11" t="str">
        <f>HYPERLINK("https://twitter.com/FcEsteghlal","@FcEsteghlal")</f>
        <v>@FcEsteghlal</v>
      </c>
      <c r="C892" s="6" t="s">
        <v>2582</v>
      </c>
      <c r="D892" s="5" t="s">
        <v>5685</v>
      </c>
      <c r="E892" s="9" t="str">
        <f>HYPERLINK("https://twitter.com/FcEsteghlal/status/1045353423707738113","1045353423707738113")</f>
        <v>1045353423707738113</v>
      </c>
      <c r="F892" s="4"/>
      <c r="G892" s="4"/>
      <c r="H892" s="4"/>
      <c r="I892" s="10" t="str">
        <f>HYPERLINK("http://twitter.com","Twitter Web Client")</f>
        <v>Twitter Web Client</v>
      </c>
      <c r="J892" s="2">
        <v>30061</v>
      </c>
      <c r="K892" s="2">
        <v>20</v>
      </c>
      <c r="L892" s="2">
        <v>94</v>
      </c>
      <c r="M892" s="2"/>
      <c r="N892" s="8">
        <v>40386.474282407406</v>
      </c>
      <c r="O892" s="4" t="s">
        <v>2579</v>
      </c>
      <c r="P892" s="3" t="s">
        <v>2578</v>
      </c>
      <c r="Q892" s="10" t="s">
        <v>2577</v>
      </c>
      <c r="R892" s="4"/>
      <c r="S892" s="9" t="str">
        <f>HYPERLINK("https://pbs.twimg.com/profile_images/873957969242804224/bHd1FU0k.jpg","View")</f>
        <v>View</v>
      </c>
    </row>
    <row r="893" spans="1:19" ht="12.5">
      <c r="A893" s="8">
        <v>43370.843148148153</v>
      </c>
      <c r="B893" s="11" t="str">
        <f>HYPERLINK("https://twitter.com/thisishassan","@thisishassan")</f>
        <v>@thisishassan</v>
      </c>
      <c r="C893" s="6" t="s">
        <v>3071</v>
      </c>
      <c r="D893" s="5" t="s">
        <v>5684</v>
      </c>
      <c r="E893" s="9" t="str">
        <f>HYPERLINK("https://twitter.com/thisishassan/status/1045353407714930688","1045353407714930688")</f>
        <v>1045353407714930688</v>
      </c>
      <c r="F893" s="4"/>
      <c r="G893" s="4"/>
      <c r="H893" s="4"/>
      <c r="I893" s="10" t="str">
        <f>HYPERLINK("http://twitter.com/download/android","Twitter for Android")</f>
        <v>Twitter for Android</v>
      </c>
      <c r="J893" s="2">
        <v>1081</v>
      </c>
      <c r="K893" s="2">
        <v>968</v>
      </c>
      <c r="L893" s="2">
        <v>1</v>
      </c>
      <c r="M893" s="2"/>
      <c r="N893" s="8">
        <v>41685.518923611111</v>
      </c>
      <c r="O893" s="4"/>
      <c r="P893" s="3" t="s">
        <v>5683</v>
      </c>
      <c r="Q893" s="4"/>
      <c r="R893" s="4"/>
      <c r="S893" s="9" t="str">
        <f>HYPERLINK("https://pbs.twimg.com/profile_images/1038839475407933441/fh-brtBg.jpg","View")</f>
        <v>View</v>
      </c>
    </row>
    <row r="894" spans="1:19" ht="12.5">
      <c r="A894" s="8">
        <v>43370.843136574069</v>
      </c>
      <c r="B894" s="11" t="str">
        <f>HYPERLINK("https://twitter.com/hamohos","@hamohos")</f>
        <v>@hamohos</v>
      </c>
      <c r="C894" s="6" t="s">
        <v>4482</v>
      </c>
      <c r="D894" s="5" t="s">
        <v>5682</v>
      </c>
      <c r="E894" s="9" t="str">
        <f>HYPERLINK("https://twitter.com/hamohos/status/1045353403151503360","1045353403151503360")</f>
        <v>1045353403151503360</v>
      </c>
      <c r="F894" s="4"/>
      <c r="G894" s="4"/>
      <c r="H894" s="4"/>
      <c r="I894" s="10" t="str">
        <f>HYPERLINK("http://twitter.com/download/android","Twitter for Android")</f>
        <v>Twitter for Android</v>
      </c>
      <c r="J894" s="2">
        <v>853</v>
      </c>
      <c r="K894" s="2">
        <v>364</v>
      </c>
      <c r="L894" s="2">
        <v>4</v>
      </c>
      <c r="M894" s="2"/>
      <c r="N894" s="8">
        <v>42546.527777777781</v>
      </c>
      <c r="O894" s="4" t="s">
        <v>4480</v>
      </c>
      <c r="P894" s="3" t="s">
        <v>4479</v>
      </c>
      <c r="Q894" s="10" t="s">
        <v>4478</v>
      </c>
      <c r="R894" s="4"/>
      <c r="S894" s="9" t="str">
        <f>HYPERLINK("https://pbs.twimg.com/profile_images/1040312267433238528/ufiXcHPN.jpg","View")</f>
        <v>View</v>
      </c>
    </row>
    <row r="895" spans="1:19" ht="12.5">
      <c r="A895" s="8">
        <v>43370.843078703707</v>
      </c>
      <c r="B895" s="11" t="str">
        <f>HYPERLINK("https://twitter.com/aliizadi83","@aliizadi83")</f>
        <v>@aliizadi83</v>
      </c>
      <c r="C895" s="6" t="s">
        <v>5681</v>
      </c>
      <c r="D895" s="5" t="s">
        <v>5680</v>
      </c>
      <c r="E895" s="9" t="str">
        <f>HYPERLINK("https://twitter.com/aliizadi83/status/1045353382830112768","1045353382830112768")</f>
        <v>1045353382830112768</v>
      </c>
      <c r="F895" s="4"/>
      <c r="G895" s="4"/>
      <c r="H895" s="4"/>
      <c r="I895" s="10" t="str">
        <f>HYPERLINK("http://twitter.com/download/iphone","Twitter for iPhone")</f>
        <v>Twitter for iPhone</v>
      </c>
      <c r="J895" s="2">
        <v>403</v>
      </c>
      <c r="K895" s="2">
        <v>261</v>
      </c>
      <c r="L895" s="2">
        <v>1</v>
      </c>
      <c r="M895" s="2"/>
      <c r="N895" s="8">
        <v>43226.825960648144</v>
      </c>
      <c r="O895" s="4" t="s">
        <v>10</v>
      </c>
      <c r="P895" s="3"/>
      <c r="Q895" s="4"/>
      <c r="R895" s="4"/>
      <c r="S895" s="9" t="str">
        <f>HYPERLINK("https://pbs.twimg.com/profile_images/993194501828202497/nInJtRa6.jpg","View")</f>
        <v>View</v>
      </c>
    </row>
    <row r="896" spans="1:19" ht="20">
      <c r="A896" s="8">
        <v>43370.843032407407</v>
      </c>
      <c r="B896" s="11" t="str">
        <f>HYPERLINK("https://twitter.com/Miladsp_71","@Miladsp_71")</f>
        <v>@Miladsp_71</v>
      </c>
      <c r="C896" s="6" t="s">
        <v>5679</v>
      </c>
      <c r="D896" s="5" t="s">
        <v>5678</v>
      </c>
      <c r="E896" s="9" t="str">
        <f>HYPERLINK("https://twitter.com/Miladsp_71/status/1045353366422003714","1045353366422003714")</f>
        <v>1045353366422003714</v>
      </c>
      <c r="F896" s="4"/>
      <c r="G896" s="4"/>
      <c r="H896" s="4"/>
      <c r="I896" s="10" t="str">
        <f>HYPERLINK("http://twitter.com/download/iphone","Twitter for iPhone")</f>
        <v>Twitter for iPhone</v>
      </c>
      <c r="J896" s="2">
        <v>39</v>
      </c>
      <c r="K896" s="2">
        <v>117</v>
      </c>
      <c r="L896" s="2">
        <v>0</v>
      </c>
      <c r="M896" s="2"/>
      <c r="N896" s="8">
        <v>43209.691643518519</v>
      </c>
      <c r="O896" s="4" t="s">
        <v>72</v>
      </c>
      <c r="P896" s="3" t="s">
        <v>5677</v>
      </c>
      <c r="Q896" s="4"/>
      <c r="R896" s="4"/>
      <c r="S896" s="9" t="str">
        <f>HYPERLINK("https://pbs.twimg.com/profile_images/990185380715646976/pcRjP83W.jpg","View")</f>
        <v>View</v>
      </c>
    </row>
    <row r="897" spans="1:19" ht="20">
      <c r="A897" s="8">
        <v>43370.842916666668</v>
      </c>
      <c r="B897" s="11" t="str">
        <f>HYPERLINK("https://twitter.com/bm212bm212","@bm212bm212")</f>
        <v>@bm212bm212</v>
      </c>
      <c r="C897" s="6" t="s">
        <v>5311</v>
      </c>
      <c r="D897" s="5" t="s">
        <v>5676</v>
      </c>
      <c r="E897" s="9" t="str">
        <f>HYPERLINK("https://twitter.com/bm212bm212/status/1045353322616479745","1045353322616479745")</f>
        <v>1045353322616479745</v>
      </c>
      <c r="F897" s="4"/>
      <c r="G897" s="4"/>
      <c r="H897" s="4"/>
      <c r="I897" s="10" t="str">
        <f>HYPERLINK("https://mobile.twitter.com","Twitter Lite")</f>
        <v>Twitter Lite</v>
      </c>
      <c r="J897" s="2">
        <v>179</v>
      </c>
      <c r="K897" s="2">
        <v>100</v>
      </c>
      <c r="L897" s="2">
        <v>3</v>
      </c>
      <c r="M897" s="2"/>
      <c r="N897" s="8">
        <v>42465.981689814813</v>
      </c>
      <c r="O897" s="4"/>
      <c r="P897" s="3" t="s">
        <v>5309</v>
      </c>
      <c r="Q897" s="4"/>
      <c r="R897" s="4"/>
      <c r="S897" s="9" t="str">
        <f>HYPERLINK("https://pbs.twimg.com/profile_images/999391728988635137/3pBmO-63.jpg","View")</f>
        <v>View</v>
      </c>
    </row>
    <row r="898" spans="1:19" ht="20">
      <c r="A898" s="8">
        <v>43370.84275462963</v>
      </c>
      <c r="B898" s="11" t="str">
        <f>HYPERLINK("https://twitter.com/seyyedamirr","@seyyedamirr")</f>
        <v>@seyyedamirr</v>
      </c>
      <c r="C898" s="6" t="s">
        <v>5675</v>
      </c>
      <c r="D898" s="5" t="s">
        <v>5674</v>
      </c>
      <c r="E898" s="9" t="str">
        <f>HYPERLINK("https://twitter.com/seyyedamirr/status/1045353265267953666","1045353265267953666")</f>
        <v>1045353265267953666</v>
      </c>
      <c r="F898" s="4"/>
      <c r="G898" s="4"/>
      <c r="H898" s="4"/>
      <c r="I898" s="10" t="str">
        <f>HYPERLINK("http://twitter.com/download/android","Twitter for Android")</f>
        <v>Twitter for Android</v>
      </c>
      <c r="J898" s="2">
        <v>1207</v>
      </c>
      <c r="K898" s="2">
        <v>1279</v>
      </c>
      <c r="L898" s="2">
        <v>4</v>
      </c>
      <c r="M898" s="2"/>
      <c r="N898" s="8">
        <v>42223.572893518518</v>
      </c>
      <c r="O898" s="4" t="s">
        <v>5673</v>
      </c>
      <c r="P898" s="3" t="s">
        <v>5672</v>
      </c>
      <c r="Q898" s="4"/>
      <c r="R898" s="4"/>
      <c r="S898" s="9" t="str">
        <f>HYPERLINK("https://pbs.twimg.com/profile_images/994173906511687680/TDoxHMhG.jpg","View")</f>
        <v>View</v>
      </c>
    </row>
    <row r="899" spans="1:19" ht="50">
      <c r="A899" s="8">
        <v>43370.84275462963</v>
      </c>
      <c r="B899" s="11" t="str">
        <f>HYPERLINK("https://twitter.com/CalcioIraniano","@CalcioIraniano")</f>
        <v>@CalcioIraniano</v>
      </c>
      <c r="C899" s="6" t="s">
        <v>1078</v>
      </c>
      <c r="D899" s="5" t="s">
        <v>5671</v>
      </c>
      <c r="E899" s="9" t="str">
        <f>HYPERLINK("https://twitter.com/CalcioIraniano/status/1045353263430848513","1045353263430848513")</f>
        <v>1045353263430848513</v>
      </c>
      <c r="F899" s="4"/>
      <c r="G899" s="4"/>
      <c r="H899" s="4"/>
      <c r="I899" s="10" t="str">
        <f>HYPERLINK("http://twitter.com","Twitter Web Client")</f>
        <v>Twitter Web Client</v>
      </c>
      <c r="J899" s="2">
        <v>98</v>
      </c>
      <c r="K899" s="2">
        <v>73</v>
      </c>
      <c r="L899" s="2">
        <v>2</v>
      </c>
      <c r="M899" s="2"/>
      <c r="N899" s="8">
        <v>42943.737407407403</v>
      </c>
      <c r="O899" s="4" t="s">
        <v>1075</v>
      </c>
      <c r="P899" s="3" t="s">
        <v>1074</v>
      </c>
      <c r="Q899" s="10" t="s">
        <v>1073</v>
      </c>
      <c r="R899" s="4"/>
      <c r="S899" s="9" t="str">
        <f>HYPERLINK("https://pbs.twimg.com/profile_images/890563384915243008/kZ2we3yk.jpg","View")</f>
        <v>View</v>
      </c>
    </row>
    <row r="900" spans="1:19" ht="20">
      <c r="A900" s="8">
        <v>43370.842731481476</v>
      </c>
      <c r="B900" s="11" t="str">
        <f>HYPERLINK("https://twitter.com/khodabakhshi60","@khodabakhshi60")</f>
        <v>@khodabakhshi60</v>
      </c>
      <c r="C900" s="6" t="s">
        <v>5670</v>
      </c>
      <c r="D900" s="5" t="s">
        <v>5669</v>
      </c>
      <c r="E900" s="9" t="str">
        <f>HYPERLINK("https://twitter.com/khodabakhshi60/status/1045353254463447040","1045353254463447040")</f>
        <v>1045353254463447040</v>
      </c>
      <c r="F900" s="4"/>
      <c r="G900" s="4"/>
      <c r="H900" s="4"/>
      <c r="I900" s="10" t="str">
        <f>HYPERLINK("http://twitter.com/download/android","Twitter for Android")</f>
        <v>Twitter for Android</v>
      </c>
      <c r="J900" s="2">
        <v>12979</v>
      </c>
      <c r="K900" s="2">
        <v>3105</v>
      </c>
      <c r="L900" s="2">
        <v>73</v>
      </c>
      <c r="M900" s="2"/>
      <c r="N900" s="8">
        <v>42010.394178240742</v>
      </c>
      <c r="O900" s="4" t="s">
        <v>62</v>
      </c>
      <c r="P900" s="3" t="s">
        <v>5668</v>
      </c>
      <c r="Q900" s="4"/>
      <c r="R900" s="4"/>
      <c r="S900" s="9" t="str">
        <f>HYPERLINK("https://pbs.twimg.com/profile_images/1039245661642911744/OZgJrZ21.jpg","View")</f>
        <v>View</v>
      </c>
    </row>
    <row r="901" spans="1:19" ht="12.5">
      <c r="A901" s="8">
        <v>43370.842615740738</v>
      </c>
      <c r="B901" s="11" t="str">
        <f>HYPERLINK("https://twitter.com/LoscheShahram","@LoscheShahram")</f>
        <v>@LoscheShahram</v>
      </c>
      <c r="C901" s="6" t="s">
        <v>4806</v>
      </c>
      <c r="D901" s="5" t="s">
        <v>5667</v>
      </c>
      <c r="E901" s="9" t="str">
        <f>HYPERLINK("https://twitter.com/LoscheShahram/status/1045353214470549504","1045353214470549504")</f>
        <v>1045353214470549504</v>
      </c>
      <c r="F901" s="4"/>
      <c r="G901" s="4"/>
      <c r="H901" s="4"/>
      <c r="I901" s="10" t="str">
        <f>HYPERLINK("http://twitter.com","Twitter Web Client")</f>
        <v>Twitter Web Client</v>
      </c>
      <c r="J901" s="2">
        <v>317</v>
      </c>
      <c r="K901" s="2">
        <v>386</v>
      </c>
      <c r="L901" s="2">
        <v>1</v>
      </c>
      <c r="M901" s="2"/>
      <c r="N901" s="8">
        <v>40470.971631944441</v>
      </c>
      <c r="O901" s="4"/>
      <c r="P901" s="3"/>
      <c r="Q901" s="4"/>
      <c r="R901" s="4"/>
      <c r="S901" s="9" t="str">
        <f>HYPERLINK("https://pbs.twimg.com/profile_images/952863045860188165/7UAlwiQm.jpg","View")</f>
        <v>View</v>
      </c>
    </row>
    <row r="902" spans="1:19" ht="20">
      <c r="A902" s="8">
        <v>43370.842604166668</v>
      </c>
      <c r="B902" s="11" t="str">
        <f>HYPERLINK("https://twitter.com/hitchcock1367","@hitchcock1367")</f>
        <v>@hitchcock1367</v>
      </c>
      <c r="C902" s="6" t="s">
        <v>5666</v>
      </c>
      <c r="D902" s="5" t="s">
        <v>5665</v>
      </c>
      <c r="E902" s="9" t="str">
        <f>HYPERLINK("https://twitter.com/hitchcock1367/status/1045353208972021760","1045353208972021760")</f>
        <v>1045353208972021760</v>
      </c>
      <c r="F902" s="4"/>
      <c r="G902" s="4"/>
      <c r="H902" s="4"/>
      <c r="I902" s="10" t="str">
        <f>HYPERLINK("http://twitter.com/download/android","Twitter for Android")</f>
        <v>Twitter for Android</v>
      </c>
      <c r="J902" s="2">
        <v>201</v>
      </c>
      <c r="K902" s="2">
        <v>1227</v>
      </c>
      <c r="L902" s="2">
        <v>0</v>
      </c>
      <c r="M902" s="2"/>
      <c r="N902" s="8">
        <v>43118.878692129627</v>
      </c>
      <c r="O902" s="4"/>
      <c r="P902" s="3" t="s">
        <v>5664</v>
      </c>
      <c r="Q902" s="4"/>
      <c r="R902" s="4"/>
      <c r="S902" s="9" t="str">
        <f>HYPERLINK("https://pbs.twimg.com/profile_images/1015277303188746240/rD3R_oCB.jpg","View")</f>
        <v>View</v>
      </c>
    </row>
    <row r="903" spans="1:19" ht="40">
      <c r="A903" s="8">
        <v>43370.842465277776</v>
      </c>
      <c r="B903" s="11" t="str">
        <f>HYPERLINK("https://twitter.com/ninash_tala","@ninash_tala")</f>
        <v>@ninash_tala</v>
      </c>
      <c r="C903" s="6" t="s">
        <v>5663</v>
      </c>
      <c r="D903" s="5" t="s">
        <v>5662</v>
      </c>
      <c r="E903" s="9" t="str">
        <f>HYPERLINK("https://twitter.com/ninash_tala/status/1045353160880123905","1045353160880123905")</f>
        <v>1045353160880123905</v>
      </c>
      <c r="F903" s="4"/>
      <c r="G903" s="4"/>
      <c r="H903" s="4"/>
      <c r="I903" s="10" t="str">
        <f>HYPERLINK("http://twitter.com/download/android","Twitter for Android")</f>
        <v>Twitter for Android</v>
      </c>
      <c r="J903" s="2">
        <v>9035</v>
      </c>
      <c r="K903" s="2">
        <v>8489</v>
      </c>
      <c r="L903" s="2">
        <v>18</v>
      </c>
      <c r="M903" s="2"/>
      <c r="N903" s="8">
        <v>43139.641423611116</v>
      </c>
      <c r="O903" s="4" t="s">
        <v>5661</v>
      </c>
      <c r="P903" s="3" t="s">
        <v>5660</v>
      </c>
      <c r="Q903" s="4"/>
      <c r="R903" s="4"/>
      <c r="S903" s="9" t="str">
        <f>HYPERLINK("https://pbs.twimg.com/profile_images/1043744532645511168/gL7Fp27h.jpg","View")</f>
        <v>View</v>
      </c>
    </row>
    <row r="904" spans="1:19" ht="20">
      <c r="A904" s="8">
        <v>43370.842430555553</v>
      </c>
      <c r="B904" s="11" t="str">
        <f>HYPERLINK("https://twitter.com/famil_door","@famil_door")</f>
        <v>@famil_door</v>
      </c>
      <c r="C904" s="6" t="s">
        <v>5659</v>
      </c>
      <c r="D904" s="5" t="s">
        <v>5658</v>
      </c>
      <c r="E904" s="9" t="str">
        <f>HYPERLINK("https://twitter.com/famil_door/status/1045353146137161730","1045353146137161730")</f>
        <v>1045353146137161730</v>
      </c>
      <c r="F904" s="4"/>
      <c r="G904" s="4"/>
      <c r="H904" s="4"/>
      <c r="I904" s="10" t="str">
        <f>HYPERLINK("http://twitter.com/download/android","Twitter for Android")</f>
        <v>Twitter for Android</v>
      </c>
      <c r="J904" s="2">
        <v>18822</v>
      </c>
      <c r="K904" s="2">
        <v>577</v>
      </c>
      <c r="L904" s="2">
        <v>112</v>
      </c>
      <c r="M904" s="2"/>
      <c r="N904" s="8">
        <v>42913.117893518516</v>
      </c>
      <c r="O904" s="4" t="s">
        <v>5657</v>
      </c>
      <c r="P904" s="3" t="s">
        <v>5656</v>
      </c>
      <c r="Q904" s="4"/>
      <c r="R904" s="4"/>
      <c r="S904" s="9" t="str">
        <f>HYPERLINK("https://pbs.twimg.com/profile_images/1039122736881303552/Fj0CUSwP.jpg","View")</f>
        <v>View</v>
      </c>
    </row>
    <row r="905" spans="1:19" ht="30">
      <c r="A905" s="8">
        <v>43370.842326388884</v>
      </c>
      <c r="B905" s="11" t="str">
        <f>HYPERLINK("https://twitter.com/meysamdm","@meysamdm")</f>
        <v>@meysamdm</v>
      </c>
      <c r="C905" s="6" t="s">
        <v>5655</v>
      </c>
      <c r="D905" s="5" t="s">
        <v>5654</v>
      </c>
      <c r="E905" s="9" t="str">
        <f>HYPERLINK("https://twitter.com/meysamdm/status/1045353107025264646","1045353107025264646")</f>
        <v>1045353107025264646</v>
      </c>
      <c r="F905" s="4"/>
      <c r="G905" s="4"/>
      <c r="H905" s="4"/>
      <c r="I905" s="10" t="str">
        <f>HYPERLINK("https://about.twitter.com/products/tweetdeck","TweetDeck")</f>
        <v>TweetDeck</v>
      </c>
      <c r="J905" s="2">
        <v>803</v>
      </c>
      <c r="K905" s="2">
        <v>421</v>
      </c>
      <c r="L905" s="2">
        <v>9</v>
      </c>
      <c r="M905" s="2"/>
      <c r="N905" s="8">
        <v>40976.73537037037</v>
      </c>
      <c r="O905" s="4" t="s">
        <v>414</v>
      </c>
      <c r="P905" s="3" t="s">
        <v>5653</v>
      </c>
      <c r="Q905" s="4"/>
      <c r="R905" s="4"/>
      <c r="S905" s="9" t="str">
        <f>HYPERLINK("https://pbs.twimg.com/profile_images/1034669741552484352/1FzNMw41.jpg","View")</f>
        <v>View</v>
      </c>
    </row>
    <row r="906" spans="1:19" ht="50">
      <c r="A906" s="8">
        <v>43370.842326388884</v>
      </c>
      <c r="B906" s="11" t="str">
        <f>HYPERLINK("https://twitter.com/iranteammelli","@iranteammelli")</f>
        <v>@iranteammelli</v>
      </c>
      <c r="C906" s="6" t="s">
        <v>1044</v>
      </c>
      <c r="D906" s="5" t="s">
        <v>5652</v>
      </c>
      <c r="E906" s="9" t="str">
        <f>HYPERLINK("https://twitter.com/iranteammelli/status/1045353106912030727","1045353106912030727")</f>
        <v>1045353106912030727</v>
      </c>
      <c r="F906" s="4"/>
      <c r="G906" s="4"/>
      <c r="H906" s="4"/>
      <c r="I906" s="10" t="str">
        <f>HYPERLINK("http://twitter.com","Twitter Web Client")</f>
        <v>Twitter Web Client</v>
      </c>
      <c r="J906" s="2">
        <v>1084</v>
      </c>
      <c r="K906" s="2">
        <v>375</v>
      </c>
      <c r="L906" s="2">
        <v>67</v>
      </c>
      <c r="M906" s="2"/>
      <c r="N906" s="8">
        <v>41797.646249999998</v>
      </c>
      <c r="O906" s="4" t="s">
        <v>62</v>
      </c>
      <c r="P906" s="3" t="s">
        <v>1041</v>
      </c>
      <c r="Q906" s="10" t="s">
        <v>1040</v>
      </c>
      <c r="R906" s="4"/>
      <c r="S906" s="9" t="str">
        <f>HYPERLINK("https://pbs.twimg.com/profile_images/757538975724761088/D2_y6aCK.jpg","View")</f>
        <v>View</v>
      </c>
    </row>
    <row r="907" spans="1:19" ht="12.5">
      <c r="A907" s="8">
        <v>43370.842291666668</v>
      </c>
      <c r="B907" s="11" t="str">
        <f>HYPERLINK("https://twitter.com/mnsamooo","@mnsamooo")</f>
        <v>@mnsamooo</v>
      </c>
      <c r="C907" s="6" t="s">
        <v>5651</v>
      </c>
      <c r="D907" s="5" t="s">
        <v>5650</v>
      </c>
      <c r="E907" s="9" t="str">
        <f>HYPERLINK("https://twitter.com/mnsamooo/status/1045353094991806464","1045353094991806464")</f>
        <v>1045353094991806464</v>
      </c>
      <c r="F907" s="4"/>
      <c r="G907" s="4"/>
      <c r="H907" s="4"/>
      <c r="I907" s="10" t="str">
        <f>HYPERLINK("http://twitter.com/download/android","Twitter for Android")</f>
        <v>Twitter for Android</v>
      </c>
      <c r="J907" s="2">
        <v>549</v>
      </c>
      <c r="K907" s="2">
        <v>403</v>
      </c>
      <c r="L907" s="2">
        <v>0</v>
      </c>
      <c r="M907" s="2"/>
      <c r="N907" s="8">
        <v>42917.166597222225</v>
      </c>
      <c r="O907" s="4" t="s">
        <v>289</v>
      </c>
      <c r="P907" s="3" t="s">
        <v>5649</v>
      </c>
      <c r="Q907" s="4"/>
      <c r="R907" s="4"/>
      <c r="S907" s="9" t="str">
        <f>HYPERLINK("https://pbs.twimg.com/profile_images/1013449001994252294/iB7eITL_.jpg","View")</f>
        <v>View</v>
      </c>
    </row>
    <row r="908" spans="1:19" ht="20">
      <c r="A908" s="8">
        <v>43370.842268518521</v>
      </c>
      <c r="B908" s="11" t="str">
        <f>HYPERLINK("https://twitter.com/reform_creditor","@reform_creditor")</f>
        <v>@reform_creditor</v>
      </c>
      <c r="C908" s="6" t="s">
        <v>5648</v>
      </c>
      <c r="D908" s="5" t="s">
        <v>5647</v>
      </c>
      <c r="E908" s="9" t="str">
        <f>HYPERLINK("https://twitter.com/reform_creditor/status/1045353086003367936","1045353086003367936")</f>
        <v>1045353086003367936</v>
      </c>
      <c r="F908" s="4"/>
      <c r="G908" s="4"/>
      <c r="H908" s="4"/>
      <c r="I908" s="10" t="str">
        <f>HYPERLINK("http://twitter.com/download/android","Twitter for Android")</f>
        <v>Twitter for Android</v>
      </c>
      <c r="J908" s="2">
        <v>7113</v>
      </c>
      <c r="K908" s="2">
        <v>2474</v>
      </c>
      <c r="L908" s="2">
        <v>20</v>
      </c>
      <c r="M908" s="2"/>
      <c r="N908" s="8">
        <v>42735.638159722221</v>
      </c>
      <c r="O908" s="4"/>
      <c r="P908" s="3" t="s">
        <v>5646</v>
      </c>
      <c r="Q908" s="10" t="s">
        <v>5645</v>
      </c>
      <c r="R908" s="4"/>
      <c r="S908" s="9" t="str">
        <f>HYPERLINK("https://pbs.twimg.com/profile_images/1038843704977645573/7WGlBT2R.jpg","View")</f>
        <v>View</v>
      </c>
    </row>
    <row r="909" spans="1:19" ht="12.5">
      <c r="A909" s="8">
        <v>43370.842256944445</v>
      </c>
      <c r="B909" s="11" t="str">
        <f>HYPERLINK("https://twitter.com/KhazaeiHassan","@KhazaeiHassan")</f>
        <v>@KhazaeiHassan</v>
      </c>
      <c r="C909" s="6" t="s">
        <v>5644</v>
      </c>
      <c r="D909" s="5" t="s">
        <v>5643</v>
      </c>
      <c r="E909" s="9" t="str">
        <f>HYPERLINK("https://twitter.com/KhazaeiHassan/status/1045353084359200770","1045353084359200770")</f>
        <v>1045353084359200770</v>
      </c>
      <c r="F909" s="4"/>
      <c r="G909" s="4"/>
      <c r="H909" s="4"/>
      <c r="I909" s="10" t="str">
        <f>HYPERLINK("http://twitter.com/download/iphone","Twitter for iPhone")</f>
        <v>Twitter for iPhone</v>
      </c>
      <c r="J909" s="2">
        <v>248</v>
      </c>
      <c r="K909" s="2">
        <v>435</v>
      </c>
      <c r="L909" s="2">
        <v>0</v>
      </c>
      <c r="M909" s="2"/>
      <c r="N909" s="8">
        <v>42846.797291666662</v>
      </c>
      <c r="O909" s="4" t="s">
        <v>200</v>
      </c>
      <c r="P909" s="3" t="s">
        <v>5642</v>
      </c>
      <c r="Q909" s="4"/>
      <c r="R909" s="4"/>
      <c r="S909" s="9" t="str">
        <f>HYPERLINK("https://pbs.twimg.com/profile_images/911400894540976128/b4H7jCo9.jpg","View")</f>
        <v>View</v>
      </c>
    </row>
    <row r="910" spans="1:19" ht="20">
      <c r="A910" s="8">
        <v>43370.842233796298</v>
      </c>
      <c r="B910" s="11" t="str">
        <f>HYPERLINK("https://twitter.com/ADAMHARFI","@ADAMHARFI")</f>
        <v>@ADAMHARFI</v>
      </c>
      <c r="C910" s="6" t="s">
        <v>5641</v>
      </c>
      <c r="D910" s="5" t="s">
        <v>5640</v>
      </c>
      <c r="E910" s="9" t="str">
        <f>HYPERLINK("https://twitter.com/ADAMHARFI/status/1045353077199589376","1045353077199589376")</f>
        <v>1045353077199589376</v>
      </c>
      <c r="F910" s="4"/>
      <c r="G910" s="4"/>
      <c r="H910" s="4"/>
      <c r="I910" s="10" t="str">
        <f>HYPERLINK("http://twitter.com/download/android","Twitter for Android")</f>
        <v>Twitter for Android</v>
      </c>
      <c r="J910" s="2">
        <v>4334</v>
      </c>
      <c r="K910" s="2">
        <v>479</v>
      </c>
      <c r="L910" s="2">
        <v>30</v>
      </c>
      <c r="M910" s="2"/>
      <c r="N910" s="8">
        <v>41321.303043981483</v>
      </c>
      <c r="O910" s="4" t="s">
        <v>5639</v>
      </c>
      <c r="P910" s="3" t="s">
        <v>5638</v>
      </c>
      <c r="Q910" s="4"/>
      <c r="R910" s="4"/>
      <c r="S910" s="9" t="str">
        <f>HYPERLINK("https://pbs.twimg.com/profile_images/1037793934460768261/HLuDqsIn.jpg","View")</f>
        <v>View</v>
      </c>
    </row>
    <row r="911" spans="1:19" ht="20">
      <c r="A911" s="8">
        <v>43370.842187499999</v>
      </c>
      <c r="B911" s="11" t="str">
        <f>HYPERLINK("https://twitter.com/hamidehashemi88","@hamidehashemi88")</f>
        <v>@hamidehashemi88</v>
      </c>
      <c r="C911" s="6" t="s">
        <v>5637</v>
      </c>
      <c r="D911" s="5" t="s">
        <v>5636</v>
      </c>
      <c r="E911" s="9" t="str">
        <f>HYPERLINK("https://twitter.com/hamidehashemi88/status/1045353059625439233","1045353059625439233")</f>
        <v>1045353059625439233</v>
      </c>
      <c r="F911" s="4"/>
      <c r="G911" s="4"/>
      <c r="H911" s="4"/>
      <c r="I911" s="10" t="str">
        <f>HYPERLINK("http://twitter.com/download/android","Twitter for Android")</f>
        <v>Twitter for Android</v>
      </c>
      <c r="J911" s="2">
        <v>142</v>
      </c>
      <c r="K911" s="2">
        <v>224</v>
      </c>
      <c r="L911" s="2">
        <v>0</v>
      </c>
      <c r="M911" s="2"/>
      <c r="N911" s="8">
        <v>43363.767326388886</v>
      </c>
      <c r="O911" s="4" t="s">
        <v>5635</v>
      </c>
      <c r="P911" s="3" t="s">
        <v>5634</v>
      </c>
      <c r="Q911" s="4"/>
      <c r="R911" s="4"/>
      <c r="S911" s="9" t="str">
        <f>HYPERLINK("https://pbs.twimg.com/profile_images/1042775876855914497/qB9aq7oh.jpg","View")</f>
        <v>View</v>
      </c>
    </row>
    <row r="912" spans="1:19" ht="40">
      <c r="A912" s="8">
        <v>43370.842164351852</v>
      </c>
      <c r="B912" s="11" t="str">
        <f>HYPERLINK("https://twitter.com/zahra_z69","@zahra_z69")</f>
        <v>@zahra_z69</v>
      </c>
      <c r="C912" s="6" t="s">
        <v>5001</v>
      </c>
      <c r="D912" s="5" t="s">
        <v>5633</v>
      </c>
      <c r="E912" s="9" t="str">
        <f>HYPERLINK("https://twitter.com/zahra_z69/status/1045353050985115649","1045353050985115649")</f>
        <v>1045353050985115649</v>
      </c>
      <c r="F912" s="4"/>
      <c r="G912" s="4"/>
      <c r="H912" s="4"/>
      <c r="I912" s="10" t="str">
        <f>HYPERLINK("http://twitter.com/download/android","Twitter for Android")</f>
        <v>Twitter for Android</v>
      </c>
      <c r="J912" s="2">
        <v>171</v>
      </c>
      <c r="K912" s="2">
        <v>84</v>
      </c>
      <c r="L912" s="2">
        <v>0</v>
      </c>
      <c r="M912" s="2"/>
      <c r="N912" s="8">
        <v>42858.523009259261</v>
      </c>
      <c r="O912" s="4" t="s">
        <v>10</v>
      </c>
      <c r="P912" s="3" t="s">
        <v>4999</v>
      </c>
      <c r="Q912" s="4"/>
      <c r="R912" s="4"/>
      <c r="S912" s="9" t="str">
        <f>HYPERLINK("https://pbs.twimg.com/profile_images/1043966011047849984/_lV3pRz5.jpg","View")</f>
        <v>View</v>
      </c>
    </row>
    <row r="913" spans="1:19" ht="20">
      <c r="A913" s="8">
        <v>43370.842164351852</v>
      </c>
      <c r="B913" s="11" t="str">
        <f>HYPERLINK("https://twitter.com/cerebritalinda","@cerebritalinda")</f>
        <v>@cerebritalinda</v>
      </c>
      <c r="C913" s="6" t="s">
        <v>5632</v>
      </c>
      <c r="D913" s="5" t="s">
        <v>5631</v>
      </c>
      <c r="E913" s="9" t="str">
        <f>HYPERLINK("https://twitter.com/cerebritalinda/status/1045353049252921344","1045353049252921344")</f>
        <v>1045353049252921344</v>
      </c>
      <c r="F913" s="4"/>
      <c r="G913" s="4"/>
      <c r="H913" s="4"/>
      <c r="I913" s="10" t="str">
        <f>HYPERLINK("http://twitter.com/download/iphone","Twitter for iPhone")</f>
        <v>Twitter for iPhone</v>
      </c>
      <c r="J913" s="2">
        <v>7</v>
      </c>
      <c r="K913" s="2">
        <v>7</v>
      </c>
      <c r="L913" s="2">
        <v>0</v>
      </c>
      <c r="M913" s="2"/>
      <c r="N913" s="8">
        <v>43359.659594907411</v>
      </c>
      <c r="O913" s="4" t="s">
        <v>55</v>
      </c>
      <c r="P913" s="3" t="s">
        <v>5630</v>
      </c>
      <c r="Q913" s="4"/>
      <c r="R913" s="4"/>
      <c r="S913" s="9" t="str">
        <f>HYPERLINK("https://pbs.twimg.com/profile_images/1041285893842247681/4GOATPQD.jpg","View")</f>
        <v>View</v>
      </c>
    </row>
    <row r="914" spans="1:19" ht="40">
      <c r="A914" s="8">
        <v>43370.842129629629</v>
      </c>
      <c r="B914" s="11" t="str">
        <f>HYPERLINK("https://twitter.com/movvasagh","@movvasagh")</f>
        <v>@movvasagh</v>
      </c>
      <c r="C914" s="6" t="s">
        <v>5629</v>
      </c>
      <c r="D914" s="5" t="s">
        <v>5628</v>
      </c>
      <c r="E914" s="9" t="str">
        <f>HYPERLINK("https://twitter.com/movvasagh/status/1045353035948544001","1045353035948544001")</f>
        <v>1045353035948544001</v>
      </c>
      <c r="F914" s="4"/>
      <c r="G914" s="10" t="s">
        <v>5627</v>
      </c>
      <c r="H914" s="4"/>
      <c r="I914" s="10" t="str">
        <f>HYPERLINK("http://twitter.com/download/android","Twitter for Android")</f>
        <v>Twitter for Android</v>
      </c>
      <c r="J914" s="2">
        <v>14</v>
      </c>
      <c r="K914" s="2">
        <v>140</v>
      </c>
      <c r="L914" s="2">
        <v>0</v>
      </c>
      <c r="M914" s="2"/>
      <c r="N914" s="8">
        <v>43363.830775462964</v>
      </c>
      <c r="O914" s="4"/>
      <c r="P914" s="3" t="s">
        <v>5626</v>
      </c>
      <c r="Q914" s="4"/>
      <c r="R914" s="4"/>
      <c r="S914" s="9" t="str">
        <f>HYPERLINK("https://pbs.twimg.com/profile_images/1042830945588535296/KpVnsHQr.jpg","View")</f>
        <v>View</v>
      </c>
    </row>
    <row r="915" spans="1:19" ht="30">
      <c r="A915" s="8">
        <v>43370.842094907406</v>
      </c>
      <c r="B915" s="11" t="str">
        <f>HYPERLINK("https://twitter.com/darkuten","@darkuten")</f>
        <v>@darkuten</v>
      </c>
      <c r="C915" s="6" t="s">
        <v>5625</v>
      </c>
      <c r="D915" s="5" t="s">
        <v>5624</v>
      </c>
      <c r="E915" s="9" t="str">
        <f>HYPERLINK("https://twitter.com/darkuten/status/1045353025089548293","1045353025089548293")</f>
        <v>1045353025089548293</v>
      </c>
      <c r="F915" s="4"/>
      <c r="G915" s="4"/>
      <c r="H915" s="4"/>
      <c r="I915" s="10" t="str">
        <f>HYPERLINK("http://twitter.com/download/android","Twitter for Android")</f>
        <v>Twitter for Android</v>
      </c>
      <c r="J915" s="2">
        <v>2320</v>
      </c>
      <c r="K915" s="2">
        <v>2265</v>
      </c>
      <c r="L915" s="2">
        <v>3</v>
      </c>
      <c r="M915" s="2"/>
      <c r="N915" s="8">
        <v>42152.759548611109</v>
      </c>
      <c r="O915" s="4" t="s">
        <v>5623</v>
      </c>
      <c r="P915" s="3" t="s">
        <v>5622</v>
      </c>
      <c r="Q915" s="4"/>
      <c r="R915" s="4"/>
      <c r="S915" s="9" t="str">
        <f>HYPERLINK("https://pbs.twimg.com/profile_images/1045277325640781824/EAYjMETX.jpg","View")</f>
        <v>View</v>
      </c>
    </row>
    <row r="916" spans="1:19" ht="20">
      <c r="A916" s="8">
        <v>43370.84207175926</v>
      </c>
      <c r="B916" s="11" t="str">
        <f>HYPERLINK("https://twitter.com/mohajer_ilami","@mohajer_ilami")</f>
        <v>@mohajer_ilami</v>
      </c>
      <c r="C916" s="6" t="s">
        <v>5621</v>
      </c>
      <c r="D916" s="5" t="s">
        <v>5620</v>
      </c>
      <c r="E916" s="9" t="str">
        <f>HYPERLINK("https://twitter.com/mohajer_ilami/status/1045353018298961920","1045353018298961920")</f>
        <v>1045353018298961920</v>
      </c>
      <c r="F916" s="4"/>
      <c r="G916" s="4"/>
      <c r="H916" s="4"/>
      <c r="I916" s="10" t="str">
        <f>HYPERLINK("http://twitter.com/download/android","Twitter for Android")</f>
        <v>Twitter for Android</v>
      </c>
      <c r="J916" s="2">
        <v>1309</v>
      </c>
      <c r="K916" s="2">
        <v>1102</v>
      </c>
      <c r="L916" s="2">
        <v>7</v>
      </c>
      <c r="M916" s="2"/>
      <c r="N916" s="8">
        <v>42268.453773148147</v>
      </c>
      <c r="O916" s="4" t="s">
        <v>62</v>
      </c>
      <c r="P916" s="3" t="s">
        <v>5619</v>
      </c>
      <c r="Q916" s="4"/>
      <c r="R916" s="4"/>
      <c r="S916" s="9" t="str">
        <f>HYPERLINK("https://pbs.twimg.com/profile_images/1034167571594051584/fNJDfJt8.jpg","View")</f>
        <v>View</v>
      </c>
    </row>
    <row r="917" spans="1:19" ht="30">
      <c r="A917" s="8">
        <v>43370.842060185183</v>
      </c>
      <c r="B917" s="11" t="str">
        <f>HYPERLINK("https://twitter.com/HoseinVahdani","@HoseinVahdani")</f>
        <v>@HoseinVahdani</v>
      </c>
      <c r="C917" s="6" t="s">
        <v>5618</v>
      </c>
      <c r="D917" s="5" t="s">
        <v>5617</v>
      </c>
      <c r="E917" s="9" t="str">
        <f>HYPERLINK("https://twitter.com/HoseinVahdani/status/1045353012728877056","1045353012728877056")</f>
        <v>1045353012728877056</v>
      </c>
      <c r="F917" s="4"/>
      <c r="G917" s="4"/>
      <c r="H917" s="4"/>
      <c r="I917" s="10" t="str">
        <f>HYPERLINK("http://twitter.com/download/iphone","Twitter for iPhone")</f>
        <v>Twitter for iPhone</v>
      </c>
      <c r="J917" s="2">
        <v>11266</v>
      </c>
      <c r="K917" s="2">
        <v>286</v>
      </c>
      <c r="L917" s="2">
        <v>59</v>
      </c>
      <c r="M917" s="2"/>
      <c r="N917" s="8">
        <v>40003.562881944446</v>
      </c>
      <c r="O917" s="4"/>
      <c r="P917" s="3" t="s">
        <v>5616</v>
      </c>
      <c r="Q917" s="4"/>
      <c r="R917" s="4"/>
      <c r="S917" s="9" t="str">
        <f>HYPERLINK("https://pbs.twimg.com/profile_images/3673443884/0b082678ceea58ab36762cfafad27def.jpeg","View")</f>
        <v>View</v>
      </c>
    </row>
    <row r="918" spans="1:19" ht="30">
      <c r="A918" s="8">
        <v>43370.84202546296</v>
      </c>
      <c r="B918" s="11" t="str">
        <f>HYPERLINK("https://twitter.com/H_saye98","@H_saye98")</f>
        <v>@H_saye98</v>
      </c>
      <c r="C918" s="6" t="s">
        <v>5615</v>
      </c>
      <c r="D918" s="13" t="s">
        <v>5614</v>
      </c>
      <c r="E918" s="9" t="str">
        <f>HYPERLINK("https://twitter.com/H_saye98/status/1045353000909369344","1045353000909369344")</f>
        <v>1045353000909369344</v>
      </c>
      <c r="F918" s="4"/>
      <c r="G918" s="4"/>
      <c r="H918" s="4"/>
      <c r="I918" s="10" t="str">
        <f>HYPERLINK("http://twitter.com/download/android","Twitter for Android")</f>
        <v>Twitter for Android</v>
      </c>
      <c r="J918" s="2">
        <v>2406</v>
      </c>
      <c r="K918" s="2">
        <v>1553</v>
      </c>
      <c r="L918" s="2">
        <v>9</v>
      </c>
      <c r="M918" s="2"/>
      <c r="N918" s="8">
        <v>42917.814016203702</v>
      </c>
      <c r="O918" s="4" t="s">
        <v>5613</v>
      </c>
      <c r="P918" s="3" t="s">
        <v>5612</v>
      </c>
      <c r="Q918" s="10" t="s">
        <v>5611</v>
      </c>
      <c r="R918" s="4"/>
      <c r="S918" s="9" t="str">
        <f>HYPERLINK("https://pbs.twimg.com/profile_images/1028989549102415873/fEGwYU2G.jpg","View")</f>
        <v>View</v>
      </c>
    </row>
    <row r="919" spans="1:19" ht="20">
      <c r="A919" s="8">
        <v>43370.841990740737</v>
      </c>
      <c r="B919" s="11" t="str">
        <f>HYPERLINK("https://twitter.com/siyasepid","@siyasepid")</f>
        <v>@siyasepid</v>
      </c>
      <c r="C919" s="6" t="s">
        <v>5610</v>
      </c>
      <c r="D919" s="5" t="s">
        <v>5609</v>
      </c>
      <c r="E919" s="9" t="str">
        <f>HYPERLINK("https://twitter.com/siyasepid/status/1045352986329980929","1045352986329980929")</f>
        <v>1045352986329980929</v>
      </c>
      <c r="F919" s="4"/>
      <c r="G919" s="4"/>
      <c r="H919" s="4"/>
      <c r="I919" s="10" t="str">
        <f>HYPERLINK("http://twitter.com/download/android","Twitter for Android")</f>
        <v>Twitter for Android</v>
      </c>
      <c r="J919" s="2">
        <v>200</v>
      </c>
      <c r="K919" s="2">
        <v>219</v>
      </c>
      <c r="L919" s="2">
        <v>0</v>
      </c>
      <c r="M919" s="2"/>
      <c r="N919" s="8">
        <v>43104.559537037036</v>
      </c>
      <c r="O919" s="4"/>
      <c r="P919" s="3" t="s">
        <v>5608</v>
      </c>
      <c r="Q919" s="4"/>
      <c r="R919" s="4"/>
      <c r="S919" s="9" t="str">
        <f>HYPERLINK("https://pbs.twimg.com/profile_images/1002993579285938176/7JnPoyrX.jpg","View")</f>
        <v>View</v>
      </c>
    </row>
    <row r="920" spans="1:19" ht="40">
      <c r="A920" s="8">
        <v>43370.841898148152</v>
      </c>
      <c r="B920" s="11" t="str">
        <f>HYPERLINK("https://twitter.com/ehsan_rastgar","@ehsan_rastgar")</f>
        <v>@ehsan_rastgar</v>
      </c>
      <c r="C920" s="6" t="s">
        <v>3214</v>
      </c>
      <c r="D920" s="5" t="s">
        <v>5607</v>
      </c>
      <c r="E920" s="9" t="str">
        <f>HYPERLINK("https://twitter.com/ehsan_rastgar/status/1045352952398057472","1045352952398057472")</f>
        <v>1045352952398057472</v>
      </c>
      <c r="F920" s="4"/>
      <c r="G920" s="10" t="s">
        <v>5606</v>
      </c>
      <c r="H920" s="4"/>
      <c r="I920" s="10" t="str">
        <f>HYPERLINK("http://twitter.com/download/android","Twitter for Android")</f>
        <v>Twitter for Android</v>
      </c>
      <c r="J920" s="2">
        <v>25392</v>
      </c>
      <c r="K920" s="2">
        <v>16509</v>
      </c>
      <c r="L920" s="2">
        <v>84</v>
      </c>
      <c r="M920" s="2"/>
      <c r="N920" s="8">
        <v>41924.946435185186</v>
      </c>
      <c r="O920" s="4" t="s">
        <v>10</v>
      </c>
      <c r="P920" s="3" t="s">
        <v>3211</v>
      </c>
      <c r="Q920" s="10" t="s">
        <v>3210</v>
      </c>
      <c r="R920" s="4"/>
      <c r="S920" s="9" t="str">
        <f>HYPERLINK("https://pbs.twimg.com/profile_images/864110040806035457/JAqs6HgK.jpg","View")</f>
        <v>View</v>
      </c>
    </row>
    <row r="921" spans="1:19" ht="20">
      <c r="A921" s="8">
        <v>43370.841712962967</v>
      </c>
      <c r="B921" s="11" t="str">
        <f>HYPERLINK("https://twitter.com/hossein6857","@hossein6857")</f>
        <v>@hossein6857</v>
      </c>
      <c r="C921" s="6" t="s">
        <v>5605</v>
      </c>
      <c r="D921" s="5" t="s">
        <v>5604</v>
      </c>
      <c r="E921" s="9" t="str">
        <f>HYPERLINK("https://twitter.com/hossein6857/status/1045352886857871360","1045352886857871360")</f>
        <v>1045352886857871360</v>
      </c>
      <c r="F921" s="4"/>
      <c r="G921" s="10" t="s">
        <v>5603</v>
      </c>
      <c r="H921" s="4"/>
      <c r="I921" s="10" t="str">
        <f>HYPERLINK("http://twitter.com/download/android","Twitter for Android")</f>
        <v>Twitter for Android</v>
      </c>
      <c r="J921" s="2">
        <v>5373</v>
      </c>
      <c r="K921" s="2">
        <v>1058</v>
      </c>
      <c r="L921" s="2">
        <v>19</v>
      </c>
      <c r="M921" s="2"/>
      <c r="N921" s="8">
        <v>42578.072152777779</v>
      </c>
      <c r="O921" s="4"/>
      <c r="P921" s="3" t="s">
        <v>5602</v>
      </c>
      <c r="Q921" s="4"/>
      <c r="R921" s="4"/>
      <c r="S921" s="9" t="str">
        <f>HYPERLINK("https://pbs.twimg.com/profile_images/1043399191484096512/KdJlpMZa.jpg","View")</f>
        <v>View</v>
      </c>
    </row>
    <row r="922" spans="1:19" ht="12.5">
      <c r="A922" s="8">
        <v>43370.841689814813</v>
      </c>
      <c r="B922" s="11" t="str">
        <f>HYPERLINK("https://twitter.com/MNoorbahr","@MNoorbahr")</f>
        <v>@MNoorbahr</v>
      </c>
      <c r="C922" s="6" t="s">
        <v>5601</v>
      </c>
      <c r="D922" s="5" t="s">
        <v>5333</v>
      </c>
      <c r="E922" s="9" t="str">
        <f>HYPERLINK("https://twitter.com/MNoorbahr/status/1045352876334243840","1045352876334243840")</f>
        <v>1045352876334243840</v>
      </c>
      <c r="F922" s="4"/>
      <c r="G922" s="4"/>
      <c r="H922" s="4"/>
      <c r="I922" s="10" t="str">
        <f>HYPERLINK("http://twitter.com/download/iphone","Twitter for iPhone")</f>
        <v>Twitter for iPhone</v>
      </c>
      <c r="J922" s="2">
        <v>26</v>
      </c>
      <c r="K922" s="2">
        <v>142</v>
      </c>
      <c r="L922" s="2">
        <v>0</v>
      </c>
      <c r="M922" s="2"/>
      <c r="N922" s="8">
        <v>41864.526053240741</v>
      </c>
      <c r="O922" s="4"/>
      <c r="P922" s="3"/>
      <c r="Q922" s="4"/>
      <c r="R922" s="4"/>
      <c r="S922" s="9" t="str">
        <f>HYPERLINK("https://pbs.twimg.com/profile_images/1009491462893924353/vYoWW7bc.jpg","View")</f>
        <v>View</v>
      </c>
    </row>
    <row r="923" spans="1:19" ht="12.5">
      <c r="A923" s="8">
        <v>43370.841574074075</v>
      </c>
      <c r="B923" s="11" t="str">
        <f>HYPERLINK("https://twitter.com/hamohos","@hamohos")</f>
        <v>@hamohos</v>
      </c>
      <c r="C923" s="6" t="s">
        <v>4482</v>
      </c>
      <c r="D923" s="5" t="s">
        <v>5600</v>
      </c>
      <c r="E923" s="9" t="str">
        <f>HYPERLINK("https://twitter.com/hamohos/status/1045352835863457793","1045352835863457793")</f>
        <v>1045352835863457793</v>
      </c>
      <c r="F923" s="4"/>
      <c r="G923" s="4"/>
      <c r="H923" s="4"/>
      <c r="I923" s="10" t="str">
        <f>HYPERLINK("http://twitter.com/download/android","Twitter for Android")</f>
        <v>Twitter for Android</v>
      </c>
      <c r="J923" s="2">
        <v>853</v>
      </c>
      <c r="K923" s="2">
        <v>364</v>
      </c>
      <c r="L923" s="2">
        <v>4</v>
      </c>
      <c r="M923" s="2"/>
      <c r="N923" s="8">
        <v>42546.527777777781</v>
      </c>
      <c r="O923" s="4" t="s">
        <v>4480</v>
      </c>
      <c r="P923" s="3" t="s">
        <v>4479</v>
      </c>
      <c r="Q923" s="10" t="s">
        <v>4478</v>
      </c>
      <c r="R923" s="4"/>
      <c r="S923" s="9" t="str">
        <f>HYPERLINK("https://pbs.twimg.com/profile_images/1040312267433238528/ufiXcHPN.jpg","View")</f>
        <v>View</v>
      </c>
    </row>
    <row r="924" spans="1:19" ht="20">
      <c r="A924" s="8">
        <v>43370.841516203705</v>
      </c>
      <c r="B924" s="11" t="str">
        <f>HYPERLINK("https://twitter.com/zaahraabigdeli","@zaahraabigdeli")</f>
        <v>@zaahraabigdeli</v>
      </c>
      <c r="C924" s="6" t="s">
        <v>4587</v>
      </c>
      <c r="D924" s="5" t="s">
        <v>5599</v>
      </c>
      <c r="E924" s="9" t="str">
        <f>HYPERLINK("https://twitter.com/zaahraabigdeli/status/1045352816888492032","1045352816888492032")</f>
        <v>1045352816888492032</v>
      </c>
      <c r="F924" s="4"/>
      <c r="G924" s="4"/>
      <c r="H924" s="4"/>
      <c r="I924" s="10" t="str">
        <f>HYPERLINK("http://twitter.com/download/iphone","Twitter for iPhone")</f>
        <v>Twitter for iPhone</v>
      </c>
      <c r="J924" s="2">
        <v>25</v>
      </c>
      <c r="K924" s="2">
        <v>326</v>
      </c>
      <c r="L924" s="2">
        <v>0</v>
      </c>
      <c r="M924" s="2"/>
      <c r="N924" s="8">
        <v>42850.963368055556</v>
      </c>
      <c r="O924" s="4" t="s">
        <v>200</v>
      </c>
      <c r="P924" s="3" t="s">
        <v>5598</v>
      </c>
      <c r="Q924" s="4"/>
      <c r="R924" s="4"/>
      <c r="S924" s="9" t="str">
        <f>HYPERLINK("https://pbs.twimg.com/profile_images/1040297004566503430/ZYgrYsid.jpg","View")</f>
        <v>View</v>
      </c>
    </row>
    <row r="925" spans="1:19" ht="20">
      <c r="A925" s="8">
        <v>43370.841504629629</v>
      </c>
      <c r="B925" s="11" t="str">
        <f>HYPERLINK("https://twitter.com/dekidoci","@dekidoci")</f>
        <v>@dekidoci</v>
      </c>
      <c r="C925" s="6" t="s">
        <v>5597</v>
      </c>
      <c r="D925" s="5" t="s">
        <v>5596</v>
      </c>
      <c r="E925" s="9" t="str">
        <f>HYPERLINK("https://twitter.com/dekidoci/status/1045352812249575424","1045352812249575424")</f>
        <v>1045352812249575424</v>
      </c>
      <c r="F925" s="4"/>
      <c r="G925" s="4"/>
      <c r="H925" s="4"/>
      <c r="I925" s="10" t="str">
        <f>HYPERLINK("http://twitter.com/download/android","Twitter for Android")</f>
        <v>Twitter for Android</v>
      </c>
      <c r="J925" s="2">
        <v>114</v>
      </c>
      <c r="K925" s="2">
        <v>66</v>
      </c>
      <c r="L925" s="2">
        <v>0</v>
      </c>
      <c r="M925" s="2"/>
      <c r="N925" s="8">
        <v>42167.615601851852</v>
      </c>
      <c r="O925" s="4" t="s">
        <v>69</v>
      </c>
      <c r="P925" s="3" t="s">
        <v>5595</v>
      </c>
      <c r="Q925" s="4"/>
      <c r="R925" s="4"/>
      <c r="S925" s="9" t="str">
        <f>HYPERLINK("https://pbs.twimg.com/profile_images/1019554136105324545/aYbTx7Ra.jpg","View")</f>
        <v>View</v>
      </c>
    </row>
    <row r="926" spans="1:19" ht="40">
      <c r="A926" s="8">
        <v>43370.841493055559</v>
      </c>
      <c r="B926" s="11" t="str">
        <f>HYPERLINK("https://twitter.com/FcEsteghlal","@FcEsteghlal")</f>
        <v>@FcEsteghlal</v>
      </c>
      <c r="C926" s="6" t="s">
        <v>2582</v>
      </c>
      <c r="D926" s="5" t="s">
        <v>5594</v>
      </c>
      <c r="E926" s="9" t="str">
        <f>HYPERLINK("https://twitter.com/FcEsteghlal/status/1045352804943122432","1045352804943122432")</f>
        <v>1045352804943122432</v>
      </c>
      <c r="F926" s="4"/>
      <c r="G926" s="4"/>
      <c r="H926" s="4"/>
      <c r="I926" s="10" t="str">
        <f>HYPERLINK("http://twitter.com","Twitter Web Client")</f>
        <v>Twitter Web Client</v>
      </c>
      <c r="J926" s="2">
        <v>30061</v>
      </c>
      <c r="K926" s="2">
        <v>20</v>
      </c>
      <c r="L926" s="2">
        <v>94</v>
      </c>
      <c r="M926" s="2"/>
      <c r="N926" s="8">
        <v>40386.474282407406</v>
      </c>
      <c r="O926" s="4" t="s">
        <v>2579</v>
      </c>
      <c r="P926" s="3" t="s">
        <v>2578</v>
      </c>
      <c r="Q926" s="10" t="s">
        <v>2577</v>
      </c>
      <c r="R926" s="4"/>
      <c r="S926" s="9" t="str">
        <f>HYPERLINK("https://pbs.twimg.com/profile_images/873957969242804224/bHd1FU0k.jpg","View")</f>
        <v>View</v>
      </c>
    </row>
    <row r="927" spans="1:19" ht="20">
      <c r="A927" s="8">
        <v>43370.841423611113</v>
      </c>
      <c r="B927" s="11" t="str">
        <f>HYPERLINK("https://twitter.com/Azadi__2018","@Azadi__2018")</f>
        <v>@Azadi__2018</v>
      </c>
      <c r="C927" s="6" t="s">
        <v>5593</v>
      </c>
      <c r="D927" s="5" t="s">
        <v>5592</v>
      </c>
      <c r="E927" s="9" t="str">
        <f>HYPERLINK("https://twitter.com/Azadi__2018/status/1045352783208218624","1045352783208218624")</f>
        <v>1045352783208218624</v>
      </c>
      <c r="F927" s="4"/>
      <c r="G927" s="4"/>
      <c r="H927" s="4"/>
      <c r="I927" s="10" t="str">
        <f>HYPERLINK("http://twitter.com/download/android","Twitter for Android")</f>
        <v>Twitter for Android</v>
      </c>
      <c r="J927" s="2">
        <v>1</v>
      </c>
      <c r="K927" s="2">
        <v>1</v>
      </c>
      <c r="L927" s="2">
        <v>0</v>
      </c>
      <c r="M927" s="2"/>
      <c r="N927" s="8">
        <v>43369.760555555556</v>
      </c>
      <c r="O927" s="4" t="s">
        <v>949</v>
      </c>
      <c r="P927" s="3" t="s">
        <v>5591</v>
      </c>
      <c r="Q927" s="4"/>
      <c r="R927" s="4"/>
      <c r="S927" s="9" t="str">
        <f>HYPERLINK("https://pbs.twimg.com/profile_images/1044961507266752514/N3d45p7o.jpg","View")</f>
        <v>View</v>
      </c>
    </row>
    <row r="928" spans="1:19" ht="12.5">
      <c r="A928" s="8">
        <v>43370.84138888889</v>
      </c>
      <c r="B928" s="11" t="str">
        <f>HYPERLINK("https://twitter.com/kim2_kim98","@kim2_kim98")</f>
        <v>@kim2_kim98</v>
      </c>
      <c r="C928" s="6" t="s">
        <v>4658</v>
      </c>
      <c r="D928" s="5" t="s">
        <v>5590</v>
      </c>
      <c r="E928" s="9" t="str">
        <f>HYPERLINK("https://twitter.com/kim2_kim98/status/1045352770969251840","1045352770969251840")</f>
        <v>1045352770969251840</v>
      </c>
      <c r="F928" s="4"/>
      <c r="G928" s="4"/>
      <c r="H928" s="4"/>
      <c r="I928" s="10" t="str">
        <f>HYPERLINK("http://twitter.com/download/iphone","Twitter for iPhone")</f>
        <v>Twitter for iPhone</v>
      </c>
      <c r="J928" s="2">
        <v>4278</v>
      </c>
      <c r="K928" s="2">
        <v>420</v>
      </c>
      <c r="L928" s="2">
        <v>15</v>
      </c>
      <c r="M928" s="2"/>
      <c r="N928" s="8">
        <v>42743.55201388889</v>
      </c>
      <c r="O928" s="4" t="s">
        <v>4656</v>
      </c>
      <c r="P928" s="3" t="s">
        <v>4655</v>
      </c>
      <c r="Q928" s="10" t="s">
        <v>4654</v>
      </c>
      <c r="R928" s="4"/>
      <c r="S928" s="9" t="str">
        <f>HYPERLINK("https://pbs.twimg.com/profile_images/1045293013143093249/f-ulw89k.jpg","View")</f>
        <v>View</v>
      </c>
    </row>
    <row r="929" spans="1:19" ht="40">
      <c r="A929" s="8">
        <v>43370.84138888889</v>
      </c>
      <c r="B929" s="11" t="str">
        <f>HYPERLINK("https://twitter.com/iiCiiGiirl","@iiCiiGiirl")</f>
        <v>@iiCiiGiirl</v>
      </c>
      <c r="C929" s="6" t="s">
        <v>5589</v>
      </c>
      <c r="D929" s="5" t="s">
        <v>5588</v>
      </c>
      <c r="E929" s="9" t="str">
        <f>HYPERLINK("https://twitter.com/iiCiiGiirl/status/1045352770423918594","1045352770423918594")</f>
        <v>1045352770423918594</v>
      </c>
      <c r="F929" s="4"/>
      <c r="G929" s="4"/>
      <c r="H929" s="4"/>
      <c r="I929" s="10" t="str">
        <f>HYPERLINK("http://twitter.com/download/iphone","Twitter for iPhone")</f>
        <v>Twitter for iPhone</v>
      </c>
      <c r="J929" s="2">
        <v>1039</v>
      </c>
      <c r="K929" s="2">
        <v>494</v>
      </c>
      <c r="L929" s="2">
        <v>8</v>
      </c>
      <c r="M929" s="2"/>
      <c r="N929" s="8">
        <v>42381.529513888891</v>
      </c>
      <c r="O929" s="4" t="s">
        <v>10</v>
      </c>
      <c r="P929" s="3" t="s">
        <v>5587</v>
      </c>
      <c r="Q929" s="4"/>
      <c r="R929" s="4"/>
      <c r="S929" s="9" t="str">
        <f>HYPERLINK("https://pbs.twimg.com/profile_images/932253081353576448/_YN6mJYe.jpg","View")</f>
        <v>View</v>
      </c>
    </row>
    <row r="930" spans="1:19" ht="40">
      <c r="A930" s="8">
        <v>43370.841342592597</v>
      </c>
      <c r="B930" s="11" t="str">
        <f>HYPERLINK("https://twitter.com/Armagha61815017","@Armagha61815017")</f>
        <v>@Armagha61815017</v>
      </c>
      <c r="C930" s="6" t="s">
        <v>5586</v>
      </c>
      <c r="D930" s="5" t="s">
        <v>5585</v>
      </c>
      <c r="E930" s="9" t="str">
        <f>HYPERLINK("https://twitter.com/Armagha61815017/status/1045352752195538949","1045352752195538949")</f>
        <v>1045352752195538949</v>
      </c>
      <c r="F930" s="4"/>
      <c r="G930" s="10" t="s">
        <v>5584</v>
      </c>
      <c r="H930" s="4"/>
      <c r="I930" s="10" t="str">
        <f>HYPERLINK("http://twitter.com/download/android","Twitter for Android")</f>
        <v>Twitter for Android</v>
      </c>
      <c r="J930" s="2">
        <v>4</v>
      </c>
      <c r="K930" s="2">
        <v>35</v>
      </c>
      <c r="L930" s="2">
        <v>0</v>
      </c>
      <c r="M930" s="2"/>
      <c r="N930" s="8">
        <v>43369.778946759259</v>
      </c>
      <c r="O930" s="4"/>
      <c r="P930" s="3"/>
      <c r="Q930" s="4"/>
      <c r="R930" s="4"/>
      <c r="S930" s="9" t="str">
        <f>HYPERLINK("https://pbs.twimg.com/profile_images/1044970962679148546/abuy6REH.jpg","View")</f>
        <v>View</v>
      </c>
    </row>
    <row r="931" spans="1:19" ht="12.5">
      <c r="A931" s="8">
        <v>43370.841238425928</v>
      </c>
      <c r="B931" s="11" t="str">
        <f>HYPERLINK("https://twitter.com/Nimaashoori","@Nimaashoori")</f>
        <v>@Nimaashoori</v>
      </c>
      <c r="C931" s="6" t="s">
        <v>5583</v>
      </c>
      <c r="D931" s="5" t="s">
        <v>5582</v>
      </c>
      <c r="E931" s="9" t="str">
        <f>HYPERLINK("https://twitter.com/Nimaashoori/status/1045352713301749760","1045352713301749760")</f>
        <v>1045352713301749760</v>
      </c>
      <c r="F931" s="4"/>
      <c r="G931" s="4"/>
      <c r="H931" s="4"/>
      <c r="I931" s="10" t="str">
        <f>HYPERLINK("http://twitter.com","Twitter Web Client")</f>
        <v>Twitter Web Client</v>
      </c>
      <c r="J931" s="2">
        <v>67</v>
      </c>
      <c r="K931" s="2">
        <v>151</v>
      </c>
      <c r="L931" s="2">
        <v>1</v>
      </c>
      <c r="M931" s="2"/>
      <c r="N931" s="8">
        <v>40736.752581018518</v>
      </c>
      <c r="O931" s="4" t="s">
        <v>10</v>
      </c>
      <c r="P931" s="3" t="s">
        <v>5581</v>
      </c>
      <c r="Q931" s="10" t="s">
        <v>5580</v>
      </c>
      <c r="R931" s="4"/>
      <c r="S931" s="9" t="str">
        <f>HYPERLINK("https://pbs.twimg.com/profile_images/1039053434102657025/2g5WW659.jpg","View")</f>
        <v>View</v>
      </c>
    </row>
    <row r="932" spans="1:19" ht="20">
      <c r="A932" s="8">
        <v>43370.841203703705</v>
      </c>
      <c r="B932" s="11" t="str">
        <f>HYPERLINK("https://twitter.com/lvlash_4li","@lvlash_4li")</f>
        <v>@lvlash_4li</v>
      </c>
      <c r="C932" s="6" t="s">
        <v>5579</v>
      </c>
      <c r="D932" s="5" t="s">
        <v>5578</v>
      </c>
      <c r="E932" s="9" t="str">
        <f>HYPERLINK("https://twitter.com/lvlash_4li/status/1045352703470301190","1045352703470301190")</f>
        <v>1045352703470301190</v>
      </c>
      <c r="F932" s="4"/>
      <c r="G932" s="4"/>
      <c r="H932" s="4"/>
      <c r="I932" s="10" t="str">
        <f>HYPERLINK("http://twitter.com/download/android","Twitter for Android")</f>
        <v>Twitter for Android</v>
      </c>
      <c r="J932" s="2">
        <v>28</v>
      </c>
      <c r="K932" s="2">
        <v>55</v>
      </c>
      <c r="L932" s="2">
        <v>0</v>
      </c>
      <c r="M932" s="2"/>
      <c r="N932" s="8">
        <v>43325.986388888894</v>
      </c>
      <c r="O932" s="4" t="s">
        <v>5577</v>
      </c>
      <c r="P932" s="3" t="s">
        <v>5576</v>
      </c>
      <c r="Q932" s="4"/>
      <c r="R932" s="4"/>
      <c r="S932" s="9" t="str">
        <f>HYPERLINK("https://pbs.twimg.com/profile_images/1030387576950206464/CrgUo31T.jpg","View")</f>
        <v>View</v>
      </c>
    </row>
    <row r="933" spans="1:19" ht="12.5">
      <c r="A933" s="8">
        <v>43370.841192129628</v>
      </c>
      <c r="B933" s="11" t="str">
        <f>HYPERLINK("https://twitter.com/MadMetalMusic","@MadMetalMusic")</f>
        <v>@MadMetalMusic</v>
      </c>
      <c r="C933" s="6" t="s">
        <v>5575</v>
      </c>
      <c r="D933" s="5" t="s">
        <v>5574</v>
      </c>
      <c r="E933" s="9" t="str">
        <f>HYPERLINK("https://twitter.com/MadMetalMusic/status/1045352699414421504","1045352699414421504")</f>
        <v>1045352699414421504</v>
      </c>
      <c r="F933" s="4"/>
      <c r="G933" s="4"/>
      <c r="H933" s="4"/>
      <c r="I933" s="10" t="str">
        <f>HYPERLINK("http://twitter.com/download/iphone","Twitter for iPhone")</f>
        <v>Twitter for iPhone</v>
      </c>
      <c r="J933" s="2">
        <v>11</v>
      </c>
      <c r="K933" s="2">
        <v>1</v>
      </c>
      <c r="L933" s="2">
        <v>0</v>
      </c>
      <c r="M933" s="2"/>
      <c r="N933" s="8">
        <v>41332.100243055553</v>
      </c>
      <c r="O933" s="4" t="s">
        <v>5573</v>
      </c>
      <c r="P933" s="3" t="s">
        <v>5572</v>
      </c>
      <c r="Q933" s="10" t="s">
        <v>5571</v>
      </c>
      <c r="R933" s="4"/>
      <c r="S933" s="9" t="str">
        <f>HYPERLINK("https://pbs.twimg.com/profile_images/892419382806274048/NJnJtKLv.jpg","View")</f>
        <v>View</v>
      </c>
    </row>
    <row r="934" spans="1:19" ht="40">
      <c r="A934" s="8">
        <v>43370.840879629628</v>
      </c>
      <c r="B934" s="11" t="str">
        <f>HYPERLINK("https://twitter.com/CalcioIraniano","@CalcioIraniano")</f>
        <v>@CalcioIraniano</v>
      </c>
      <c r="C934" s="6" t="s">
        <v>1078</v>
      </c>
      <c r="D934" s="5" t="s">
        <v>5570</v>
      </c>
      <c r="E934" s="9" t="str">
        <f>HYPERLINK("https://twitter.com/CalcioIraniano/status/1045352583001493504","1045352583001493504")</f>
        <v>1045352583001493504</v>
      </c>
      <c r="F934" s="4"/>
      <c r="G934" s="4"/>
      <c r="H934" s="4"/>
      <c r="I934" s="10" t="str">
        <f>HYPERLINK("http://twitter.com","Twitter Web Client")</f>
        <v>Twitter Web Client</v>
      </c>
      <c r="J934" s="2">
        <v>98</v>
      </c>
      <c r="K934" s="2">
        <v>73</v>
      </c>
      <c r="L934" s="2">
        <v>2</v>
      </c>
      <c r="M934" s="2"/>
      <c r="N934" s="8">
        <v>42943.737407407403</v>
      </c>
      <c r="O934" s="4" t="s">
        <v>1075</v>
      </c>
      <c r="P934" s="3" t="s">
        <v>1074</v>
      </c>
      <c r="Q934" s="10" t="s">
        <v>1073</v>
      </c>
      <c r="R934" s="4"/>
      <c r="S934" s="9" t="str">
        <f>HYPERLINK("https://pbs.twimg.com/profile_images/890563384915243008/kZ2we3yk.jpg","View")</f>
        <v>View</v>
      </c>
    </row>
    <row r="935" spans="1:19" ht="20">
      <c r="A935" s="8">
        <v>43370.840868055559</v>
      </c>
      <c r="B935" s="11" t="str">
        <f>HYPERLINK("https://twitter.com/Itmeansunique","@Itmeansunique")</f>
        <v>@Itmeansunique</v>
      </c>
      <c r="C935" s="6" t="s">
        <v>5569</v>
      </c>
      <c r="D935" s="5" t="s">
        <v>5568</v>
      </c>
      <c r="E935" s="9" t="str">
        <f>HYPERLINK("https://twitter.com/Itmeansunique/status/1045352581881638912","1045352581881638912")</f>
        <v>1045352581881638912</v>
      </c>
      <c r="F935" s="4"/>
      <c r="G935" s="4"/>
      <c r="H935" s="4"/>
      <c r="I935" s="10" t="str">
        <f>HYPERLINK("http://twitter.com/download/android","Twitter for Android")</f>
        <v>Twitter for Android</v>
      </c>
      <c r="J935" s="2">
        <v>1008</v>
      </c>
      <c r="K935" s="2">
        <v>97</v>
      </c>
      <c r="L935" s="2">
        <v>9</v>
      </c>
      <c r="M935" s="2"/>
      <c r="N935" s="8">
        <v>42148.871759259258</v>
      </c>
      <c r="O935" s="4" t="s">
        <v>1725</v>
      </c>
      <c r="P935" s="3" t="s">
        <v>5567</v>
      </c>
      <c r="Q935" s="4"/>
      <c r="R935" s="4"/>
      <c r="S935" s="9" t="str">
        <f>HYPERLINK("https://pbs.twimg.com/profile_images/1039934399285026822/nbosRENv.jpg","View")</f>
        <v>View</v>
      </c>
    </row>
    <row r="936" spans="1:19" ht="12.5">
      <c r="A936" s="8">
        <v>43370.840787037036</v>
      </c>
      <c r="B936" s="11" t="str">
        <f>HYPERLINK("https://twitter.com/alismakh","@alismakh")</f>
        <v>@alismakh</v>
      </c>
      <c r="C936" s="6" t="s">
        <v>5566</v>
      </c>
      <c r="D936" s="5" t="s">
        <v>5565</v>
      </c>
      <c r="E936" s="9" t="str">
        <f>HYPERLINK("https://twitter.com/alismakh/status/1045352552399818760","1045352552399818760")</f>
        <v>1045352552399818760</v>
      </c>
      <c r="F936" s="4"/>
      <c r="G936" s="4"/>
      <c r="H936" s="4"/>
      <c r="I936" s="10" t="str">
        <f>HYPERLINK("https://mobile.twitter.com","Twitter Lite")</f>
        <v>Twitter Lite</v>
      </c>
      <c r="J936" s="2">
        <v>3957</v>
      </c>
      <c r="K936" s="2">
        <v>638</v>
      </c>
      <c r="L936" s="2">
        <v>22</v>
      </c>
      <c r="M936" s="2"/>
      <c r="N936" s="8">
        <v>42713.030902777777</v>
      </c>
      <c r="O936" s="4" t="s">
        <v>5564</v>
      </c>
      <c r="P936" s="3" t="s">
        <v>5563</v>
      </c>
      <c r="Q936" s="10" t="s">
        <v>5562</v>
      </c>
      <c r="R936" s="4"/>
      <c r="S936" s="9" t="str">
        <f>HYPERLINK("https://pbs.twimg.com/profile_images/1044481617199333381/-X0_u66c.jpg","View")</f>
        <v>View</v>
      </c>
    </row>
    <row r="937" spans="1:19" ht="12.5">
      <c r="A937" s="8">
        <v>43370.840787037036</v>
      </c>
      <c r="B937" s="11" t="str">
        <f>HYPERLINK("https://twitter.com/Mhnds_87","@Mhnds_87")</f>
        <v>@Mhnds_87</v>
      </c>
      <c r="C937" s="6" t="s">
        <v>4103</v>
      </c>
      <c r="D937" s="5" t="s">
        <v>5561</v>
      </c>
      <c r="E937" s="9" t="str">
        <f>HYPERLINK("https://twitter.com/Mhnds_87/status/1045352550986321921","1045352550986321921")</f>
        <v>1045352550986321921</v>
      </c>
      <c r="F937" s="4"/>
      <c r="G937" s="4"/>
      <c r="H937" s="4"/>
      <c r="I937" s="10" t="str">
        <f>HYPERLINK("http://twitter.com/download/android","Twitter for Android")</f>
        <v>Twitter for Android</v>
      </c>
      <c r="J937" s="2">
        <v>213</v>
      </c>
      <c r="K937" s="2">
        <v>306</v>
      </c>
      <c r="L937" s="2">
        <v>2</v>
      </c>
      <c r="M937" s="2"/>
      <c r="N937" s="8">
        <v>40587.005601851852</v>
      </c>
      <c r="O937" s="4" t="s">
        <v>1493</v>
      </c>
      <c r="P937" s="3" t="s">
        <v>4101</v>
      </c>
      <c r="Q937" s="4"/>
      <c r="R937" s="4"/>
      <c r="S937" s="9" t="str">
        <f>HYPERLINK("https://pbs.twimg.com/profile_images/1045327408377851905/Qn2GIZ_P.jpg","View")</f>
        <v>View</v>
      </c>
    </row>
    <row r="938" spans="1:19" ht="12.5">
      <c r="A938" s="8">
        <v>43370.804791666669</v>
      </c>
      <c r="B938" s="11" t="str">
        <f>HYPERLINK("https://twitter.com/lachin","@lachin")</f>
        <v>@lachin</v>
      </c>
      <c r="C938" s="6" t="s">
        <v>5560</v>
      </c>
      <c r="D938" s="5" t="s">
        <v>5559</v>
      </c>
      <c r="E938" s="9" t="str">
        <f>HYPERLINK("https://twitter.com/lachin/status/1045339507674042369","1045339507674042369")</f>
        <v>1045339507674042369</v>
      </c>
      <c r="F938" s="4"/>
      <c r="G938" s="4"/>
      <c r="H938" s="4"/>
      <c r="I938" s="10" t="str">
        <f>HYPERLINK("http://twitter.com/download/android","Twitter for Android")</f>
        <v>Twitter for Android</v>
      </c>
      <c r="J938" s="2">
        <v>349</v>
      </c>
      <c r="K938" s="2">
        <v>321</v>
      </c>
      <c r="L938" s="2">
        <v>7</v>
      </c>
      <c r="M938" s="2"/>
      <c r="N938" s="8">
        <v>39168.76767361111</v>
      </c>
      <c r="O938" s="4"/>
      <c r="P938" s="3" t="s">
        <v>5558</v>
      </c>
      <c r="Q938" s="4"/>
      <c r="R938" s="4"/>
      <c r="S938" s="9" t="str">
        <f>HYPERLINK("https://pbs.twimg.com/profile_images/1022085117177737216/amO6utS-.jpg","View")</f>
        <v>View</v>
      </c>
    </row>
    <row r="939" spans="1:19" ht="20">
      <c r="A939" s="8">
        <v>43370.804780092592</v>
      </c>
      <c r="B939" s="11" t="str">
        <f>HYPERLINK("https://twitter.com/NesarBanoo","@NesarBanoo")</f>
        <v>@NesarBanoo</v>
      </c>
      <c r="C939" s="6" t="s">
        <v>5557</v>
      </c>
      <c r="D939" s="5" t="s">
        <v>5556</v>
      </c>
      <c r="E939" s="9" t="str">
        <f>HYPERLINK("https://twitter.com/NesarBanoo/status/1045339501592227841","1045339501592227841")</f>
        <v>1045339501592227841</v>
      </c>
      <c r="F939" s="4"/>
      <c r="G939" s="4"/>
      <c r="H939" s="4"/>
      <c r="I939" s="10" t="str">
        <f>HYPERLINK("https://mobile.twitter.com","Twitter Lite")</f>
        <v>Twitter Lite</v>
      </c>
      <c r="J939" s="2">
        <v>70</v>
      </c>
      <c r="K939" s="2">
        <v>96</v>
      </c>
      <c r="L939" s="2">
        <v>0</v>
      </c>
      <c r="M939" s="2"/>
      <c r="N939" s="8">
        <v>42428.007708333331</v>
      </c>
      <c r="O939" s="4"/>
      <c r="P939" s="3" t="s">
        <v>5555</v>
      </c>
      <c r="Q939" s="4"/>
      <c r="R939" s="4"/>
      <c r="S939" s="9" t="str">
        <f>HYPERLINK("https://pbs.twimg.com/profile_images/1043216442458423296/X-gQiiz0.jpg","View")</f>
        <v>View</v>
      </c>
    </row>
    <row r="940" spans="1:19" ht="20">
      <c r="A940" s="8">
        <v>43370.804756944446</v>
      </c>
      <c r="B940" s="11" t="str">
        <f>HYPERLINK("https://twitter.com/ho3inshah13","@ho3inshah13")</f>
        <v>@ho3inshah13</v>
      </c>
      <c r="C940" s="6" t="s">
        <v>4235</v>
      </c>
      <c r="D940" s="5" t="s">
        <v>5554</v>
      </c>
      <c r="E940" s="9" t="str">
        <f>HYPERLINK("https://twitter.com/ho3inshah13/status/1045339495116296192","1045339495116296192")</f>
        <v>1045339495116296192</v>
      </c>
      <c r="F940" s="4"/>
      <c r="G940" s="4"/>
      <c r="H940" s="4"/>
      <c r="I940" s="10" t="str">
        <f>HYPERLINK("http://twitter.com/download/iphone","Twitter for iPhone")</f>
        <v>Twitter for iPhone</v>
      </c>
      <c r="J940" s="2">
        <v>138</v>
      </c>
      <c r="K940" s="2">
        <v>150</v>
      </c>
      <c r="L940" s="2">
        <v>0</v>
      </c>
      <c r="M940" s="2"/>
      <c r="N940" s="8">
        <v>42904.682071759264</v>
      </c>
      <c r="O940" s="4"/>
      <c r="P940" s="3" t="s">
        <v>4233</v>
      </c>
      <c r="Q940" s="4"/>
      <c r="R940" s="4"/>
      <c r="S940" s="9" t="str">
        <f>HYPERLINK("https://pbs.twimg.com/profile_images/995383805933506566/MmkB-qZF.jpg","View")</f>
        <v>View</v>
      </c>
    </row>
    <row r="941" spans="1:19" ht="20">
      <c r="A941" s="8">
        <v>43370.804629629631</v>
      </c>
      <c r="B941" s="11" t="str">
        <f>HYPERLINK("https://twitter.com/yazahra_sa","@yazahra_sa")</f>
        <v>@yazahra_sa</v>
      </c>
      <c r="C941" s="6" t="s">
        <v>5474</v>
      </c>
      <c r="D941" s="5" t="s">
        <v>5553</v>
      </c>
      <c r="E941" s="9" t="str">
        <f>HYPERLINK("https://twitter.com/yazahra_sa/status/1045339449511612416","1045339449511612416")</f>
        <v>1045339449511612416</v>
      </c>
      <c r="F941" s="4"/>
      <c r="G941" s="4"/>
      <c r="H941" s="4"/>
      <c r="I941" s="10" t="str">
        <f>HYPERLINK("http://twitter.com/download/android","Twitter for Android")</f>
        <v>Twitter for Android</v>
      </c>
      <c r="J941" s="2">
        <v>146</v>
      </c>
      <c r="K941" s="2">
        <v>270</v>
      </c>
      <c r="L941" s="2">
        <v>0</v>
      </c>
      <c r="M941" s="2"/>
      <c r="N941" s="8">
        <v>43358.484340277777</v>
      </c>
      <c r="O941" s="4" t="s">
        <v>4034</v>
      </c>
      <c r="P941" s="3" t="s">
        <v>5472</v>
      </c>
      <c r="Q941" s="4"/>
      <c r="R941" s="4"/>
      <c r="S941" s="9" t="str">
        <f>HYPERLINK("https://pbs.twimg.com/profile_images/1041421059415859207/8F3gj8CU.jpg","View")</f>
        <v>View</v>
      </c>
    </row>
    <row r="942" spans="1:19" ht="30">
      <c r="A942" s="8">
        <v>43370.804606481484</v>
      </c>
      <c r="B942" s="11" t="str">
        <f>HYPERLINK("https://twitter.com/ParvizPT","@ParvizPT")</f>
        <v>@ParvizPT</v>
      </c>
      <c r="C942" s="6" t="s">
        <v>3940</v>
      </c>
      <c r="D942" s="5" t="s">
        <v>5552</v>
      </c>
      <c r="E942" s="9" t="str">
        <f>HYPERLINK("https://twitter.com/ParvizPT/status/1045339440628084736","1045339440628084736")</f>
        <v>1045339440628084736</v>
      </c>
      <c r="F942" s="4"/>
      <c r="G942" s="4"/>
      <c r="H942" s="4"/>
      <c r="I942" s="10" t="str">
        <f>HYPERLINK("http://twitter.com/download/iphone","Twitter for iPhone")</f>
        <v>Twitter for iPhone</v>
      </c>
      <c r="J942" s="2">
        <v>1024</v>
      </c>
      <c r="K942" s="2">
        <v>813</v>
      </c>
      <c r="L942" s="2">
        <v>14</v>
      </c>
      <c r="M942" s="2"/>
      <c r="N942" s="8">
        <v>40843.406030092592</v>
      </c>
      <c r="O942" s="4"/>
      <c r="P942" s="3" t="s">
        <v>3937</v>
      </c>
      <c r="Q942" s="10" t="s">
        <v>3936</v>
      </c>
      <c r="R942" s="4"/>
      <c r="S942" s="9" t="str">
        <f>HYPERLINK("https://pbs.twimg.com/profile_images/958399239020793858/39nwnMP8.jpg","View")</f>
        <v>View</v>
      </c>
    </row>
    <row r="943" spans="1:19" ht="20">
      <c r="A943" s="8">
        <v>43370.804525462961</v>
      </c>
      <c r="B943" s="11" t="str">
        <f>HYPERLINK("https://twitter.com/majideh5","@majideh5")</f>
        <v>@majideh5</v>
      </c>
      <c r="C943" s="6" t="s">
        <v>4384</v>
      </c>
      <c r="D943" s="5" t="s">
        <v>5551</v>
      </c>
      <c r="E943" s="9" t="str">
        <f>HYPERLINK("https://twitter.com/majideh5/status/1045339409674104832","1045339409674104832")</f>
        <v>1045339409674104832</v>
      </c>
      <c r="F943" s="4"/>
      <c r="G943" s="4"/>
      <c r="H943" s="4"/>
      <c r="I943" s="10" t="str">
        <f>HYPERLINK("http://twitter.com/download/iphone","Twitter for iPhone")</f>
        <v>Twitter for iPhone</v>
      </c>
      <c r="J943" s="2">
        <v>5083</v>
      </c>
      <c r="K943" s="2">
        <v>4303</v>
      </c>
      <c r="L943" s="2">
        <v>6</v>
      </c>
      <c r="M943" s="2"/>
      <c r="N943" s="8">
        <v>43112.484143518523</v>
      </c>
      <c r="O943" s="4" t="s">
        <v>4382</v>
      </c>
      <c r="P943" s="3" t="s">
        <v>4381</v>
      </c>
      <c r="Q943" s="4"/>
      <c r="R943" s="4"/>
      <c r="S943" s="9" t="str">
        <f>HYPERLINK("https://pbs.twimg.com/profile_images/1039816142192353281/On2pCMw3.jpg","View")</f>
        <v>View</v>
      </c>
    </row>
    <row r="944" spans="1:19" ht="20">
      <c r="A944" s="8">
        <v>43370.804513888885</v>
      </c>
      <c r="B944" s="11" t="str">
        <f>HYPERLINK("https://twitter.com/Hsabetnezhad","@Hsabetnezhad")</f>
        <v>@Hsabetnezhad</v>
      </c>
      <c r="C944" s="6" t="s">
        <v>3328</v>
      </c>
      <c r="D944" s="5" t="s">
        <v>5550</v>
      </c>
      <c r="E944" s="9" t="str">
        <f>HYPERLINK("https://twitter.com/Hsabetnezhad/status/1045339404372463617","1045339404372463617")</f>
        <v>1045339404372463617</v>
      </c>
      <c r="F944" s="4"/>
      <c r="G944" s="4"/>
      <c r="H944" s="4"/>
      <c r="I944" s="10" t="str">
        <f>HYPERLINK("http://twitter.com/download/android","Twitter for Android")</f>
        <v>Twitter for Android</v>
      </c>
      <c r="J944" s="2">
        <v>5</v>
      </c>
      <c r="K944" s="2">
        <v>5</v>
      </c>
      <c r="L944" s="2">
        <v>0</v>
      </c>
      <c r="M944" s="2"/>
      <c r="N944" s="8">
        <v>43312.482604166667</v>
      </c>
      <c r="O944" s="4"/>
      <c r="P944" s="3" t="s">
        <v>3326</v>
      </c>
      <c r="Q944" s="4"/>
      <c r="R944" s="4"/>
      <c r="S944" s="9" t="str">
        <f>HYPERLINK("https://pbs.twimg.com/profile_images/1024191985555521538/exTqhQio.jpg","View")</f>
        <v>View</v>
      </c>
    </row>
    <row r="945" spans="1:19" ht="40">
      <c r="A945" s="8">
        <v>43370.804513888885</v>
      </c>
      <c r="B945" s="11" t="str">
        <f>HYPERLINK("https://twitter.com/iranteammelli","@iranteammelli")</f>
        <v>@iranteammelli</v>
      </c>
      <c r="C945" s="6" t="s">
        <v>1044</v>
      </c>
      <c r="D945" s="5" t="s">
        <v>5549</v>
      </c>
      <c r="E945" s="9" t="str">
        <f>HYPERLINK("https://twitter.com/iranteammelli/status/1045339404078845952","1045339404078845952")</f>
        <v>1045339404078845952</v>
      </c>
      <c r="F945" s="4"/>
      <c r="G945" s="4"/>
      <c r="H945" s="4"/>
      <c r="I945" s="10" t="str">
        <f>HYPERLINK("http://twitter.com","Twitter Web Client")</f>
        <v>Twitter Web Client</v>
      </c>
      <c r="J945" s="2">
        <v>1084</v>
      </c>
      <c r="K945" s="2">
        <v>375</v>
      </c>
      <c r="L945" s="2">
        <v>67</v>
      </c>
      <c r="M945" s="2"/>
      <c r="N945" s="8">
        <v>41797.646249999998</v>
      </c>
      <c r="O945" s="4" t="s">
        <v>62</v>
      </c>
      <c r="P945" s="3" t="s">
        <v>1041</v>
      </c>
      <c r="Q945" s="10" t="s">
        <v>1040</v>
      </c>
      <c r="R945" s="4"/>
      <c r="S945" s="9" t="str">
        <f>HYPERLINK("https://pbs.twimg.com/profile_images/757538975724761088/D2_y6aCK.jpg","View")</f>
        <v>View</v>
      </c>
    </row>
    <row r="946" spans="1:19" ht="12.5">
      <c r="A946" s="8">
        <v>43370.804479166662</v>
      </c>
      <c r="B946" s="11" t="str">
        <f>HYPERLINK("https://twitter.com/sevomeshakhs","@sevomeshakhs")</f>
        <v>@sevomeshakhs</v>
      </c>
      <c r="C946" s="6" t="s">
        <v>5548</v>
      </c>
      <c r="D946" s="5" t="s">
        <v>5547</v>
      </c>
      <c r="E946" s="9" t="str">
        <f>HYPERLINK("https://twitter.com/sevomeshakhs/status/1045339391579869184","1045339391579869184")</f>
        <v>1045339391579869184</v>
      </c>
      <c r="F946" s="4"/>
      <c r="G946" s="4"/>
      <c r="H946" s="4"/>
      <c r="I946" s="10" t="str">
        <f>HYPERLINK("http://twitter.com","Twitter Web Client")</f>
        <v>Twitter Web Client</v>
      </c>
      <c r="J946" s="2">
        <v>62</v>
      </c>
      <c r="K946" s="2">
        <v>38</v>
      </c>
      <c r="L946" s="2">
        <v>0</v>
      </c>
      <c r="M946" s="2"/>
      <c r="N946" s="8">
        <v>43108.50105324074</v>
      </c>
      <c r="O946" s="4"/>
      <c r="P946" s="3"/>
      <c r="Q946" s="4"/>
      <c r="R946" s="4"/>
      <c r="S946" s="9" t="str">
        <f>HYPERLINK("https://pbs.twimg.com/profile_images/992029410764079104/XuT-M7it.jpg","View")</f>
        <v>View</v>
      </c>
    </row>
    <row r="947" spans="1:19" ht="12.5">
      <c r="A947" s="8">
        <v>43370.8044212963</v>
      </c>
      <c r="B947" s="11" t="str">
        <f>HYPERLINK("https://twitter.com/HDeilam","@HDeilam")</f>
        <v>@HDeilam</v>
      </c>
      <c r="C947" s="6" t="s">
        <v>5546</v>
      </c>
      <c r="D947" s="5" t="s">
        <v>5545</v>
      </c>
      <c r="E947" s="9" t="str">
        <f>HYPERLINK("https://twitter.com/HDeilam/status/1045339371254304768","1045339371254304768")</f>
        <v>1045339371254304768</v>
      </c>
      <c r="F947" s="4"/>
      <c r="G947" s="4"/>
      <c r="H947" s="4"/>
      <c r="I947" s="10" t="str">
        <f>HYPERLINK("http://twitter.com/download/android","Twitter for Android")</f>
        <v>Twitter for Android</v>
      </c>
      <c r="J947" s="2">
        <v>44</v>
      </c>
      <c r="K947" s="2">
        <v>139</v>
      </c>
      <c r="L947" s="2">
        <v>0</v>
      </c>
      <c r="M947" s="2"/>
      <c r="N947" s="8">
        <v>43215.870370370365</v>
      </c>
      <c r="O947" s="4"/>
      <c r="P947" s="3"/>
      <c r="Q947" s="4"/>
      <c r="R947" s="4"/>
      <c r="S947" s="9" t="str">
        <f>HYPERLINK("https://pbs.twimg.com/profile_images/1005408869852442625/XX6geESh.jpg","View")</f>
        <v>View</v>
      </c>
    </row>
    <row r="948" spans="1:19" ht="30">
      <c r="A948" s="8">
        <v>43370.804398148146</v>
      </c>
      <c r="B948" s="11" t="str">
        <f>HYPERLINK("https://twitter.com/hamed_pahlevani","@hamed_pahlevani")</f>
        <v>@hamed_pahlevani</v>
      </c>
      <c r="C948" s="6" t="s">
        <v>5544</v>
      </c>
      <c r="D948" s="5" t="s">
        <v>5543</v>
      </c>
      <c r="E948" s="9" t="str">
        <f>HYPERLINK("https://twitter.com/hamed_pahlevani/status/1045339364987949056","1045339364987949056")</f>
        <v>1045339364987949056</v>
      </c>
      <c r="F948" s="4"/>
      <c r="G948" s="10" t="s">
        <v>5542</v>
      </c>
      <c r="H948" s="4"/>
      <c r="I948" s="10" t="str">
        <f>HYPERLINK("http://twitter.com/download/iphone","Twitter for iPhone")</f>
        <v>Twitter for iPhone</v>
      </c>
      <c r="J948" s="2">
        <v>4000</v>
      </c>
      <c r="K948" s="2">
        <v>376</v>
      </c>
      <c r="L948" s="2">
        <v>37</v>
      </c>
      <c r="M948" s="2"/>
      <c r="N948" s="8">
        <v>41060.704652777778</v>
      </c>
      <c r="O948" s="4" t="s">
        <v>200</v>
      </c>
      <c r="P948" s="3" t="s">
        <v>5541</v>
      </c>
      <c r="Q948" s="10" t="s">
        <v>5540</v>
      </c>
      <c r="R948" s="4"/>
      <c r="S948" s="9" t="str">
        <f>HYPERLINK("https://pbs.twimg.com/profile_images/977278551279001600/wYTXF58j.jpg","View")</f>
        <v>View</v>
      </c>
    </row>
    <row r="949" spans="1:19" ht="20">
      <c r="A949" s="8">
        <v>43370.804363425923</v>
      </c>
      <c r="B949" s="11" t="str">
        <f>HYPERLINK("https://twitter.com/morchesia","@morchesia")</f>
        <v>@morchesia</v>
      </c>
      <c r="C949" s="6" t="s">
        <v>5539</v>
      </c>
      <c r="D949" s="5" t="s">
        <v>5538</v>
      </c>
      <c r="E949" s="9" t="str">
        <f>HYPERLINK("https://twitter.com/morchesia/status/1045339350417002496","1045339350417002496")</f>
        <v>1045339350417002496</v>
      </c>
      <c r="F949" s="4"/>
      <c r="G949" s="4"/>
      <c r="H949" s="4"/>
      <c r="I949" s="10" t="str">
        <f>HYPERLINK("http://twitter.com/download/android","Twitter for Android")</f>
        <v>Twitter for Android</v>
      </c>
      <c r="J949" s="2">
        <v>56</v>
      </c>
      <c r="K949" s="2">
        <v>41</v>
      </c>
      <c r="L949" s="2">
        <v>1</v>
      </c>
      <c r="M949" s="2"/>
      <c r="N949" s="8">
        <v>43104.600370370375</v>
      </c>
      <c r="O949" s="4" t="s">
        <v>200</v>
      </c>
      <c r="P949" s="3" t="s">
        <v>827</v>
      </c>
      <c r="Q949" s="4"/>
      <c r="R949" s="4"/>
      <c r="S949" s="9" t="str">
        <f>HYPERLINK("https://pbs.twimg.com/profile_images/950458231880605696/GnfteWok.jpg","View")</f>
        <v>View</v>
      </c>
    </row>
    <row r="950" spans="1:19" ht="20">
      <c r="A950" s="8">
        <v>43370.804351851853</v>
      </c>
      <c r="B950" s="11" t="str">
        <f>HYPERLINK("https://twitter.com/aliganji93","@aliganji93")</f>
        <v>@aliganji93</v>
      </c>
      <c r="C950" s="6" t="s">
        <v>5537</v>
      </c>
      <c r="D950" s="5" t="s">
        <v>5536</v>
      </c>
      <c r="E950" s="9" t="str">
        <f>HYPERLINK("https://twitter.com/aliganji93/status/1045339347044773888","1045339347044773888")</f>
        <v>1045339347044773888</v>
      </c>
      <c r="F950" s="4"/>
      <c r="G950" s="4"/>
      <c r="H950" s="4"/>
      <c r="I950" s="10" t="str">
        <f>HYPERLINK("http://twitter.com/download/iphone","Twitter for iPhone")</f>
        <v>Twitter for iPhone</v>
      </c>
      <c r="J950" s="2">
        <v>2</v>
      </c>
      <c r="K950" s="2">
        <v>5</v>
      </c>
      <c r="L950" s="2">
        <v>0</v>
      </c>
      <c r="M950" s="2"/>
      <c r="N950" s="8">
        <v>43099.942465277782</v>
      </c>
      <c r="O950" s="4" t="s">
        <v>5535</v>
      </c>
      <c r="P950" s="3" t="s">
        <v>5534</v>
      </c>
      <c r="Q950" s="4"/>
      <c r="R950" s="4"/>
      <c r="S950" s="9" t="str">
        <f>HYPERLINK("https://pbs.twimg.com/profile_images/1005402110601678848/42Ta6AiA.jpg","View")</f>
        <v>View</v>
      </c>
    </row>
    <row r="951" spans="1:19" ht="40">
      <c r="A951" s="8">
        <v>43370.804259259261</v>
      </c>
      <c r="B951" s="11" t="str">
        <f>HYPERLINK("https://twitter.com/amooakbar","@amooakbar")</f>
        <v>@amooakbar</v>
      </c>
      <c r="C951" s="6" t="s">
        <v>5533</v>
      </c>
      <c r="D951" s="5" t="s">
        <v>5532</v>
      </c>
      <c r="E951" s="9" t="str">
        <f>HYPERLINK("https://twitter.com/amooakbar/status/1045339312324145152","1045339312324145152")</f>
        <v>1045339312324145152</v>
      </c>
      <c r="F951" s="4"/>
      <c r="G951" s="4"/>
      <c r="H951" s="4"/>
      <c r="I951" s="10" t="str">
        <f>HYPERLINK("https://mobile.twitter.com","Twitter Lite")</f>
        <v>Twitter Lite</v>
      </c>
      <c r="J951" s="2">
        <v>2830</v>
      </c>
      <c r="K951" s="2">
        <v>3920</v>
      </c>
      <c r="L951" s="2">
        <v>12</v>
      </c>
      <c r="M951" s="2"/>
      <c r="N951" s="8">
        <v>40152.580347222218</v>
      </c>
      <c r="O951" s="4" t="s">
        <v>1671</v>
      </c>
      <c r="P951" s="3" t="s">
        <v>5531</v>
      </c>
      <c r="Q951" s="4"/>
      <c r="R951" s="4"/>
      <c r="S951" s="9" t="str">
        <f>HYPERLINK("https://pbs.twimg.com/profile_images/916227591085969408/whfBocPh.jpg","View")</f>
        <v>View</v>
      </c>
    </row>
    <row r="952" spans="1:19" ht="20">
      <c r="A952" s="8">
        <v>43370.804247685184</v>
      </c>
      <c r="B952" s="11" t="str">
        <f>HYPERLINK("https://twitter.com/kimiyashalbaf","@kimiyashalbaf")</f>
        <v>@kimiyashalbaf</v>
      </c>
      <c r="C952" s="6" t="s">
        <v>5530</v>
      </c>
      <c r="D952" s="5" t="s">
        <v>5529</v>
      </c>
      <c r="E952" s="9" t="str">
        <f>HYPERLINK("https://twitter.com/kimiyashalbaf/status/1045339311502229510","1045339311502229510")</f>
        <v>1045339311502229510</v>
      </c>
      <c r="F952" s="4"/>
      <c r="G952" s="4"/>
      <c r="H952" s="4"/>
      <c r="I952" s="10" t="str">
        <f>HYPERLINK("http://twitter.com/download/iphone","Twitter for iPhone")</f>
        <v>Twitter for iPhone</v>
      </c>
      <c r="J952" s="2">
        <v>473</v>
      </c>
      <c r="K952" s="2">
        <v>177</v>
      </c>
      <c r="L952" s="2">
        <v>7</v>
      </c>
      <c r="M952" s="2"/>
      <c r="N952" s="8">
        <v>41864.788993055554</v>
      </c>
      <c r="O952" s="4" t="s">
        <v>254</v>
      </c>
      <c r="P952" s="3" t="s">
        <v>5528</v>
      </c>
      <c r="Q952" s="4"/>
      <c r="R952" s="4"/>
      <c r="S952" s="9" t="str">
        <f>HYPERLINK("https://pbs.twimg.com/profile_images/850390352288722946/oGjI-Z3c.jpg","View")</f>
        <v>View</v>
      </c>
    </row>
    <row r="953" spans="1:19" ht="40">
      <c r="A953" s="8">
        <v>43370.804212962961</v>
      </c>
      <c r="B953" s="11" t="str">
        <f>HYPERLINK("https://twitter.com/FcEsteghlal","@FcEsteghlal")</f>
        <v>@FcEsteghlal</v>
      </c>
      <c r="C953" s="6" t="s">
        <v>2582</v>
      </c>
      <c r="D953" s="5" t="s">
        <v>5527</v>
      </c>
      <c r="E953" s="9" t="str">
        <f>HYPERLINK("https://twitter.com/FcEsteghlal/status/1045339294896992256","1045339294896992256")</f>
        <v>1045339294896992256</v>
      </c>
      <c r="F953" s="4"/>
      <c r="G953" s="4"/>
      <c r="H953" s="4"/>
      <c r="I953" s="10" t="str">
        <f>HYPERLINK("http://twitter.com","Twitter Web Client")</f>
        <v>Twitter Web Client</v>
      </c>
      <c r="J953" s="2">
        <v>30061</v>
      </c>
      <c r="K953" s="2">
        <v>20</v>
      </c>
      <c r="L953" s="2">
        <v>94</v>
      </c>
      <c r="M953" s="2"/>
      <c r="N953" s="8">
        <v>40386.474282407406</v>
      </c>
      <c r="O953" s="4" t="s">
        <v>2579</v>
      </c>
      <c r="P953" s="3" t="s">
        <v>2578</v>
      </c>
      <c r="Q953" s="10" t="s">
        <v>2577</v>
      </c>
      <c r="R953" s="4"/>
      <c r="S953" s="9" t="str">
        <f>HYPERLINK("https://pbs.twimg.com/profile_images/873957969242804224/bHd1FU0k.jpg","View")</f>
        <v>View</v>
      </c>
    </row>
    <row r="954" spans="1:19" ht="20">
      <c r="A954" s="8">
        <v>43370.804201388892</v>
      </c>
      <c r="B954" s="11" t="str">
        <f>HYPERLINK("https://twitter.com/bhnzea","@bhnzea")</f>
        <v>@bhnzea</v>
      </c>
      <c r="C954" s="6" t="s">
        <v>5526</v>
      </c>
      <c r="D954" s="5" t="s">
        <v>5525</v>
      </c>
      <c r="E954" s="9" t="str">
        <f>HYPERLINK("https://twitter.com/bhnzea/status/1045339291981926403","1045339291981926403")</f>
        <v>1045339291981926403</v>
      </c>
      <c r="F954" s="4"/>
      <c r="G954" s="4"/>
      <c r="H954" s="4"/>
      <c r="I954" s="10" t="str">
        <f>HYPERLINK("http://twitter.com/download/android","Twitter for Android")</f>
        <v>Twitter for Android</v>
      </c>
      <c r="J954" s="2">
        <v>938</v>
      </c>
      <c r="K954" s="2">
        <v>137</v>
      </c>
      <c r="L954" s="2">
        <v>13</v>
      </c>
      <c r="M954" s="2"/>
      <c r="N954" s="8">
        <v>42544.572164351848</v>
      </c>
      <c r="O954" s="4"/>
      <c r="P954" s="3" t="s">
        <v>5524</v>
      </c>
      <c r="Q954" s="4"/>
      <c r="R954" s="4"/>
      <c r="S954" s="9" t="str">
        <f>HYPERLINK("https://pbs.twimg.com/profile_images/1044253139518574592/E3SNW18a.jpg","View")</f>
        <v>View</v>
      </c>
    </row>
    <row r="955" spans="1:19" ht="20">
      <c r="A955" s="8">
        <v>43370.804178240738</v>
      </c>
      <c r="B955" s="11" t="str">
        <f>HYPERLINK("https://twitter.com/MRHLIVE24","@MRHLIVE24")</f>
        <v>@MRHLIVE24</v>
      </c>
      <c r="C955" s="6" t="s">
        <v>5523</v>
      </c>
      <c r="D955" s="5" t="s">
        <v>5522</v>
      </c>
      <c r="E955" s="9" t="str">
        <f>HYPERLINK("https://twitter.com/MRHLIVE24/status/1045339286353129472","1045339286353129472")</f>
        <v>1045339286353129472</v>
      </c>
      <c r="F955" s="4"/>
      <c r="G955" s="4"/>
      <c r="H955" s="4"/>
      <c r="I955" s="10" t="str">
        <f>HYPERLINK("http://twitter.com/download/android","Twitter for Android")</f>
        <v>Twitter for Android</v>
      </c>
      <c r="J955" s="2">
        <v>31</v>
      </c>
      <c r="K955" s="2">
        <v>118</v>
      </c>
      <c r="L955" s="2">
        <v>1</v>
      </c>
      <c r="M955" s="2"/>
      <c r="N955" s="8">
        <v>42691.48600694444</v>
      </c>
      <c r="O955" s="4" t="s">
        <v>10</v>
      </c>
      <c r="P955" s="3"/>
      <c r="Q955" s="4"/>
      <c r="R955" s="4"/>
      <c r="S955" s="9" t="str">
        <f>HYPERLINK("https://pbs.twimg.com/profile_images/815265097627090944/qZyjy_Fn.jpg","View")</f>
        <v>View</v>
      </c>
    </row>
    <row r="956" spans="1:19" ht="20">
      <c r="A956" s="8">
        <v>43370.803981481484</v>
      </c>
      <c r="B956" s="11" t="str">
        <f>HYPERLINK("https://twitter.com/lililajbaaz","@lililajbaaz")</f>
        <v>@lililajbaaz</v>
      </c>
      <c r="C956" s="6" t="s">
        <v>5521</v>
      </c>
      <c r="D956" s="5" t="s">
        <v>5520</v>
      </c>
      <c r="E956" s="9" t="str">
        <f>HYPERLINK("https://twitter.com/lililajbaaz/status/1045339212801855488","1045339212801855488")</f>
        <v>1045339212801855488</v>
      </c>
      <c r="F956" s="4"/>
      <c r="G956" s="4"/>
      <c r="H956" s="4"/>
      <c r="I956" s="10" t="str">
        <f>HYPERLINK("http://twitter.com/download/android","Twitter for Android")</f>
        <v>Twitter for Android</v>
      </c>
      <c r="J956" s="2">
        <v>3461</v>
      </c>
      <c r="K956" s="2">
        <v>1197</v>
      </c>
      <c r="L956" s="2">
        <v>12</v>
      </c>
      <c r="M956" s="2"/>
      <c r="N956" s="8">
        <v>43050.974340277782</v>
      </c>
      <c r="O956" s="4" t="s">
        <v>5519</v>
      </c>
      <c r="P956" s="3" t="s">
        <v>5518</v>
      </c>
      <c r="Q956" s="10" t="s">
        <v>5517</v>
      </c>
      <c r="R956" s="4"/>
      <c r="S956" s="9" t="str">
        <f>HYPERLINK("https://pbs.twimg.com/profile_images/1038061411619012608/-WsGK_sk.jpg","View")</f>
        <v>View</v>
      </c>
    </row>
    <row r="957" spans="1:19" ht="20">
      <c r="A957" s="8">
        <v>43370.803865740745</v>
      </c>
      <c r="B957" s="11" t="str">
        <f>HYPERLINK("https://twitter.com/catitekt","@catitekt")</f>
        <v>@catitekt</v>
      </c>
      <c r="C957" s="6" t="s">
        <v>5516</v>
      </c>
      <c r="D957" s="5" t="s">
        <v>5515</v>
      </c>
      <c r="E957" s="9" t="str">
        <f>HYPERLINK("https://twitter.com/catitekt/status/1045339172884684800","1045339172884684800")</f>
        <v>1045339172884684800</v>
      </c>
      <c r="F957" s="4"/>
      <c r="G957" s="4"/>
      <c r="H957" s="4"/>
      <c r="I957" s="10" t="str">
        <f>HYPERLINK("http://twitter.com/download/iphone","Twitter for iPhone")</f>
        <v>Twitter for iPhone</v>
      </c>
      <c r="J957" s="2">
        <v>37</v>
      </c>
      <c r="K957" s="2">
        <v>81</v>
      </c>
      <c r="L957" s="2">
        <v>0</v>
      </c>
      <c r="M957" s="2"/>
      <c r="N957" s="8">
        <v>43100.684895833328</v>
      </c>
      <c r="O957" s="4" t="s">
        <v>2701</v>
      </c>
      <c r="P957" s="3" t="s">
        <v>5514</v>
      </c>
      <c r="Q957" s="4"/>
      <c r="R957" s="4"/>
      <c r="S957" s="9" t="str">
        <f>HYPERLINK("https://pbs.twimg.com/profile_images/1030806022431166464/9Y0McNkq.jpg","View")</f>
        <v>View</v>
      </c>
    </row>
    <row r="958" spans="1:19" ht="12.5">
      <c r="A958" s="8">
        <v>43370.803865740745</v>
      </c>
      <c r="B958" s="11" t="str">
        <f>HYPERLINK("https://twitter.com/ser_nid","@ser_nid")</f>
        <v>@ser_nid</v>
      </c>
      <c r="C958" s="6" t="s">
        <v>5513</v>
      </c>
      <c r="D958" s="5" t="s">
        <v>5512</v>
      </c>
      <c r="E958" s="9" t="str">
        <f>HYPERLINK("https://twitter.com/ser_nid/status/1045339172800778246","1045339172800778246")</f>
        <v>1045339172800778246</v>
      </c>
      <c r="F958" s="4"/>
      <c r="G958" s="4"/>
      <c r="H958" s="4"/>
      <c r="I958" s="10" t="str">
        <f>HYPERLINK("http://twitter.com/download/iphone","Twitter for iPhone")</f>
        <v>Twitter for iPhone</v>
      </c>
      <c r="J958" s="2">
        <v>73</v>
      </c>
      <c r="K958" s="2">
        <v>56</v>
      </c>
      <c r="L958" s="2">
        <v>0</v>
      </c>
      <c r="M958" s="2"/>
      <c r="N958" s="8">
        <v>42521.894421296296</v>
      </c>
      <c r="O958" s="4" t="s">
        <v>5511</v>
      </c>
      <c r="P958" s="3" t="s">
        <v>5510</v>
      </c>
      <c r="Q958" s="4"/>
      <c r="R958" s="4"/>
      <c r="S958" s="9" t="str">
        <f>HYPERLINK("https://pbs.twimg.com/profile_images/1040854815314726913/lUQh8X8t.jpg","View")</f>
        <v>View</v>
      </c>
    </row>
    <row r="959" spans="1:19" ht="20">
      <c r="A959" s="8">
        <v>43370.803726851853</v>
      </c>
      <c r="B959" s="11" t="str">
        <f>HYPERLINK("https://twitter.com/schobeir","@schobeir")</f>
        <v>@schobeir</v>
      </c>
      <c r="C959" s="6" t="s">
        <v>5509</v>
      </c>
      <c r="D959" s="5" t="s">
        <v>5508</v>
      </c>
      <c r="E959" s="9" t="str">
        <f>HYPERLINK("https://twitter.com/schobeir/status/1045339119755431936","1045339119755431936")</f>
        <v>1045339119755431936</v>
      </c>
      <c r="F959" s="4"/>
      <c r="G959" s="4"/>
      <c r="H959" s="4"/>
      <c r="I959" s="10" t="str">
        <f>HYPERLINK("http://twitter.com/download/android","Twitter for Android")</f>
        <v>Twitter for Android</v>
      </c>
      <c r="J959" s="2">
        <v>62</v>
      </c>
      <c r="K959" s="2">
        <v>47</v>
      </c>
      <c r="L959" s="2">
        <v>0</v>
      </c>
      <c r="M959" s="2"/>
      <c r="N959" s="8">
        <v>42751.712847222225</v>
      </c>
      <c r="O959" s="4" t="s">
        <v>10</v>
      </c>
      <c r="P959" s="3"/>
      <c r="Q959" s="4"/>
      <c r="R959" s="4"/>
      <c r="S959" s="9" t="str">
        <f>HYPERLINK("https://pbs.twimg.com/profile_images/950483715762814977/nPTsSS_R.jpg","View")</f>
        <v>View</v>
      </c>
    </row>
    <row r="960" spans="1:19" ht="12.5">
      <c r="A960" s="8">
        <v>43370.803703703699</v>
      </c>
      <c r="B960" s="11" t="str">
        <f>HYPERLINK("https://twitter.com/rezakhalighi","@rezakhalighi")</f>
        <v>@rezakhalighi</v>
      </c>
      <c r="C960" s="6" t="s">
        <v>5507</v>
      </c>
      <c r="D960" s="5" t="s">
        <v>5506</v>
      </c>
      <c r="E960" s="9" t="str">
        <f>HYPERLINK("https://twitter.com/rezakhalighi/status/1045339113002618884","1045339113002618884")</f>
        <v>1045339113002618884</v>
      </c>
      <c r="F960" s="4"/>
      <c r="G960" s="4"/>
      <c r="H960" s="4"/>
      <c r="I960" s="10" t="str">
        <f>HYPERLINK("http://twitter.com/download/iphone","Twitter for iPhone")</f>
        <v>Twitter for iPhone</v>
      </c>
      <c r="J960" s="2">
        <v>959</v>
      </c>
      <c r="K960" s="2">
        <v>1588</v>
      </c>
      <c r="L960" s="2">
        <v>8</v>
      </c>
      <c r="M960" s="2"/>
      <c r="N960" s="8">
        <v>41024.016828703701</v>
      </c>
      <c r="O960" s="4" t="s">
        <v>5505</v>
      </c>
      <c r="P960" s="3" t="s">
        <v>5504</v>
      </c>
      <c r="Q960" s="4"/>
      <c r="R960" s="4"/>
      <c r="S960" s="9" t="str">
        <f>HYPERLINK("https://pbs.twimg.com/profile_images/1034427681864130560/3EpMjNZE.jpg","View")</f>
        <v>View</v>
      </c>
    </row>
    <row r="961" spans="1:19" ht="30">
      <c r="A961" s="8">
        <v>43370.80368055556</v>
      </c>
      <c r="B961" s="11" t="str">
        <f>HYPERLINK("https://twitter.com/saeedahmadi86","@saeedahmadi86")</f>
        <v>@saeedahmadi86</v>
      </c>
      <c r="C961" s="6" t="s">
        <v>2330</v>
      </c>
      <c r="D961" s="5" t="s">
        <v>5503</v>
      </c>
      <c r="E961" s="9" t="str">
        <f>HYPERLINK("https://twitter.com/saeedahmadi86/status/1045339102751719424","1045339102751719424")</f>
        <v>1045339102751719424</v>
      </c>
      <c r="F961" s="10" t="s">
        <v>5502</v>
      </c>
      <c r="G961" s="4"/>
      <c r="H961" s="4"/>
      <c r="I961" s="10" t="str">
        <f>HYPERLINK("http://twitter.com/download/android","Twitter for Android")</f>
        <v>Twitter for Android</v>
      </c>
      <c r="J961" s="2">
        <v>104</v>
      </c>
      <c r="K961" s="2">
        <v>251</v>
      </c>
      <c r="L961" s="2">
        <v>0</v>
      </c>
      <c r="M961" s="2"/>
      <c r="N961" s="8">
        <v>41853.834120370375</v>
      </c>
      <c r="O961" s="4" t="s">
        <v>200</v>
      </c>
      <c r="P961" s="3" t="s">
        <v>2327</v>
      </c>
      <c r="Q961" s="4"/>
      <c r="R961" s="4"/>
      <c r="S961" s="9" t="str">
        <f>HYPERLINK("https://pbs.twimg.com/profile_images/1020702698201583618/j29ndKSD.jpg","View")</f>
        <v>View</v>
      </c>
    </row>
    <row r="962" spans="1:19" ht="12.5">
      <c r="A962" s="8">
        <v>43370.803622685184</v>
      </c>
      <c r="B962" s="11" t="str">
        <f>HYPERLINK("https://twitter.com/thedavood","@thedavood")</f>
        <v>@thedavood</v>
      </c>
      <c r="C962" s="6" t="s">
        <v>5501</v>
      </c>
      <c r="D962" s="5" t="s">
        <v>5500</v>
      </c>
      <c r="E962" s="9" t="str">
        <f>HYPERLINK("https://twitter.com/thedavood/status/1045339083487277056","1045339083487277056")</f>
        <v>1045339083487277056</v>
      </c>
      <c r="F962" s="4"/>
      <c r="G962" s="4"/>
      <c r="H962" s="4"/>
      <c r="I962" s="10" t="str">
        <f>HYPERLINK("http://twitter.com/download/android","Twitter for Android")</f>
        <v>Twitter for Android</v>
      </c>
      <c r="J962" s="2">
        <v>565</v>
      </c>
      <c r="K962" s="2">
        <v>229</v>
      </c>
      <c r="L962" s="2">
        <v>7</v>
      </c>
      <c r="M962" s="2"/>
      <c r="N962" s="8">
        <v>42241.541990740741</v>
      </c>
      <c r="O962" s="4" t="s">
        <v>5499</v>
      </c>
      <c r="P962" s="3" t="s">
        <v>5498</v>
      </c>
      <c r="Q962" s="4"/>
      <c r="R962" s="4"/>
      <c r="S962" s="9" t="str">
        <f>HYPERLINK("https://pbs.twimg.com/profile_images/1030860647603601408/-LoiL8t8.jpg","View")</f>
        <v>View</v>
      </c>
    </row>
    <row r="963" spans="1:19" ht="12.5">
      <c r="A963" s="8">
        <v>43370.803576388891</v>
      </c>
      <c r="B963" s="11" t="str">
        <f>HYPERLINK("https://twitter.com/_DualSpace","@_DualSpace")</f>
        <v>@_DualSpace</v>
      </c>
      <c r="C963" s="6" t="s">
        <v>5497</v>
      </c>
      <c r="D963" s="5" t="s">
        <v>5496</v>
      </c>
      <c r="E963" s="9" t="str">
        <f>HYPERLINK("https://twitter.com/_DualSpace/status/1045339068224196608","1045339068224196608")</f>
        <v>1045339068224196608</v>
      </c>
      <c r="F963" s="4"/>
      <c r="G963" s="4"/>
      <c r="H963" s="4"/>
      <c r="I963" s="10" t="str">
        <f>HYPERLINK("http://twitter.com/download/android","Twitter for Android")</f>
        <v>Twitter for Android</v>
      </c>
      <c r="J963" s="2">
        <v>3098</v>
      </c>
      <c r="K963" s="2">
        <v>2591</v>
      </c>
      <c r="L963" s="2">
        <v>10</v>
      </c>
      <c r="M963" s="2"/>
      <c r="N963" s="8">
        <v>42625.624918981484</v>
      </c>
      <c r="O963" s="4" t="s">
        <v>10</v>
      </c>
      <c r="P963" s="3" t="s">
        <v>5495</v>
      </c>
      <c r="Q963" s="4"/>
      <c r="R963" s="4"/>
      <c r="S963" s="9" t="str">
        <f>HYPERLINK("https://pbs.twimg.com/profile_images/958446065623224320/DVpS66yL.jpg","View")</f>
        <v>View</v>
      </c>
    </row>
    <row r="964" spans="1:19" ht="30">
      <c r="A964" s="8">
        <v>43370.803576388891</v>
      </c>
      <c r="B964" s="11" t="str">
        <f>HYPERLINK("https://twitter.com/ponisha","@ponisha")</f>
        <v>@ponisha</v>
      </c>
      <c r="C964" s="6" t="s">
        <v>5494</v>
      </c>
      <c r="D964" s="5" t="s">
        <v>5493</v>
      </c>
      <c r="E964" s="9" t="str">
        <f>HYPERLINK("https://twitter.com/ponisha/status/1045339066198380546","1045339066198380546")</f>
        <v>1045339066198380546</v>
      </c>
      <c r="F964" s="4"/>
      <c r="G964" s="4"/>
      <c r="H964" s="4"/>
      <c r="I964" s="10" t="str">
        <f>HYPERLINK("http://twitter.com/download/android","Twitter for Android")</f>
        <v>Twitter for Android</v>
      </c>
      <c r="J964" s="2">
        <v>5663</v>
      </c>
      <c r="K964" s="2">
        <v>236</v>
      </c>
      <c r="L964" s="2">
        <v>57</v>
      </c>
      <c r="M964" s="2"/>
      <c r="N964" s="8">
        <v>40288.506331018521</v>
      </c>
      <c r="O964" s="4" t="s">
        <v>10</v>
      </c>
      <c r="P964" s="3" t="s">
        <v>5492</v>
      </c>
      <c r="Q964" s="10" t="s">
        <v>5491</v>
      </c>
      <c r="R964" s="4"/>
      <c r="S964" s="9" t="str">
        <f>HYPERLINK("https://pbs.twimg.com/profile_images/608540913002926080/C3XQDidc.png","View")</f>
        <v>View</v>
      </c>
    </row>
    <row r="965" spans="1:19" ht="40">
      <c r="A965" s="8">
        <v>43370.803564814814</v>
      </c>
      <c r="B965" s="11" t="str">
        <f>HYPERLINK("https://twitter.com/CalcioIraniano","@CalcioIraniano")</f>
        <v>@CalcioIraniano</v>
      </c>
      <c r="C965" s="6" t="s">
        <v>1078</v>
      </c>
      <c r="D965" s="5" t="s">
        <v>5490</v>
      </c>
      <c r="E965" s="9" t="str">
        <f>HYPERLINK("https://twitter.com/CalcioIraniano/status/1045339063807619073","1045339063807619073")</f>
        <v>1045339063807619073</v>
      </c>
      <c r="F965" s="4"/>
      <c r="G965" s="4"/>
      <c r="H965" s="4"/>
      <c r="I965" s="10" t="str">
        <f>HYPERLINK("http://twitter.com","Twitter Web Client")</f>
        <v>Twitter Web Client</v>
      </c>
      <c r="J965" s="2">
        <v>98</v>
      </c>
      <c r="K965" s="2">
        <v>73</v>
      </c>
      <c r="L965" s="2">
        <v>2</v>
      </c>
      <c r="M965" s="2"/>
      <c r="N965" s="8">
        <v>42943.737407407403</v>
      </c>
      <c r="O965" s="4" t="s">
        <v>1075</v>
      </c>
      <c r="P965" s="3" t="s">
        <v>1074</v>
      </c>
      <c r="Q965" s="10" t="s">
        <v>1073</v>
      </c>
      <c r="R965" s="4"/>
      <c r="S965" s="9" t="str">
        <f>HYPERLINK("https://pbs.twimg.com/profile_images/890563384915243008/kZ2we3yk.jpg","View")</f>
        <v>View</v>
      </c>
    </row>
    <row r="966" spans="1:19" ht="40">
      <c r="A966" s="8">
        <v>43370.803541666668</v>
      </c>
      <c r="B966" s="11" t="str">
        <f>HYPERLINK("https://twitter.com/Faraanak","@Faraanak")</f>
        <v>@Faraanak</v>
      </c>
      <c r="C966" s="6" t="s">
        <v>5489</v>
      </c>
      <c r="D966" s="5" t="s">
        <v>5488</v>
      </c>
      <c r="E966" s="9" t="str">
        <f>HYPERLINK("https://twitter.com/Faraanak/status/1045339053669961729","1045339053669961729")</f>
        <v>1045339053669961729</v>
      </c>
      <c r="F966" s="4"/>
      <c r="G966" s="4"/>
      <c r="H966" s="4"/>
      <c r="I966" s="10" t="str">
        <f>HYPERLINK("http://twitter.com","Twitter Web Client")</f>
        <v>Twitter Web Client</v>
      </c>
      <c r="J966" s="2">
        <v>7933</v>
      </c>
      <c r="K966" s="2">
        <v>113</v>
      </c>
      <c r="L966" s="2">
        <v>68</v>
      </c>
      <c r="M966" s="2"/>
      <c r="N966" s="8">
        <v>39910.888923611114</v>
      </c>
      <c r="O966" s="4" t="s">
        <v>72</v>
      </c>
      <c r="P966" s="3" t="s">
        <v>5487</v>
      </c>
      <c r="Q966" s="10" t="s">
        <v>5486</v>
      </c>
      <c r="R966" s="4"/>
      <c r="S966" s="9" t="str">
        <f>HYPERLINK("https://pbs.twimg.com/profile_images/1022545218137214976/YM-lspb6.jpg","View")</f>
        <v>View</v>
      </c>
    </row>
    <row r="967" spans="1:19" ht="12.5">
      <c r="A967" s="8">
        <v>43370.803414351853</v>
      </c>
      <c r="B967" s="11" t="str">
        <f>HYPERLINK("https://twitter.com/mazantiger","@mazantiger")</f>
        <v>@mazantiger</v>
      </c>
      <c r="C967" s="6" t="s">
        <v>5485</v>
      </c>
      <c r="D967" s="5" t="s">
        <v>5484</v>
      </c>
      <c r="E967" s="9" t="str">
        <f>HYPERLINK("https://twitter.com/mazantiger/status/1045339007692025856","1045339007692025856")</f>
        <v>1045339007692025856</v>
      </c>
      <c r="F967" s="4"/>
      <c r="G967" s="4"/>
      <c r="H967" s="4"/>
      <c r="I967" s="10" t="str">
        <f>HYPERLINK("http://twitter.com/download/android","Twitter for Android")</f>
        <v>Twitter for Android</v>
      </c>
      <c r="J967" s="2">
        <v>636</v>
      </c>
      <c r="K967" s="2">
        <v>543</v>
      </c>
      <c r="L967" s="2">
        <v>1</v>
      </c>
      <c r="M967" s="2"/>
      <c r="N967" s="8">
        <v>42328.082604166666</v>
      </c>
      <c r="O967" s="4" t="s">
        <v>5483</v>
      </c>
      <c r="P967" s="3" t="s">
        <v>5482</v>
      </c>
      <c r="Q967" s="4"/>
      <c r="R967" s="4"/>
      <c r="S967" s="9" t="str">
        <f>HYPERLINK("https://pbs.twimg.com/profile_images/1044669111450644482/dfALfy6x.jpg","View")</f>
        <v>View</v>
      </c>
    </row>
    <row r="968" spans="1:19" ht="40">
      <c r="A968" s="8">
        <v>43370.80333333333</v>
      </c>
      <c r="B968" s="11" t="str">
        <f>HYPERLINK("https://twitter.com/iranteammelli","@iranteammelli")</f>
        <v>@iranteammelli</v>
      </c>
      <c r="C968" s="6" t="s">
        <v>1044</v>
      </c>
      <c r="D968" s="5" t="s">
        <v>5481</v>
      </c>
      <c r="E968" s="9" t="str">
        <f>HYPERLINK("https://twitter.com/iranteammelli/status/1045338976759025669","1045338976759025669")</f>
        <v>1045338976759025669</v>
      </c>
      <c r="F968" s="4"/>
      <c r="G968" s="4"/>
      <c r="H968" s="4"/>
      <c r="I968" s="10" t="str">
        <f>HYPERLINK("http://twitter.com","Twitter Web Client")</f>
        <v>Twitter Web Client</v>
      </c>
      <c r="J968" s="2">
        <v>1084</v>
      </c>
      <c r="K968" s="2">
        <v>375</v>
      </c>
      <c r="L968" s="2">
        <v>67</v>
      </c>
      <c r="M968" s="2"/>
      <c r="N968" s="8">
        <v>41797.646249999998</v>
      </c>
      <c r="O968" s="4" t="s">
        <v>62</v>
      </c>
      <c r="P968" s="3" t="s">
        <v>1041</v>
      </c>
      <c r="Q968" s="10" t="s">
        <v>1040</v>
      </c>
      <c r="R968" s="4"/>
      <c r="S968" s="9" t="str">
        <f>HYPERLINK("https://pbs.twimg.com/profile_images/757538975724761088/D2_y6aCK.jpg","View")</f>
        <v>View</v>
      </c>
    </row>
    <row r="969" spans="1:19" ht="30">
      <c r="A969" s="8">
        <v>43370.803310185191</v>
      </c>
      <c r="B969" s="11" t="str">
        <f>HYPERLINK("https://twitter.com/MohammadNosoohi","@MohammadNosoohi")</f>
        <v>@MohammadNosoohi</v>
      </c>
      <c r="C969" s="6" t="s">
        <v>5480</v>
      </c>
      <c r="D969" s="5" t="s">
        <v>5479</v>
      </c>
      <c r="E969" s="9" t="str">
        <f>HYPERLINK("https://twitter.com/MohammadNosoohi/status/1045338970060726272","1045338970060726272")</f>
        <v>1045338970060726272</v>
      </c>
      <c r="F969" s="4"/>
      <c r="G969" s="4"/>
      <c r="H969" s="4"/>
      <c r="I969" s="10" t="str">
        <f>HYPERLINK("https://mobile.twitter.com","Twitter Lite")</f>
        <v>Twitter Lite</v>
      </c>
      <c r="J969" s="2">
        <v>6589</v>
      </c>
      <c r="K969" s="2">
        <v>2994</v>
      </c>
      <c r="L969" s="2">
        <v>25</v>
      </c>
      <c r="M969" s="2"/>
      <c r="N969" s="8">
        <v>43015.795671296291</v>
      </c>
      <c r="O969" s="4" t="s">
        <v>5478</v>
      </c>
      <c r="P969" s="3" t="s">
        <v>5477</v>
      </c>
      <c r="Q969" s="10" t="s">
        <v>5476</v>
      </c>
      <c r="R969" s="4"/>
      <c r="S969" s="9" t="str">
        <f>HYPERLINK("https://pbs.twimg.com/profile_images/1043229917226446849/ujHBNn5F.jpg","View")</f>
        <v>View</v>
      </c>
    </row>
    <row r="970" spans="1:19" ht="12.5">
      <c r="A970" s="8">
        <v>43370.803310185191</v>
      </c>
      <c r="B970" s="11" t="str">
        <f>HYPERLINK("https://twitter.com/8Shaki","@8Shaki")</f>
        <v>@8Shaki</v>
      </c>
      <c r="C970" s="6" t="s">
        <v>2530</v>
      </c>
      <c r="D970" s="5" t="s">
        <v>5475</v>
      </c>
      <c r="E970" s="9" t="str">
        <f>HYPERLINK("https://twitter.com/8Shaki/status/1045338969347624960","1045338969347624960")</f>
        <v>1045338969347624960</v>
      </c>
      <c r="F970" s="4"/>
      <c r="G970" s="4"/>
      <c r="H970" s="4"/>
      <c r="I970" s="10" t="str">
        <f>HYPERLINK("http://twitter.com/download/android","Twitter for Android")</f>
        <v>Twitter for Android</v>
      </c>
      <c r="J970" s="2">
        <v>37</v>
      </c>
      <c r="K970" s="2">
        <v>52</v>
      </c>
      <c r="L970" s="2">
        <v>0</v>
      </c>
      <c r="M970" s="2"/>
      <c r="N970" s="8">
        <v>43238.511446759258</v>
      </c>
      <c r="O970" s="4" t="s">
        <v>2528</v>
      </c>
      <c r="P970" s="3" t="s">
        <v>2527</v>
      </c>
      <c r="Q970" s="4"/>
      <c r="R970" s="4"/>
      <c r="S970" s="9" t="str">
        <f>HYPERLINK("https://pbs.twimg.com/profile_images/997408147206684673/0X0IP-y2.jpg","View")</f>
        <v>View</v>
      </c>
    </row>
    <row r="971" spans="1:19" ht="20">
      <c r="A971" s="8">
        <v>43370.803240740745</v>
      </c>
      <c r="B971" s="11" t="str">
        <f>HYPERLINK("https://twitter.com/yazahra_sa","@yazahra_sa")</f>
        <v>@yazahra_sa</v>
      </c>
      <c r="C971" s="6" t="s">
        <v>5474</v>
      </c>
      <c r="D971" s="5" t="s">
        <v>5473</v>
      </c>
      <c r="E971" s="9" t="str">
        <f>HYPERLINK("https://twitter.com/yazahra_sa/status/1045338945431785473","1045338945431785473")</f>
        <v>1045338945431785473</v>
      </c>
      <c r="F971" s="4"/>
      <c r="G971" s="4"/>
      <c r="H971" s="4"/>
      <c r="I971" s="10" t="str">
        <f>HYPERLINK("http://twitter.com/download/android","Twitter for Android")</f>
        <v>Twitter for Android</v>
      </c>
      <c r="J971" s="2">
        <v>146</v>
      </c>
      <c r="K971" s="2">
        <v>270</v>
      </c>
      <c r="L971" s="2">
        <v>0</v>
      </c>
      <c r="M971" s="2"/>
      <c r="N971" s="8">
        <v>43358.484340277777</v>
      </c>
      <c r="O971" s="4" t="s">
        <v>4034</v>
      </c>
      <c r="P971" s="3" t="s">
        <v>5472</v>
      </c>
      <c r="Q971" s="4"/>
      <c r="R971" s="4"/>
      <c r="S971" s="9" t="str">
        <f>HYPERLINK("https://pbs.twimg.com/profile_images/1041421059415859207/8F3gj8CU.jpg","View")</f>
        <v>View</v>
      </c>
    </row>
    <row r="972" spans="1:19" ht="20">
      <c r="A972" s="8">
        <v>43370.803159722222</v>
      </c>
      <c r="B972" s="11" t="str">
        <f>HYPERLINK("https://twitter.com/sadafmontaseri","@sadafmontaseri")</f>
        <v>@sadafmontaseri</v>
      </c>
      <c r="C972" s="6" t="s">
        <v>5471</v>
      </c>
      <c r="D972" s="5" t="s">
        <v>5470</v>
      </c>
      <c r="E972" s="9" t="str">
        <f>HYPERLINK("https://twitter.com/sadafmontaseri/status/1045338916373565440","1045338916373565440")</f>
        <v>1045338916373565440</v>
      </c>
      <c r="F972" s="4"/>
      <c r="G972" s="4"/>
      <c r="H972" s="4"/>
      <c r="I972" s="10" t="str">
        <f>HYPERLINK("http://twitter.com/#!/download/ipad","Twitter for iPad")</f>
        <v>Twitter for iPad</v>
      </c>
      <c r="J972" s="2">
        <v>22394</v>
      </c>
      <c r="K972" s="2">
        <v>5624</v>
      </c>
      <c r="L972" s="2">
        <v>75</v>
      </c>
      <c r="M972" s="2"/>
      <c r="N972" s="8">
        <v>42680.664942129632</v>
      </c>
      <c r="O972" s="4"/>
      <c r="P972" s="3" t="s">
        <v>5469</v>
      </c>
      <c r="Q972" s="4"/>
      <c r="R972" s="4"/>
      <c r="S972" s="9" t="str">
        <f>HYPERLINK("https://pbs.twimg.com/profile_images/1044280110516523009/WSLRJYNC.jpg","View")</f>
        <v>View</v>
      </c>
    </row>
    <row r="973" spans="1:19" ht="12.5">
      <c r="A973" s="8">
        <v>43370.80296296296</v>
      </c>
      <c r="B973" s="11" t="str">
        <f>HYPERLINK("https://twitter.com/RezaBisMark","@RezaBisMark")</f>
        <v>@RezaBisMark</v>
      </c>
      <c r="C973" s="6" t="s">
        <v>5468</v>
      </c>
      <c r="D973" s="5" t="s">
        <v>5467</v>
      </c>
      <c r="E973" s="9" t="str">
        <f>HYPERLINK("https://twitter.com/RezaBisMark/status/1045338845905125382","1045338845905125382")</f>
        <v>1045338845905125382</v>
      </c>
      <c r="F973" s="4"/>
      <c r="G973" s="4"/>
      <c r="H973" s="4"/>
      <c r="I973" s="10" t="str">
        <f>HYPERLINK("http://twitter.com/download/android","Twitter for Android")</f>
        <v>Twitter for Android</v>
      </c>
      <c r="J973" s="2">
        <v>390</v>
      </c>
      <c r="K973" s="2">
        <v>470</v>
      </c>
      <c r="L973" s="2">
        <v>0</v>
      </c>
      <c r="M973" s="2"/>
      <c r="N973" s="8">
        <v>41094.927627314813</v>
      </c>
      <c r="O973" s="4" t="s">
        <v>5466</v>
      </c>
      <c r="P973" s="3" t="s">
        <v>5465</v>
      </c>
      <c r="Q973" s="4"/>
      <c r="R973" s="4"/>
      <c r="S973" s="9" t="str">
        <f>HYPERLINK("https://pbs.twimg.com/profile_images/983033682511499264/XWK00fX3.jpg","View")</f>
        <v>View</v>
      </c>
    </row>
    <row r="974" spans="1:19" ht="30">
      <c r="A974" s="8">
        <v>43370.802951388891</v>
      </c>
      <c r="B974" s="11" t="str">
        <f>HYPERLINK("https://twitter.com/President_bakh","@President_bakh")</f>
        <v>@President_bakh</v>
      </c>
      <c r="C974" s="6" t="s">
        <v>4905</v>
      </c>
      <c r="D974" s="5" t="s">
        <v>5464</v>
      </c>
      <c r="E974" s="9" t="str">
        <f>HYPERLINK("https://twitter.com/President_bakh/status/1045338840158932992","1045338840158932992")</f>
        <v>1045338840158932992</v>
      </c>
      <c r="F974" s="10" t="s">
        <v>5105</v>
      </c>
      <c r="G974" s="4"/>
      <c r="H974" s="4"/>
      <c r="I974" s="10" t="str">
        <f>HYPERLINK("http://twitter.com/download/android","Twitter for Android")</f>
        <v>Twitter for Android</v>
      </c>
      <c r="J974" s="2">
        <v>6215</v>
      </c>
      <c r="K974" s="2">
        <v>5866</v>
      </c>
      <c r="L974" s="2">
        <v>11</v>
      </c>
      <c r="M974" s="2"/>
      <c r="N974" s="8">
        <v>42740.447025462963</v>
      </c>
      <c r="O974" s="4" t="s">
        <v>4902</v>
      </c>
      <c r="P974" s="3" t="s">
        <v>4901</v>
      </c>
      <c r="Q974" s="4"/>
      <c r="R974" s="4"/>
      <c r="S974" s="9" t="str">
        <f>HYPERLINK("https://pbs.twimg.com/profile_images/1043204213243883521/xT5gayCJ.jpg","View")</f>
        <v>View</v>
      </c>
    </row>
    <row r="975" spans="1:19" ht="30">
      <c r="A975" s="8">
        <v>43370.802928240737</v>
      </c>
      <c r="B975" s="11" t="str">
        <f>HYPERLINK("https://twitter.com/vforvaricocele","@vforvaricocele")</f>
        <v>@vforvaricocele</v>
      </c>
      <c r="C975" s="6" t="s">
        <v>5463</v>
      </c>
      <c r="D975" s="5" t="s">
        <v>5462</v>
      </c>
      <c r="E975" s="9" t="str">
        <f>HYPERLINK("https://twitter.com/vforvaricocele/status/1045338831560560641","1045338831560560641")</f>
        <v>1045338831560560641</v>
      </c>
      <c r="F975" s="4"/>
      <c r="G975" s="4"/>
      <c r="H975" s="4"/>
      <c r="I975" s="10" t="str">
        <f>HYPERLINK("http://twitter.com/download/iphone","Twitter for iPhone")</f>
        <v>Twitter for iPhone</v>
      </c>
      <c r="J975" s="2">
        <v>447</v>
      </c>
      <c r="K975" s="2">
        <v>88</v>
      </c>
      <c r="L975" s="2">
        <v>6</v>
      </c>
      <c r="M975" s="2"/>
      <c r="N975" s="8">
        <v>42374.785798611112</v>
      </c>
      <c r="O975" s="4" t="s">
        <v>4157</v>
      </c>
      <c r="P975" s="3" t="s">
        <v>5461</v>
      </c>
      <c r="Q975" s="10" t="s">
        <v>5460</v>
      </c>
      <c r="R975" s="4"/>
      <c r="S975" s="9" t="str">
        <f>HYPERLINK("https://pbs.twimg.com/profile_images/1033422753884459009/I1SbfzOU.jpg","View")</f>
        <v>View</v>
      </c>
    </row>
    <row r="976" spans="1:19" ht="20">
      <c r="A976" s="8">
        <v>43370.802916666667</v>
      </c>
      <c r="B976" s="11" t="str">
        <f>HYPERLINK("https://twitter.com/eebrahimie","@eebrahimie")</f>
        <v>@eebrahimie</v>
      </c>
      <c r="C976" s="6" t="s">
        <v>4496</v>
      </c>
      <c r="D976" s="5" t="s">
        <v>5459</v>
      </c>
      <c r="E976" s="9" t="str">
        <f>HYPERLINK("https://twitter.com/eebrahimie/status/1045338825768275969","1045338825768275969")</f>
        <v>1045338825768275969</v>
      </c>
      <c r="F976" s="4"/>
      <c r="G976" s="4"/>
      <c r="H976" s="4"/>
      <c r="I976" s="10" t="str">
        <f>HYPERLINK("http://twitter.com/download/iphone","Twitter for iPhone")</f>
        <v>Twitter for iPhone</v>
      </c>
      <c r="J976" s="2">
        <v>224</v>
      </c>
      <c r="K976" s="2">
        <v>292</v>
      </c>
      <c r="L976" s="2">
        <v>1</v>
      </c>
      <c r="M976" s="2"/>
      <c r="N976" s="8">
        <v>41801.631851851853</v>
      </c>
      <c r="O976" s="4"/>
      <c r="P976" s="3"/>
      <c r="Q976" s="4"/>
      <c r="R976" s="4"/>
      <c r="S976" s="9" t="str">
        <f>HYPERLINK("https://pbs.twimg.com/profile_images/1030406244824231936/p5qTBx43.jpg","View")</f>
        <v>View</v>
      </c>
    </row>
    <row r="977" spans="1:19" ht="30">
      <c r="A977" s="8">
        <v>43370.802870370375</v>
      </c>
      <c r="B977" s="11" t="str">
        <f>HYPERLINK("https://twitter.com/pooyanmokari","@pooyanmokari")</f>
        <v>@pooyanmokari</v>
      </c>
      <c r="C977" s="6" t="s">
        <v>5458</v>
      </c>
      <c r="D977" s="5" t="s">
        <v>5457</v>
      </c>
      <c r="E977" s="9" t="str">
        <f>HYPERLINK("https://twitter.com/pooyanmokari/status/1045338811499196416","1045338811499196416")</f>
        <v>1045338811499196416</v>
      </c>
      <c r="F977" s="4"/>
      <c r="G977" s="4"/>
      <c r="H977" s="4"/>
      <c r="I977" s="10" t="str">
        <f>HYPERLINK("http://twitter.com/download/android","Twitter for Android")</f>
        <v>Twitter for Android</v>
      </c>
      <c r="J977" s="2">
        <v>393</v>
      </c>
      <c r="K977" s="2">
        <v>401</v>
      </c>
      <c r="L977" s="2">
        <v>2</v>
      </c>
      <c r="M977" s="2"/>
      <c r="N977" s="8">
        <v>40559.579224537039</v>
      </c>
      <c r="O977" s="4" t="s">
        <v>72</v>
      </c>
      <c r="P977" s="3" t="s">
        <v>5456</v>
      </c>
      <c r="Q977" s="4"/>
      <c r="R977" s="4"/>
      <c r="S977" s="9" t="str">
        <f>HYPERLINK("https://pbs.twimg.com/profile_images/736761609100615680/BCCm26br.jpg","View")</f>
        <v>View</v>
      </c>
    </row>
    <row r="978" spans="1:19" ht="12.5">
      <c r="A978" s="8">
        <v>43370.802789351852</v>
      </c>
      <c r="B978" s="11" t="str">
        <f>HYPERLINK("https://twitter.com/khanoomekhass","@khanoomekhass")</f>
        <v>@khanoomekhass</v>
      </c>
      <c r="C978" s="6" t="s">
        <v>5455</v>
      </c>
      <c r="D978" s="5" t="s">
        <v>5454</v>
      </c>
      <c r="E978" s="9" t="str">
        <f>HYPERLINK("https://twitter.com/khanoomekhass/status/1045338781614854144","1045338781614854144")</f>
        <v>1045338781614854144</v>
      </c>
      <c r="F978" s="4"/>
      <c r="G978" s="4"/>
      <c r="H978" s="4"/>
      <c r="I978" s="10" t="str">
        <f>HYPERLINK("http://twitter.com/download/android","Twitter for Android")</f>
        <v>Twitter for Android</v>
      </c>
      <c r="J978" s="2">
        <v>158</v>
      </c>
      <c r="K978" s="2">
        <v>177</v>
      </c>
      <c r="L978" s="2">
        <v>0</v>
      </c>
      <c r="M978" s="2"/>
      <c r="N978" s="8">
        <v>42907.682222222225</v>
      </c>
      <c r="O978" s="4" t="s">
        <v>10</v>
      </c>
      <c r="P978" s="3" t="s">
        <v>5453</v>
      </c>
      <c r="Q978" s="4"/>
      <c r="R978" s="4"/>
      <c r="S978" s="9" t="str">
        <f>HYPERLINK("https://pbs.twimg.com/profile_images/1042487111662936064/2z3ffN4c.jpg","View")</f>
        <v>View</v>
      </c>
    </row>
    <row r="979" spans="1:19" ht="12.5">
      <c r="A979" s="8">
        <v>43370.802534722221</v>
      </c>
      <c r="B979" s="11" t="str">
        <f>HYPERLINK("https://twitter.com/B_a_h_m_a_n67","@B_a_h_m_a_n67")</f>
        <v>@B_a_h_m_a_n67</v>
      </c>
      <c r="C979" s="6" t="s">
        <v>5452</v>
      </c>
      <c r="D979" s="5" t="s">
        <v>5451</v>
      </c>
      <c r="E979" s="9" t="str">
        <f>HYPERLINK("https://twitter.com/B_a_h_m_a_n67/status/1045338687129538562","1045338687129538562")</f>
        <v>1045338687129538562</v>
      </c>
      <c r="F979" s="4"/>
      <c r="G979" s="4"/>
      <c r="H979" s="4"/>
      <c r="I979" s="10" t="str">
        <f>HYPERLINK("http://twitter.com/download/android","Twitter for Android")</f>
        <v>Twitter for Android</v>
      </c>
      <c r="J979" s="2">
        <v>98</v>
      </c>
      <c r="K979" s="2">
        <v>196</v>
      </c>
      <c r="L979" s="2">
        <v>0</v>
      </c>
      <c r="M979" s="2"/>
      <c r="N979" s="8">
        <v>42837.568692129629</v>
      </c>
      <c r="O979" s="4" t="s">
        <v>72</v>
      </c>
      <c r="P979" s="3" t="s">
        <v>5450</v>
      </c>
      <c r="Q979" s="4"/>
      <c r="R979" s="4"/>
      <c r="S979" s="9" t="str">
        <f>HYPERLINK("https://pbs.twimg.com/profile_images/1043180541153959936/NtYvLpFW.jpg","View")</f>
        <v>View</v>
      </c>
    </row>
    <row r="980" spans="1:19" ht="20">
      <c r="A980" s="8">
        <v>43370.802523148144</v>
      </c>
      <c r="B980" s="11" t="str">
        <f>HYPERLINK("https://twitter.com/Bar00nNamNam","@Bar00nNamNam")</f>
        <v>@Bar00nNamNam</v>
      </c>
      <c r="C980" s="6" t="s">
        <v>3217</v>
      </c>
      <c r="D980" s="5" t="s">
        <v>5449</v>
      </c>
      <c r="E980" s="9" t="str">
        <f>HYPERLINK("https://twitter.com/Bar00nNamNam/status/1045338682717360130","1045338682717360130")</f>
        <v>1045338682717360130</v>
      </c>
      <c r="F980" s="4"/>
      <c r="G980" s="4"/>
      <c r="H980" s="4"/>
      <c r="I980" s="10" t="str">
        <f>HYPERLINK("http://twitter.com/download/iphone","Twitter for iPhone")</f>
        <v>Twitter for iPhone</v>
      </c>
      <c r="J980" s="2">
        <v>33</v>
      </c>
      <c r="K980" s="2">
        <v>54</v>
      </c>
      <c r="L980" s="2">
        <v>0</v>
      </c>
      <c r="M980" s="2"/>
      <c r="N980" s="8">
        <v>43277.977141203708</v>
      </c>
      <c r="O980" s="4"/>
      <c r="P980" s="3" t="s">
        <v>3215</v>
      </c>
      <c r="Q980" s="4"/>
      <c r="R980" s="4"/>
      <c r="S980" s="9" t="str">
        <f>HYPERLINK("https://pbs.twimg.com/profile_images/1044899748677910534/HqN3P5Ea.jpg","View")</f>
        <v>View</v>
      </c>
    </row>
    <row r="981" spans="1:19" ht="30">
      <c r="A981" s="8">
        <v>43370.802465277782</v>
      </c>
      <c r="B981" s="11" t="str">
        <f>HYPERLINK("https://twitter.com/miniyatooor","@miniyatooor")</f>
        <v>@miniyatooor</v>
      </c>
      <c r="C981" s="6" t="s">
        <v>5448</v>
      </c>
      <c r="D981" s="5" t="s">
        <v>5447</v>
      </c>
      <c r="E981" s="9" t="str">
        <f>HYPERLINK("https://twitter.com/miniyatooor/status/1045338661485568000","1045338661485568000")</f>
        <v>1045338661485568000</v>
      </c>
      <c r="F981" s="4"/>
      <c r="G981" s="4"/>
      <c r="H981" s="4"/>
      <c r="I981" s="10" t="str">
        <f>HYPERLINK("http://twitter.com","Twitter Web Client")</f>
        <v>Twitter Web Client</v>
      </c>
      <c r="J981" s="2">
        <v>256</v>
      </c>
      <c r="K981" s="2">
        <v>217</v>
      </c>
      <c r="L981" s="2">
        <v>0</v>
      </c>
      <c r="M981" s="2"/>
      <c r="N981" s="8">
        <v>42964.830439814818</v>
      </c>
      <c r="O981" s="4"/>
      <c r="P981" s="3"/>
      <c r="Q981" s="4"/>
      <c r="R981" s="4"/>
      <c r="S981" s="9" t="str">
        <f>HYPERLINK("https://pbs.twimg.com/profile_images/898915455179538432/BCZI3Fdt.jpg","View")</f>
        <v>View</v>
      </c>
    </row>
    <row r="982" spans="1:19" ht="20">
      <c r="A982" s="8">
        <v>43370.802442129629</v>
      </c>
      <c r="B982" s="11" t="str">
        <f>HYPERLINK("https://twitter.com/Hosseinpirozian","@Hosseinpirozian")</f>
        <v>@Hosseinpirozian</v>
      </c>
      <c r="C982" s="6" t="s">
        <v>5446</v>
      </c>
      <c r="D982" s="5" t="s">
        <v>5445</v>
      </c>
      <c r="E982" s="9" t="str">
        <f>HYPERLINK("https://twitter.com/Hosseinpirozian/status/1045338653353029632","1045338653353029632")</f>
        <v>1045338653353029632</v>
      </c>
      <c r="F982" s="4"/>
      <c r="G982" s="4"/>
      <c r="H982" s="4"/>
      <c r="I982" s="10" t="str">
        <f>HYPERLINK("http://twitter.com/download/android","Twitter for Android")</f>
        <v>Twitter for Android</v>
      </c>
      <c r="J982" s="2">
        <v>1275</v>
      </c>
      <c r="K982" s="2">
        <v>506</v>
      </c>
      <c r="L982" s="2">
        <v>5</v>
      </c>
      <c r="M982" s="2"/>
      <c r="N982" s="8">
        <v>42644.458425925928</v>
      </c>
      <c r="O982" s="4" t="s">
        <v>5444</v>
      </c>
      <c r="P982" s="3" t="s">
        <v>5443</v>
      </c>
      <c r="Q982" s="10" t="s">
        <v>5442</v>
      </c>
      <c r="R982" s="4"/>
      <c r="S982" s="9" t="str">
        <f>HYPERLINK("https://pbs.twimg.com/profile_images/978003565074702337/Q4kYGIsI.jpg","View")</f>
        <v>View</v>
      </c>
    </row>
    <row r="983" spans="1:19" ht="20">
      <c r="A983" s="8">
        <v>43370.802418981482</v>
      </c>
      <c r="B983" s="11" t="str">
        <f>HYPERLINK("https://twitter.com/Seyed_M_1988","@Seyed_M_1988")</f>
        <v>@Seyed_M_1988</v>
      </c>
      <c r="C983" s="6" t="s">
        <v>5441</v>
      </c>
      <c r="D983" s="5" t="s">
        <v>5440</v>
      </c>
      <c r="E983" s="9" t="str">
        <f>HYPERLINK("https://twitter.com/Seyed_M_1988/status/1045338646352670721","1045338646352670721")</f>
        <v>1045338646352670721</v>
      </c>
      <c r="F983" s="4"/>
      <c r="G983" s="4"/>
      <c r="H983" s="4"/>
      <c r="I983" s="10" t="str">
        <f>HYPERLINK("http://twitter.com/download/android","Twitter for Android")</f>
        <v>Twitter for Android</v>
      </c>
      <c r="J983" s="2">
        <v>1884</v>
      </c>
      <c r="K983" s="2">
        <v>848</v>
      </c>
      <c r="L983" s="2">
        <v>5</v>
      </c>
      <c r="M983" s="2"/>
      <c r="N983" s="8">
        <v>42915.407916666663</v>
      </c>
      <c r="O983" s="4" t="s">
        <v>5439</v>
      </c>
      <c r="P983" s="3" t="s">
        <v>5438</v>
      </c>
      <c r="Q983" s="4"/>
      <c r="R983" s="4"/>
      <c r="S983" s="9" t="str">
        <f>HYPERLINK("https://pbs.twimg.com/profile_images/1034012774467350529/WeTTbzn-.jpg","View")</f>
        <v>View</v>
      </c>
    </row>
    <row r="984" spans="1:19" ht="12.5">
      <c r="A984" s="8">
        <v>43370.802395833336</v>
      </c>
      <c r="B984" s="11" t="str">
        <f>HYPERLINK("https://twitter.com/Alinium_","@Alinium_")</f>
        <v>@Alinium_</v>
      </c>
      <c r="C984" s="6" t="s">
        <v>3561</v>
      </c>
      <c r="D984" s="5" t="s">
        <v>5437</v>
      </c>
      <c r="E984" s="9" t="str">
        <f>HYPERLINK("https://twitter.com/Alinium_/status/1045338639008505861","1045338639008505861")</f>
        <v>1045338639008505861</v>
      </c>
      <c r="F984" s="4"/>
      <c r="G984" s="4"/>
      <c r="H984" s="4"/>
      <c r="I984" s="10" t="str">
        <f>HYPERLINK("http://twitter.com/download/android","Twitter for Android")</f>
        <v>Twitter for Android</v>
      </c>
      <c r="J984" s="2">
        <v>547</v>
      </c>
      <c r="K984" s="2">
        <v>203</v>
      </c>
      <c r="L984" s="2">
        <v>5</v>
      </c>
      <c r="M984" s="2"/>
      <c r="N984" s="8">
        <v>42199.610868055555</v>
      </c>
      <c r="O984" s="4" t="s">
        <v>5307</v>
      </c>
      <c r="P984" s="3" t="s">
        <v>5306</v>
      </c>
      <c r="Q984" s="10" t="s">
        <v>5305</v>
      </c>
      <c r="R984" s="4"/>
      <c r="S984" s="9" t="str">
        <f>HYPERLINK("https://pbs.twimg.com/profile_images/1043870150318084096/MFemReCZ.jpg","View")</f>
        <v>View</v>
      </c>
    </row>
    <row r="985" spans="1:19" ht="20">
      <c r="A985" s="8">
        <v>43370.802384259259</v>
      </c>
      <c r="B985" s="11" t="str">
        <f>HYPERLINK("https://twitter.com/Ferizsh","@Ferizsh")</f>
        <v>@Ferizsh</v>
      </c>
      <c r="C985" s="6" t="s">
        <v>5436</v>
      </c>
      <c r="D985" s="5" t="s">
        <v>5435</v>
      </c>
      <c r="E985" s="9" t="str">
        <f>HYPERLINK("https://twitter.com/Ferizsh/status/1045338636269621253","1045338636269621253")</f>
        <v>1045338636269621253</v>
      </c>
      <c r="F985" s="4"/>
      <c r="G985" s="4"/>
      <c r="H985" s="4"/>
      <c r="I985" s="10" t="str">
        <f>HYPERLINK("http://twitter.com/download/iphone","Twitter for iPhone")</f>
        <v>Twitter for iPhone</v>
      </c>
      <c r="J985" s="2">
        <v>101</v>
      </c>
      <c r="K985" s="2">
        <v>107</v>
      </c>
      <c r="L985" s="2">
        <v>3</v>
      </c>
      <c r="M985" s="2"/>
      <c r="N985" s="8">
        <v>41042.582083333335</v>
      </c>
      <c r="O985" s="4" t="s">
        <v>5434</v>
      </c>
      <c r="P985" s="3" t="s">
        <v>5433</v>
      </c>
      <c r="Q985" s="4"/>
      <c r="R985" s="4"/>
      <c r="S985" s="9" t="str">
        <f>HYPERLINK("https://pbs.twimg.com/profile_images/1025514530913374213/7LFksG49.jpg","View")</f>
        <v>View</v>
      </c>
    </row>
    <row r="986" spans="1:19" ht="20">
      <c r="A986" s="8">
        <v>43370.802280092597</v>
      </c>
      <c r="B986" s="11" t="str">
        <f>HYPERLINK("https://twitter.com/mahboobe0068","@mahboobe0068")</f>
        <v>@mahboobe0068</v>
      </c>
      <c r="C986" s="6" t="s">
        <v>5432</v>
      </c>
      <c r="D986" s="5" t="s">
        <v>5431</v>
      </c>
      <c r="E986" s="9" t="str">
        <f>HYPERLINK("https://twitter.com/mahboobe0068/status/1045338594959904769","1045338594959904769")</f>
        <v>1045338594959904769</v>
      </c>
      <c r="F986" s="4"/>
      <c r="G986" s="4"/>
      <c r="H986" s="4"/>
      <c r="I986" s="10" t="str">
        <f>HYPERLINK("http://twitter.com/download/android","Twitter for Android")</f>
        <v>Twitter for Android</v>
      </c>
      <c r="J986" s="2">
        <v>275</v>
      </c>
      <c r="K986" s="2">
        <v>99</v>
      </c>
      <c r="L986" s="2">
        <v>1</v>
      </c>
      <c r="M986" s="2"/>
      <c r="N986" s="8">
        <v>42540.582071759258</v>
      </c>
      <c r="O986" s="4" t="s">
        <v>72</v>
      </c>
      <c r="P986" s="3" t="s">
        <v>5430</v>
      </c>
      <c r="Q986" s="4"/>
      <c r="R986" s="4"/>
      <c r="S986" s="9" t="str">
        <f>HYPERLINK("https://pbs.twimg.com/profile_images/1016740930781663232/UdeyuYxY.jpg","View")</f>
        <v>View</v>
      </c>
    </row>
    <row r="987" spans="1:19" ht="12.5">
      <c r="A987" s="8">
        <v>43370.802245370374</v>
      </c>
      <c r="B987" s="11" t="str">
        <f>HYPERLINK("https://twitter.com/amirmirkamali","@amirmirkamali")</f>
        <v>@amirmirkamali</v>
      </c>
      <c r="C987" s="6" t="s">
        <v>5429</v>
      </c>
      <c r="D987" s="5" t="s">
        <v>5428</v>
      </c>
      <c r="E987" s="9" t="str">
        <f>HYPERLINK("https://twitter.com/amirmirkamali/status/1045338581919825920","1045338581919825920")</f>
        <v>1045338581919825920</v>
      </c>
      <c r="F987" s="4"/>
      <c r="G987" s="4"/>
      <c r="H987" s="4"/>
      <c r="I987" s="10" t="str">
        <f>HYPERLINK("http://twitter.com/download/iphone","Twitter for iPhone")</f>
        <v>Twitter for iPhone</v>
      </c>
      <c r="J987" s="2">
        <v>158</v>
      </c>
      <c r="K987" s="2">
        <v>281</v>
      </c>
      <c r="L987" s="2">
        <v>0</v>
      </c>
      <c r="M987" s="2"/>
      <c r="N987" s="8">
        <v>40638.64680555556</v>
      </c>
      <c r="O987" s="4"/>
      <c r="P987" s="3" t="s">
        <v>5427</v>
      </c>
      <c r="Q987" s="4"/>
      <c r="R987" s="4"/>
      <c r="S987" s="9" t="str">
        <f>HYPERLINK("https://pbs.twimg.com/profile_images/1010918277076455426/KkjrPEP0.jpg","View")</f>
        <v>View</v>
      </c>
    </row>
    <row r="988" spans="1:19" ht="20">
      <c r="A988" s="8">
        <v>43370.802187499998</v>
      </c>
      <c r="B988" s="11" t="str">
        <f>HYPERLINK("https://twitter.com/lecter721","@lecter721")</f>
        <v>@lecter721</v>
      </c>
      <c r="C988" s="6" t="s">
        <v>5426</v>
      </c>
      <c r="D988" s="5" t="s">
        <v>5425</v>
      </c>
      <c r="E988" s="9" t="str">
        <f>HYPERLINK("https://twitter.com/lecter721/status/1045338564551012353","1045338564551012353")</f>
        <v>1045338564551012353</v>
      </c>
      <c r="F988" s="4"/>
      <c r="G988" s="4"/>
      <c r="H988" s="4"/>
      <c r="I988" s="10" t="str">
        <f>HYPERLINK("http://twitter.com/download/android","Twitter for Android")</f>
        <v>Twitter for Android</v>
      </c>
      <c r="J988" s="2">
        <v>569</v>
      </c>
      <c r="K988" s="2">
        <v>498</v>
      </c>
      <c r="L988" s="2">
        <v>2</v>
      </c>
      <c r="M988" s="2"/>
      <c r="N988" s="8">
        <v>43336.921574074076</v>
      </c>
      <c r="O988" s="4" t="s">
        <v>5424</v>
      </c>
      <c r="P988" s="3" t="s">
        <v>5423</v>
      </c>
      <c r="Q988" s="4"/>
      <c r="R988" s="4"/>
      <c r="S988" s="9" t="str">
        <f>HYPERLINK("https://pbs.twimg.com/profile_images/1033046730277875712/eo04KGqJ.jpg","View")</f>
        <v>View</v>
      </c>
    </row>
    <row r="989" spans="1:19" ht="20">
      <c r="A989" s="8">
        <v>43370.802129629628</v>
      </c>
      <c r="B989" s="11" t="str">
        <f>HYPERLINK("https://twitter.com/voldemort1300","@voldemort1300")</f>
        <v>@voldemort1300</v>
      </c>
      <c r="C989" s="6" t="s">
        <v>5422</v>
      </c>
      <c r="D989" s="5" t="s">
        <v>5421</v>
      </c>
      <c r="E989" s="9" t="str">
        <f>HYPERLINK("https://twitter.com/voldemort1300/status/1045338542673719297","1045338542673719297")</f>
        <v>1045338542673719297</v>
      </c>
      <c r="F989" s="4"/>
      <c r="G989" s="4"/>
      <c r="H989" s="4"/>
      <c r="I989" s="10" t="str">
        <f>HYPERLINK("http://twitter.com/download/android","Twitter for Android")</f>
        <v>Twitter for Android</v>
      </c>
      <c r="J989" s="2">
        <v>2575</v>
      </c>
      <c r="K989" s="2">
        <v>4998</v>
      </c>
      <c r="L989" s="2">
        <v>1</v>
      </c>
      <c r="M989" s="2"/>
      <c r="N989" s="8">
        <v>43228.695717592593</v>
      </c>
      <c r="O989" s="4" t="s">
        <v>5420</v>
      </c>
      <c r="P989" s="3" t="s">
        <v>5419</v>
      </c>
      <c r="Q989" s="4"/>
      <c r="R989" s="4"/>
      <c r="S989" s="9" t="str">
        <f>HYPERLINK("https://pbs.twimg.com/profile_images/993906474622574592/6HvXNXS4.jpg","View")</f>
        <v>View</v>
      </c>
    </row>
    <row r="990" spans="1:19" ht="50">
      <c r="A990" s="8">
        <v>43370.802094907413</v>
      </c>
      <c r="B990" s="11" t="str">
        <f>HYPERLINK("https://twitter.com/CalcioIraniano","@CalcioIraniano")</f>
        <v>@CalcioIraniano</v>
      </c>
      <c r="C990" s="6" t="s">
        <v>1078</v>
      </c>
      <c r="D990" s="5" t="s">
        <v>5418</v>
      </c>
      <c r="E990" s="9" t="str">
        <f>HYPERLINK("https://twitter.com/CalcioIraniano/status/1045338527725244416","1045338527725244416")</f>
        <v>1045338527725244416</v>
      </c>
      <c r="F990" s="4"/>
      <c r="G990" s="4"/>
      <c r="H990" s="4"/>
      <c r="I990" s="10" t="str">
        <f>HYPERLINK("http://twitter.com","Twitter Web Client")</f>
        <v>Twitter Web Client</v>
      </c>
      <c r="J990" s="2">
        <v>98</v>
      </c>
      <c r="K990" s="2">
        <v>73</v>
      </c>
      <c r="L990" s="2">
        <v>2</v>
      </c>
      <c r="M990" s="2"/>
      <c r="N990" s="8">
        <v>42943.737407407403</v>
      </c>
      <c r="O990" s="4" t="s">
        <v>1075</v>
      </c>
      <c r="P990" s="3" t="s">
        <v>1074</v>
      </c>
      <c r="Q990" s="10" t="s">
        <v>1073</v>
      </c>
      <c r="R990" s="4"/>
      <c r="S990" s="9" t="str">
        <f>HYPERLINK("https://pbs.twimg.com/profile_images/890563384915243008/kZ2we3yk.jpg","View")</f>
        <v>View</v>
      </c>
    </row>
    <row r="991" spans="1:19" ht="12.5">
      <c r="A991" s="8">
        <v>43370.802083333328</v>
      </c>
      <c r="B991" s="11" t="str">
        <f>HYPERLINK("https://twitter.com/m2mhardy","@m2mhardy")</f>
        <v>@m2mhardy</v>
      </c>
      <c r="C991" s="6" t="s">
        <v>5417</v>
      </c>
      <c r="D991" s="5" t="s">
        <v>5416</v>
      </c>
      <c r="E991" s="9" t="str">
        <f>HYPERLINK("https://twitter.com/m2mhardy/status/1045338526894755841","1045338526894755841")</f>
        <v>1045338526894755841</v>
      </c>
      <c r="F991" s="4"/>
      <c r="G991" s="4"/>
      <c r="H991" s="4"/>
      <c r="I991" s="10" t="str">
        <f>HYPERLINK("http://twitter.com/download/android","Twitter for Android")</f>
        <v>Twitter for Android</v>
      </c>
      <c r="J991" s="2">
        <v>3127</v>
      </c>
      <c r="K991" s="2">
        <v>2405</v>
      </c>
      <c r="L991" s="2">
        <v>3</v>
      </c>
      <c r="M991" s="2"/>
      <c r="N991" s="8">
        <v>42983.945266203707</v>
      </c>
      <c r="O991" s="4" t="s">
        <v>311</v>
      </c>
      <c r="P991" s="3" t="s">
        <v>5415</v>
      </c>
      <c r="Q991" s="4"/>
      <c r="R991" s="4"/>
      <c r="S991" s="9" t="str">
        <f>HYPERLINK("https://pbs.twimg.com/profile_images/1011833561899466752/zw51bx-H.jpg","View")</f>
        <v>View</v>
      </c>
    </row>
    <row r="992" spans="1:19" ht="20">
      <c r="A992" s="8">
        <v>43370.802083333328</v>
      </c>
      <c r="B992" s="11" t="str">
        <f>HYPERLINK("https://twitter.com/ardalanmousavi","@ardalanmousavi")</f>
        <v>@ardalanmousavi</v>
      </c>
      <c r="C992" s="6" t="s">
        <v>5414</v>
      </c>
      <c r="D992" s="5" t="s">
        <v>5413</v>
      </c>
      <c r="E992" s="9" t="str">
        <f>HYPERLINK("https://twitter.com/ardalanmousavi/status/1045338525548326913","1045338525548326913")</f>
        <v>1045338525548326913</v>
      </c>
      <c r="F992" s="4"/>
      <c r="G992" s="4"/>
      <c r="H992" s="4"/>
      <c r="I992" s="10" t="str">
        <f>HYPERLINK("http://twitter.com/download/iphone","Twitter for iPhone")</f>
        <v>Twitter for iPhone</v>
      </c>
      <c r="J992" s="2">
        <v>1730</v>
      </c>
      <c r="K992" s="2">
        <v>110</v>
      </c>
      <c r="L992" s="2">
        <v>16</v>
      </c>
      <c r="M992" s="2"/>
      <c r="N992" s="8">
        <v>40575.984618055554</v>
      </c>
      <c r="O992" s="4"/>
      <c r="P992" s="3" t="s">
        <v>5412</v>
      </c>
      <c r="Q992" s="4"/>
      <c r="R992" s="4"/>
      <c r="S992" s="9" t="str">
        <f>HYPERLINK("https://pbs.twimg.com/profile_images/918579206795141121/5xih9RQ3.jpg","View")</f>
        <v>View</v>
      </c>
    </row>
    <row r="993" spans="1:19" ht="20">
      <c r="A993" s="8">
        <v>43370.802048611113</v>
      </c>
      <c r="B993" s="11" t="str">
        <f>HYPERLINK("https://twitter.com/CafeChy","@CafeChy")</f>
        <v>@CafeChy</v>
      </c>
      <c r="C993" s="6" t="s">
        <v>3448</v>
      </c>
      <c r="D993" s="5" t="s">
        <v>5411</v>
      </c>
      <c r="E993" s="9" t="str">
        <f>HYPERLINK("https://twitter.com/CafeChy/status/1045338513389047808","1045338513389047808")</f>
        <v>1045338513389047808</v>
      </c>
      <c r="F993" s="4"/>
      <c r="G993" s="4"/>
      <c r="H993" s="4"/>
      <c r="I993" s="10" t="str">
        <f>HYPERLINK("http://twitter.com/download/iphone","Twitter for iPhone")</f>
        <v>Twitter for iPhone</v>
      </c>
      <c r="J993" s="2">
        <v>421</v>
      </c>
      <c r="K993" s="2">
        <v>163</v>
      </c>
      <c r="L993" s="2">
        <v>5</v>
      </c>
      <c r="M993" s="2"/>
      <c r="N993" s="8">
        <v>39994.765775462962</v>
      </c>
      <c r="O993" s="4" t="s">
        <v>311</v>
      </c>
      <c r="P993" s="3" t="s">
        <v>3446</v>
      </c>
      <c r="Q993" s="10" t="s">
        <v>3445</v>
      </c>
      <c r="R993" s="4"/>
      <c r="S993" s="9" t="str">
        <f>HYPERLINK("https://pbs.twimg.com/profile_images/561620834435883008/qkdFicEK.jpeg","View")</f>
        <v>View</v>
      </c>
    </row>
    <row r="994" spans="1:19" ht="12.5">
      <c r="A994" s="8">
        <v>43370.801990740743</v>
      </c>
      <c r="B994" s="11" t="str">
        <f>HYPERLINK("https://twitter.com/makanmehr","@makanmehr")</f>
        <v>@makanmehr</v>
      </c>
      <c r="C994" s="6" t="s">
        <v>5410</v>
      </c>
      <c r="D994" s="5" t="s">
        <v>5409</v>
      </c>
      <c r="E994" s="9" t="str">
        <f>HYPERLINK("https://twitter.com/makanmehr/status/1045338489603149824","1045338489603149824")</f>
        <v>1045338489603149824</v>
      </c>
      <c r="F994" s="4"/>
      <c r="G994" s="4"/>
      <c r="H994" s="4"/>
      <c r="I994" s="10" t="str">
        <f>HYPERLINK("http://twitter.com/download/iphone","Twitter for iPhone")</f>
        <v>Twitter for iPhone</v>
      </c>
      <c r="J994" s="2">
        <v>3121</v>
      </c>
      <c r="K994" s="2">
        <v>1348</v>
      </c>
      <c r="L994" s="2">
        <v>23</v>
      </c>
      <c r="M994" s="2"/>
      <c r="N994" s="8">
        <v>39577.075914351852</v>
      </c>
      <c r="O994" s="4" t="s">
        <v>311</v>
      </c>
      <c r="P994" s="3" t="s">
        <v>5408</v>
      </c>
      <c r="Q994" s="10" t="s">
        <v>5407</v>
      </c>
      <c r="R994" s="4"/>
      <c r="S994" s="9" t="str">
        <f>HYPERLINK("https://pbs.twimg.com/profile_images/1020029621004357634/1faeYmk2.jpg","View")</f>
        <v>View</v>
      </c>
    </row>
    <row r="995" spans="1:19" ht="12.5">
      <c r="A995" s="8">
        <v>43370.801921296297</v>
      </c>
      <c r="B995" s="11" t="str">
        <f>HYPERLINK("https://twitter.com/s_layeq","@s_layeq")</f>
        <v>@s_layeq</v>
      </c>
      <c r="C995" s="6" t="s">
        <v>5406</v>
      </c>
      <c r="D995" s="5" t="s">
        <v>5405</v>
      </c>
      <c r="E995" s="9" t="str">
        <f>HYPERLINK("https://twitter.com/s_layeq/status/1045338466828132354","1045338466828132354")</f>
        <v>1045338466828132354</v>
      </c>
      <c r="F995" s="4"/>
      <c r="G995" s="4"/>
      <c r="H995" s="4"/>
      <c r="I995" s="10" t="str">
        <f>HYPERLINK("http://twitter.com/download/iphone","Twitter for iPhone")</f>
        <v>Twitter for iPhone</v>
      </c>
      <c r="J995" s="2">
        <v>662</v>
      </c>
      <c r="K995" s="2">
        <v>1001</v>
      </c>
      <c r="L995" s="2">
        <v>3</v>
      </c>
      <c r="M995" s="2"/>
      <c r="N995" s="8">
        <v>41170.623356481483</v>
      </c>
      <c r="O995" s="4" t="s">
        <v>69</v>
      </c>
      <c r="P995" s="3" t="s">
        <v>5404</v>
      </c>
      <c r="Q995" s="4"/>
      <c r="R995" s="4"/>
      <c r="S995" s="9" t="str">
        <f>HYPERLINK("https://pbs.twimg.com/profile_images/1023704286696497152/O4YGmbk0.jpg","View")</f>
        <v>View</v>
      </c>
    </row>
    <row r="996" spans="1:19" ht="20">
      <c r="A996" s="8">
        <v>43370.801886574074</v>
      </c>
      <c r="B996" s="11" t="str">
        <f>HYPERLINK("https://twitter.com/msadegh122","@msadegh122")</f>
        <v>@msadegh122</v>
      </c>
      <c r="C996" s="6" t="s">
        <v>5403</v>
      </c>
      <c r="D996" s="5" t="s">
        <v>5402</v>
      </c>
      <c r="E996" s="9" t="str">
        <f>HYPERLINK("https://twitter.com/msadegh122/status/1045338454555590656","1045338454555590656")</f>
        <v>1045338454555590656</v>
      </c>
      <c r="F996" s="4"/>
      <c r="G996" s="4"/>
      <c r="H996" s="4"/>
      <c r="I996" s="10" t="str">
        <f>HYPERLINK("http://twitter.com/download/android","Twitter for Android")</f>
        <v>Twitter for Android</v>
      </c>
      <c r="J996" s="2">
        <v>9592</v>
      </c>
      <c r="K996" s="2">
        <v>1141</v>
      </c>
      <c r="L996" s="2">
        <v>45</v>
      </c>
      <c r="M996" s="2"/>
      <c r="N996" s="8">
        <v>41741.756944444445</v>
      </c>
      <c r="O996" s="4" t="s">
        <v>5401</v>
      </c>
      <c r="P996" s="3" t="s">
        <v>5400</v>
      </c>
      <c r="Q996" s="10" t="s">
        <v>5399</v>
      </c>
      <c r="R996" s="4"/>
      <c r="S996" s="9" t="str">
        <f>HYPERLINK("https://pbs.twimg.com/profile_images/1032380814481403918/lAxA-ruZ.jpg","View")</f>
        <v>View</v>
      </c>
    </row>
    <row r="997" spans="1:19" ht="20">
      <c r="A997" s="8">
        <v>43370.801724537036</v>
      </c>
      <c r="B997" s="11" t="str">
        <f>HYPERLINK("https://twitter.com/amirfs","@amirfs")</f>
        <v>@amirfs</v>
      </c>
      <c r="C997" s="6" t="s">
        <v>2186</v>
      </c>
      <c r="D997" s="5" t="s">
        <v>5398</v>
      </c>
      <c r="E997" s="9" t="str">
        <f>HYPERLINK("https://twitter.com/amirfs/status/1045338394614620160","1045338394614620160")</f>
        <v>1045338394614620160</v>
      </c>
      <c r="F997" s="4"/>
      <c r="G997" s="4"/>
      <c r="H997" s="4"/>
      <c r="I997" s="10" t="str">
        <f>HYPERLINK("http://twitter.com","Twitter Web Client")</f>
        <v>Twitter Web Client</v>
      </c>
      <c r="J997" s="2">
        <v>251</v>
      </c>
      <c r="K997" s="2">
        <v>330</v>
      </c>
      <c r="L997" s="2">
        <v>2</v>
      </c>
      <c r="M997" s="2"/>
      <c r="N997" s="8">
        <v>39937.545104166667</v>
      </c>
      <c r="O997" s="4" t="s">
        <v>200</v>
      </c>
      <c r="P997" s="3" t="s">
        <v>4186</v>
      </c>
      <c r="Q997" s="4"/>
      <c r="R997" s="4"/>
      <c r="S997" s="9" t="str">
        <f>HYPERLINK("https://pbs.twimg.com/profile_images/851124110050471937/Pd9enGq-.jpg","View")</f>
        <v>View</v>
      </c>
    </row>
    <row r="998" spans="1:19" ht="20">
      <c r="A998" s="8">
        <v>43370.801701388889</v>
      </c>
      <c r="B998" s="11" t="str">
        <f>HYPERLINK("https://twitter.com/Shadi1380","@Shadi1380")</f>
        <v>@Shadi1380</v>
      </c>
      <c r="C998" s="6" t="s">
        <v>5397</v>
      </c>
      <c r="D998" s="5" t="s">
        <v>5396</v>
      </c>
      <c r="E998" s="9" t="str">
        <f>HYPERLINK("https://twitter.com/Shadi1380/status/1045338385974530048","1045338385974530048")</f>
        <v>1045338385974530048</v>
      </c>
      <c r="F998" s="4"/>
      <c r="G998" s="4"/>
      <c r="H998" s="4"/>
      <c r="I998" s="10" t="str">
        <f>HYPERLINK("http://twitter.com/download/android","Twitter for Android")</f>
        <v>Twitter for Android</v>
      </c>
      <c r="J998" s="2">
        <v>579</v>
      </c>
      <c r="K998" s="2">
        <v>567</v>
      </c>
      <c r="L998" s="2">
        <v>0</v>
      </c>
      <c r="M998" s="2"/>
      <c r="N998" s="8">
        <v>43251.412870370375</v>
      </c>
      <c r="O998" s="4" t="s">
        <v>5395</v>
      </c>
      <c r="P998" s="3" t="s">
        <v>5394</v>
      </c>
      <c r="Q998" s="10" t="s">
        <v>5393</v>
      </c>
      <c r="R998" s="4"/>
      <c r="S998" s="9" t="str">
        <f>HYPERLINK("https://pbs.twimg.com/profile_images/1044971286240382983/00tCH6Q3.jpg","View")</f>
        <v>View</v>
      </c>
    </row>
    <row r="999" spans="1:19" ht="40">
      <c r="A999" s="8">
        <v>43370.801701388889</v>
      </c>
      <c r="B999" s="11" t="str">
        <f>HYPERLINK("https://twitter.com/iranteammelli","@iranteammelli")</f>
        <v>@iranteammelli</v>
      </c>
      <c r="C999" s="6" t="s">
        <v>1044</v>
      </c>
      <c r="D999" s="5" t="s">
        <v>5392</v>
      </c>
      <c r="E999" s="9" t="str">
        <f>HYPERLINK("https://twitter.com/iranteammelli/status/1045338384770760704","1045338384770760704")</f>
        <v>1045338384770760704</v>
      </c>
      <c r="F999" s="4"/>
      <c r="G999" s="4"/>
      <c r="H999" s="4"/>
      <c r="I999" s="10" t="str">
        <f>HYPERLINK("http://twitter.com","Twitter Web Client")</f>
        <v>Twitter Web Client</v>
      </c>
      <c r="J999" s="2">
        <v>1084</v>
      </c>
      <c r="K999" s="2">
        <v>375</v>
      </c>
      <c r="L999" s="2">
        <v>67</v>
      </c>
      <c r="M999" s="2"/>
      <c r="N999" s="8">
        <v>41797.646249999998</v>
      </c>
      <c r="O999" s="4" t="s">
        <v>62</v>
      </c>
      <c r="P999" s="3" t="s">
        <v>1041</v>
      </c>
      <c r="Q999" s="10" t="s">
        <v>1040</v>
      </c>
      <c r="R999" s="4"/>
      <c r="S999" s="9" t="str">
        <f>HYPERLINK("https://pbs.twimg.com/profile_images/757538975724761088/D2_y6aCK.jpg","View")</f>
        <v>View</v>
      </c>
    </row>
    <row r="1000" spans="1:19" ht="12.5">
      <c r="A1000" s="8">
        <v>43370.801666666666</v>
      </c>
      <c r="B1000" s="11" t="str">
        <f>HYPERLINK("https://twitter.com/dokhtararyaee","@dokhtararyaee")</f>
        <v>@dokhtararyaee</v>
      </c>
      <c r="C1000" s="6" t="s">
        <v>972</v>
      </c>
      <c r="D1000" s="5" t="s">
        <v>5391</v>
      </c>
      <c r="E1000" s="9" t="str">
        <f>HYPERLINK("https://twitter.com/dokhtararyaee/status/1045338375811715072","1045338375811715072")</f>
        <v>1045338375811715072</v>
      </c>
      <c r="F1000" s="4"/>
      <c r="G1000" s="4"/>
      <c r="H1000" s="4"/>
      <c r="I1000" s="10" t="str">
        <f>HYPERLINK("https://mobile.twitter.com","Twitter Lite")</f>
        <v>Twitter Lite</v>
      </c>
      <c r="J1000" s="2">
        <v>9</v>
      </c>
      <c r="K1000" s="2">
        <v>26</v>
      </c>
      <c r="L1000" s="2">
        <v>0</v>
      </c>
      <c r="M1000" s="2"/>
      <c r="N1000" s="8">
        <v>43244.229722222226</v>
      </c>
      <c r="O1000" s="4"/>
      <c r="P1000" s="3"/>
      <c r="Q1000" s="4"/>
      <c r="R1000" s="4"/>
      <c r="S1000" s="9" t="str">
        <f>HYPERLINK("https://pbs.twimg.com/profile_images/1008834123480346627/NyYMn5UQ.jpg","View")</f>
        <v>View</v>
      </c>
    </row>
    <row r="1001" spans="1:19" ht="20">
      <c r="A1001" s="8">
        <v>43370.801562499997</v>
      </c>
      <c r="B1001" s="11" t="str">
        <f>HYPERLINK("https://twitter.com/vehan0","@vehan0")</f>
        <v>@vehan0</v>
      </c>
      <c r="C1001" s="6" t="s">
        <v>5390</v>
      </c>
      <c r="D1001" s="5" t="s">
        <v>5389</v>
      </c>
      <c r="E1001" s="9" t="str">
        <f>HYPERLINK("https://twitter.com/vehan0/status/1045338335206690819","1045338335206690819")</f>
        <v>1045338335206690819</v>
      </c>
      <c r="F1001" s="4"/>
      <c r="G1001" s="4"/>
      <c r="H1001" s="4"/>
      <c r="I1001" s="10" t="str">
        <f>HYPERLINK("http://twitter.com/download/iphone","Twitter for iPhone")</f>
        <v>Twitter for iPhone</v>
      </c>
      <c r="J1001" s="2">
        <v>97</v>
      </c>
      <c r="K1001" s="2">
        <v>208</v>
      </c>
      <c r="L1001" s="2">
        <v>0</v>
      </c>
      <c r="M1001" s="2"/>
      <c r="N1001" s="8">
        <v>41491.879837962959</v>
      </c>
      <c r="O1001" s="4" t="s">
        <v>5388</v>
      </c>
      <c r="P1001" s="3" t="s">
        <v>5387</v>
      </c>
      <c r="Q1001" s="4"/>
      <c r="R1001" s="4"/>
      <c r="S1001" s="9" t="str">
        <f>HYPERLINK("https://pbs.twimg.com/profile_images/805495537063591936/L3oHR8wP.jpg","View")</f>
        <v>View</v>
      </c>
    </row>
    <row r="1002" spans="1:19" ht="12.5">
      <c r="A1002" s="8">
        <v>43370.801527777774</v>
      </c>
      <c r="B1002" s="11" t="str">
        <f>HYPERLINK("https://twitter.com/Ahmad1375_5","@Ahmad1375_5")</f>
        <v>@Ahmad1375_5</v>
      </c>
      <c r="C1002" s="6" t="s">
        <v>5386</v>
      </c>
      <c r="D1002" s="5" t="s">
        <v>5385</v>
      </c>
      <c r="E1002" s="9" t="str">
        <f>HYPERLINK("https://twitter.com/Ahmad1375_5/status/1045338325568159744","1045338325568159744")</f>
        <v>1045338325568159744</v>
      </c>
      <c r="F1002" s="4"/>
      <c r="G1002" s="4"/>
      <c r="H1002" s="4"/>
      <c r="I1002" s="10" t="str">
        <f>HYPERLINK("http://twitter.com/download/iphone","Twitter for iPhone")</f>
        <v>Twitter for iPhone</v>
      </c>
      <c r="J1002" s="2">
        <v>1170</v>
      </c>
      <c r="K1002" s="2">
        <v>1041</v>
      </c>
      <c r="L1002" s="2">
        <v>3</v>
      </c>
      <c r="M1002" s="2"/>
      <c r="N1002" s="8">
        <v>43130.912245370375</v>
      </c>
      <c r="O1002" s="4" t="s">
        <v>5384</v>
      </c>
      <c r="P1002" s="3" t="s">
        <v>5383</v>
      </c>
      <c r="Q1002" s="4"/>
      <c r="R1002" s="4"/>
      <c r="S1002" s="9" t="str">
        <f>HYPERLINK("https://pbs.twimg.com/profile_images/1036324614895534081/530T2HfA.jpg","View")</f>
        <v>View</v>
      </c>
    </row>
    <row r="1003" spans="1:19" ht="20">
      <c r="A1003" s="8">
        <v>43370.801435185189</v>
      </c>
      <c r="B1003" s="11" t="str">
        <f>HYPERLINK("https://twitter.com/mim_allameh","@mim_allameh")</f>
        <v>@mim_allameh</v>
      </c>
      <c r="C1003" s="6" t="s">
        <v>5382</v>
      </c>
      <c r="D1003" s="5" t="s">
        <v>5381</v>
      </c>
      <c r="E1003" s="9" t="str">
        <f>HYPERLINK("https://twitter.com/mim_allameh/status/1045338289023127553","1045338289023127553")</f>
        <v>1045338289023127553</v>
      </c>
      <c r="F1003" s="4"/>
      <c r="G1003" s="4"/>
      <c r="H1003" s="4"/>
      <c r="I1003" s="10" t="str">
        <f>HYPERLINK("http://twitter.com/download/android","Twitter for Android")</f>
        <v>Twitter for Android</v>
      </c>
      <c r="J1003" s="2">
        <v>252</v>
      </c>
      <c r="K1003" s="2">
        <v>738</v>
      </c>
      <c r="L1003" s="2">
        <v>3</v>
      </c>
      <c r="M1003" s="2"/>
      <c r="N1003" s="8">
        <v>42573.839537037042</v>
      </c>
      <c r="O1003" s="4" t="s">
        <v>200</v>
      </c>
      <c r="P1003" s="3" t="s">
        <v>5380</v>
      </c>
      <c r="Q1003" s="4"/>
      <c r="R1003" s="4"/>
      <c r="S1003" s="9" t="str">
        <f>HYPERLINK("https://pbs.twimg.com/profile_images/1036301823676743680/pDryY84j.jpg","View")</f>
        <v>View</v>
      </c>
    </row>
    <row r="1004" spans="1:19" ht="20">
      <c r="A1004" s="8">
        <v>43370.801423611112</v>
      </c>
      <c r="B1004" s="11" t="str">
        <f>HYPERLINK("https://twitter.com/hesmaili95","@hesmaili95")</f>
        <v>@hesmaili95</v>
      </c>
      <c r="C1004" s="6" t="s">
        <v>5379</v>
      </c>
      <c r="D1004" s="5" t="s">
        <v>5378</v>
      </c>
      <c r="E1004" s="9" t="str">
        <f>HYPERLINK("https://twitter.com/hesmaili95/status/1045338287525830657","1045338287525830657")</f>
        <v>1045338287525830657</v>
      </c>
      <c r="F1004" s="4"/>
      <c r="G1004" s="4"/>
      <c r="H1004" s="4"/>
      <c r="I1004" s="10" t="str">
        <f>HYPERLINK("http://twitter.com/download/android","Twitter for Android")</f>
        <v>Twitter for Android</v>
      </c>
      <c r="J1004" s="2">
        <v>199</v>
      </c>
      <c r="K1004" s="2">
        <v>128</v>
      </c>
      <c r="L1004" s="2">
        <v>10</v>
      </c>
      <c r="M1004" s="2"/>
      <c r="N1004" s="8">
        <v>41522.773379629631</v>
      </c>
      <c r="O1004" s="4" t="s">
        <v>5377</v>
      </c>
      <c r="P1004" s="3" t="s">
        <v>5376</v>
      </c>
      <c r="Q1004" s="10" t="s">
        <v>5375</v>
      </c>
      <c r="R1004" s="4"/>
      <c r="S1004" s="9" t="str">
        <f>HYPERLINK("https://pbs.twimg.com/profile_images/848078314249965569/bEgd_DFq.jpg","View")</f>
        <v>View</v>
      </c>
    </row>
    <row r="1005" spans="1:19" ht="30">
      <c r="A1005" s="8">
        <v>43370.801412037035</v>
      </c>
      <c r="B1005" s="11" t="str">
        <f>HYPERLINK("https://twitter.com/iiriix_","@iiriix_")</f>
        <v>@iiriix_</v>
      </c>
      <c r="C1005" s="6" t="s">
        <v>5374</v>
      </c>
      <c r="D1005" s="5" t="s">
        <v>5373</v>
      </c>
      <c r="E1005" s="9" t="str">
        <f>HYPERLINK("https://twitter.com/iiriix_/status/1045338281481662464","1045338281481662464")</f>
        <v>1045338281481662464</v>
      </c>
      <c r="F1005" s="4"/>
      <c r="G1005" s="4"/>
      <c r="H1005" s="4"/>
      <c r="I1005" s="10" t="str">
        <f>HYPERLINK("https://about.twitter.com/products/tweetdeck","TweetDeck")</f>
        <v>TweetDeck</v>
      </c>
      <c r="J1005" s="2">
        <v>2905</v>
      </c>
      <c r="K1005" s="2">
        <v>256</v>
      </c>
      <c r="L1005" s="2">
        <v>36</v>
      </c>
      <c r="M1005" s="2"/>
      <c r="N1005" s="8">
        <v>39565.538946759261</v>
      </c>
      <c r="O1005" s="4" t="s">
        <v>5372</v>
      </c>
      <c r="P1005" s="3" t="s">
        <v>5371</v>
      </c>
      <c r="Q1005" s="10" t="s">
        <v>5370</v>
      </c>
      <c r="R1005" s="4"/>
      <c r="S1005" s="9" t="str">
        <f>HYPERLINK("https://pbs.twimg.com/profile_images/1036598463285227521/aAtjImLO.jpg","View")</f>
        <v>View</v>
      </c>
    </row>
    <row r="1006" spans="1:19" ht="30">
      <c r="A1006" s="8">
        <v>43370.801377314812</v>
      </c>
      <c r="B1006" s="11" t="str">
        <f>HYPERLINK("https://twitter.com/2damask","@2damask")</f>
        <v>@2damask</v>
      </c>
      <c r="C1006" s="6" t="s">
        <v>5270</v>
      </c>
      <c r="D1006" s="5" t="s">
        <v>5369</v>
      </c>
      <c r="E1006" s="9" t="str">
        <f>HYPERLINK("https://twitter.com/2damask/status/1045338267661606913","1045338267661606913")</f>
        <v>1045338267661606913</v>
      </c>
      <c r="F1006" s="4"/>
      <c r="G1006" s="4"/>
      <c r="H1006" s="4"/>
      <c r="I1006" s="10" t="str">
        <f>HYPERLINK("http://twitter.com/download/iphone","Twitter for iPhone")</f>
        <v>Twitter for iPhone</v>
      </c>
      <c r="J1006" s="2">
        <v>9042</v>
      </c>
      <c r="K1006" s="2">
        <v>6333</v>
      </c>
      <c r="L1006" s="2">
        <v>34</v>
      </c>
      <c r="M1006" s="2"/>
      <c r="N1006" s="8">
        <v>41702.987384259257</v>
      </c>
      <c r="O1006" s="4" t="s">
        <v>5268</v>
      </c>
      <c r="P1006" s="3" t="s">
        <v>5267</v>
      </c>
      <c r="Q1006" s="4"/>
      <c r="R1006" s="4"/>
      <c r="S1006" s="9" t="str">
        <f>HYPERLINK("https://pbs.twimg.com/profile_images/890043743973376002/ym155GNX.jpg","View")</f>
        <v>View</v>
      </c>
    </row>
    <row r="1007" spans="1:19" ht="20">
      <c r="A1007" s="8">
        <v>43370.801377314812</v>
      </c>
      <c r="B1007" s="11" t="str">
        <f>HYPERLINK("https://twitter.com/fateme17n","@fateme17n")</f>
        <v>@fateme17n</v>
      </c>
      <c r="C1007" s="6" t="s">
        <v>5368</v>
      </c>
      <c r="D1007" s="5" t="s">
        <v>5367</v>
      </c>
      <c r="E1007" s="9" t="str">
        <f>HYPERLINK("https://twitter.com/fateme17n/status/1045338267368005632","1045338267368005632")</f>
        <v>1045338267368005632</v>
      </c>
      <c r="F1007" s="4"/>
      <c r="G1007" s="4"/>
      <c r="H1007" s="4"/>
      <c r="I1007" s="10" t="str">
        <f>HYPERLINK("http://twitter.com/download/iphone","Twitter for iPhone")</f>
        <v>Twitter for iPhone</v>
      </c>
      <c r="J1007" s="2">
        <v>35</v>
      </c>
      <c r="K1007" s="2">
        <v>71</v>
      </c>
      <c r="L1007" s="2">
        <v>0</v>
      </c>
      <c r="M1007" s="2"/>
      <c r="N1007" s="8">
        <v>41776.576921296299</v>
      </c>
      <c r="O1007" s="4"/>
      <c r="P1007" s="3"/>
      <c r="Q1007" s="4"/>
      <c r="R1007" s="4"/>
      <c r="S1007" s="9" t="str">
        <f>HYPERLINK("https://pbs.twimg.com/profile_images/930439456947138560/Jov3apE4.jpg","View")</f>
        <v>View</v>
      </c>
    </row>
    <row r="1008" spans="1:19" ht="20">
      <c r="A1008" s="8">
        <v>43370.801342592589</v>
      </c>
      <c r="B1008" s="11" t="str">
        <f>HYPERLINK("https://twitter.com/ameer_mousavi","@ameer_mousavi")</f>
        <v>@ameer_mousavi</v>
      </c>
      <c r="C1008" s="6" t="s">
        <v>5366</v>
      </c>
      <c r="D1008" s="5" t="s">
        <v>5365</v>
      </c>
      <c r="E1008" s="9" t="str">
        <f>HYPERLINK("https://twitter.com/ameer_mousavi/status/1045338258392190978","1045338258392190978")</f>
        <v>1045338258392190978</v>
      </c>
      <c r="F1008" s="4"/>
      <c r="G1008" s="4"/>
      <c r="H1008" s="4"/>
      <c r="I1008" s="10" t="str">
        <f>HYPERLINK("http://twitter.com/download/android","Twitter for Android")</f>
        <v>Twitter for Android</v>
      </c>
      <c r="J1008" s="2">
        <v>373</v>
      </c>
      <c r="K1008" s="2">
        <v>514</v>
      </c>
      <c r="L1008" s="2">
        <v>13</v>
      </c>
      <c r="M1008" s="2"/>
      <c r="N1008" s="8">
        <v>41082.620057870372</v>
      </c>
      <c r="O1008" s="4" t="s">
        <v>72</v>
      </c>
      <c r="P1008" s="3" t="s">
        <v>5364</v>
      </c>
      <c r="Q1008" s="10" t="s">
        <v>5363</v>
      </c>
      <c r="R1008" s="4"/>
      <c r="S1008" s="9" t="str">
        <f>HYPERLINK("https://pbs.twimg.com/profile_images/1025809556964864001/H1OOFFgs.jpg","View")</f>
        <v>View</v>
      </c>
    </row>
    <row r="1009" spans="1:19" ht="40">
      <c r="A1009" s="8">
        <v>43370.801273148143</v>
      </c>
      <c r="B1009" s="11" t="str">
        <f>HYPERLINK("https://twitter.com/arastuq","@arastuq")</f>
        <v>@arastuq</v>
      </c>
      <c r="C1009" s="6" t="s">
        <v>4848</v>
      </c>
      <c r="D1009" s="5" t="s">
        <v>5362</v>
      </c>
      <c r="E1009" s="9" t="str">
        <f>HYPERLINK("https://twitter.com/arastuq/status/1045338229937983489","1045338229937983489")</f>
        <v>1045338229937983489</v>
      </c>
      <c r="F1009" s="4"/>
      <c r="G1009" s="4"/>
      <c r="H1009" s="4"/>
      <c r="I1009" s="10" t="str">
        <f>HYPERLINK("http://twitter.com/download/android","Twitter for Android")</f>
        <v>Twitter for Android</v>
      </c>
      <c r="J1009" s="2">
        <v>6002</v>
      </c>
      <c r="K1009" s="2">
        <v>982</v>
      </c>
      <c r="L1009" s="2">
        <v>43</v>
      </c>
      <c r="M1009" s="2"/>
      <c r="N1009" s="8">
        <v>40217.945150462961</v>
      </c>
      <c r="O1009" s="4" t="s">
        <v>4845</v>
      </c>
      <c r="P1009" s="3" t="s">
        <v>4844</v>
      </c>
      <c r="Q1009" s="10" t="s">
        <v>4843</v>
      </c>
      <c r="R1009" s="4"/>
      <c r="S1009" s="9" t="str">
        <f>HYPERLINK("https://pbs.twimg.com/profile_images/978947744059490304/-nDbAyus.jpg","View")</f>
        <v>View</v>
      </c>
    </row>
    <row r="1010" spans="1:19" ht="20">
      <c r="A1010" s="8">
        <v>43370.801122685181</v>
      </c>
      <c r="B1010" s="11" t="str">
        <f>HYPERLINK("https://twitter.com/yarashna7","@yarashna7")</f>
        <v>@yarashna7</v>
      </c>
      <c r="C1010" s="6" t="s">
        <v>5361</v>
      </c>
      <c r="D1010" s="5" t="s">
        <v>5360</v>
      </c>
      <c r="E1010" s="9" t="str">
        <f>HYPERLINK("https://twitter.com/yarashna7/status/1045338175470735361","1045338175470735361")</f>
        <v>1045338175470735361</v>
      </c>
      <c r="F1010" s="4"/>
      <c r="G1010" s="10" t="s">
        <v>5359</v>
      </c>
      <c r="H1010" s="4"/>
      <c r="I1010" s="10" t="str">
        <f>HYPERLINK("http://twitter.com","Twitter Web Client")</f>
        <v>Twitter Web Client</v>
      </c>
      <c r="J1010" s="2">
        <v>3009</v>
      </c>
      <c r="K1010" s="2">
        <v>1730</v>
      </c>
      <c r="L1010" s="2">
        <v>6</v>
      </c>
      <c r="M1010" s="2"/>
      <c r="N1010" s="8">
        <v>42815.055312500001</v>
      </c>
      <c r="O1010" s="4" t="s">
        <v>5358</v>
      </c>
      <c r="P1010" s="3" t="s">
        <v>5357</v>
      </c>
      <c r="Q1010" s="10" t="s">
        <v>5356</v>
      </c>
      <c r="R1010" s="4"/>
      <c r="S1010" s="9" t="str">
        <f>HYPERLINK("https://pbs.twimg.com/profile_images/1033704693891907584/WhFlEfu-.jpg","View")</f>
        <v>View</v>
      </c>
    </row>
    <row r="1011" spans="1:19" ht="20">
      <c r="A1011" s="8">
        <v>43370.801099537042</v>
      </c>
      <c r="B1011" s="11" t="str">
        <f>HYPERLINK("https://twitter.com/AliForootan","@AliForootan")</f>
        <v>@AliForootan</v>
      </c>
      <c r="C1011" s="6" t="s">
        <v>5355</v>
      </c>
      <c r="D1011" s="5" t="s">
        <v>5354</v>
      </c>
      <c r="E1011" s="9" t="str">
        <f>HYPERLINK("https://twitter.com/AliForootan/status/1045338167509946368","1045338167509946368")</f>
        <v>1045338167509946368</v>
      </c>
      <c r="F1011" s="4"/>
      <c r="G1011" s="4"/>
      <c r="H1011" s="4"/>
      <c r="I1011" s="10" t="str">
        <f>HYPERLINK("http://twitter.com/download/iphone","Twitter for iPhone")</f>
        <v>Twitter for iPhone</v>
      </c>
      <c r="J1011" s="2">
        <v>2360</v>
      </c>
      <c r="K1011" s="2">
        <v>254</v>
      </c>
      <c r="L1011" s="2">
        <v>15</v>
      </c>
      <c r="M1011" s="2"/>
      <c r="N1011" s="8">
        <v>40732.853136574078</v>
      </c>
      <c r="O1011" s="4" t="s">
        <v>254</v>
      </c>
      <c r="P1011" s="3" t="s">
        <v>5353</v>
      </c>
      <c r="Q1011" s="4"/>
      <c r="R1011" s="4"/>
      <c r="S1011" s="9" t="str">
        <f>HYPERLINK("https://pbs.twimg.com/profile_images/866722315261927424/YpWUzMBs.jpg","View")</f>
        <v>View</v>
      </c>
    </row>
    <row r="1012" spans="1:19" ht="12.5">
      <c r="A1012" s="8">
        <v>43370.801087962958</v>
      </c>
      <c r="B1012" s="11" t="str">
        <f>HYPERLINK("https://twitter.com/tenderrr1","@tenderrr1")</f>
        <v>@tenderrr1</v>
      </c>
      <c r="C1012" s="6" t="s">
        <v>5230</v>
      </c>
      <c r="D1012" s="5" t="s">
        <v>5352</v>
      </c>
      <c r="E1012" s="9" t="str">
        <f>HYPERLINK("https://twitter.com/tenderrr1/status/1045338166335557632","1045338166335557632")</f>
        <v>1045338166335557632</v>
      </c>
      <c r="F1012" s="4"/>
      <c r="G1012" s="4"/>
      <c r="H1012" s="4"/>
      <c r="I1012" s="10" t="str">
        <f>HYPERLINK("http://twitter.com/download/android","Twitter for Android")</f>
        <v>Twitter for Android</v>
      </c>
      <c r="J1012" s="2">
        <v>3072</v>
      </c>
      <c r="K1012" s="2">
        <v>131</v>
      </c>
      <c r="L1012" s="2">
        <v>19</v>
      </c>
      <c r="M1012" s="2"/>
      <c r="N1012" s="8">
        <v>42765.422662037032</v>
      </c>
      <c r="O1012" s="4" t="s">
        <v>5228</v>
      </c>
      <c r="P1012" s="3" t="s">
        <v>5227</v>
      </c>
      <c r="Q1012" s="10" t="s">
        <v>5226</v>
      </c>
      <c r="R1012" s="4"/>
      <c r="S1012" s="9" t="str">
        <f>HYPERLINK("https://pbs.twimg.com/profile_images/825956912432705536/RO6onXBz.jpg","View")</f>
        <v>View</v>
      </c>
    </row>
    <row r="1013" spans="1:19" ht="30">
      <c r="A1013" s="8">
        <v>43370.800983796296</v>
      </c>
      <c r="B1013" s="11" t="str">
        <f>HYPERLINK("https://twitter.com/amirhosein_88","@amirhosein_88")</f>
        <v>@amirhosein_88</v>
      </c>
      <c r="C1013" s="6" t="s">
        <v>5266</v>
      </c>
      <c r="D1013" s="5" t="s">
        <v>5351</v>
      </c>
      <c r="E1013" s="9" t="str">
        <f>HYPERLINK("https://twitter.com/amirhosein_88/status/1045338128746258432","1045338128746258432")</f>
        <v>1045338128746258432</v>
      </c>
      <c r="F1013" s="4"/>
      <c r="G1013" s="4"/>
      <c r="H1013" s="4"/>
      <c r="I1013" s="10" t="str">
        <f>HYPERLINK("http://twitter.com/download/android","Twitter for Android")</f>
        <v>Twitter for Android</v>
      </c>
      <c r="J1013" s="2">
        <v>562</v>
      </c>
      <c r="K1013" s="2">
        <v>167</v>
      </c>
      <c r="L1013" s="2">
        <v>3</v>
      </c>
      <c r="M1013" s="2"/>
      <c r="N1013" s="8">
        <v>43002.016469907408</v>
      </c>
      <c r="O1013" s="4" t="s">
        <v>5263</v>
      </c>
      <c r="P1013" s="3" t="s">
        <v>5262</v>
      </c>
      <c r="Q1013" s="4"/>
      <c r="R1013" s="4"/>
      <c r="S1013" s="9" t="str">
        <f>HYPERLINK("https://pbs.twimg.com/profile_images/1042431979231354880/1q5BOh-S.jpg","View")</f>
        <v>View</v>
      </c>
    </row>
    <row r="1014" spans="1:19" ht="20">
      <c r="A1014" s="8">
        <v>43370.800983796296</v>
      </c>
      <c r="B1014" s="11" t="str">
        <f>HYPERLINK("https://twitter.com/aru5053","@aru5053")</f>
        <v>@aru5053</v>
      </c>
      <c r="C1014" s="6" t="s">
        <v>5350</v>
      </c>
      <c r="D1014" s="5" t="s">
        <v>5349</v>
      </c>
      <c r="E1014" s="9" t="str">
        <f>HYPERLINK("https://twitter.com/aru5053/status/1045338124929441795","1045338124929441795")</f>
        <v>1045338124929441795</v>
      </c>
      <c r="F1014" s="4"/>
      <c r="G1014" s="4"/>
      <c r="H1014" s="4"/>
      <c r="I1014" s="10" t="str">
        <f>HYPERLINK("http://twitter.com/download/android","Twitter for Android")</f>
        <v>Twitter for Android</v>
      </c>
      <c r="J1014" s="2">
        <v>189</v>
      </c>
      <c r="K1014" s="2">
        <v>70</v>
      </c>
      <c r="L1014" s="2">
        <v>0</v>
      </c>
      <c r="M1014" s="2"/>
      <c r="N1014" s="8">
        <v>41728.79246527778</v>
      </c>
      <c r="O1014" s="4"/>
      <c r="P1014" s="3" t="s">
        <v>5348</v>
      </c>
      <c r="Q1014" s="4"/>
      <c r="R1014" s="4"/>
      <c r="S1014" s="9" t="str">
        <f>HYPERLINK("https://pbs.twimg.com/profile_images/1041312800092680192/0zwgDJCu.jpg","View")</f>
        <v>View</v>
      </c>
    </row>
    <row r="1015" spans="1:19" ht="20">
      <c r="A1015" s="8">
        <v>43370.800891203704</v>
      </c>
      <c r="B1015" s="11" t="str">
        <f>HYPERLINK("https://twitter.com/mashtikaram","@mashtikaram")</f>
        <v>@mashtikaram</v>
      </c>
      <c r="C1015" s="6" t="s">
        <v>5347</v>
      </c>
      <c r="D1015" s="5" t="s">
        <v>5346</v>
      </c>
      <c r="E1015" s="9" t="str">
        <f>HYPERLINK("https://twitter.com/mashtikaram/status/1045338094881439745","1045338094881439745")</f>
        <v>1045338094881439745</v>
      </c>
      <c r="F1015" s="4"/>
      <c r="G1015" s="4"/>
      <c r="H1015" s="4"/>
      <c r="I1015" s="10" t="str">
        <f>HYPERLINK("http://twitter.com/download/android","Twitter for Android")</f>
        <v>Twitter for Android</v>
      </c>
      <c r="J1015" s="2">
        <v>1212</v>
      </c>
      <c r="K1015" s="2">
        <v>1179</v>
      </c>
      <c r="L1015" s="2">
        <v>1</v>
      </c>
      <c r="M1015" s="2"/>
      <c r="N1015" s="8">
        <v>42714.451053240744</v>
      </c>
      <c r="O1015" s="4" t="s">
        <v>5345</v>
      </c>
      <c r="P1015" s="3" t="s">
        <v>5344</v>
      </c>
      <c r="Q1015" s="4"/>
      <c r="R1015" s="4"/>
      <c r="S1015" s="9" t="str">
        <f>HYPERLINK("https://pbs.twimg.com/profile_images/946728734509252609/hPXCHSey.jpg","View")</f>
        <v>View</v>
      </c>
    </row>
    <row r="1016" spans="1:19" ht="20">
      <c r="A1016" s="8">
        <v>43370.800729166665</v>
      </c>
      <c r="B1016" s="11" t="str">
        <f>HYPERLINK("https://twitter.com/miadne","@miadne")</f>
        <v>@miadne</v>
      </c>
      <c r="C1016" s="6" t="s">
        <v>5343</v>
      </c>
      <c r="D1016" s="5" t="s">
        <v>5342</v>
      </c>
      <c r="E1016" s="9" t="str">
        <f>HYPERLINK("https://twitter.com/miadne/status/1045338033883697153","1045338033883697153")</f>
        <v>1045338033883697153</v>
      </c>
      <c r="F1016" s="4"/>
      <c r="G1016" s="4"/>
      <c r="H1016" s="4"/>
      <c r="I1016" s="10" t="str">
        <f>HYPERLINK("http://twitter.com/download/android","Twitter for Android")</f>
        <v>Twitter for Android</v>
      </c>
      <c r="J1016" s="2">
        <v>45</v>
      </c>
      <c r="K1016" s="2">
        <v>69</v>
      </c>
      <c r="L1016" s="2">
        <v>2</v>
      </c>
      <c r="M1016" s="2"/>
      <c r="N1016" s="8">
        <v>42763.733136574076</v>
      </c>
      <c r="O1016" s="4" t="s">
        <v>2701</v>
      </c>
      <c r="P1016" s="3" t="s">
        <v>5341</v>
      </c>
      <c r="Q1016" s="4"/>
      <c r="R1016" s="4"/>
      <c r="S1016" s="9" t="str">
        <f>HYPERLINK("https://pbs.twimg.com/profile_images/959926943868219392/c4AJRoqO.jpg","View")</f>
        <v>View</v>
      </c>
    </row>
    <row r="1017" spans="1:19" ht="20">
      <c r="A1017" s="8">
        <v>43370.800659722227</v>
      </c>
      <c r="B1017" s="11" t="str">
        <f>HYPERLINK("https://twitter.com/hosseinamini251","@hosseinamini251")</f>
        <v>@hosseinamini251</v>
      </c>
      <c r="C1017" s="6" t="s">
        <v>5340</v>
      </c>
      <c r="D1017" s="5" t="s">
        <v>5339</v>
      </c>
      <c r="E1017" s="9" t="str">
        <f>HYPERLINK("https://twitter.com/hosseinamini251/status/1045338007618940928","1045338007618940928")</f>
        <v>1045338007618940928</v>
      </c>
      <c r="F1017" s="4"/>
      <c r="G1017" s="4"/>
      <c r="H1017" s="4"/>
      <c r="I1017" s="10" t="str">
        <f>HYPERLINK("http://twitter.com/download/android","Twitter for Android")</f>
        <v>Twitter for Android</v>
      </c>
      <c r="J1017" s="2">
        <v>238</v>
      </c>
      <c r="K1017" s="2">
        <v>246</v>
      </c>
      <c r="L1017" s="2">
        <v>0</v>
      </c>
      <c r="M1017" s="2"/>
      <c r="N1017" s="8">
        <v>42161.604062500002</v>
      </c>
      <c r="O1017" s="4" t="s">
        <v>254</v>
      </c>
      <c r="P1017" s="3" t="s">
        <v>5338</v>
      </c>
      <c r="Q1017" s="10" t="s">
        <v>5337</v>
      </c>
      <c r="R1017" s="4"/>
      <c r="S1017" s="9" t="str">
        <f>HYPERLINK("https://pbs.twimg.com/profile_images/1029463267981320194/VtDH5U3K.jpg","View")</f>
        <v>View</v>
      </c>
    </row>
    <row r="1018" spans="1:19" ht="30">
      <c r="A1018" s="8">
        <v>43370.800358796296</v>
      </c>
      <c r="B1018" s="11" t="str">
        <f>HYPERLINK("https://twitter.com/patispaa","@patispaa")</f>
        <v>@patispaa</v>
      </c>
      <c r="C1018" s="6" t="s">
        <v>5336</v>
      </c>
      <c r="D1018" s="5" t="s">
        <v>5335</v>
      </c>
      <c r="E1018" s="9" t="str">
        <f>HYPERLINK("https://twitter.com/patispaa/status/1045337901263933440","1045337901263933440")</f>
        <v>1045337901263933440</v>
      </c>
      <c r="F1018" s="4"/>
      <c r="G1018" s="4"/>
      <c r="H1018" s="4"/>
      <c r="I1018" s="10" t="str">
        <f>HYPERLINK("http://twitter.com/download/android","Twitter for Android")</f>
        <v>Twitter for Android</v>
      </c>
      <c r="J1018" s="2">
        <v>3968</v>
      </c>
      <c r="K1018" s="2">
        <v>4687</v>
      </c>
      <c r="L1018" s="2">
        <v>1</v>
      </c>
      <c r="M1018" s="2"/>
      <c r="N1018" s="8">
        <v>43166.476261574076</v>
      </c>
      <c r="O1018" s="4" t="s">
        <v>10</v>
      </c>
      <c r="P1018" s="3" t="s">
        <v>5334</v>
      </c>
      <c r="Q1018" s="4"/>
      <c r="R1018" s="4"/>
      <c r="S1018" s="9" t="str">
        <f>HYPERLINK("https://pbs.twimg.com/profile_images/1022762019601166337/AgK0oyzB.jpg","View")</f>
        <v>View</v>
      </c>
    </row>
    <row r="1019" spans="1:19" ht="12.5">
      <c r="A1019" s="8">
        <v>43370.800335648149</v>
      </c>
      <c r="B1019" s="11" t="str">
        <f>HYPERLINK("https://twitter.com/jafar_usf","@jafar_usf")</f>
        <v>@jafar_usf</v>
      </c>
      <c r="C1019" s="6" t="s">
        <v>2967</v>
      </c>
      <c r="D1019" s="5" t="s">
        <v>5333</v>
      </c>
      <c r="E1019" s="9" t="str">
        <f>HYPERLINK("https://twitter.com/jafar_usf/status/1045337891344437250","1045337891344437250")</f>
        <v>1045337891344437250</v>
      </c>
      <c r="F1019" s="4"/>
      <c r="G1019" s="4"/>
      <c r="H1019" s="4"/>
      <c r="I1019" s="10" t="str">
        <f>HYPERLINK("http://twitter.com/download/android","Twitter for Android")</f>
        <v>Twitter for Android</v>
      </c>
      <c r="J1019" s="2">
        <v>8025</v>
      </c>
      <c r="K1019" s="2">
        <v>8067</v>
      </c>
      <c r="L1019" s="2">
        <v>9</v>
      </c>
      <c r="M1019" s="2"/>
      <c r="N1019" s="8">
        <v>42771.078472222223</v>
      </c>
      <c r="O1019" s="4" t="s">
        <v>648</v>
      </c>
      <c r="P1019" s="3" t="s">
        <v>2965</v>
      </c>
      <c r="Q1019" s="10" t="s">
        <v>2964</v>
      </c>
      <c r="R1019" s="4"/>
      <c r="S1019" s="9" t="str">
        <f>HYPERLINK("https://pbs.twimg.com/profile_images/1039106677717585921/3mBbeHIv.jpg","View")</f>
        <v>View</v>
      </c>
    </row>
    <row r="1020" spans="1:19" ht="12.5">
      <c r="A1020" s="8">
        <v>43370.800196759257</v>
      </c>
      <c r="B1020" s="11" t="str">
        <f>HYPERLINK("https://twitter.com/haghjoo_dariush","@haghjoo_dariush")</f>
        <v>@haghjoo_dariush</v>
      </c>
      <c r="C1020" s="6" t="s">
        <v>5332</v>
      </c>
      <c r="D1020" s="5" t="s">
        <v>5331</v>
      </c>
      <c r="E1020" s="9" t="str">
        <f>HYPERLINK("https://twitter.com/haghjoo_dariush/status/1045337840828084225","1045337840828084225")</f>
        <v>1045337840828084225</v>
      </c>
      <c r="F1020" s="4"/>
      <c r="G1020" s="4"/>
      <c r="H1020" s="4"/>
      <c r="I1020" s="10" t="str">
        <f>HYPERLINK("http://twitter.com","Twitter Web Client")</f>
        <v>Twitter Web Client</v>
      </c>
      <c r="J1020" s="2">
        <v>130</v>
      </c>
      <c r="K1020" s="2">
        <v>132</v>
      </c>
      <c r="L1020" s="2">
        <v>0</v>
      </c>
      <c r="M1020" s="2"/>
      <c r="N1020" s="8">
        <v>41336.463807870372</v>
      </c>
      <c r="O1020" s="4"/>
      <c r="P1020" s="3"/>
      <c r="Q1020" s="4"/>
      <c r="R1020" s="4"/>
      <c r="S1020" s="9" t="str">
        <f>HYPERLINK("https://pbs.twimg.com/profile_images/476381057265057792/_xHPCFXZ.jpeg","View")</f>
        <v>View</v>
      </c>
    </row>
    <row r="1021" spans="1:19" ht="30">
      <c r="A1021" s="8">
        <v>43370.800092592588</v>
      </c>
      <c r="B1021" s="11" t="str">
        <f>HYPERLINK("https://twitter.com/mosi3544","@mosi3544")</f>
        <v>@mosi3544</v>
      </c>
      <c r="C1021" s="6" t="s">
        <v>5330</v>
      </c>
      <c r="D1021" s="5" t="s">
        <v>5329</v>
      </c>
      <c r="E1021" s="9" t="str">
        <f>HYPERLINK("https://twitter.com/mosi3544/status/1045337803863851008","1045337803863851008")</f>
        <v>1045337803863851008</v>
      </c>
      <c r="F1021" s="4"/>
      <c r="G1021" s="4"/>
      <c r="H1021" s="4"/>
      <c r="I1021" s="10" t="str">
        <f>HYPERLINK("http://twitter.com/download/iphone","Twitter for iPhone")</f>
        <v>Twitter for iPhone</v>
      </c>
      <c r="J1021" s="2">
        <v>73</v>
      </c>
      <c r="K1021" s="2">
        <v>204</v>
      </c>
      <c r="L1021" s="2">
        <v>3</v>
      </c>
      <c r="M1021" s="2"/>
      <c r="N1021" s="8">
        <v>41379.867222222223</v>
      </c>
      <c r="O1021" s="4"/>
      <c r="P1021" s="3"/>
      <c r="Q1021" s="4"/>
      <c r="R1021" s="4"/>
      <c r="S1021" s="9" t="str">
        <f>HYPERLINK("https://pbs.twimg.com/profile_images/1032652109043392513/pNfz-7c6.jpg","View")</f>
        <v>View</v>
      </c>
    </row>
    <row r="1022" spans="1:19" ht="20">
      <c r="A1022" s="8">
        <v>43370.800081018519</v>
      </c>
      <c r="B1022" s="11" t="str">
        <f>HYPERLINK("https://twitter.com/mahrokh1988","@mahrokh1988")</f>
        <v>@mahrokh1988</v>
      </c>
      <c r="C1022" s="6" t="s">
        <v>5328</v>
      </c>
      <c r="D1022" s="5" t="s">
        <v>5327</v>
      </c>
      <c r="E1022" s="9" t="str">
        <f>HYPERLINK("https://twitter.com/mahrokh1988/status/1045337800831381504","1045337800831381504")</f>
        <v>1045337800831381504</v>
      </c>
      <c r="F1022" s="4"/>
      <c r="G1022" s="4"/>
      <c r="H1022" s="4"/>
      <c r="I1022" s="10" t="str">
        <f>HYPERLINK("http://twitter.com/download/android","Twitter for Android")</f>
        <v>Twitter for Android</v>
      </c>
      <c r="J1022" s="2">
        <v>1802</v>
      </c>
      <c r="K1022" s="2">
        <v>736</v>
      </c>
      <c r="L1022" s="2">
        <v>5</v>
      </c>
      <c r="M1022" s="2"/>
      <c r="N1022" s="8">
        <v>41904.627662037034</v>
      </c>
      <c r="O1022" s="4" t="s">
        <v>200</v>
      </c>
      <c r="P1022" s="3" t="s">
        <v>5326</v>
      </c>
      <c r="Q1022" s="4"/>
      <c r="R1022" s="4"/>
      <c r="S1022" s="9" t="str">
        <f>HYPERLINK("https://pbs.twimg.com/profile_images/1023795787027763200/2Vd5f-zE.jpg","View")</f>
        <v>View</v>
      </c>
    </row>
    <row r="1023" spans="1:19" ht="12.5">
      <c r="A1023" s="8">
        <v>43370.800046296295</v>
      </c>
      <c r="B1023" s="11" t="str">
        <f>HYPERLINK("https://twitter.com/Rzfa1012","@Rzfa1012")</f>
        <v>@Rzfa1012</v>
      </c>
      <c r="C1023" s="6" t="s">
        <v>5304</v>
      </c>
      <c r="D1023" s="5" t="s">
        <v>5325</v>
      </c>
      <c r="E1023" s="9" t="str">
        <f>HYPERLINK("https://twitter.com/Rzfa1012/status/1045337787514474498","1045337787514474498")</f>
        <v>1045337787514474498</v>
      </c>
      <c r="F1023" s="4"/>
      <c r="G1023" s="4"/>
      <c r="H1023" s="4"/>
      <c r="I1023" s="10" t="str">
        <f>HYPERLINK("http://twitter.com/download/android","Twitter for Android")</f>
        <v>Twitter for Android</v>
      </c>
      <c r="J1023" s="2">
        <v>79</v>
      </c>
      <c r="K1023" s="2">
        <v>317</v>
      </c>
      <c r="L1023" s="2">
        <v>0</v>
      </c>
      <c r="M1023" s="2"/>
      <c r="N1023" s="8">
        <v>43110.394016203703</v>
      </c>
      <c r="O1023" s="4" t="s">
        <v>5302</v>
      </c>
      <c r="P1023" s="3" t="s">
        <v>5301</v>
      </c>
      <c r="Q1023" s="4"/>
      <c r="R1023" s="4"/>
      <c r="S1023" s="9" t="str">
        <f>HYPERLINK("https://pbs.twimg.com/profile_images/1045186527624679424/F9NY7mnW.jpg","View")</f>
        <v>View</v>
      </c>
    </row>
    <row r="1024" spans="1:19" ht="30">
      <c r="A1024" s="8">
        <v>43370.800046296295</v>
      </c>
      <c r="B1024" s="11" t="str">
        <f>HYPERLINK("https://twitter.com/ParishadAhmadi","@ParishadAhmadi")</f>
        <v>@ParishadAhmadi</v>
      </c>
      <c r="C1024" s="6" t="s">
        <v>5324</v>
      </c>
      <c r="D1024" s="5" t="s">
        <v>5323</v>
      </c>
      <c r="E1024" s="9" t="str">
        <f>HYPERLINK("https://twitter.com/ParishadAhmadi/status/1045337786927251456","1045337786927251456")</f>
        <v>1045337786927251456</v>
      </c>
      <c r="F1024" s="4"/>
      <c r="G1024" s="4"/>
      <c r="H1024" s="4"/>
      <c r="I1024" s="10" t="str">
        <f>HYPERLINK("http://twitter.com/download/iphone","Twitter for iPhone")</f>
        <v>Twitter for iPhone</v>
      </c>
      <c r="J1024" s="2">
        <v>864</v>
      </c>
      <c r="K1024" s="2">
        <v>723</v>
      </c>
      <c r="L1024" s="2">
        <v>7</v>
      </c>
      <c r="M1024" s="2"/>
      <c r="N1024" s="8">
        <v>42999.925300925926</v>
      </c>
      <c r="O1024" s="4"/>
      <c r="P1024" s="3" t="s">
        <v>5322</v>
      </c>
      <c r="Q1024" s="4"/>
      <c r="R1024" s="4"/>
      <c r="S1024" s="9" t="str">
        <f>HYPERLINK("https://pbs.twimg.com/profile_images/1035270161669021696/ajbfopuh.jpg","View")</f>
        <v>View</v>
      </c>
    </row>
    <row r="1025" spans="1:19" ht="20">
      <c r="A1025" s="8">
        <v>43370.799953703703</v>
      </c>
      <c r="B1025" s="11" t="str">
        <f>HYPERLINK("https://twitter.com/Navid2111","@Navid2111")</f>
        <v>@Navid2111</v>
      </c>
      <c r="C1025" s="6" t="s">
        <v>5321</v>
      </c>
      <c r="D1025" s="5" t="s">
        <v>5320</v>
      </c>
      <c r="E1025" s="9" t="str">
        <f>HYPERLINK("https://twitter.com/Navid2111/status/1045337753695612928","1045337753695612928")</f>
        <v>1045337753695612928</v>
      </c>
      <c r="F1025" s="4"/>
      <c r="G1025" s="4"/>
      <c r="H1025" s="4"/>
      <c r="I1025" s="10" t="str">
        <f>HYPERLINK("http://twitter.com/download/iphone","Twitter for iPhone")</f>
        <v>Twitter for iPhone</v>
      </c>
      <c r="J1025" s="2">
        <v>117</v>
      </c>
      <c r="K1025" s="2">
        <v>222</v>
      </c>
      <c r="L1025" s="2">
        <v>1</v>
      </c>
      <c r="M1025" s="2"/>
      <c r="N1025" s="8">
        <v>40658.183611111112</v>
      </c>
      <c r="O1025" s="4" t="s">
        <v>5319</v>
      </c>
      <c r="P1025" s="3" t="s">
        <v>5318</v>
      </c>
      <c r="Q1025" s="4"/>
      <c r="R1025" s="4"/>
      <c r="S1025" s="9" t="str">
        <f>HYPERLINK("https://pbs.twimg.com/profile_images/942533370281627649/Ex1E4wYc.jpg","View")</f>
        <v>View</v>
      </c>
    </row>
    <row r="1026" spans="1:19" ht="20">
      <c r="A1026" s="8">
        <v>43370.799861111111</v>
      </c>
      <c r="B1026" s="11" t="str">
        <f>HYPERLINK("https://twitter.com/Masoomeh1997","@Masoomeh1997")</f>
        <v>@Masoomeh1997</v>
      </c>
      <c r="C1026" s="6" t="s">
        <v>5317</v>
      </c>
      <c r="D1026" s="5" t="s">
        <v>5316</v>
      </c>
      <c r="E1026" s="9" t="str">
        <f>HYPERLINK("https://twitter.com/Masoomeh1997/status/1045337720346873857","1045337720346873857")</f>
        <v>1045337720346873857</v>
      </c>
      <c r="F1026" s="4"/>
      <c r="G1026" s="4"/>
      <c r="H1026" s="4"/>
      <c r="I1026" s="10" t="str">
        <f>HYPERLINK("http://twitter.com/download/android","Twitter for Android")</f>
        <v>Twitter for Android</v>
      </c>
      <c r="J1026" s="2">
        <v>883</v>
      </c>
      <c r="K1026" s="2">
        <v>76</v>
      </c>
      <c r="L1026" s="2">
        <v>10</v>
      </c>
      <c r="M1026" s="2"/>
      <c r="N1026" s="8">
        <v>42882.457708333328</v>
      </c>
      <c r="O1026" s="4" t="s">
        <v>5315</v>
      </c>
      <c r="P1026" s="3" t="s">
        <v>5314</v>
      </c>
      <c r="Q1026" s="4"/>
      <c r="R1026" s="4"/>
      <c r="S1026" s="9" t="str">
        <f>HYPERLINK("https://pbs.twimg.com/profile_images/1039226534127710214/wyY35pEj.jpg","View")</f>
        <v>View</v>
      </c>
    </row>
    <row r="1027" spans="1:19" ht="20">
      <c r="A1027" s="8">
        <v>43370.799699074079</v>
      </c>
      <c r="B1027" s="11" t="str">
        <f>HYPERLINK("https://twitter.com/samiioss","@samiioss")</f>
        <v>@samiioss</v>
      </c>
      <c r="C1027" s="6" t="s">
        <v>2830</v>
      </c>
      <c r="D1027" s="5" t="s">
        <v>5313</v>
      </c>
      <c r="E1027" s="9" t="str">
        <f>HYPERLINK("https://twitter.com/samiioss/status/1045337660896825350","1045337660896825350")</f>
        <v>1045337660896825350</v>
      </c>
      <c r="F1027" s="4"/>
      <c r="G1027" s="4"/>
      <c r="H1027" s="4"/>
      <c r="I1027" s="10" t="str">
        <f>HYPERLINK("http://twitter.com/download/iphone","Twitter for iPhone")</f>
        <v>Twitter for iPhone</v>
      </c>
      <c r="J1027" s="2">
        <v>452</v>
      </c>
      <c r="K1027" s="2">
        <v>582</v>
      </c>
      <c r="L1027" s="2">
        <v>2</v>
      </c>
      <c r="M1027" s="2"/>
      <c r="N1027" s="8">
        <v>40713.575046296297</v>
      </c>
      <c r="O1027" s="4" t="s">
        <v>31</v>
      </c>
      <c r="P1027" s="3" t="s">
        <v>2828</v>
      </c>
      <c r="Q1027" s="4"/>
      <c r="R1027" s="4"/>
      <c r="S1027" s="9" t="str">
        <f>HYPERLINK("https://pbs.twimg.com/profile_images/1012384722226274305/rV4IgGhD.jpg","View")</f>
        <v>View</v>
      </c>
    </row>
    <row r="1028" spans="1:19" ht="12.5">
      <c r="A1028" s="8">
        <v>43370.799687499995</v>
      </c>
      <c r="B1028" s="11" t="str">
        <f>HYPERLINK("https://twitter.com/Mhnds_87","@Mhnds_87")</f>
        <v>@Mhnds_87</v>
      </c>
      <c r="C1028" s="6" t="s">
        <v>4103</v>
      </c>
      <c r="D1028" s="5" t="s">
        <v>5312</v>
      </c>
      <c r="E1028" s="9" t="str">
        <f>HYPERLINK("https://twitter.com/Mhnds_87/status/1045337657197367297","1045337657197367297")</f>
        <v>1045337657197367297</v>
      </c>
      <c r="F1028" s="4"/>
      <c r="G1028" s="4"/>
      <c r="H1028" s="4"/>
      <c r="I1028" s="10" t="str">
        <f>HYPERLINK("http://twitter.com/download/android","Twitter for Android")</f>
        <v>Twitter for Android</v>
      </c>
      <c r="J1028" s="2">
        <v>211</v>
      </c>
      <c r="K1028" s="2">
        <v>306</v>
      </c>
      <c r="L1028" s="2">
        <v>2</v>
      </c>
      <c r="M1028" s="2"/>
      <c r="N1028" s="8">
        <v>40587.005601851852</v>
      </c>
      <c r="O1028" s="4" t="s">
        <v>1493</v>
      </c>
      <c r="P1028" s="3" t="s">
        <v>4101</v>
      </c>
      <c r="Q1028" s="4"/>
      <c r="R1028" s="4"/>
      <c r="S1028" s="9" t="str">
        <f>HYPERLINK("https://pbs.twimg.com/profile_images/1045327408377851905/Qn2GIZ_P.jpg","View")</f>
        <v>View</v>
      </c>
    </row>
    <row r="1029" spans="1:19" ht="12.5">
      <c r="A1029" s="8">
        <v>43370.799664351856</v>
      </c>
      <c r="B1029" s="11" t="str">
        <f>HYPERLINK("https://twitter.com/bm212bm212","@bm212bm212")</f>
        <v>@bm212bm212</v>
      </c>
      <c r="C1029" s="6" t="s">
        <v>5311</v>
      </c>
      <c r="D1029" s="5" t="s">
        <v>5310</v>
      </c>
      <c r="E1029" s="9" t="str">
        <f>HYPERLINK("https://twitter.com/bm212bm212/status/1045337647831371776","1045337647831371776")</f>
        <v>1045337647831371776</v>
      </c>
      <c r="F1029" s="4"/>
      <c r="G1029" s="4"/>
      <c r="H1029" s="4"/>
      <c r="I1029" s="10" t="str">
        <f>HYPERLINK("https://mobile.twitter.com","Twitter Lite")</f>
        <v>Twitter Lite</v>
      </c>
      <c r="J1029" s="2">
        <v>180</v>
      </c>
      <c r="K1029" s="2">
        <v>100</v>
      </c>
      <c r="L1029" s="2">
        <v>3</v>
      </c>
      <c r="M1029" s="2"/>
      <c r="N1029" s="8">
        <v>42465.981689814813</v>
      </c>
      <c r="O1029" s="4"/>
      <c r="P1029" s="3" t="s">
        <v>5309</v>
      </c>
      <c r="Q1029" s="4"/>
      <c r="R1029" s="4"/>
      <c r="S1029" s="9" t="str">
        <f>HYPERLINK("https://pbs.twimg.com/profile_images/999391728988635137/3pBmO-63.jpg","View")</f>
        <v>View</v>
      </c>
    </row>
    <row r="1030" spans="1:19" ht="30">
      <c r="A1030" s="8">
        <v>43370.79960648148</v>
      </c>
      <c r="B1030" s="11" t="str">
        <f>HYPERLINK("https://twitter.com/Alinium_","@Alinium_")</f>
        <v>@Alinium_</v>
      </c>
      <c r="C1030" s="6" t="s">
        <v>3561</v>
      </c>
      <c r="D1030" s="5" t="s">
        <v>5308</v>
      </c>
      <c r="E1030" s="9" t="str">
        <f>HYPERLINK("https://twitter.com/Alinium_/status/1045337625828184064","1045337625828184064")</f>
        <v>1045337625828184064</v>
      </c>
      <c r="F1030" s="4"/>
      <c r="G1030" s="4"/>
      <c r="H1030" s="4"/>
      <c r="I1030" s="10" t="str">
        <f>HYPERLINK("http://twitter.com/download/android","Twitter for Android")</f>
        <v>Twitter for Android</v>
      </c>
      <c r="J1030" s="2">
        <v>547</v>
      </c>
      <c r="K1030" s="2">
        <v>203</v>
      </c>
      <c r="L1030" s="2">
        <v>5</v>
      </c>
      <c r="M1030" s="2"/>
      <c r="N1030" s="8">
        <v>42199.610868055555</v>
      </c>
      <c r="O1030" s="4" t="s">
        <v>5307</v>
      </c>
      <c r="P1030" s="3" t="s">
        <v>5306</v>
      </c>
      <c r="Q1030" s="10" t="s">
        <v>5305</v>
      </c>
      <c r="R1030" s="4"/>
      <c r="S1030" s="9" t="str">
        <f>HYPERLINK("https://pbs.twimg.com/profile_images/1043870150318084096/MFemReCZ.jpg","View")</f>
        <v>View</v>
      </c>
    </row>
    <row r="1031" spans="1:19" ht="12.5">
      <c r="A1031" s="8">
        <v>43370.799513888887</v>
      </c>
      <c r="B1031" s="11" t="str">
        <f>HYPERLINK("https://twitter.com/Rzfa1012","@Rzfa1012")</f>
        <v>@Rzfa1012</v>
      </c>
      <c r="C1031" s="6" t="s">
        <v>5304</v>
      </c>
      <c r="D1031" s="5" t="s">
        <v>5303</v>
      </c>
      <c r="E1031" s="9" t="str">
        <f>HYPERLINK("https://twitter.com/Rzfa1012/status/1045337593989271552","1045337593989271552")</f>
        <v>1045337593989271552</v>
      </c>
      <c r="F1031" s="4"/>
      <c r="G1031" s="4"/>
      <c r="H1031" s="4"/>
      <c r="I1031" s="10" t="str">
        <f>HYPERLINK("http://twitter.com/download/android","Twitter for Android")</f>
        <v>Twitter for Android</v>
      </c>
      <c r="J1031" s="2">
        <v>79</v>
      </c>
      <c r="K1031" s="2">
        <v>317</v>
      </c>
      <c r="L1031" s="2">
        <v>0</v>
      </c>
      <c r="M1031" s="2"/>
      <c r="N1031" s="8">
        <v>43110.394016203703</v>
      </c>
      <c r="O1031" s="4" t="s">
        <v>5302</v>
      </c>
      <c r="P1031" s="3" t="s">
        <v>5301</v>
      </c>
      <c r="Q1031" s="4"/>
      <c r="R1031" s="4"/>
      <c r="S1031" s="9" t="str">
        <f>HYPERLINK("https://pbs.twimg.com/profile_images/1045186527624679424/F9NY7mnW.jpg","View")</f>
        <v>View</v>
      </c>
    </row>
    <row r="1032" spans="1:19" ht="20">
      <c r="A1032" s="8">
        <v>43370.799456018518</v>
      </c>
      <c r="B1032" s="11" t="str">
        <f>HYPERLINK("https://twitter.com/bohluol","@bohluol")</f>
        <v>@bohluol</v>
      </c>
      <c r="C1032" s="6" t="s">
        <v>5300</v>
      </c>
      <c r="D1032" s="5" t="s">
        <v>5299</v>
      </c>
      <c r="E1032" s="9" t="str">
        <f>HYPERLINK("https://twitter.com/bohluol/status/1045337571637809153","1045337571637809153")</f>
        <v>1045337571637809153</v>
      </c>
      <c r="F1032" s="4"/>
      <c r="G1032" s="4"/>
      <c r="H1032" s="4"/>
      <c r="I1032" s="10" t="str">
        <f>HYPERLINK("http://twitter.com/download/android","Twitter for Android")</f>
        <v>Twitter for Android</v>
      </c>
      <c r="J1032" s="2">
        <v>9710</v>
      </c>
      <c r="K1032" s="2">
        <v>922</v>
      </c>
      <c r="L1032" s="2">
        <v>81</v>
      </c>
      <c r="M1032" s="2"/>
      <c r="N1032" s="8">
        <v>42132.986886574072</v>
      </c>
      <c r="O1032" s="4"/>
      <c r="P1032" s="3" t="s">
        <v>5298</v>
      </c>
      <c r="Q1032" s="10" t="s">
        <v>5297</v>
      </c>
      <c r="R1032" s="4"/>
      <c r="S1032" s="9" t="str">
        <f>HYPERLINK("https://pbs.twimg.com/profile_images/1042893235205627905/6LE1Fb7V.jpg","View")</f>
        <v>View</v>
      </c>
    </row>
    <row r="1033" spans="1:19" ht="12.5">
      <c r="A1033" s="8">
        <v>43370.799444444448</v>
      </c>
      <c r="B1033" s="11" t="str">
        <f>HYPERLINK("https://twitter.com/Haanaa72","@Haanaa72")</f>
        <v>@Haanaa72</v>
      </c>
      <c r="C1033" s="6" t="s">
        <v>1104</v>
      </c>
      <c r="D1033" s="5" t="s">
        <v>5296</v>
      </c>
      <c r="E1033" s="9" t="str">
        <f>HYPERLINK("https://twitter.com/Haanaa72/status/1045337567409975296","1045337567409975296")</f>
        <v>1045337567409975296</v>
      </c>
      <c r="F1033" s="4"/>
      <c r="G1033" s="4"/>
      <c r="H1033" s="4"/>
      <c r="I1033" s="10" t="str">
        <f>HYPERLINK("http://twitter.com/download/android","Twitter for Android")</f>
        <v>Twitter for Android</v>
      </c>
      <c r="J1033" s="2">
        <v>414</v>
      </c>
      <c r="K1033" s="2">
        <v>182</v>
      </c>
      <c r="L1033" s="2">
        <v>2</v>
      </c>
      <c r="M1033" s="2"/>
      <c r="N1033" s="8">
        <v>43104.676030092596</v>
      </c>
      <c r="O1033" s="4" t="s">
        <v>1101</v>
      </c>
      <c r="P1033" s="3" t="s">
        <v>1100</v>
      </c>
      <c r="Q1033" s="4"/>
      <c r="R1033" s="4"/>
      <c r="S1033" s="9" t="str">
        <f>HYPERLINK("https://pbs.twimg.com/profile_images/1039064853388951552/bmqz3GqB.jpg","View")</f>
        <v>View</v>
      </c>
    </row>
    <row r="1034" spans="1:19" ht="40">
      <c r="A1034" s="8">
        <v>43370.799409722225</v>
      </c>
      <c r="B1034" s="11" t="str">
        <f>HYPERLINK("https://twitter.com/CalcioIraniano","@CalcioIraniano")</f>
        <v>@CalcioIraniano</v>
      </c>
      <c r="C1034" s="6" t="s">
        <v>1078</v>
      </c>
      <c r="D1034" s="5" t="s">
        <v>5295</v>
      </c>
      <c r="E1034" s="9" t="str">
        <f>HYPERLINK("https://twitter.com/CalcioIraniano/status/1045337557490372608","1045337557490372608")</f>
        <v>1045337557490372608</v>
      </c>
      <c r="F1034" s="4"/>
      <c r="G1034" s="4"/>
      <c r="H1034" s="4"/>
      <c r="I1034" s="10" t="str">
        <f>HYPERLINK("http://twitter.com","Twitter Web Client")</f>
        <v>Twitter Web Client</v>
      </c>
      <c r="J1034" s="2">
        <v>98</v>
      </c>
      <c r="K1034" s="2">
        <v>73</v>
      </c>
      <c r="L1034" s="2">
        <v>2</v>
      </c>
      <c r="M1034" s="2"/>
      <c r="N1034" s="8">
        <v>42943.737407407403</v>
      </c>
      <c r="O1034" s="4" t="s">
        <v>1075</v>
      </c>
      <c r="P1034" s="3" t="s">
        <v>1074</v>
      </c>
      <c r="Q1034" s="10" t="s">
        <v>1073</v>
      </c>
      <c r="R1034" s="4"/>
      <c r="S1034" s="9" t="str">
        <f>HYPERLINK("https://pbs.twimg.com/profile_images/890563384915243008/kZ2we3yk.jpg","View")</f>
        <v>View</v>
      </c>
    </row>
    <row r="1035" spans="1:19" ht="20">
      <c r="A1035" s="8">
        <v>43370.799386574072</v>
      </c>
      <c r="B1035" s="11" t="str">
        <f>HYPERLINK("https://twitter.com/Yasekabooood","@Yasekabooood")</f>
        <v>@Yasekabooood</v>
      </c>
      <c r="C1035" s="6" t="s">
        <v>5294</v>
      </c>
      <c r="D1035" s="5" t="s">
        <v>5293</v>
      </c>
      <c r="E1035" s="9" t="str">
        <f>HYPERLINK("https://twitter.com/Yasekabooood/status/1045337549793824768","1045337549793824768")</f>
        <v>1045337549793824768</v>
      </c>
      <c r="F1035" s="4"/>
      <c r="G1035" s="4"/>
      <c r="H1035" s="4"/>
      <c r="I1035" s="10" t="str">
        <f>HYPERLINK("http://twitter.com/download/android","Twitter for Android")</f>
        <v>Twitter for Android</v>
      </c>
      <c r="J1035" s="2">
        <v>807</v>
      </c>
      <c r="K1035" s="2">
        <v>1595</v>
      </c>
      <c r="L1035" s="2">
        <v>1</v>
      </c>
      <c r="M1035" s="2"/>
      <c r="N1035" s="8">
        <v>43363.68273148148</v>
      </c>
      <c r="O1035" s="4" t="s">
        <v>5292</v>
      </c>
      <c r="P1035" s="3" t="s">
        <v>5291</v>
      </c>
      <c r="Q1035" s="4"/>
      <c r="R1035" s="4"/>
      <c r="S1035" s="9" t="str">
        <f>HYPERLINK("https://pbs.twimg.com/profile_images/1042862734830915586/TKyGFdXL.jpg","View")</f>
        <v>View</v>
      </c>
    </row>
    <row r="1036" spans="1:19" ht="12.5">
      <c r="A1036" s="8">
        <v>43370.799224537041</v>
      </c>
      <c r="B1036" s="11" t="str">
        <f>HYPERLINK("https://twitter.com/RezaRad1976","@RezaRad1976")</f>
        <v>@RezaRad1976</v>
      </c>
      <c r="C1036" s="6" t="s">
        <v>5290</v>
      </c>
      <c r="D1036" s="5" t="s">
        <v>5289</v>
      </c>
      <c r="E1036" s="9" t="str">
        <f>HYPERLINK("https://twitter.com/RezaRad1976/status/1045337491056791552","1045337491056791552")</f>
        <v>1045337491056791552</v>
      </c>
      <c r="F1036" s="4"/>
      <c r="G1036" s="4"/>
      <c r="H1036" s="4"/>
      <c r="I1036" s="10" t="str">
        <f>HYPERLINK("http://twitter.com/download/iphone","Twitter for iPhone")</f>
        <v>Twitter for iPhone</v>
      </c>
      <c r="J1036" s="2">
        <v>19</v>
      </c>
      <c r="K1036" s="2">
        <v>53</v>
      </c>
      <c r="L1036" s="2">
        <v>0</v>
      </c>
      <c r="M1036" s="2"/>
      <c r="N1036" s="8">
        <v>42174.768842592588</v>
      </c>
      <c r="O1036" s="4" t="s">
        <v>200</v>
      </c>
      <c r="P1036" s="3" t="s">
        <v>5288</v>
      </c>
      <c r="Q1036" s="4"/>
      <c r="R1036" s="4"/>
      <c r="S1036" s="9" t="str">
        <f>HYPERLINK("https://pbs.twimg.com/profile_images/1024208490066333697/UQWwTICJ.jpg","View")</f>
        <v>View</v>
      </c>
    </row>
    <row r="1037" spans="1:19" ht="40">
      <c r="A1037" s="8">
        <v>43370.799189814818</v>
      </c>
      <c r="B1037" s="11" t="str">
        <f>HYPERLINK("https://twitter.com/_SydSaeed_","@_SydSaeed_")</f>
        <v>@_SydSaeed_</v>
      </c>
      <c r="C1037" s="6" t="s">
        <v>5287</v>
      </c>
      <c r="D1037" s="5" t="s">
        <v>5286</v>
      </c>
      <c r="E1037" s="9" t="str">
        <f>HYPERLINK("https://twitter.com/_SydSaeed_/status/1045337477509197827","1045337477509197827")</f>
        <v>1045337477509197827</v>
      </c>
      <c r="F1037" s="4"/>
      <c r="G1037" s="4"/>
      <c r="H1037" s="4"/>
      <c r="I1037" s="10" t="str">
        <f>HYPERLINK("http://twitter.com/download/android","Twitter for Android")</f>
        <v>Twitter for Android</v>
      </c>
      <c r="J1037" s="2">
        <v>13</v>
      </c>
      <c r="K1037" s="2">
        <v>59</v>
      </c>
      <c r="L1037" s="2">
        <v>0</v>
      </c>
      <c r="M1037" s="2"/>
      <c r="N1037" s="8">
        <v>43209.816261574073</v>
      </c>
      <c r="O1037" s="4" t="s">
        <v>5285</v>
      </c>
      <c r="P1037" s="3" t="s">
        <v>5284</v>
      </c>
      <c r="Q1037" s="4"/>
      <c r="R1037" s="4"/>
      <c r="S1037" s="9" t="str">
        <f>HYPERLINK("https://pbs.twimg.com/profile_images/987289743208648704/JoT3sSfZ.jpg","View")</f>
        <v>View</v>
      </c>
    </row>
    <row r="1038" spans="1:19" ht="20">
      <c r="A1038" s="8">
        <v>43370.762789351851</v>
      </c>
      <c r="B1038" s="11" t="str">
        <f>HYPERLINK("https://twitter.com/Motehayeram","@Motehayeram")</f>
        <v>@Motehayeram</v>
      </c>
      <c r="C1038" s="6" t="s">
        <v>5283</v>
      </c>
      <c r="D1038" s="5" t="s">
        <v>5282</v>
      </c>
      <c r="E1038" s="9" t="str">
        <f>HYPERLINK("https://twitter.com/Motehayeram/status/1045324287031345152","1045324287031345152")</f>
        <v>1045324287031345152</v>
      </c>
      <c r="F1038" s="4"/>
      <c r="G1038" s="4"/>
      <c r="H1038" s="4"/>
      <c r="I1038" s="10" t="str">
        <f>HYPERLINK("http://twitter.com","Twitter Web Client")</f>
        <v>Twitter Web Client</v>
      </c>
      <c r="J1038" s="2">
        <v>3727</v>
      </c>
      <c r="K1038" s="2">
        <v>556</v>
      </c>
      <c r="L1038" s="2">
        <v>47</v>
      </c>
      <c r="M1038" s="2"/>
      <c r="N1038" s="8">
        <v>41590.600185185183</v>
      </c>
      <c r="O1038" s="4"/>
      <c r="P1038" s="3" t="s">
        <v>5281</v>
      </c>
      <c r="Q1038" s="4"/>
      <c r="R1038" s="4"/>
      <c r="S1038" s="9" t="str">
        <f>HYPERLINK("https://pbs.twimg.com/profile_images/1039909931158319105/J34pFP8n.jpg","View")</f>
        <v>View</v>
      </c>
    </row>
    <row r="1039" spans="1:19" ht="30">
      <c r="A1039" s="8">
        <v>43370.762777777782</v>
      </c>
      <c r="B1039" s="11" t="str">
        <f>HYPERLINK("https://twitter.com/AliVefghi","@AliVefghi")</f>
        <v>@AliVefghi</v>
      </c>
      <c r="C1039" s="6" t="s">
        <v>4851</v>
      </c>
      <c r="D1039" s="5" t="s">
        <v>5280</v>
      </c>
      <c r="E1039" s="9" t="str">
        <f>HYPERLINK("https://twitter.com/AliVefghi/status/1045324283185061889","1045324283185061889")</f>
        <v>1045324283185061889</v>
      </c>
      <c r="F1039" s="4"/>
      <c r="G1039" s="10" t="s">
        <v>5279</v>
      </c>
      <c r="H1039" s="4"/>
      <c r="I1039" s="10" t="str">
        <f>HYPERLINK("http://twitter.com/download/android","Twitter for Android")</f>
        <v>Twitter for Android</v>
      </c>
      <c r="J1039" s="2">
        <v>672</v>
      </c>
      <c r="K1039" s="2">
        <v>543</v>
      </c>
      <c r="L1039" s="2">
        <v>1</v>
      </c>
      <c r="M1039" s="2"/>
      <c r="N1039" s="8">
        <v>42885.958796296298</v>
      </c>
      <c r="O1039" s="4" t="s">
        <v>311</v>
      </c>
      <c r="P1039" s="3" t="s">
        <v>4849</v>
      </c>
      <c r="Q1039" s="4"/>
      <c r="R1039" s="4"/>
      <c r="S1039" s="9" t="str">
        <f>HYPERLINK("https://pbs.twimg.com/profile_images/869629756362412035/YyriZjaP.jpg","View")</f>
        <v>View</v>
      </c>
    </row>
    <row r="1040" spans="1:19" ht="12.5">
      <c r="A1040" s="8">
        <v>43370.762777777782</v>
      </c>
      <c r="B1040" s="11" t="str">
        <f>HYPERLINK("https://twitter.com/Hasanshahi22","@Hasanshahi22")</f>
        <v>@Hasanshahi22</v>
      </c>
      <c r="C1040" s="6" t="s">
        <v>5278</v>
      </c>
      <c r="D1040" s="5" t="s">
        <v>5277</v>
      </c>
      <c r="E1040" s="9" t="str">
        <f>HYPERLINK("https://twitter.com/Hasanshahi22/status/1045324282056839168","1045324282056839168")</f>
        <v>1045324282056839168</v>
      </c>
      <c r="F1040" s="4"/>
      <c r="G1040" s="4"/>
      <c r="H1040" s="4"/>
      <c r="I1040" s="10" t="str">
        <f>HYPERLINK("http://twitter.com/download/android","Twitter for Android")</f>
        <v>Twitter for Android</v>
      </c>
      <c r="J1040" s="2">
        <v>6387</v>
      </c>
      <c r="K1040" s="2">
        <v>2964</v>
      </c>
      <c r="L1040" s="2">
        <v>28</v>
      </c>
      <c r="M1040" s="2"/>
      <c r="N1040" s="8">
        <v>42710.606030092589</v>
      </c>
      <c r="O1040" s="4" t="s">
        <v>62</v>
      </c>
      <c r="P1040" s="3" t="s">
        <v>5276</v>
      </c>
      <c r="Q1040" s="4"/>
      <c r="R1040" s="4"/>
      <c r="S1040" s="9" t="str">
        <f>HYPERLINK("https://pbs.twimg.com/profile_images/1039446513808756736/rcW9UZKR.jpg","View")</f>
        <v>View</v>
      </c>
    </row>
    <row r="1041" spans="1:19" ht="20">
      <c r="A1041" s="8">
        <v>43370.762731481482</v>
      </c>
      <c r="B1041" s="11" t="str">
        <f>HYPERLINK("https://twitter.com/Mortezamoha","@Mortezamoha")</f>
        <v>@Mortezamoha</v>
      </c>
      <c r="C1041" s="6" t="s">
        <v>2649</v>
      </c>
      <c r="D1041" s="5" t="s">
        <v>5275</v>
      </c>
      <c r="E1041" s="9" t="str">
        <f>HYPERLINK("https://twitter.com/Mortezamoha/status/1045324264570855424","1045324264570855424")</f>
        <v>1045324264570855424</v>
      </c>
      <c r="F1041" s="4"/>
      <c r="G1041" s="4"/>
      <c r="H1041" s="4"/>
      <c r="I1041" s="10" t="str">
        <f>HYPERLINK("http://twitter.com/download/android","Twitter for Android")</f>
        <v>Twitter for Android</v>
      </c>
      <c r="J1041" s="2">
        <v>134</v>
      </c>
      <c r="K1041" s="2">
        <v>39</v>
      </c>
      <c r="L1041" s="2">
        <v>1</v>
      </c>
      <c r="M1041" s="2"/>
      <c r="N1041" s="8">
        <v>42910.849479166667</v>
      </c>
      <c r="O1041" s="4" t="s">
        <v>2647</v>
      </c>
      <c r="P1041" s="3" t="s">
        <v>2646</v>
      </c>
      <c r="Q1041" s="4"/>
      <c r="R1041" s="4"/>
      <c r="S1041" s="9" t="str">
        <f>HYPERLINK("https://pbs.twimg.com/profile_images/940282902935244802/sITBPZ_V.jpg","View")</f>
        <v>View</v>
      </c>
    </row>
    <row r="1042" spans="1:19" ht="20">
      <c r="A1042" s="8">
        <v>43370.762499999997</v>
      </c>
      <c r="B1042" s="11" t="str">
        <f>HYPERLINK("https://twitter.com/MohsenManU07","@MohsenManU07")</f>
        <v>@MohsenManU07</v>
      </c>
      <c r="C1042" s="6" t="s">
        <v>5274</v>
      </c>
      <c r="D1042" s="5" t="s">
        <v>5273</v>
      </c>
      <c r="E1042" s="9" t="str">
        <f>HYPERLINK("https://twitter.com/MohsenManU07/status/1045324180617670660","1045324180617670660")</f>
        <v>1045324180617670660</v>
      </c>
      <c r="F1042" s="4"/>
      <c r="G1042" s="10" t="s">
        <v>5272</v>
      </c>
      <c r="H1042" s="4"/>
      <c r="I1042" s="10" t="str">
        <f>HYPERLINK("http://twitter.com/download/android","Twitter for Android")</f>
        <v>Twitter for Android</v>
      </c>
      <c r="J1042" s="2">
        <v>4032</v>
      </c>
      <c r="K1042" s="2">
        <v>417</v>
      </c>
      <c r="L1042" s="2">
        <v>34</v>
      </c>
      <c r="M1042" s="2"/>
      <c r="N1042" s="8">
        <v>42207.44027777778</v>
      </c>
      <c r="O1042" s="4"/>
      <c r="P1042" s="3" t="s">
        <v>5271</v>
      </c>
      <c r="Q1042" s="4"/>
      <c r="R1042" s="4"/>
      <c r="S1042" s="9" t="str">
        <f>HYPERLINK("https://pbs.twimg.com/profile_images/943966740790304769/h4jGCNGW.jpg","View")</f>
        <v>View</v>
      </c>
    </row>
    <row r="1043" spans="1:19" ht="30">
      <c r="A1043" s="8">
        <v>43370.762361111112</v>
      </c>
      <c r="B1043" s="11" t="str">
        <f>HYPERLINK("https://twitter.com/2damask","@2damask")</f>
        <v>@2damask</v>
      </c>
      <c r="C1043" s="6" t="s">
        <v>5270</v>
      </c>
      <c r="D1043" s="5" t="s">
        <v>5269</v>
      </c>
      <c r="E1043" s="9" t="str">
        <f>HYPERLINK("https://twitter.com/2damask/status/1045324131049377792","1045324131049377792")</f>
        <v>1045324131049377792</v>
      </c>
      <c r="F1043" s="4"/>
      <c r="G1043" s="4"/>
      <c r="H1043" s="4"/>
      <c r="I1043" s="10" t="str">
        <f>HYPERLINK("http://twitter.com/download/iphone","Twitter for iPhone")</f>
        <v>Twitter for iPhone</v>
      </c>
      <c r="J1043" s="2">
        <v>9041</v>
      </c>
      <c r="K1043" s="2">
        <v>6332</v>
      </c>
      <c r="L1043" s="2">
        <v>34</v>
      </c>
      <c r="M1043" s="2"/>
      <c r="N1043" s="8">
        <v>41702.987384259257</v>
      </c>
      <c r="O1043" s="4" t="s">
        <v>5268</v>
      </c>
      <c r="P1043" s="3" t="s">
        <v>5267</v>
      </c>
      <c r="Q1043" s="4"/>
      <c r="R1043" s="4"/>
      <c r="S1043" s="9" t="str">
        <f>HYPERLINK("https://pbs.twimg.com/profile_images/890043743973376002/ym155GNX.jpg","View")</f>
        <v>View</v>
      </c>
    </row>
    <row r="1044" spans="1:19" ht="12.5">
      <c r="A1044" s="8">
        <v>43370.762361111112</v>
      </c>
      <c r="B1044" s="11" t="str">
        <f>HYPERLINK("https://twitter.com/amirhosein_88","@amirhosein_88")</f>
        <v>@amirhosein_88</v>
      </c>
      <c r="C1044" s="6" t="s">
        <v>5266</v>
      </c>
      <c r="D1044" s="5" t="s">
        <v>5265</v>
      </c>
      <c r="E1044" s="9" t="str">
        <f>HYPERLINK("https://twitter.com/amirhosein_88/status/1045324130462167041","1045324130462167041")</f>
        <v>1045324130462167041</v>
      </c>
      <c r="F1044" s="4"/>
      <c r="G1044" s="10" t="s">
        <v>5264</v>
      </c>
      <c r="H1044" s="4"/>
      <c r="I1044" s="10" t="str">
        <f>HYPERLINK("http://twitter.com/download/android","Twitter for Android")</f>
        <v>Twitter for Android</v>
      </c>
      <c r="J1044" s="2">
        <v>562</v>
      </c>
      <c r="K1044" s="2">
        <v>167</v>
      </c>
      <c r="L1044" s="2">
        <v>3</v>
      </c>
      <c r="M1044" s="2"/>
      <c r="N1044" s="8">
        <v>43002.016469907408</v>
      </c>
      <c r="O1044" s="4" t="s">
        <v>5263</v>
      </c>
      <c r="P1044" s="3" t="s">
        <v>5262</v>
      </c>
      <c r="Q1044" s="4"/>
      <c r="R1044" s="4"/>
      <c r="S1044" s="9" t="str">
        <f>HYPERLINK("https://pbs.twimg.com/profile_images/1042431979231354880/1q5BOh-S.jpg","View")</f>
        <v>View</v>
      </c>
    </row>
    <row r="1045" spans="1:19" ht="20">
      <c r="A1045" s="8">
        <v>43370.762199074074</v>
      </c>
      <c r="B1045" s="11" t="str">
        <f>HYPERLINK("https://twitter.com/8moriirom8","@8moriirom8")</f>
        <v>@8moriirom8</v>
      </c>
      <c r="C1045" s="6" t="s">
        <v>5095</v>
      </c>
      <c r="D1045" s="5" t="s">
        <v>5261</v>
      </c>
      <c r="E1045" s="9" t="str">
        <f>HYPERLINK("https://twitter.com/8moriirom8/status/1045324070307418113","1045324070307418113")</f>
        <v>1045324070307418113</v>
      </c>
      <c r="F1045" s="4"/>
      <c r="G1045" s="4"/>
      <c r="H1045" s="4"/>
      <c r="I1045" s="10" t="str">
        <f>HYPERLINK("http://twitter.com/download/android","Twitter for Android")</f>
        <v>Twitter for Android</v>
      </c>
      <c r="J1045" s="2">
        <v>198</v>
      </c>
      <c r="K1045" s="2">
        <v>328</v>
      </c>
      <c r="L1045" s="2">
        <v>0</v>
      </c>
      <c r="M1045" s="2"/>
      <c r="N1045" s="8">
        <v>43085.883703703701</v>
      </c>
      <c r="O1045" s="4"/>
      <c r="P1045" s="3" t="s">
        <v>5093</v>
      </c>
      <c r="Q1045" s="10" t="s">
        <v>5092</v>
      </c>
      <c r="R1045" s="4"/>
      <c r="S1045" s="9" t="str">
        <f>HYPERLINK("https://pbs.twimg.com/profile_images/1022546472070471681/2nNz53-W.jpg","View")</f>
        <v>View</v>
      </c>
    </row>
    <row r="1046" spans="1:19" ht="12.5">
      <c r="A1046" s="8">
        <v>43370.762071759258</v>
      </c>
      <c r="B1046" s="11" t="str">
        <f>HYPERLINK("https://twitter.com/tenderrr1","@tenderrr1")</f>
        <v>@tenderrr1</v>
      </c>
      <c r="C1046" s="6" t="s">
        <v>5230</v>
      </c>
      <c r="D1046" s="5" t="s">
        <v>5260</v>
      </c>
      <c r="E1046" s="9" t="str">
        <f>HYPERLINK("https://twitter.com/tenderrr1/status/1045324023364759552","1045324023364759552")</f>
        <v>1045324023364759552</v>
      </c>
      <c r="F1046" s="4"/>
      <c r="G1046" s="4"/>
      <c r="H1046" s="4"/>
      <c r="I1046" s="10" t="str">
        <f>HYPERLINK("http://twitter.com/download/android","Twitter for Android")</f>
        <v>Twitter for Android</v>
      </c>
      <c r="J1046" s="2">
        <v>3071</v>
      </c>
      <c r="K1046" s="2">
        <v>131</v>
      </c>
      <c r="L1046" s="2">
        <v>19</v>
      </c>
      <c r="M1046" s="2"/>
      <c r="N1046" s="8">
        <v>42765.422662037032</v>
      </c>
      <c r="O1046" s="4" t="s">
        <v>5228</v>
      </c>
      <c r="P1046" s="3" t="s">
        <v>5227</v>
      </c>
      <c r="Q1046" s="10" t="s">
        <v>5226</v>
      </c>
      <c r="R1046" s="4"/>
      <c r="S1046" s="9" t="str">
        <f>HYPERLINK("https://pbs.twimg.com/profile_images/825956912432705536/RO6onXBz.jpg","View")</f>
        <v>View</v>
      </c>
    </row>
    <row r="1047" spans="1:19" ht="20">
      <c r="A1047" s="8">
        <v>43370.76190972222</v>
      </c>
      <c r="B1047" s="11" t="str">
        <f>HYPERLINK("https://twitter.com/kf1396","@kf1396")</f>
        <v>@kf1396</v>
      </c>
      <c r="C1047" s="6" t="s">
        <v>5259</v>
      </c>
      <c r="D1047" s="5" t="s">
        <v>5258</v>
      </c>
      <c r="E1047" s="9" t="str">
        <f>HYPERLINK("https://twitter.com/kf1396/status/1045323968436211722","1045323968436211722")</f>
        <v>1045323968436211722</v>
      </c>
      <c r="F1047" s="4"/>
      <c r="G1047" s="4"/>
      <c r="H1047" s="4"/>
      <c r="I1047" s="10" t="str">
        <f>HYPERLINK("http://twitter.com/download/android","Twitter for Android")</f>
        <v>Twitter for Android</v>
      </c>
      <c r="J1047" s="2">
        <v>746</v>
      </c>
      <c r="K1047" s="2">
        <v>1317</v>
      </c>
      <c r="L1047" s="2">
        <v>3</v>
      </c>
      <c r="M1047" s="2"/>
      <c r="N1047" s="8">
        <v>42985.049733796295</v>
      </c>
      <c r="O1047" s="4" t="s">
        <v>5257</v>
      </c>
      <c r="P1047" s="3" t="s">
        <v>5256</v>
      </c>
      <c r="Q1047" s="4"/>
      <c r="R1047" s="4"/>
      <c r="S1047" s="9" t="str">
        <f>HYPERLINK("https://pbs.twimg.com/profile_images/968594326140915713/t2nBek54.jpg","View")</f>
        <v>View</v>
      </c>
    </row>
    <row r="1048" spans="1:19" ht="12.5">
      <c r="A1048" s="8">
        <v>43370.761874999997</v>
      </c>
      <c r="B1048" s="11" t="str">
        <f>HYPERLINK("https://twitter.com/Barzin_Del","@Barzin_Del")</f>
        <v>@Barzin_Del</v>
      </c>
      <c r="C1048" s="6" t="s">
        <v>5255</v>
      </c>
      <c r="D1048" s="5" t="s">
        <v>5254</v>
      </c>
      <c r="E1048" s="9" t="str">
        <f>HYPERLINK("https://twitter.com/Barzin_Del/status/1045323953533865984","1045323953533865984")</f>
        <v>1045323953533865984</v>
      </c>
      <c r="F1048" s="4"/>
      <c r="G1048" s="4"/>
      <c r="H1048" s="4"/>
      <c r="I1048" s="10" t="str">
        <f>HYPERLINK("http://twitter.com/download/android","Twitter for Android")</f>
        <v>Twitter for Android</v>
      </c>
      <c r="J1048" s="2">
        <v>705</v>
      </c>
      <c r="K1048" s="2">
        <v>1015</v>
      </c>
      <c r="L1048" s="2">
        <v>2</v>
      </c>
      <c r="M1048" s="2"/>
      <c r="N1048" s="8">
        <v>42633.479444444441</v>
      </c>
      <c r="O1048" s="4" t="s">
        <v>72</v>
      </c>
      <c r="P1048" s="3" t="s">
        <v>5253</v>
      </c>
      <c r="Q1048" s="10" t="s">
        <v>5252</v>
      </c>
      <c r="R1048" s="4"/>
      <c r="S1048" s="9" t="str">
        <f>HYPERLINK("https://pbs.twimg.com/profile_images/978540326968315904/jl52s5il.jpg","View")</f>
        <v>View</v>
      </c>
    </row>
    <row r="1049" spans="1:19" ht="30">
      <c r="A1049" s="8">
        <v>43370.76185185185</v>
      </c>
      <c r="B1049" s="11" t="str">
        <f>HYPERLINK("https://twitter.com/Tahaiano","@Tahaiano")</f>
        <v>@Tahaiano</v>
      </c>
      <c r="C1049" s="6" t="s">
        <v>5251</v>
      </c>
      <c r="D1049" s="5" t="s">
        <v>5250</v>
      </c>
      <c r="E1049" s="9" t="str">
        <f>HYPERLINK("https://twitter.com/Tahaiano/status/1045323945652760581","1045323945652760581")</f>
        <v>1045323945652760581</v>
      </c>
      <c r="F1049" s="4"/>
      <c r="G1049" s="4"/>
      <c r="H1049" s="4"/>
      <c r="I1049" s="10" t="str">
        <f>HYPERLINK("http://twitter.com/download/android","Twitter for Android")</f>
        <v>Twitter for Android</v>
      </c>
      <c r="J1049" s="2">
        <v>851</v>
      </c>
      <c r="K1049" s="2">
        <v>826</v>
      </c>
      <c r="L1049" s="2">
        <v>0</v>
      </c>
      <c r="M1049" s="2"/>
      <c r="N1049" s="8">
        <v>43353.458530092597</v>
      </c>
      <c r="O1049" s="4" t="s">
        <v>5249</v>
      </c>
      <c r="P1049" s="3" t="s">
        <v>5248</v>
      </c>
      <c r="Q1049" s="4"/>
      <c r="R1049" s="4"/>
      <c r="S1049" s="9" t="str">
        <f>HYPERLINK("https://pbs.twimg.com/profile_images/1039785073128681474/vlAY7GNw.jpg","View")</f>
        <v>View</v>
      </c>
    </row>
    <row r="1050" spans="1:19" ht="20">
      <c r="A1050" s="8">
        <v>43370.761712962965</v>
      </c>
      <c r="B1050" s="11" t="str">
        <f>HYPERLINK("https://twitter.com/yaheydarekarrar","@yaheydarekarrar")</f>
        <v>@yaheydarekarrar</v>
      </c>
      <c r="C1050" s="6" t="s">
        <v>5247</v>
      </c>
      <c r="D1050" s="5" t="s">
        <v>5246</v>
      </c>
      <c r="E1050" s="9" t="str">
        <f>HYPERLINK("https://twitter.com/yaheydarekarrar/status/1045323894473863171","1045323894473863171")</f>
        <v>1045323894473863171</v>
      </c>
      <c r="F1050" s="4"/>
      <c r="G1050" s="4"/>
      <c r="H1050" s="4"/>
      <c r="I1050" s="10" t="str">
        <f>HYPERLINK("http://twitter.com/download/android","Twitter for Android")</f>
        <v>Twitter for Android</v>
      </c>
      <c r="J1050" s="2">
        <v>1859</v>
      </c>
      <c r="K1050" s="2">
        <v>1115</v>
      </c>
      <c r="L1050" s="2">
        <v>5</v>
      </c>
      <c r="M1050" s="2"/>
      <c r="N1050" s="8">
        <v>43004.681331018517</v>
      </c>
      <c r="O1050" s="4" t="s">
        <v>5245</v>
      </c>
      <c r="P1050" s="3" t="s">
        <v>5244</v>
      </c>
      <c r="Q1050" s="4"/>
      <c r="R1050" s="4"/>
      <c r="S1050" s="9" t="str">
        <f>HYPERLINK("https://pbs.twimg.com/profile_images/1039610414361915394/iP_RLXDm.jpg","View")</f>
        <v>View</v>
      </c>
    </row>
    <row r="1051" spans="1:19" ht="20">
      <c r="A1051" s="8">
        <v>43370.761620370366</v>
      </c>
      <c r="B1051" s="11" t="str">
        <f>HYPERLINK("https://twitter.com/yaghma_fashkham","@yaghma_fashkham")</f>
        <v>@yaghma_fashkham</v>
      </c>
      <c r="C1051" s="6" t="s">
        <v>5243</v>
      </c>
      <c r="D1051" s="5" t="s">
        <v>5242</v>
      </c>
      <c r="E1051" s="9" t="str">
        <f>HYPERLINK("https://twitter.com/yaghma_fashkham/status/1045323860789399553","1045323860789399553")</f>
        <v>1045323860789399553</v>
      </c>
      <c r="F1051" s="10" t="s">
        <v>5241</v>
      </c>
      <c r="G1051" s="10" t="s">
        <v>5240</v>
      </c>
      <c r="H1051" s="4"/>
      <c r="I1051" s="10" t="str">
        <f>HYPERLINK("http://twitter.com/download/android","Twitter for Android")</f>
        <v>Twitter for Android</v>
      </c>
      <c r="J1051" s="2">
        <v>3043</v>
      </c>
      <c r="K1051" s="2">
        <v>203</v>
      </c>
      <c r="L1051" s="2">
        <v>23</v>
      </c>
      <c r="M1051" s="2"/>
      <c r="N1051" s="8">
        <v>43179.734803240739</v>
      </c>
      <c r="O1051" s="4" t="s">
        <v>200</v>
      </c>
      <c r="P1051" s="3" t="s">
        <v>5239</v>
      </c>
      <c r="Q1051" s="4"/>
      <c r="R1051" s="4"/>
      <c r="S1051" s="9" t="str">
        <f>HYPERLINK("https://pbs.twimg.com/profile_images/976099342233817088/REHFW4Jv.jpg","View")</f>
        <v>View</v>
      </c>
    </row>
    <row r="1052" spans="1:19" ht="20">
      <c r="A1052" s="8">
        <v>43370.761597222227</v>
      </c>
      <c r="B1052" s="11" t="str">
        <f>HYPERLINK("https://twitter.com/a_r_i__o_o","@a_r_i__o_o")</f>
        <v>@a_r_i__o_o</v>
      </c>
      <c r="C1052" s="6" t="s">
        <v>5238</v>
      </c>
      <c r="D1052" s="5" t="s">
        <v>5237</v>
      </c>
      <c r="E1052" s="9" t="str">
        <f>HYPERLINK("https://twitter.com/a_r_i__o_o/status/1045323855252860928","1045323855252860928")</f>
        <v>1045323855252860928</v>
      </c>
      <c r="F1052" s="4"/>
      <c r="G1052" s="4"/>
      <c r="H1052" s="4"/>
      <c r="I1052" s="10" t="str">
        <f>HYPERLINK("http://twitter.com/download/android","Twitter for Android")</f>
        <v>Twitter for Android</v>
      </c>
      <c r="J1052" s="2">
        <v>219</v>
      </c>
      <c r="K1052" s="2">
        <v>292</v>
      </c>
      <c r="L1052" s="2">
        <v>0</v>
      </c>
      <c r="M1052" s="2"/>
      <c r="N1052" s="8">
        <v>43161.010115740741</v>
      </c>
      <c r="O1052" s="4" t="s">
        <v>4755</v>
      </c>
      <c r="P1052" s="3" t="s">
        <v>5236</v>
      </c>
      <c r="Q1052" s="10" t="s">
        <v>5235</v>
      </c>
      <c r="R1052" s="4"/>
      <c r="S1052" s="9" t="str">
        <f>HYPERLINK("https://pbs.twimg.com/profile_images/1040228924196831232/5jbSlCvK.jpg","View")</f>
        <v>View</v>
      </c>
    </row>
    <row r="1053" spans="1:19" ht="30">
      <c r="A1053" s="8">
        <v>43370.761400462958</v>
      </c>
      <c r="B1053" s="11" t="str">
        <f>HYPERLINK("https://twitter.com/Alireza_ZS","@Alireza_ZS")</f>
        <v>@Alireza_ZS</v>
      </c>
      <c r="C1053" s="6" t="s">
        <v>5234</v>
      </c>
      <c r="D1053" s="5" t="s">
        <v>5233</v>
      </c>
      <c r="E1053" s="9" t="str">
        <f>HYPERLINK("https://twitter.com/Alireza_ZS/status/1045323781227536384","1045323781227536384")</f>
        <v>1045323781227536384</v>
      </c>
      <c r="F1053" s="4"/>
      <c r="G1053" s="4"/>
      <c r="H1053" s="4"/>
      <c r="I1053" s="10" t="str">
        <f>HYPERLINK("http://twitter.com","Twitter Web Client")</f>
        <v>Twitter Web Client</v>
      </c>
      <c r="J1053" s="2">
        <v>7</v>
      </c>
      <c r="K1053" s="2">
        <v>29</v>
      </c>
      <c r="L1053" s="2">
        <v>0</v>
      </c>
      <c r="M1053" s="2"/>
      <c r="N1053" s="8">
        <v>41536.102824074071</v>
      </c>
      <c r="O1053" s="4" t="s">
        <v>380</v>
      </c>
      <c r="P1053" s="3" t="s">
        <v>5232</v>
      </c>
      <c r="Q1053" s="4"/>
      <c r="R1053" s="4"/>
      <c r="S1053" s="9" t="str">
        <f>HYPERLINK("https://pbs.twimg.com/profile_images/1037337124276764672/qLk52hJR.jpg","View")</f>
        <v>View</v>
      </c>
    </row>
    <row r="1054" spans="1:19" ht="20">
      <c r="A1054" s="8">
        <v>43370.761041666672</v>
      </c>
      <c r="B1054" s="11" t="str">
        <f>HYPERLINK("https://twitter.com/dokhtararyaee","@dokhtararyaee")</f>
        <v>@dokhtararyaee</v>
      </c>
      <c r="C1054" s="6" t="s">
        <v>972</v>
      </c>
      <c r="D1054" s="5" t="s">
        <v>5231</v>
      </c>
      <c r="E1054" s="9" t="str">
        <f>HYPERLINK("https://twitter.com/dokhtararyaee/status/1045323651585855488","1045323651585855488")</f>
        <v>1045323651585855488</v>
      </c>
      <c r="F1054" s="4"/>
      <c r="G1054" s="4"/>
      <c r="H1054" s="4"/>
      <c r="I1054" s="10" t="str">
        <f>HYPERLINK("https://mobile.twitter.com","Twitter Lite")</f>
        <v>Twitter Lite</v>
      </c>
      <c r="J1054" s="2">
        <v>9</v>
      </c>
      <c r="K1054" s="2">
        <v>26</v>
      </c>
      <c r="L1054" s="2">
        <v>0</v>
      </c>
      <c r="M1054" s="2"/>
      <c r="N1054" s="8">
        <v>43244.229722222226</v>
      </c>
      <c r="O1054" s="4"/>
      <c r="P1054" s="3"/>
      <c r="Q1054" s="4"/>
      <c r="R1054" s="4"/>
      <c r="S1054" s="9" t="str">
        <f>HYPERLINK("https://pbs.twimg.com/profile_images/1008834123480346627/NyYMn5UQ.jpg","View")</f>
        <v>View</v>
      </c>
    </row>
    <row r="1055" spans="1:19" ht="30">
      <c r="A1055" s="8">
        <v>43370.760995370365</v>
      </c>
      <c r="B1055" s="11" t="str">
        <f>HYPERLINK("https://twitter.com/tenderrr1","@tenderrr1")</f>
        <v>@tenderrr1</v>
      </c>
      <c r="C1055" s="6" t="s">
        <v>5230</v>
      </c>
      <c r="D1055" s="5" t="s">
        <v>5229</v>
      </c>
      <c r="E1055" s="9" t="str">
        <f>HYPERLINK("https://twitter.com/tenderrr1/status/1045323637316886528","1045323637316886528")</f>
        <v>1045323637316886528</v>
      </c>
      <c r="F1055" s="4"/>
      <c r="G1055" s="4"/>
      <c r="H1055" s="4"/>
      <c r="I1055" s="10" t="str">
        <f>HYPERLINK("http://twitter.com/download/android","Twitter for Android")</f>
        <v>Twitter for Android</v>
      </c>
      <c r="J1055" s="2">
        <v>3071</v>
      </c>
      <c r="K1055" s="2">
        <v>131</v>
      </c>
      <c r="L1055" s="2">
        <v>19</v>
      </c>
      <c r="M1055" s="2"/>
      <c r="N1055" s="8">
        <v>42765.422662037032</v>
      </c>
      <c r="O1055" s="4" t="s">
        <v>5228</v>
      </c>
      <c r="P1055" s="3" t="s">
        <v>5227</v>
      </c>
      <c r="Q1055" s="10" t="s">
        <v>5226</v>
      </c>
      <c r="R1055" s="4"/>
      <c r="S1055" s="9" t="str">
        <f>HYPERLINK("https://pbs.twimg.com/profile_images/825956912432705536/RO6onXBz.jpg","View")</f>
        <v>View</v>
      </c>
    </row>
    <row r="1056" spans="1:19" ht="12.5">
      <c r="A1056" s="8">
        <v>43370.760555555556</v>
      </c>
      <c r="B1056" s="11" t="str">
        <f>HYPERLINK("https://twitter.com/ErfanHajbabaee","@ErfanHajbabaee")</f>
        <v>@ErfanHajbabaee</v>
      </c>
      <c r="C1056" s="6" t="s">
        <v>660</v>
      </c>
      <c r="D1056" s="5" t="s">
        <v>5225</v>
      </c>
      <c r="E1056" s="9" t="str">
        <f>HYPERLINK("https://twitter.com/ErfanHajbabaee/status/1045323473906794496","1045323473906794496")</f>
        <v>1045323473906794496</v>
      </c>
      <c r="F1056" s="4"/>
      <c r="G1056" s="4"/>
      <c r="H1056" s="4"/>
      <c r="I1056" s="10" t="str">
        <f>HYPERLINK("http://twitter.com/download/android","Twitter for Android")</f>
        <v>Twitter for Android</v>
      </c>
      <c r="J1056" s="2">
        <v>114</v>
      </c>
      <c r="K1056" s="2">
        <v>73</v>
      </c>
      <c r="L1056" s="2">
        <v>0</v>
      </c>
      <c r="M1056" s="2"/>
      <c r="N1056" s="8">
        <v>43255.527858796297</v>
      </c>
      <c r="O1056" s="4" t="s">
        <v>657</v>
      </c>
      <c r="P1056" s="3" t="s">
        <v>656</v>
      </c>
      <c r="Q1056" s="4"/>
      <c r="R1056" s="4"/>
      <c r="S1056" s="9" t="str">
        <f>HYPERLINK("https://pbs.twimg.com/profile_images/1041679103177490432/gLzwxFyO.jpg","View")</f>
        <v>View</v>
      </c>
    </row>
    <row r="1057" spans="1:19" ht="12.5">
      <c r="A1057" s="8">
        <v>43370.760439814811</v>
      </c>
      <c r="B1057" s="11" t="str">
        <f>HYPERLINK("https://twitter.com/iranpayande2213","@iranpayande2213")</f>
        <v>@iranpayande2213</v>
      </c>
      <c r="C1057" s="6" t="s">
        <v>739</v>
      </c>
      <c r="D1057" s="5" t="s">
        <v>5224</v>
      </c>
      <c r="E1057" s="9" t="str">
        <f>HYPERLINK("https://twitter.com/iranpayande2213/status/1045323434073497600","1045323434073497600")</f>
        <v>1045323434073497600</v>
      </c>
      <c r="F1057" s="4"/>
      <c r="G1057" s="4"/>
      <c r="H1057" s="4"/>
      <c r="I1057" s="10" t="str">
        <f>HYPERLINK("http://twitter.com/download/iphone","Twitter for iPhone")</f>
        <v>Twitter for iPhone</v>
      </c>
      <c r="J1057" s="2">
        <v>5139</v>
      </c>
      <c r="K1057" s="2">
        <v>4567</v>
      </c>
      <c r="L1057" s="2">
        <v>6</v>
      </c>
      <c r="M1057" s="2"/>
      <c r="N1057" s="8">
        <v>43001.501828703702</v>
      </c>
      <c r="O1057" s="4" t="s">
        <v>72</v>
      </c>
      <c r="P1057" s="3" t="s">
        <v>738</v>
      </c>
      <c r="Q1057" s="4"/>
      <c r="R1057" s="4"/>
      <c r="S1057" s="9" t="str">
        <f>HYPERLINK("https://pbs.twimg.com/profile_images/1043035224198676487/uGnsQISu.jpg","View")</f>
        <v>View</v>
      </c>
    </row>
    <row r="1058" spans="1:19" ht="20">
      <c r="A1058" s="8">
        <v>43370.760393518518</v>
      </c>
      <c r="B1058" s="11" t="str">
        <f>HYPERLINK("https://twitter.com/Kariizmak","@Kariizmak")</f>
        <v>@Kariizmak</v>
      </c>
      <c r="C1058" s="6" t="s">
        <v>5223</v>
      </c>
      <c r="D1058" s="5" t="s">
        <v>5222</v>
      </c>
      <c r="E1058" s="9" t="str">
        <f>HYPERLINK("https://twitter.com/Kariizmak/status/1045323419150110720","1045323419150110720")</f>
        <v>1045323419150110720</v>
      </c>
      <c r="F1058" s="4"/>
      <c r="G1058" s="4"/>
      <c r="H1058" s="4"/>
      <c r="I1058" s="10" t="str">
        <f>HYPERLINK("http://twitter.com/download/android","Twitter for Android")</f>
        <v>Twitter for Android</v>
      </c>
      <c r="J1058" s="2">
        <v>1534</v>
      </c>
      <c r="K1058" s="2">
        <v>174</v>
      </c>
      <c r="L1058" s="2">
        <v>13</v>
      </c>
      <c r="M1058" s="2"/>
      <c r="N1058" s="8">
        <v>42300.734097222223</v>
      </c>
      <c r="O1058" s="4" t="s">
        <v>254</v>
      </c>
      <c r="P1058" s="3" t="s">
        <v>5221</v>
      </c>
      <c r="Q1058" s="4"/>
      <c r="R1058" s="4"/>
      <c r="S1058" s="9" t="str">
        <f>HYPERLINK("https://pbs.twimg.com/profile_images/1043435262779551744/3IF7VUKS.jpg","View")</f>
        <v>View</v>
      </c>
    </row>
    <row r="1059" spans="1:19" ht="20">
      <c r="A1059" s="8">
        <v>43370.760231481487</v>
      </c>
      <c r="B1059" s="11" t="str">
        <f>HYPERLINK("https://twitter.com/S_agharokhi","@S_agharokhi")</f>
        <v>@S_agharokhi</v>
      </c>
      <c r="C1059" s="6" t="s">
        <v>5220</v>
      </c>
      <c r="D1059" s="5" t="s">
        <v>5219</v>
      </c>
      <c r="E1059" s="9" t="str">
        <f>HYPERLINK("https://twitter.com/S_agharokhi/status/1045323357800058881","1045323357800058881")</f>
        <v>1045323357800058881</v>
      </c>
      <c r="F1059" s="4"/>
      <c r="G1059" s="4"/>
      <c r="H1059" s="4"/>
      <c r="I1059" s="10" t="str">
        <f>HYPERLINK("http://twitter.com/download/android","Twitter for Android")</f>
        <v>Twitter for Android</v>
      </c>
      <c r="J1059" s="2">
        <v>4858</v>
      </c>
      <c r="K1059" s="2">
        <v>1824</v>
      </c>
      <c r="L1059" s="2">
        <v>16</v>
      </c>
      <c r="M1059" s="2"/>
      <c r="N1059" s="8">
        <v>43113.577476851853</v>
      </c>
      <c r="O1059" s="4" t="s">
        <v>5218</v>
      </c>
      <c r="P1059" s="3" t="s">
        <v>5217</v>
      </c>
      <c r="Q1059" s="4"/>
      <c r="R1059" s="4"/>
      <c r="S1059" s="9" t="str">
        <f>HYPERLINK("https://pbs.twimg.com/profile_images/1038554228724314112/wYwO0CbH.jpg","View")</f>
        <v>View</v>
      </c>
    </row>
    <row r="1060" spans="1:19" ht="12.5">
      <c r="A1060" s="8">
        <v>43370.760219907403</v>
      </c>
      <c r="B1060" s="11" t="str">
        <f>HYPERLINK("https://twitter.com/missssmahroooo","@missssmahroooo")</f>
        <v>@missssmahroooo</v>
      </c>
      <c r="C1060" s="6" t="s">
        <v>5216</v>
      </c>
      <c r="D1060" s="5" t="s">
        <v>5215</v>
      </c>
      <c r="E1060" s="9" t="str">
        <f>HYPERLINK("https://twitter.com/missssmahroooo/status/1045323354817908739","1045323354817908739")</f>
        <v>1045323354817908739</v>
      </c>
      <c r="F1060" s="4"/>
      <c r="G1060" s="4"/>
      <c r="H1060" s="4"/>
      <c r="I1060" s="10" t="str">
        <f>HYPERLINK("http://twitter.com/download/iphone","Twitter for iPhone")</f>
        <v>Twitter for iPhone</v>
      </c>
      <c r="J1060" s="2">
        <v>577</v>
      </c>
      <c r="K1060" s="2">
        <v>421</v>
      </c>
      <c r="L1060" s="2">
        <v>4</v>
      </c>
      <c r="M1060" s="2"/>
      <c r="N1060" s="8">
        <v>42901.466851851852</v>
      </c>
      <c r="O1060" s="4"/>
      <c r="P1060" s="3"/>
      <c r="Q1060" s="4"/>
      <c r="R1060" s="4"/>
      <c r="S1060" s="9" t="str">
        <f>HYPERLINK("https://pbs.twimg.com/profile_images/1026203099336245248/PcnuS-hw.jpg","View")</f>
        <v>View</v>
      </c>
    </row>
    <row r="1061" spans="1:19" ht="12.5">
      <c r="A1061" s="8">
        <v>43370.76017361111</v>
      </c>
      <c r="B1061" s="11" t="str">
        <f>HYPERLINK("https://twitter.com/Virgin_Wolf","@Virgin_Wolf")</f>
        <v>@Virgin_Wolf</v>
      </c>
      <c r="C1061" s="6" t="s">
        <v>483</v>
      </c>
      <c r="D1061" s="5" t="s">
        <v>5214</v>
      </c>
      <c r="E1061" s="9" t="str">
        <f>HYPERLINK("https://twitter.com/Virgin_Wolf/status/1045323337625473025","1045323337625473025")</f>
        <v>1045323337625473025</v>
      </c>
      <c r="F1061" s="4"/>
      <c r="G1061" s="4"/>
      <c r="H1061" s="4"/>
      <c r="I1061" s="10" t="str">
        <f>HYPERLINK("http://twitter.com/download/android","Twitter for Android")</f>
        <v>Twitter for Android</v>
      </c>
      <c r="J1061" s="2">
        <v>2965</v>
      </c>
      <c r="K1061" s="2">
        <v>584</v>
      </c>
      <c r="L1061" s="2">
        <v>30</v>
      </c>
      <c r="M1061" s="2"/>
      <c r="N1061" s="8">
        <v>40893.835358796292</v>
      </c>
      <c r="O1061" s="4"/>
      <c r="P1061" s="3" t="s">
        <v>480</v>
      </c>
      <c r="Q1061" s="4"/>
      <c r="R1061" s="4"/>
      <c r="S1061" s="9" t="str">
        <f>HYPERLINK("https://pbs.twimg.com/profile_images/1043637418228940801/TP2sMWoT.jpg","View")</f>
        <v>View</v>
      </c>
    </row>
    <row r="1062" spans="1:19" ht="30">
      <c r="A1062" s="8">
        <v>43370.760104166664</v>
      </c>
      <c r="B1062" s="11" t="str">
        <f>HYPERLINK("https://twitter.com/HaghighatJalal","@HaghighatJalal")</f>
        <v>@HaghighatJalal</v>
      </c>
      <c r="C1062" s="6" t="s">
        <v>5213</v>
      </c>
      <c r="D1062" s="5" t="s">
        <v>5212</v>
      </c>
      <c r="E1062" s="9" t="str">
        <f>HYPERLINK("https://twitter.com/HaghighatJalal/status/1045323310874218497","1045323310874218497")</f>
        <v>1045323310874218497</v>
      </c>
      <c r="F1062" s="4"/>
      <c r="G1062" s="10" t="s">
        <v>5211</v>
      </c>
      <c r="H1062" s="4"/>
      <c r="I1062" s="10" t="str">
        <f>HYPERLINK("http://twitter.com","Twitter Web Client")</f>
        <v>Twitter Web Client</v>
      </c>
      <c r="J1062" s="2">
        <v>699</v>
      </c>
      <c r="K1062" s="2">
        <v>846</v>
      </c>
      <c r="L1062" s="2">
        <v>0</v>
      </c>
      <c r="M1062" s="2"/>
      <c r="N1062" s="8">
        <v>42829.069189814814</v>
      </c>
      <c r="O1062" s="4"/>
      <c r="P1062" s="3" t="s">
        <v>5210</v>
      </c>
      <c r="Q1062" s="4"/>
      <c r="R1062" s="4"/>
      <c r="S1062" s="9" t="str">
        <f>HYPERLINK("https://pbs.twimg.com/profile_images/1025114547043090433/AWL5UuRU.jpg","View")</f>
        <v>View</v>
      </c>
    </row>
    <row r="1063" spans="1:19" ht="30">
      <c r="A1063" s="8">
        <v>43370.759930555556</v>
      </c>
      <c r="B1063" s="11" t="str">
        <f>HYPERLINK("https://twitter.com/MaMalJoaquin","@MaMalJoaquin")</f>
        <v>@MaMalJoaquin</v>
      </c>
      <c r="C1063" s="6" t="s">
        <v>5209</v>
      </c>
      <c r="D1063" s="5" t="s">
        <v>5208</v>
      </c>
      <c r="E1063" s="9" t="str">
        <f>HYPERLINK("https://twitter.com/MaMalJoaquin/status/1045323247812784128","1045323247812784128")</f>
        <v>1045323247812784128</v>
      </c>
      <c r="F1063" s="4"/>
      <c r="G1063" s="4"/>
      <c r="H1063" s="4"/>
      <c r="I1063" s="10" t="str">
        <f>HYPERLINK("http://twitter.com/download/iphone","Twitter for iPhone")</f>
        <v>Twitter for iPhone</v>
      </c>
      <c r="J1063" s="2">
        <v>253</v>
      </c>
      <c r="K1063" s="2">
        <v>169</v>
      </c>
      <c r="L1063" s="2">
        <v>2</v>
      </c>
      <c r="M1063" s="2"/>
      <c r="N1063" s="8">
        <v>42509.627893518518</v>
      </c>
      <c r="O1063" s="4" t="s">
        <v>5207</v>
      </c>
      <c r="P1063" s="3" t="s">
        <v>5206</v>
      </c>
      <c r="Q1063" s="10" t="s">
        <v>5205</v>
      </c>
      <c r="R1063" s="4"/>
      <c r="S1063" s="9" t="str">
        <f>HYPERLINK("https://pbs.twimg.com/profile_images/1037661811913441280/VGaXY_hk.jpg","View")</f>
        <v>View</v>
      </c>
    </row>
    <row r="1064" spans="1:19" ht="20">
      <c r="A1064" s="8">
        <v>43370.759618055556</v>
      </c>
      <c r="B1064" s="11" t="str">
        <f>HYPERLINK("https://twitter.com/amirfs","@amirfs")</f>
        <v>@amirfs</v>
      </c>
      <c r="C1064" s="6" t="s">
        <v>2186</v>
      </c>
      <c r="D1064" s="5" t="s">
        <v>5204</v>
      </c>
      <c r="E1064" s="9" t="str">
        <f>HYPERLINK("https://twitter.com/amirfs/status/1045323134793129984","1045323134793129984")</f>
        <v>1045323134793129984</v>
      </c>
      <c r="F1064" s="4"/>
      <c r="G1064" s="4"/>
      <c r="H1064" s="4"/>
      <c r="I1064" s="10" t="str">
        <f>HYPERLINK("http://twitter.com/download/android","Twitter for Android")</f>
        <v>Twitter for Android</v>
      </c>
      <c r="J1064" s="2">
        <v>251</v>
      </c>
      <c r="K1064" s="2">
        <v>330</v>
      </c>
      <c r="L1064" s="2">
        <v>2</v>
      </c>
      <c r="M1064" s="2"/>
      <c r="N1064" s="8">
        <v>39937.545104166667</v>
      </c>
      <c r="O1064" s="4" t="s">
        <v>200</v>
      </c>
      <c r="P1064" s="3" t="s">
        <v>4186</v>
      </c>
      <c r="Q1064" s="4"/>
      <c r="R1064" s="4"/>
      <c r="S1064" s="9" t="str">
        <f>HYPERLINK("https://pbs.twimg.com/profile_images/851124110050471937/Pd9enGq-.jpg","View")</f>
        <v>View</v>
      </c>
    </row>
    <row r="1065" spans="1:19" ht="12.5">
      <c r="A1065" s="8">
        <v>43370.759456018517</v>
      </c>
      <c r="B1065" s="11" t="str">
        <f>HYPERLINK("https://twitter.com/MamadAGHA_","@MamadAGHA_")</f>
        <v>@MamadAGHA_</v>
      </c>
      <c r="C1065" s="6" t="s">
        <v>5203</v>
      </c>
      <c r="D1065" s="5" t="s">
        <v>5202</v>
      </c>
      <c r="E1065" s="9" t="str">
        <f>HYPERLINK("https://twitter.com/MamadAGHA_/status/1045323078513897473","1045323078513897473")</f>
        <v>1045323078513897473</v>
      </c>
      <c r="F1065" s="4"/>
      <c r="G1065" s="10" t="s">
        <v>5201</v>
      </c>
      <c r="H1065" s="4"/>
      <c r="I1065" s="10" t="str">
        <f>HYPERLINK("http://twitter.com/download/iphone","Twitter for iPhone")</f>
        <v>Twitter for iPhone</v>
      </c>
      <c r="J1065" s="2">
        <v>603</v>
      </c>
      <c r="K1065" s="2">
        <v>597</v>
      </c>
      <c r="L1065" s="2">
        <v>1</v>
      </c>
      <c r="M1065" s="2"/>
      <c r="N1065" s="8">
        <v>42831.679351851853</v>
      </c>
      <c r="O1065" s="4" t="s">
        <v>10</v>
      </c>
      <c r="P1065" s="3" t="s">
        <v>5200</v>
      </c>
      <c r="Q1065" s="4"/>
      <c r="R1065" s="4"/>
      <c r="S1065" s="9" t="str">
        <f>HYPERLINK("https://pbs.twimg.com/profile_images/1032362817645629440/nu17mFS8.jpg","View")</f>
        <v>View</v>
      </c>
    </row>
    <row r="1066" spans="1:19" ht="20">
      <c r="A1066" s="8">
        <v>43370.759259259255</v>
      </c>
      <c r="B1066" s="11" t="str">
        <f>HYPERLINK("https://twitter.com/KsrSkki","@KsrSkki")</f>
        <v>@KsrSkki</v>
      </c>
      <c r="C1066" s="6" t="s">
        <v>5199</v>
      </c>
      <c r="D1066" s="5" t="s">
        <v>5198</v>
      </c>
      <c r="E1066" s="9" t="str">
        <f>HYPERLINK("https://twitter.com/KsrSkki/status/1045323005797298176","1045323005797298176")</f>
        <v>1045323005797298176</v>
      </c>
      <c r="F1066" s="4"/>
      <c r="G1066" s="4"/>
      <c r="H1066" s="4"/>
      <c r="I1066" s="10" t="str">
        <f>HYPERLINK("http://twitter.com/download/android","Twitter for Android")</f>
        <v>Twitter for Android</v>
      </c>
      <c r="J1066" s="2">
        <v>214</v>
      </c>
      <c r="K1066" s="2">
        <v>551</v>
      </c>
      <c r="L1066" s="2">
        <v>0</v>
      </c>
      <c r="M1066" s="2"/>
      <c r="N1066" s="8">
        <v>41327.016909722224</v>
      </c>
      <c r="O1066" s="4" t="s">
        <v>72</v>
      </c>
      <c r="P1066" s="3" t="s">
        <v>5197</v>
      </c>
      <c r="Q1066" s="4"/>
      <c r="R1066" s="4"/>
      <c r="S1066" s="9" t="str">
        <f>HYPERLINK("https://pbs.twimg.com/profile_images/1009458055216599040/PtkUZ25d.jpg","View")</f>
        <v>View</v>
      </c>
    </row>
    <row r="1067" spans="1:19" ht="30">
      <c r="A1067" s="8">
        <v>43370.759236111116</v>
      </c>
      <c r="B1067" s="11" t="str">
        <f>HYPERLINK("https://twitter.com/madadsyah","@madadsyah")</f>
        <v>@madadsyah</v>
      </c>
      <c r="C1067" s="6" t="s">
        <v>5196</v>
      </c>
      <c r="D1067" s="5" t="s">
        <v>5195</v>
      </c>
      <c r="E1067" s="9" t="str">
        <f>HYPERLINK("https://twitter.com/madadsyah/status/1045322997735796739","1045322997735796739")</f>
        <v>1045322997735796739</v>
      </c>
      <c r="F1067" s="4"/>
      <c r="G1067" s="4"/>
      <c r="H1067" s="4"/>
      <c r="I1067" s="10" t="str">
        <f>HYPERLINK("http://twitter.com/download/android","Twitter for Android")</f>
        <v>Twitter for Android</v>
      </c>
      <c r="J1067" s="2">
        <v>431</v>
      </c>
      <c r="K1067" s="2">
        <v>466</v>
      </c>
      <c r="L1067" s="2">
        <v>1</v>
      </c>
      <c r="M1067" s="2"/>
      <c r="N1067" s="8">
        <v>43125.64444444445</v>
      </c>
      <c r="O1067" s="4"/>
      <c r="P1067" s="3" t="s">
        <v>5194</v>
      </c>
      <c r="Q1067" s="4"/>
      <c r="R1067" s="4"/>
      <c r="S1067" s="9" t="str">
        <f>HYPERLINK("https://pbs.twimg.com/profile_images/1026395380752285703/psN9Aa-e.jpg","View")</f>
        <v>View</v>
      </c>
    </row>
    <row r="1068" spans="1:19" ht="30">
      <c r="A1068" s="8">
        <v>43370.759201388893</v>
      </c>
      <c r="B1068" s="11" t="str">
        <f>HYPERLINK("https://twitter.com/Icemili","@Icemili")</f>
        <v>@Icemili</v>
      </c>
      <c r="C1068" s="6" t="s">
        <v>5193</v>
      </c>
      <c r="D1068" s="5" t="s">
        <v>5192</v>
      </c>
      <c r="E1068" s="9" t="str">
        <f>HYPERLINK("https://twitter.com/Icemili/status/1045322984494436353","1045322984494436353")</f>
        <v>1045322984494436353</v>
      </c>
      <c r="F1068" s="4"/>
      <c r="G1068" s="4"/>
      <c r="H1068" s="4"/>
      <c r="I1068" s="10" t="str">
        <f>HYPERLINK("http://twitter.com/download/android","Twitter for Android")</f>
        <v>Twitter for Android</v>
      </c>
      <c r="J1068" s="2">
        <v>437</v>
      </c>
      <c r="K1068" s="2">
        <v>325</v>
      </c>
      <c r="L1068" s="2">
        <v>9</v>
      </c>
      <c r="M1068" s="2"/>
      <c r="N1068" s="8">
        <v>40956.641365740739</v>
      </c>
      <c r="O1068" s="4" t="s">
        <v>5191</v>
      </c>
      <c r="P1068" s="3" t="s">
        <v>5190</v>
      </c>
      <c r="Q1068" s="10" t="s">
        <v>5189</v>
      </c>
      <c r="R1068" s="4"/>
      <c r="S1068" s="9" t="str">
        <f>HYPERLINK("https://pbs.twimg.com/profile_images/991215132196982784/7cyNQuM_.jpg","View")</f>
        <v>View</v>
      </c>
    </row>
    <row r="1069" spans="1:19" ht="30">
      <c r="A1069" s="8">
        <v>43370.759155092594</v>
      </c>
      <c r="B1069" s="11" t="str">
        <f>HYPERLINK("https://twitter.com/ardavan_sijani","@ardavan_sijani")</f>
        <v>@ardavan_sijani</v>
      </c>
      <c r="C1069" s="6" t="s">
        <v>5188</v>
      </c>
      <c r="D1069" s="5" t="s">
        <v>5187</v>
      </c>
      <c r="E1069" s="9" t="str">
        <f>HYPERLINK("https://twitter.com/ardavan_sijani/status/1045322968962863104","1045322968962863104")</f>
        <v>1045322968962863104</v>
      </c>
      <c r="F1069" s="4"/>
      <c r="G1069" s="10" t="s">
        <v>5186</v>
      </c>
      <c r="H1069" s="4"/>
      <c r="I1069" s="10" t="str">
        <f>HYPERLINK("http://twitter.com/download/android","Twitter for Android")</f>
        <v>Twitter for Android</v>
      </c>
      <c r="J1069" s="2">
        <v>761</v>
      </c>
      <c r="K1069" s="2">
        <v>1423</v>
      </c>
      <c r="L1069" s="2">
        <v>1</v>
      </c>
      <c r="M1069" s="2"/>
      <c r="N1069" s="8">
        <v>42496.528865740736</v>
      </c>
      <c r="O1069" s="4" t="s">
        <v>5185</v>
      </c>
      <c r="P1069" s="3" t="s">
        <v>5184</v>
      </c>
      <c r="Q1069" s="10" t="s">
        <v>5183</v>
      </c>
      <c r="R1069" s="4"/>
      <c r="S1069" s="9" t="str">
        <f>HYPERLINK("https://pbs.twimg.com/profile_images/871020529758720000/deDU-kB0.jpg","View")</f>
        <v>View</v>
      </c>
    </row>
    <row r="1070" spans="1:19" ht="40">
      <c r="A1070" s="8">
        <v>43370.759108796294</v>
      </c>
      <c r="B1070" s="11" t="str">
        <f>HYPERLINK("https://twitter.com/LadyLham","@LadyLham")</f>
        <v>@LadyLham</v>
      </c>
      <c r="C1070" s="6" t="s">
        <v>5182</v>
      </c>
      <c r="D1070" s="5" t="s">
        <v>5181</v>
      </c>
      <c r="E1070" s="9" t="str">
        <f>HYPERLINK("https://twitter.com/LadyLham/status/1045322950172450816","1045322950172450816")</f>
        <v>1045322950172450816</v>
      </c>
      <c r="F1070" s="4"/>
      <c r="G1070" s="4"/>
      <c r="H1070" s="4"/>
      <c r="I1070" s="10" t="str">
        <f>HYPERLINK("http://twitter.com/download/iphone","Twitter for iPhone")</f>
        <v>Twitter for iPhone</v>
      </c>
      <c r="J1070" s="2">
        <v>110</v>
      </c>
      <c r="K1070" s="2">
        <v>44</v>
      </c>
      <c r="L1070" s="2">
        <v>1</v>
      </c>
      <c r="M1070" s="2"/>
      <c r="N1070" s="8">
        <v>42721.490729166668</v>
      </c>
      <c r="O1070" s="4" t="s">
        <v>414</v>
      </c>
      <c r="P1070" s="3" t="s">
        <v>5180</v>
      </c>
      <c r="Q1070" s="4"/>
      <c r="R1070" s="4"/>
      <c r="S1070" s="9" t="str">
        <f>HYPERLINK("https://pbs.twimg.com/profile_images/1044994977531654144/IXiDgzov.jpg","View")</f>
        <v>View</v>
      </c>
    </row>
    <row r="1071" spans="1:19" ht="20">
      <c r="A1071" s="8">
        <v>43370.759004629625</v>
      </c>
      <c r="B1071" s="11" t="str">
        <f>HYPERLINK("https://twitter.com/rabdolmaleki12","@rabdolmaleki12")</f>
        <v>@rabdolmaleki12</v>
      </c>
      <c r="C1071" s="6" t="s">
        <v>5179</v>
      </c>
      <c r="D1071" s="5" t="s">
        <v>5178</v>
      </c>
      <c r="E1071" s="9" t="str">
        <f>HYPERLINK("https://twitter.com/rabdolmaleki12/status/1045322912662781958","1045322912662781958")</f>
        <v>1045322912662781958</v>
      </c>
      <c r="F1071" s="4"/>
      <c r="G1071" s="4"/>
      <c r="H1071" s="4"/>
      <c r="I1071" s="10" t="str">
        <f>HYPERLINK("http://twitter.com/download/iphone","Twitter for iPhone")</f>
        <v>Twitter for iPhone</v>
      </c>
      <c r="J1071" s="2">
        <v>103</v>
      </c>
      <c r="K1071" s="2">
        <v>90</v>
      </c>
      <c r="L1071" s="2">
        <v>0</v>
      </c>
      <c r="M1071" s="2"/>
      <c r="N1071" s="8">
        <v>41561.766030092593</v>
      </c>
      <c r="O1071" s="4" t="s">
        <v>162</v>
      </c>
      <c r="P1071" s="3" t="s">
        <v>5177</v>
      </c>
      <c r="Q1071" s="4"/>
      <c r="R1071" s="4"/>
      <c r="S1071" s="9" t="str">
        <f>HYPERLINK("https://pbs.twimg.com/profile_images/1036008395504078848/SD-Ra-vR.jpg","View")</f>
        <v>View</v>
      </c>
    </row>
    <row r="1072" spans="1:19" ht="30">
      <c r="A1072" s="8">
        <v>43370.758796296301</v>
      </c>
      <c r="B1072" s="11" t="str">
        <f>HYPERLINK("https://twitter.com/raminkantalll","@raminkantalll")</f>
        <v>@raminkantalll</v>
      </c>
      <c r="C1072" s="6" t="s">
        <v>2930</v>
      </c>
      <c r="D1072" s="5" t="s">
        <v>5176</v>
      </c>
      <c r="E1072" s="9" t="str">
        <f>HYPERLINK("https://twitter.com/raminkantalll/status/1045322836938772480","1045322836938772480")</f>
        <v>1045322836938772480</v>
      </c>
      <c r="F1072" s="4"/>
      <c r="G1072" s="10" t="s">
        <v>5175</v>
      </c>
      <c r="H1072" s="4"/>
      <c r="I1072" s="10" t="str">
        <f>HYPERLINK("http://twitter.com/download/android","Twitter for Android")</f>
        <v>Twitter for Android</v>
      </c>
      <c r="J1072" s="2">
        <v>1592</v>
      </c>
      <c r="K1072" s="2">
        <v>3378</v>
      </c>
      <c r="L1072" s="2">
        <v>1</v>
      </c>
      <c r="M1072" s="2"/>
      <c r="N1072" s="8">
        <v>42929.978946759264</v>
      </c>
      <c r="O1072" s="4" t="s">
        <v>2927</v>
      </c>
      <c r="P1072" s="3" t="s">
        <v>2926</v>
      </c>
      <c r="Q1072" s="4"/>
      <c r="R1072" s="4"/>
      <c r="S1072" s="9" t="str">
        <f>HYPERLINK("https://pbs.twimg.com/profile_images/885578036208422912/IlSbaxb4.jpg","View")</f>
        <v>View</v>
      </c>
    </row>
    <row r="1073" spans="1:19" ht="12.5">
      <c r="A1073" s="8">
        <v>43370.758460648147</v>
      </c>
      <c r="B1073" s="11" t="str">
        <f>HYPERLINK("https://twitter.com/68s86r","@68s86r")</f>
        <v>@68s86r</v>
      </c>
      <c r="C1073" s="6" t="s">
        <v>5174</v>
      </c>
      <c r="D1073" s="5" t="s">
        <v>5173</v>
      </c>
      <c r="E1073" s="9" t="str">
        <f>HYPERLINK("https://twitter.com/68s86r/status/1045322717380202496","1045322717380202496")</f>
        <v>1045322717380202496</v>
      </c>
      <c r="F1073" s="4"/>
      <c r="G1073" s="4"/>
      <c r="H1073" s="4"/>
      <c r="I1073" s="10" t="str">
        <f>HYPERLINK("http://twitter.com/download/android","Twitter for Android")</f>
        <v>Twitter for Android</v>
      </c>
      <c r="J1073" s="2">
        <v>285</v>
      </c>
      <c r="K1073" s="2">
        <v>116</v>
      </c>
      <c r="L1073" s="2">
        <v>2</v>
      </c>
      <c r="M1073" s="2"/>
      <c r="N1073" s="8">
        <v>42482.94295138889</v>
      </c>
      <c r="O1073" s="4" t="s">
        <v>10</v>
      </c>
      <c r="P1073" s="3" t="s">
        <v>5172</v>
      </c>
      <c r="Q1073" s="4"/>
      <c r="R1073" s="4"/>
      <c r="S1073" s="9" t="str">
        <f>HYPERLINK("https://pbs.twimg.com/profile_images/1042643837607464960/pizOzsbc.jpg","View")</f>
        <v>View</v>
      </c>
    </row>
    <row r="1074" spans="1:19" ht="12.5">
      <c r="A1074" s="8">
        <v>43370.758287037039</v>
      </c>
      <c r="B1074" s="11" t="str">
        <f>HYPERLINK("https://twitter.com/Ras8l","@Ras8l")</f>
        <v>@Ras8l</v>
      </c>
      <c r="C1074" s="6" t="s">
        <v>5171</v>
      </c>
      <c r="D1074" s="5" t="s">
        <v>5170</v>
      </c>
      <c r="E1074" s="9" t="str">
        <f>HYPERLINK("https://twitter.com/Ras8l/status/1045322655866527745","1045322655866527745")</f>
        <v>1045322655866527745</v>
      </c>
      <c r="F1074" s="4"/>
      <c r="G1074" s="4"/>
      <c r="H1074" s="4"/>
      <c r="I1074" s="10" t="str">
        <f>HYPERLINK("http://twitter.com/download/iphone","Twitter for iPhone")</f>
        <v>Twitter for iPhone</v>
      </c>
      <c r="J1074" s="2">
        <v>828</v>
      </c>
      <c r="K1074" s="2">
        <v>778</v>
      </c>
      <c r="L1074" s="2">
        <v>0</v>
      </c>
      <c r="M1074" s="2"/>
      <c r="N1074" s="8">
        <v>42873.819930555561</v>
      </c>
      <c r="O1074" s="4" t="s">
        <v>5169</v>
      </c>
      <c r="P1074" s="3" t="s">
        <v>5168</v>
      </c>
      <c r="Q1074" s="10" t="s">
        <v>5167</v>
      </c>
      <c r="R1074" s="4"/>
      <c r="S1074" s="9" t="str">
        <f>HYPERLINK("https://pbs.twimg.com/profile_images/1039960999175053312/vZOBHcOz.jpg","View")</f>
        <v>View</v>
      </c>
    </row>
    <row r="1075" spans="1:19" ht="20">
      <c r="A1075" s="8">
        <v>43370.758252314816</v>
      </c>
      <c r="B1075" s="11" t="str">
        <f>HYPERLINK("https://twitter.com/TheBlueBloodMan","@TheBlueBloodMan")</f>
        <v>@TheBlueBloodMan</v>
      </c>
      <c r="C1075" s="6" t="s">
        <v>5166</v>
      </c>
      <c r="D1075" s="5" t="s">
        <v>5165</v>
      </c>
      <c r="E1075" s="9" t="str">
        <f>HYPERLINK("https://twitter.com/TheBlueBloodMan/status/1045322641354235904","1045322641354235904")</f>
        <v>1045322641354235904</v>
      </c>
      <c r="F1075" s="4"/>
      <c r="G1075" s="4"/>
      <c r="H1075" s="4"/>
      <c r="I1075" s="10" t="str">
        <f>HYPERLINK("http://twitter.com/download/android","Twitter for Android")</f>
        <v>Twitter for Android</v>
      </c>
      <c r="J1075" s="2">
        <v>1069</v>
      </c>
      <c r="K1075" s="2">
        <v>1022</v>
      </c>
      <c r="L1075" s="2">
        <v>3</v>
      </c>
      <c r="M1075" s="2"/>
      <c r="N1075" s="8">
        <v>40727.684791666667</v>
      </c>
      <c r="O1075" s="4"/>
      <c r="P1075" s="3" t="s">
        <v>5164</v>
      </c>
      <c r="Q1075" s="4"/>
      <c r="R1075" s="4"/>
      <c r="S1075" s="9" t="str">
        <f>HYPERLINK("https://pbs.twimg.com/profile_images/1026758339835973632/YJbHoyTN.jpg","View")</f>
        <v>View</v>
      </c>
    </row>
    <row r="1076" spans="1:19" ht="20">
      <c r="A1076" s="8">
        <v>43370.758009259254</v>
      </c>
      <c r="B1076" s="11" t="str">
        <f>HYPERLINK("https://twitter.com/ColonelOli","@ColonelOli")</f>
        <v>@ColonelOli</v>
      </c>
      <c r="C1076" s="6" t="s">
        <v>3386</v>
      </c>
      <c r="D1076" s="5" t="s">
        <v>5163</v>
      </c>
      <c r="E1076" s="9" t="str">
        <f>HYPERLINK("https://twitter.com/ColonelOli/status/1045322555152715777","1045322555152715777")</f>
        <v>1045322555152715777</v>
      </c>
      <c r="F1076" s="4"/>
      <c r="G1076" s="4"/>
      <c r="H1076" s="4"/>
      <c r="I1076" s="10" t="str">
        <f>HYPERLINK("http://twitter.com/download/android","Twitter for Android")</f>
        <v>Twitter for Android</v>
      </c>
      <c r="J1076" s="2">
        <v>322</v>
      </c>
      <c r="K1076" s="2">
        <v>277</v>
      </c>
      <c r="L1076" s="2">
        <v>2</v>
      </c>
      <c r="M1076" s="2"/>
      <c r="N1076" s="8">
        <v>39991.678599537037</v>
      </c>
      <c r="O1076" s="4"/>
      <c r="P1076" s="3" t="s">
        <v>3384</v>
      </c>
      <c r="Q1076" s="4"/>
      <c r="R1076" s="4"/>
      <c r="S1076" s="9" t="str">
        <f>HYPERLINK("https://pbs.twimg.com/profile_images/1041284237905686529/GpF7bb2y.jpg","View")</f>
        <v>View</v>
      </c>
    </row>
    <row r="1077" spans="1:19" ht="30">
      <c r="A1077" s="8">
        <v>43370.757870370369</v>
      </c>
      <c r="B1077" s="11" t="str">
        <f>HYPERLINK("https://twitter.com/agharezzz","@agharezzz")</f>
        <v>@agharezzz</v>
      </c>
      <c r="C1077" s="6" t="s">
        <v>5162</v>
      </c>
      <c r="D1077" s="5" t="s">
        <v>5161</v>
      </c>
      <c r="E1077" s="9" t="str">
        <f>HYPERLINK("https://twitter.com/agharezzz/status/1045322502530981888","1045322502530981888")</f>
        <v>1045322502530981888</v>
      </c>
      <c r="F1077" s="4"/>
      <c r="G1077" s="4"/>
      <c r="H1077" s="4"/>
      <c r="I1077" s="10" t="str">
        <f>HYPERLINK("http://twitter.com/download/iphone","Twitter for iPhone")</f>
        <v>Twitter for iPhone</v>
      </c>
      <c r="J1077" s="2">
        <v>144</v>
      </c>
      <c r="K1077" s="2">
        <v>50</v>
      </c>
      <c r="L1077" s="2">
        <v>0</v>
      </c>
      <c r="M1077" s="2"/>
      <c r="N1077" s="8">
        <v>41071.534629629634</v>
      </c>
      <c r="O1077" s="4" t="s">
        <v>10</v>
      </c>
      <c r="P1077" s="3" t="s">
        <v>5160</v>
      </c>
      <c r="Q1077" s="4"/>
      <c r="R1077" s="4"/>
      <c r="S1077" s="9" t="str">
        <f>HYPERLINK("https://pbs.twimg.com/profile_images/746020116488413184/so_wo-C0.jpg","View")</f>
        <v>View</v>
      </c>
    </row>
    <row r="1078" spans="1:19" ht="30">
      <c r="A1078" s="8">
        <v>43370.7578125</v>
      </c>
      <c r="B1078" s="11" t="str">
        <f>HYPERLINK("https://twitter.com/dokhtararyaee","@dokhtararyaee")</f>
        <v>@dokhtararyaee</v>
      </c>
      <c r="C1078" s="6" t="s">
        <v>972</v>
      </c>
      <c r="D1078" s="5" t="s">
        <v>5159</v>
      </c>
      <c r="E1078" s="9" t="str">
        <f>HYPERLINK("https://twitter.com/dokhtararyaee/status/1045322482268471297","1045322482268471297")</f>
        <v>1045322482268471297</v>
      </c>
      <c r="F1078" s="4"/>
      <c r="G1078" s="4"/>
      <c r="H1078" s="4"/>
      <c r="I1078" s="10" t="str">
        <f>HYPERLINK("https://mobile.twitter.com","Twitter Lite")</f>
        <v>Twitter Lite</v>
      </c>
      <c r="J1078" s="2">
        <v>9</v>
      </c>
      <c r="K1078" s="2">
        <v>26</v>
      </c>
      <c r="L1078" s="2">
        <v>0</v>
      </c>
      <c r="M1078" s="2"/>
      <c r="N1078" s="8">
        <v>43244.229722222226</v>
      </c>
      <c r="O1078" s="4"/>
      <c r="P1078" s="3"/>
      <c r="Q1078" s="4"/>
      <c r="R1078" s="4"/>
      <c r="S1078" s="9" t="str">
        <f>HYPERLINK("https://pbs.twimg.com/profile_images/1008834123480346627/NyYMn5UQ.jpg","View")</f>
        <v>View</v>
      </c>
    </row>
    <row r="1079" spans="1:19" ht="20">
      <c r="A1079" s="8">
        <v>43370.757743055554</v>
      </c>
      <c r="B1079" s="11" t="str">
        <f>HYPERLINK("https://twitter.com/Shimabsh68","@Shimabsh68")</f>
        <v>@Shimabsh68</v>
      </c>
      <c r="C1079" s="6" t="s">
        <v>5158</v>
      </c>
      <c r="D1079" s="5" t="s">
        <v>5157</v>
      </c>
      <c r="E1079" s="9" t="str">
        <f>HYPERLINK("https://twitter.com/Shimabsh68/status/1045322458595774464","1045322458595774464")</f>
        <v>1045322458595774464</v>
      </c>
      <c r="F1079" s="4"/>
      <c r="G1079" s="4"/>
      <c r="H1079" s="4"/>
      <c r="I1079" s="10" t="str">
        <f>HYPERLINK("http://twitter.com/download/android","Twitter for Android")</f>
        <v>Twitter for Android</v>
      </c>
      <c r="J1079" s="2">
        <v>433</v>
      </c>
      <c r="K1079" s="2">
        <v>304</v>
      </c>
      <c r="L1079" s="2">
        <v>1</v>
      </c>
      <c r="M1079" s="2"/>
      <c r="N1079" s="8">
        <v>42910.001608796301</v>
      </c>
      <c r="O1079" s="4" t="s">
        <v>5156</v>
      </c>
      <c r="P1079" s="3" t="s">
        <v>5155</v>
      </c>
      <c r="Q1079" s="4"/>
      <c r="R1079" s="4"/>
      <c r="S1079" s="9" t="str">
        <f>HYPERLINK("https://pbs.twimg.com/profile_images/1044926832150294528/Vb6n9XHH.jpg","View")</f>
        <v>View</v>
      </c>
    </row>
    <row r="1080" spans="1:19" ht="20">
      <c r="A1080" s="8">
        <v>43370.757708333331</v>
      </c>
      <c r="B1080" s="11" t="str">
        <f>HYPERLINK("https://twitter.com/amirfs","@amirfs")</f>
        <v>@amirfs</v>
      </c>
      <c r="C1080" s="6" t="s">
        <v>2186</v>
      </c>
      <c r="D1080" s="5" t="s">
        <v>5154</v>
      </c>
      <c r="E1080" s="9" t="str">
        <f>HYPERLINK("https://twitter.com/amirfs/status/1045322443332751365","1045322443332751365")</f>
        <v>1045322443332751365</v>
      </c>
      <c r="F1080" s="4"/>
      <c r="G1080" s="4"/>
      <c r="H1080" s="4"/>
      <c r="I1080" s="10" t="str">
        <f>HYPERLINK("http://twitter.com/download/android","Twitter for Android")</f>
        <v>Twitter for Android</v>
      </c>
      <c r="J1080" s="2">
        <v>251</v>
      </c>
      <c r="K1080" s="2">
        <v>330</v>
      </c>
      <c r="L1080" s="2">
        <v>2</v>
      </c>
      <c r="M1080" s="2"/>
      <c r="N1080" s="8">
        <v>39937.545104166667</v>
      </c>
      <c r="O1080" s="4" t="s">
        <v>200</v>
      </c>
      <c r="P1080" s="3" t="s">
        <v>4186</v>
      </c>
      <c r="Q1080" s="4"/>
      <c r="R1080" s="4"/>
      <c r="S1080" s="9" t="str">
        <f>HYPERLINK("https://pbs.twimg.com/profile_images/851124110050471937/Pd9enGq-.jpg","View")</f>
        <v>View</v>
      </c>
    </row>
    <row r="1081" spans="1:19" ht="40">
      <c r="A1081" s="8">
        <v>43370.757696759261</v>
      </c>
      <c r="B1081" s="11" t="str">
        <f>HYPERLINK("https://twitter.com/valerian_2018","@valerian_2018")</f>
        <v>@valerian_2018</v>
      </c>
      <c r="C1081" s="6" t="s">
        <v>1931</v>
      </c>
      <c r="D1081" s="5" t="s">
        <v>5153</v>
      </c>
      <c r="E1081" s="9" t="str">
        <f>HYPERLINK("https://twitter.com/valerian_2018/status/1045322439587229696","1045322439587229696")</f>
        <v>1045322439587229696</v>
      </c>
      <c r="F1081" s="4"/>
      <c r="G1081" s="10" t="s">
        <v>5152</v>
      </c>
      <c r="H1081" s="4"/>
      <c r="I1081" s="10" t="str">
        <f>HYPERLINK("http://twitter.com/download/android","Twitter for Android")</f>
        <v>Twitter for Android</v>
      </c>
      <c r="J1081" s="2">
        <v>326</v>
      </c>
      <c r="K1081" s="2">
        <v>247</v>
      </c>
      <c r="L1081" s="2">
        <v>1</v>
      </c>
      <c r="M1081" s="2"/>
      <c r="N1081" s="8">
        <v>43321.443287037036</v>
      </c>
      <c r="O1081" s="4"/>
      <c r="P1081" s="3" t="s">
        <v>1927</v>
      </c>
      <c r="Q1081" s="4"/>
      <c r="R1081" s="4"/>
      <c r="S1081" s="9" t="str">
        <f>HYPERLINK("https://pbs.twimg.com/profile_images/1039790514252537856/pNpGX6Nr.jpg","View")</f>
        <v>View</v>
      </c>
    </row>
    <row r="1082" spans="1:19" ht="12.5">
      <c r="A1082" s="8">
        <v>43370.757476851853</v>
      </c>
      <c r="B1082" s="11" t="str">
        <f>HYPERLINK("https://twitter.com/KosarEhsani","@KosarEhsani")</f>
        <v>@KosarEhsani</v>
      </c>
      <c r="C1082" s="6" t="s">
        <v>5113</v>
      </c>
      <c r="D1082" s="5" t="s">
        <v>5151</v>
      </c>
      <c r="E1082" s="9" t="str">
        <f>HYPERLINK("https://twitter.com/KosarEhsani/status/1045322360545521665","1045322360545521665")</f>
        <v>1045322360545521665</v>
      </c>
      <c r="F1082" s="4"/>
      <c r="G1082" s="4"/>
      <c r="H1082" s="4"/>
      <c r="I1082" s="10" t="str">
        <f>HYPERLINK("http://twitter.com/download/iphone","Twitter for iPhone")</f>
        <v>Twitter for iPhone</v>
      </c>
      <c r="J1082" s="2">
        <v>760</v>
      </c>
      <c r="K1082" s="2">
        <v>381</v>
      </c>
      <c r="L1082" s="2">
        <v>0</v>
      </c>
      <c r="M1082" s="2"/>
      <c r="N1082" s="8">
        <v>41192.731550925928</v>
      </c>
      <c r="O1082" s="4"/>
      <c r="P1082" s="3" t="s">
        <v>5111</v>
      </c>
      <c r="Q1082" s="4"/>
      <c r="R1082" s="4"/>
      <c r="S1082" s="9" t="str">
        <f>HYPERLINK("https://pbs.twimg.com/profile_images/1042078477103636482/uIigNA30.jpg","View")</f>
        <v>View</v>
      </c>
    </row>
    <row r="1083" spans="1:19" ht="20">
      <c r="A1083" s="8">
        <v>43370.7574537037</v>
      </c>
      <c r="B1083" s="11" t="str">
        <f>HYPERLINK("https://twitter.com/Amir_075","@Amir_075")</f>
        <v>@Amir_075</v>
      </c>
      <c r="C1083" s="6" t="s">
        <v>4028</v>
      </c>
      <c r="D1083" s="5" t="s">
        <v>5150</v>
      </c>
      <c r="E1083" s="9" t="str">
        <f>HYPERLINK("https://twitter.com/Amir_075/status/1045322353725636608","1045322353725636608")</f>
        <v>1045322353725636608</v>
      </c>
      <c r="F1083" s="4"/>
      <c r="G1083" s="4"/>
      <c r="H1083" s="4"/>
      <c r="I1083" s="10" t="str">
        <f>HYPERLINK("http://twitter.com/download/android","Twitter for Android")</f>
        <v>Twitter for Android</v>
      </c>
      <c r="J1083" s="2">
        <v>141</v>
      </c>
      <c r="K1083" s="2">
        <v>159</v>
      </c>
      <c r="L1083" s="2">
        <v>0</v>
      </c>
      <c r="M1083" s="2"/>
      <c r="N1083" s="8">
        <v>43165.530914351853</v>
      </c>
      <c r="O1083" s="4"/>
      <c r="P1083" s="3" t="s">
        <v>4026</v>
      </c>
      <c r="Q1083" s="4"/>
      <c r="R1083" s="4"/>
      <c r="S1083" s="9" t="str">
        <f>HYPERLINK("https://pbs.twimg.com/profile_images/1044332394822733825/eo8DT4Pw.jpg","View")</f>
        <v>View</v>
      </c>
    </row>
    <row r="1084" spans="1:19" ht="12.5">
      <c r="A1084" s="8">
        <v>43370.756967592592</v>
      </c>
      <c r="B1084" s="11" t="str">
        <f>HYPERLINK("https://twitter.com/Seyed_ali_b","@Seyed_ali_b")</f>
        <v>@Seyed_ali_b</v>
      </c>
      <c r="C1084" s="6" t="s">
        <v>5149</v>
      </c>
      <c r="D1084" s="5" t="s">
        <v>5148</v>
      </c>
      <c r="E1084" s="9" t="str">
        <f>HYPERLINK("https://twitter.com/Seyed_ali_b/status/1045322174872125442","1045322174872125442")</f>
        <v>1045322174872125442</v>
      </c>
      <c r="F1084" s="4"/>
      <c r="G1084" s="4"/>
      <c r="H1084" s="4"/>
      <c r="I1084" s="10" t="str">
        <f>HYPERLINK("http://twitter.com/download/iphone","Twitter for iPhone")</f>
        <v>Twitter for iPhone</v>
      </c>
      <c r="J1084" s="2">
        <v>606</v>
      </c>
      <c r="K1084" s="2">
        <v>106</v>
      </c>
      <c r="L1084" s="2">
        <v>3</v>
      </c>
      <c r="M1084" s="2"/>
      <c r="N1084" s="8">
        <v>43250.516469907408</v>
      </c>
      <c r="O1084" s="4" t="s">
        <v>5147</v>
      </c>
      <c r="P1084" s="3" t="s">
        <v>5146</v>
      </c>
      <c r="Q1084" s="10" t="s">
        <v>5145</v>
      </c>
      <c r="R1084" s="4"/>
      <c r="S1084" s="9" t="str">
        <f>HYPERLINK("https://pbs.twimg.com/profile_images/1040839476384284672/JCsrdOYT.jpg","View")</f>
        <v>View</v>
      </c>
    </row>
    <row r="1085" spans="1:19" ht="20">
      <c r="A1085" s="8">
        <v>43370.756770833337</v>
      </c>
      <c r="B1085" s="11" t="str">
        <f>HYPERLINK("https://twitter.com/erfanh923","@erfanh923")</f>
        <v>@erfanh923</v>
      </c>
      <c r="C1085" s="6" t="s">
        <v>5144</v>
      </c>
      <c r="D1085" s="5" t="s">
        <v>5143</v>
      </c>
      <c r="E1085" s="9" t="str">
        <f>HYPERLINK("https://twitter.com/erfanh923/status/1045322105871511552","1045322105871511552")</f>
        <v>1045322105871511552</v>
      </c>
      <c r="F1085" s="4"/>
      <c r="G1085" s="10" t="s">
        <v>5142</v>
      </c>
      <c r="H1085" s="4"/>
      <c r="I1085" s="10" t="str">
        <f>HYPERLINK("http://twitter.com","Twitter Web Client")</f>
        <v>Twitter Web Client</v>
      </c>
      <c r="J1085" s="2">
        <v>49</v>
      </c>
      <c r="K1085" s="2">
        <v>191</v>
      </c>
      <c r="L1085" s="2">
        <v>0</v>
      </c>
      <c r="M1085" s="2"/>
      <c r="N1085" s="8">
        <v>42461.507245370369</v>
      </c>
      <c r="O1085" s="4" t="s">
        <v>10</v>
      </c>
      <c r="P1085" s="3" t="s">
        <v>5141</v>
      </c>
      <c r="Q1085" s="4"/>
      <c r="R1085" s="4"/>
      <c r="S1085" s="9" t="str">
        <f>HYPERLINK("https://pbs.twimg.com/profile_images/1042742012573675520/LOwWovWY.jpg","View")</f>
        <v>View</v>
      </c>
    </row>
    <row r="1086" spans="1:19" ht="20">
      <c r="A1086" s="8">
        <v>43370.756712962961</v>
      </c>
      <c r="B1086" s="11" t="str">
        <f>HYPERLINK("https://twitter.com/hamed_sa","@hamed_sa")</f>
        <v>@hamed_sa</v>
      </c>
      <c r="C1086" s="6" t="s">
        <v>4468</v>
      </c>
      <c r="D1086" s="5" t="s">
        <v>5140</v>
      </c>
      <c r="E1086" s="9" t="str">
        <f>HYPERLINK("https://twitter.com/hamed_sa/status/1045322084950446080","1045322084950446080")</f>
        <v>1045322084950446080</v>
      </c>
      <c r="F1086" s="4"/>
      <c r="G1086" s="4"/>
      <c r="H1086" s="4"/>
      <c r="I1086" s="10" t="str">
        <f>HYPERLINK("http://twitter.com/download/android","Twitter for Android")</f>
        <v>Twitter for Android</v>
      </c>
      <c r="J1086" s="2">
        <v>2300</v>
      </c>
      <c r="K1086" s="2">
        <v>1450</v>
      </c>
      <c r="L1086" s="2">
        <v>8</v>
      </c>
      <c r="M1086" s="2"/>
      <c r="N1086" s="8">
        <v>40969.092974537038</v>
      </c>
      <c r="O1086" s="4" t="s">
        <v>1183</v>
      </c>
      <c r="P1086" s="3" t="s">
        <v>4466</v>
      </c>
      <c r="Q1086" s="10" t="s">
        <v>4465</v>
      </c>
      <c r="R1086" s="4"/>
      <c r="S1086" s="9" t="str">
        <f>HYPERLINK("https://pbs.twimg.com/profile_images/1020815372918960130/y2BGV_03.jpg","View")</f>
        <v>View</v>
      </c>
    </row>
    <row r="1087" spans="1:19" ht="20">
      <c r="A1087" s="8">
        <v>43370.756689814814</v>
      </c>
      <c r="B1087" s="11" t="str">
        <f>HYPERLINK("https://twitter.com/Rectaltush","@Rectaltush")</f>
        <v>@Rectaltush</v>
      </c>
      <c r="C1087" s="6" t="s">
        <v>5139</v>
      </c>
      <c r="D1087" s="5" t="s">
        <v>5138</v>
      </c>
      <c r="E1087" s="9" t="str">
        <f>HYPERLINK("https://twitter.com/Rectaltush/status/1045322074129092608","1045322074129092608")</f>
        <v>1045322074129092608</v>
      </c>
      <c r="F1087" s="4"/>
      <c r="G1087" s="4"/>
      <c r="H1087" s="4"/>
      <c r="I1087" s="10" t="str">
        <f>HYPERLINK("http://twitter.com/download/iphone","Twitter for iPhone")</f>
        <v>Twitter for iPhone</v>
      </c>
      <c r="J1087" s="2">
        <v>133</v>
      </c>
      <c r="K1087" s="2">
        <v>297</v>
      </c>
      <c r="L1087" s="2">
        <v>1</v>
      </c>
      <c r="M1087" s="2"/>
      <c r="N1087" s="8">
        <v>42297.406296296293</v>
      </c>
      <c r="O1087" s="4" t="s">
        <v>5137</v>
      </c>
      <c r="P1087" s="3" t="s">
        <v>5136</v>
      </c>
      <c r="Q1087" s="4"/>
      <c r="R1087" s="4"/>
      <c r="S1087" s="9" t="str">
        <f>HYPERLINK("https://pbs.twimg.com/profile_images/1042117143469453315/3iYpILee.jpg","View")</f>
        <v>View</v>
      </c>
    </row>
    <row r="1088" spans="1:19" ht="12.5">
      <c r="A1088" s="8">
        <v>43370.756643518514</v>
      </c>
      <c r="B1088" s="11" t="str">
        <f>HYPERLINK("https://twitter.com/mosbeba","@mosbeba")</f>
        <v>@mosbeba</v>
      </c>
      <c r="C1088" s="6" t="s">
        <v>5135</v>
      </c>
      <c r="D1088" s="5" t="s">
        <v>5134</v>
      </c>
      <c r="E1088" s="9" t="str">
        <f>HYPERLINK("https://twitter.com/mosbeba/status/1045322058308235265","1045322058308235265")</f>
        <v>1045322058308235265</v>
      </c>
      <c r="F1088" s="4"/>
      <c r="G1088" s="4"/>
      <c r="H1088" s="4"/>
      <c r="I1088" s="10" t="str">
        <f>HYPERLINK("http://twitter.com/download/iphone","Twitter for iPhone")</f>
        <v>Twitter for iPhone</v>
      </c>
      <c r="J1088" s="2">
        <v>310</v>
      </c>
      <c r="K1088" s="2">
        <v>408</v>
      </c>
      <c r="L1088" s="2">
        <v>0</v>
      </c>
      <c r="M1088" s="2"/>
      <c r="N1088" s="8">
        <v>40026.660115740742</v>
      </c>
      <c r="O1088" s="4" t="s">
        <v>5133</v>
      </c>
      <c r="P1088" s="3" t="s">
        <v>5132</v>
      </c>
      <c r="Q1088" s="4"/>
      <c r="R1088" s="4"/>
      <c r="S1088" s="9" t="str">
        <f>HYPERLINK("https://pbs.twimg.com/profile_images/999732925980725249/Xnj5Jt7T.jpg","View")</f>
        <v>View</v>
      </c>
    </row>
    <row r="1089" spans="1:19" ht="20">
      <c r="A1089" s="8">
        <v>43370.756631944445</v>
      </c>
      <c r="B1089" s="11" t="str">
        <f>HYPERLINK("https://twitter.com/NoelInBahman","@NoelInBahman")</f>
        <v>@NoelInBahman</v>
      </c>
      <c r="C1089" s="6" t="s">
        <v>5131</v>
      </c>
      <c r="D1089" s="5" t="s">
        <v>5130</v>
      </c>
      <c r="E1089" s="9" t="str">
        <f>HYPERLINK("https://twitter.com/NoelInBahman/status/1045322053547696128","1045322053547696128")</f>
        <v>1045322053547696128</v>
      </c>
      <c r="F1089" s="4"/>
      <c r="G1089" s="4"/>
      <c r="H1089" s="4"/>
      <c r="I1089" s="10" t="str">
        <f>HYPERLINK("https://mobile.twitter.com","Twitter Lite")</f>
        <v>Twitter Lite</v>
      </c>
      <c r="J1089" s="2">
        <v>228</v>
      </c>
      <c r="K1089" s="2">
        <v>245</v>
      </c>
      <c r="L1089" s="2">
        <v>1</v>
      </c>
      <c r="M1089" s="2"/>
      <c r="N1089" s="8">
        <v>43099.346956018519</v>
      </c>
      <c r="O1089" s="4"/>
      <c r="P1089" s="3" t="s">
        <v>5129</v>
      </c>
      <c r="Q1089" s="4"/>
      <c r="R1089" s="4"/>
      <c r="S1089" s="9" t="str">
        <f>HYPERLINK("https://pbs.twimg.com/profile_images/1013397454119677952/YX9NsK58.jpg","View")</f>
        <v>View</v>
      </c>
    </row>
    <row r="1090" spans="1:19" ht="20">
      <c r="A1090" s="8">
        <v>43370.756597222222</v>
      </c>
      <c r="B1090" s="11" t="str">
        <f>HYPERLINK("https://twitter.com/Mahanmehrabi1","@Mahanmehrabi1")</f>
        <v>@Mahanmehrabi1</v>
      </c>
      <c r="C1090" s="6" t="s">
        <v>3415</v>
      </c>
      <c r="D1090" s="5" t="s">
        <v>5128</v>
      </c>
      <c r="E1090" s="9" t="str">
        <f>HYPERLINK("https://twitter.com/Mahanmehrabi1/status/1045322042747293697","1045322042747293697")</f>
        <v>1045322042747293697</v>
      </c>
      <c r="F1090" s="4"/>
      <c r="G1090" s="10" t="s">
        <v>5127</v>
      </c>
      <c r="H1090" s="4"/>
      <c r="I1090" s="10" t="str">
        <f>HYPERLINK("http://twitter.com/download/android","Twitter for Android")</f>
        <v>Twitter for Android</v>
      </c>
      <c r="J1090" s="2">
        <v>1260</v>
      </c>
      <c r="K1090" s="2">
        <v>1299</v>
      </c>
      <c r="L1090" s="2">
        <v>1</v>
      </c>
      <c r="M1090" s="2"/>
      <c r="N1090" s="8">
        <v>43263.517557870371</v>
      </c>
      <c r="O1090" s="4"/>
      <c r="P1090" s="3" t="s">
        <v>3412</v>
      </c>
      <c r="Q1090" s="4"/>
      <c r="R1090" s="4"/>
      <c r="S1090" s="9" t="str">
        <f>HYPERLINK("https://pbs.twimg.com/profile_images/1006446723202469888/vzEqzQDE.jpg","View")</f>
        <v>View</v>
      </c>
    </row>
    <row r="1091" spans="1:19" ht="30">
      <c r="A1091" s="8">
        <v>43370.756504629629</v>
      </c>
      <c r="B1091" s="11" t="str">
        <f>HYPERLINK("https://twitter.com/irancell","@irancell")</f>
        <v>@irancell</v>
      </c>
      <c r="C1091" s="6" t="s">
        <v>5126</v>
      </c>
      <c r="D1091" s="5" t="s">
        <v>5125</v>
      </c>
      <c r="E1091" s="9" t="str">
        <f>HYPERLINK("https://twitter.com/irancell/status/1045322009813618688","1045322009813618688")</f>
        <v>1045322009813618688</v>
      </c>
      <c r="F1091" s="4"/>
      <c r="G1091" s="10" t="s">
        <v>5124</v>
      </c>
      <c r="H1091" s="4"/>
      <c r="I1091" s="10" t="str">
        <f>HYPERLINK("https://www.hootsuite.com","Hootsuite Inc.")</f>
        <v>Hootsuite Inc.</v>
      </c>
      <c r="J1091" s="2">
        <v>41147</v>
      </c>
      <c r="K1091" s="2">
        <v>24</v>
      </c>
      <c r="L1091" s="2">
        <v>67</v>
      </c>
      <c r="M1091" s="2" t="s">
        <v>1701</v>
      </c>
      <c r="N1091" s="8">
        <v>40712.621828703705</v>
      </c>
      <c r="O1091" s="4"/>
      <c r="P1091" s="3" t="s">
        <v>5123</v>
      </c>
      <c r="Q1091" s="10" t="s">
        <v>5122</v>
      </c>
      <c r="R1091" s="4"/>
      <c r="S1091" s="9" t="str">
        <f>HYPERLINK("https://pbs.twimg.com/profile_images/960427786417655808/Poy_gMNZ.jpg","View")</f>
        <v>View</v>
      </c>
    </row>
    <row r="1092" spans="1:19" ht="30">
      <c r="A1092" s="8">
        <v>43370.756365740745</v>
      </c>
      <c r="B1092" s="11" t="str">
        <f>HYPERLINK("https://twitter.com/ShotorBlue","@ShotorBlue")</f>
        <v>@ShotorBlue</v>
      </c>
      <c r="C1092" s="6" t="s">
        <v>5121</v>
      </c>
      <c r="D1092" s="5" t="s">
        <v>5120</v>
      </c>
      <c r="E1092" s="9" t="str">
        <f>HYPERLINK("https://twitter.com/ShotorBlue/status/1045321958785732614","1045321958785732614")</f>
        <v>1045321958785732614</v>
      </c>
      <c r="F1092" s="4"/>
      <c r="G1092" s="4"/>
      <c r="H1092" s="4"/>
      <c r="I1092" s="10" t="str">
        <f>HYPERLINK("https://mobile.twitter.com","Twitter Lite")</f>
        <v>Twitter Lite</v>
      </c>
      <c r="J1092" s="2">
        <v>1023</v>
      </c>
      <c r="K1092" s="2">
        <v>953</v>
      </c>
      <c r="L1092" s="2">
        <v>0</v>
      </c>
      <c r="M1092" s="2"/>
      <c r="N1092" s="8">
        <v>41528.730787037035</v>
      </c>
      <c r="O1092" s="4" t="s">
        <v>5119</v>
      </c>
      <c r="P1092" s="3" t="s">
        <v>5118</v>
      </c>
      <c r="Q1092" s="10" t="s">
        <v>5117</v>
      </c>
      <c r="R1092" s="4"/>
      <c r="S1092" s="9" t="str">
        <f>HYPERLINK("https://pbs.twimg.com/profile_images/1035050145677750273/i8xaZeni.jpg","View")</f>
        <v>View</v>
      </c>
    </row>
    <row r="1093" spans="1:19" ht="20">
      <c r="A1093" s="8">
        <v>43370.756273148145</v>
      </c>
      <c r="B1093" s="11" t="str">
        <f>HYPERLINK("https://twitter.com/seda1995555","@seda1995555")</f>
        <v>@seda1995555</v>
      </c>
      <c r="C1093" s="6" t="s">
        <v>1322</v>
      </c>
      <c r="D1093" s="5" t="s">
        <v>5116</v>
      </c>
      <c r="E1093" s="9" t="str">
        <f>HYPERLINK("https://twitter.com/seda1995555/status/1045321923473940480","1045321923473940480")</f>
        <v>1045321923473940480</v>
      </c>
      <c r="F1093" s="4"/>
      <c r="G1093" s="10" t="s">
        <v>5115</v>
      </c>
      <c r="H1093" s="4"/>
      <c r="I1093" s="10" t="str">
        <f>HYPERLINK("http://twitter.com/download/iphone","Twitter for iPhone")</f>
        <v>Twitter for iPhone</v>
      </c>
      <c r="J1093" s="2">
        <v>885</v>
      </c>
      <c r="K1093" s="2">
        <v>248</v>
      </c>
      <c r="L1093" s="2">
        <v>1</v>
      </c>
      <c r="M1093" s="2"/>
      <c r="N1093" s="8">
        <v>42966.77407407407</v>
      </c>
      <c r="O1093" s="4"/>
      <c r="P1093" s="3" t="s">
        <v>1319</v>
      </c>
      <c r="Q1093" s="4"/>
      <c r="R1093" s="4"/>
      <c r="S1093" s="9" t="str">
        <f>HYPERLINK("https://pbs.twimg.com/profile_images/1026507065756397569/2JKk44Ck.jpg","View")</f>
        <v>View</v>
      </c>
    </row>
    <row r="1094" spans="1:19" ht="30">
      <c r="A1094" s="8">
        <v>43370.756215277783</v>
      </c>
      <c r="B1094" s="11" t="str">
        <f>HYPERLINK("https://twitter.com/dokhtararyaee","@dokhtararyaee")</f>
        <v>@dokhtararyaee</v>
      </c>
      <c r="C1094" s="6" t="s">
        <v>972</v>
      </c>
      <c r="D1094" s="5" t="s">
        <v>5114</v>
      </c>
      <c r="E1094" s="9" t="str">
        <f>HYPERLINK("https://twitter.com/dokhtararyaee/status/1045321904335331330","1045321904335331330")</f>
        <v>1045321904335331330</v>
      </c>
      <c r="F1094" s="4"/>
      <c r="G1094" s="4"/>
      <c r="H1094" s="4"/>
      <c r="I1094" s="10" t="str">
        <f>HYPERLINK("https://mobile.twitter.com","Twitter Lite")</f>
        <v>Twitter Lite</v>
      </c>
      <c r="J1094" s="2">
        <v>9</v>
      </c>
      <c r="K1094" s="2">
        <v>26</v>
      </c>
      <c r="L1094" s="2">
        <v>0</v>
      </c>
      <c r="M1094" s="2"/>
      <c r="N1094" s="8">
        <v>43244.229722222226</v>
      </c>
      <c r="O1094" s="4"/>
      <c r="P1094" s="3"/>
      <c r="Q1094" s="4"/>
      <c r="R1094" s="4"/>
      <c r="S1094" s="9" t="str">
        <f>HYPERLINK("https://pbs.twimg.com/profile_images/1008834123480346627/NyYMn5UQ.jpg","View")</f>
        <v>View</v>
      </c>
    </row>
    <row r="1095" spans="1:19" ht="30">
      <c r="A1095" s="8">
        <v>43370.75618055556</v>
      </c>
      <c r="B1095" s="11" t="str">
        <f>HYPERLINK("https://twitter.com/KosarEhsani","@KosarEhsani")</f>
        <v>@KosarEhsani</v>
      </c>
      <c r="C1095" s="6" t="s">
        <v>5113</v>
      </c>
      <c r="D1095" s="5" t="s">
        <v>5112</v>
      </c>
      <c r="E1095" s="9" t="str">
        <f>HYPERLINK("https://twitter.com/KosarEhsani/status/1045321891291037697","1045321891291037697")</f>
        <v>1045321891291037697</v>
      </c>
      <c r="F1095" s="4"/>
      <c r="G1095" s="4"/>
      <c r="H1095" s="4"/>
      <c r="I1095" s="10" t="str">
        <f>HYPERLINK("http://twitter.com/download/iphone","Twitter for iPhone")</f>
        <v>Twitter for iPhone</v>
      </c>
      <c r="J1095" s="2">
        <v>760</v>
      </c>
      <c r="K1095" s="2">
        <v>381</v>
      </c>
      <c r="L1095" s="2">
        <v>0</v>
      </c>
      <c r="M1095" s="2"/>
      <c r="N1095" s="8">
        <v>41192.731550925928</v>
      </c>
      <c r="O1095" s="4"/>
      <c r="P1095" s="3" t="s">
        <v>5111</v>
      </c>
      <c r="Q1095" s="4"/>
      <c r="R1095" s="4"/>
      <c r="S1095" s="9" t="str">
        <f>HYPERLINK("https://pbs.twimg.com/profile_images/1042078477103636482/uIigNA30.jpg","View")</f>
        <v>View</v>
      </c>
    </row>
    <row r="1096" spans="1:19" ht="40">
      <c r="A1096" s="8">
        <v>43370.755960648152</v>
      </c>
      <c r="B1096" s="11" t="str">
        <f>HYPERLINK("https://twitter.com/fakhaarr","@fakhaarr")</f>
        <v>@fakhaarr</v>
      </c>
      <c r="C1096" s="6" t="s">
        <v>5110</v>
      </c>
      <c r="D1096" s="5" t="s">
        <v>5109</v>
      </c>
      <c r="E1096" s="9" t="str">
        <f>HYPERLINK("https://twitter.com/fakhaarr/status/1045321810164748288","1045321810164748288")</f>
        <v>1045321810164748288</v>
      </c>
      <c r="F1096" s="4"/>
      <c r="G1096" s="4"/>
      <c r="H1096" s="4"/>
      <c r="I1096" s="10" t="str">
        <f>HYPERLINK("http://twitter.com/download/android","Twitter for Android")</f>
        <v>Twitter for Android</v>
      </c>
      <c r="J1096" s="2">
        <v>217</v>
      </c>
      <c r="K1096" s="2">
        <v>252</v>
      </c>
      <c r="L1096" s="2">
        <v>6</v>
      </c>
      <c r="M1096" s="2"/>
      <c r="N1096" s="8">
        <v>42689.803287037037</v>
      </c>
      <c r="O1096" s="4" t="s">
        <v>254</v>
      </c>
      <c r="P1096" s="3" t="s">
        <v>5108</v>
      </c>
      <c r="Q1096" s="10" t="s">
        <v>5107</v>
      </c>
      <c r="R1096" s="4"/>
      <c r="S1096" s="9" t="str">
        <f>HYPERLINK("https://pbs.twimg.com/profile_images/798556419603755008/25QWGq4u.jpg","View")</f>
        <v>View</v>
      </c>
    </row>
    <row r="1097" spans="1:19" ht="30">
      <c r="A1097" s="8">
        <v>43370.75571759259</v>
      </c>
      <c r="B1097" s="11" t="str">
        <f>HYPERLINK("https://twitter.com/sam2_au","@sam2_au")</f>
        <v>@sam2_au</v>
      </c>
      <c r="C1097" s="6" t="s">
        <v>4799</v>
      </c>
      <c r="D1097" s="5" t="s">
        <v>5106</v>
      </c>
      <c r="E1097" s="9" t="str">
        <f>HYPERLINK("https://twitter.com/sam2_au/status/1045321722298163200","1045321722298163200")</f>
        <v>1045321722298163200</v>
      </c>
      <c r="F1097" s="10" t="s">
        <v>5105</v>
      </c>
      <c r="G1097" s="4"/>
      <c r="H1097" s="4"/>
      <c r="I1097" s="10" t="str">
        <f>HYPERLINK("https://mobile.twitter.com","Twitter Lite")</f>
        <v>Twitter Lite</v>
      </c>
      <c r="J1097" s="2">
        <v>1469</v>
      </c>
      <c r="K1097" s="2">
        <v>1376</v>
      </c>
      <c r="L1097" s="2">
        <v>15</v>
      </c>
      <c r="M1097" s="2"/>
      <c r="N1097" s="8">
        <v>40561.868460648147</v>
      </c>
      <c r="O1097" s="4" t="s">
        <v>4796</v>
      </c>
      <c r="P1097" s="3" t="s">
        <v>4795</v>
      </c>
      <c r="Q1097" s="4"/>
      <c r="R1097" s="4"/>
      <c r="S1097" s="9" t="str">
        <f>HYPERLINK("https://pbs.twimg.com/profile_images/1032531878874468353/ttJHLUUh.jpg","View")</f>
        <v>View</v>
      </c>
    </row>
    <row r="1098" spans="1:19" ht="40">
      <c r="A1098" s="8">
        <v>43370.755659722221</v>
      </c>
      <c r="B1098" s="11" t="str">
        <f>HYPERLINK("https://twitter.com/amir_reza_gh","@amir_reza_gh")</f>
        <v>@amir_reza_gh</v>
      </c>
      <c r="C1098" s="6" t="s">
        <v>5104</v>
      </c>
      <c r="D1098" s="5" t="s">
        <v>5103</v>
      </c>
      <c r="E1098" s="9" t="str">
        <f>HYPERLINK("https://twitter.com/amir_reza_gh/status/1045321703302352896","1045321703302352896")</f>
        <v>1045321703302352896</v>
      </c>
      <c r="F1098" s="4"/>
      <c r="G1098" s="4"/>
      <c r="H1098" s="4"/>
      <c r="I1098" s="10" t="str">
        <f>HYPERLINK("http://twitter.com/download/android","Twitter for Android")</f>
        <v>Twitter for Android</v>
      </c>
      <c r="J1098" s="2">
        <v>2887</v>
      </c>
      <c r="K1098" s="2">
        <v>1149</v>
      </c>
      <c r="L1098" s="2">
        <v>8</v>
      </c>
      <c r="M1098" s="2"/>
      <c r="N1098" s="8">
        <v>40854.590150462966</v>
      </c>
      <c r="O1098" s="4" t="s">
        <v>72</v>
      </c>
      <c r="P1098" s="3"/>
      <c r="Q1098" s="10" t="s">
        <v>5102</v>
      </c>
      <c r="R1098" s="4"/>
      <c r="S1098" s="9" t="str">
        <f>HYPERLINK("https://pbs.twimg.com/profile_images/977091164980629504/iW3pfERa.jpg","View")</f>
        <v>View</v>
      </c>
    </row>
    <row r="1099" spans="1:19" ht="20">
      <c r="A1099" s="8">
        <v>43370.755520833336</v>
      </c>
      <c r="B1099" s="11" t="str">
        <f>HYPERLINK("https://twitter.com/zoljenan","@zoljenan")</f>
        <v>@zoljenan</v>
      </c>
      <c r="C1099" s="6" t="s">
        <v>5101</v>
      </c>
      <c r="D1099" s="5" t="s">
        <v>5100</v>
      </c>
      <c r="E1099" s="9" t="str">
        <f>HYPERLINK("https://twitter.com/zoljenan/status/1045321652383494145","1045321652383494145")</f>
        <v>1045321652383494145</v>
      </c>
      <c r="F1099" s="4"/>
      <c r="G1099" s="4"/>
      <c r="H1099" s="4"/>
      <c r="I1099" s="10" t="str">
        <f>HYPERLINK("http://twitter.com","Twitter Web Client")</f>
        <v>Twitter Web Client</v>
      </c>
      <c r="J1099" s="2">
        <v>1156</v>
      </c>
      <c r="K1099" s="2">
        <v>1973</v>
      </c>
      <c r="L1099" s="2">
        <v>1</v>
      </c>
      <c r="M1099" s="2"/>
      <c r="N1099" s="8">
        <v>42967.879629629635</v>
      </c>
      <c r="O1099" s="4" t="s">
        <v>200</v>
      </c>
      <c r="P1099" s="3" t="s">
        <v>5099</v>
      </c>
      <c r="Q1099" s="10" t="s">
        <v>5098</v>
      </c>
      <c r="R1099" s="4"/>
      <c r="S1099" s="9" t="str">
        <f>HYPERLINK("https://pbs.twimg.com/profile_images/1039581414424039427/dqtfdYhd.jpg","View")</f>
        <v>View</v>
      </c>
    </row>
    <row r="1100" spans="1:19" ht="30">
      <c r="A1100" s="8">
        <v>43370.755462962959</v>
      </c>
      <c r="B1100" s="11" t="str">
        <f>HYPERLINK("https://twitter.com/farhaddarush","@farhaddarush")</f>
        <v>@farhaddarush</v>
      </c>
      <c r="C1100" s="6" t="s">
        <v>4917</v>
      </c>
      <c r="D1100" s="5" t="s">
        <v>5097</v>
      </c>
      <c r="E1100" s="9" t="str">
        <f>HYPERLINK("https://twitter.com/farhaddarush/status/1045321631835586560","1045321631835586560")</f>
        <v>1045321631835586560</v>
      </c>
      <c r="F1100" s="4"/>
      <c r="G1100" s="4"/>
      <c r="H1100" s="4"/>
      <c r="I1100" s="10" t="str">
        <f>HYPERLINK("http://twitter.com/download/android","Twitter for Android")</f>
        <v>Twitter for Android</v>
      </c>
      <c r="J1100" s="2">
        <v>2256</v>
      </c>
      <c r="K1100" s="2">
        <v>1018</v>
      </c>
      <c r="L1100" s="2">
        <v>7</v>
      </c>
      <c r="M1100" s="2"/>
      <c r="N1100" s="8">
        <v>41803.78769675926</v>
      </c>
      <c r="O1100" s="4" t="s">
        <v>4915</v>
      </c>
      <c r="P1100" s="3" t="s">
        <v>4914</v>
      </c>
      <c r="Q1100" s="4"/>
      <c r="R1100" s="4"/>
      <c r="S1100" s="9" t="str">
        <f>HYPERLINK("https://pbs.twimg.com/profile_images/1042866009940676608/4YVXJAP1.jpg","View")</f>
        <v>View</v>
      </c>
    </row>
    <row r="1101" spans="1:19" ht="12.5">
      <c r="A1101" s="8">
        <v>43370.755393518513</v>
      </c>
      <c r="B1101" s="11" t="str">
        <f>HYPERLINK("https://twitter.com/Behrad_","@Behrad_")</f>
        <v>@Behrad_</v>
      </c>
      <c r="C1101" s="6" t="s">
        <v>5058</v>
      </c>
      <c r="D1101" s="5" t="s">
        <v>5096</v>
      </c>
      <c r="E1101" s="9" t="str">
        <f>HYPERLINK("https://twitter.com/Behrad_/status/1045321605461790722","1045321605461790722")</f>
        <v>1045321605461790722</v>
      </c>
      <c r="F1101" s="4"/>
      <c r="G1101" s="4"/>
      <c r="H1101" s="4"/>
      <c r="I1101" s="10" t="str">
        <f>HYPERLINK("http://twitter.com/download/android","Twitter for Android")</f>
        <v>Twitter for Android</v>
      </c>
      <c r="J1101" s="2">
        <v>12867</v>
      </c>
      <c r="K1101" s="2">
        <v>9183</v>
      </c>
      <c r="L1101" s="2">
        <v>45</v>
      </c>
      <c r="M1101" s="2"/>
      <c r="N1101" s="8">
        <v>40228.218564814815</v>
      </c>
      <c r="O1101" s="4" t="s">
        <v>5056</v>
      </c>
      <c r="P1101" s="3" t="s">
        <v>5055</v>
      </c>
      <c r="Q1101" s="4"/>
      <c r="R1101" s="4"/>
      <c r="S1101" s="9" t="str">
        <f>HYPERLINK("https://pbs.twimg.com/profile_images/1024912195229036544/X60uCJTG.jpg","View")</f>
        <v>View</v>
      </c>
    </row>
    <row r="1102" spans="1:19" ht="12.5">
      <c r="A1102" s="8">
        <v>43370.755219907413</v>
      </c>
      <c r="B1102" s="11" t="str">
        <f>HYPERLINK("https://twitter.com/8moriirom8","@8moriirom8")</f>
        <v>@8moriirom8</v>
      </c>
      <c r="C1102" s="6" t="s">
        <v>5095</v>
      </c>
      <c r="D1102" s="5" t="s">
        <v>5094</v>
      </c>
      <c r="E1102" s="9" t="str">
        <f>HYPERLINK("https://twitter.com/8moriirom8/status/1045321541922291714","1045321541922291714")</f>
        <v>1045321541922291714</v>
      </c>
      <c r="F1102" s="4"/>
      <c r="G1102" s="4"/>
      <c r="H1102" s="4"/>
      <c r="I1102" s="10" t="str">
        <f>HYPERLINK("http://twitter.com/download/android","Twitter for Android")</f>
        <v>Twitter for Android</v>
      </c>
      <c r="J1102" s="2">
        <v>198</v>
      </c>
      <c r="K1102" s="2">
        <v>328</v>
      </c>
      <c r="L1102" s="2">
        <v>0</v>
      </c>
      <c r="M1102" s="2"/>
      <c r="N1102" s="8">
        <v>43085.883703703701</v>
      </c>
      <c r="O1102" s="4"/>
      <c r="P1102" s="3" t="s">
        <v>5093</v>
      </c>
      <c r="Q1102" s="10" t="s">
        <v>5092</v>
      </c>
      <c r="R1102" s="4"/>
      <c r="S1102" s="9" t="str">
        <f>HYPERLINK("https://pbs.twimg.com/profile_images/1022546472070471681/2nNz53-W.jpg","View")</f>
        <v>View</v>
      </c>
    </row>
    <row r="1103" spans="1:19" ht="20">
      <c r="A1103" s="8">
        <v>43370.755127314813</v>
      </c>
      <c r="B1103" s="11" t="str">
        <f>HYPERLINK("https://twitter.com/MostafaKorfi","@MostafaKorfi")</f>
        <v>@MostafaKorfi</v>
      </c>
      <c r="C1103" s="6" t="s">
        <v>4986</v>
      </c>
      <c r="D1103" s="5" t="s">
        <v>5091</v>
      </c>
      <c r="E1103" s="9" t="str">
        <f>HYPERLINK("https://twitter.com/MostafaKorfi/status/1045321506807582720","1045321506807582720")</f>
        <v>1045321506807582720</v>
      </c>
      <c r="F1103" s="4"/>
      <c r="G1103" s="4"/>
      <c r="H1103" s="4"/>
      <c r="I1103" s="10" t="str">
        <f>HYPERLINK("http://twitter.com/download/android","Twitter for Android")</f>
        <v>Twitter for Android</v>
      </c>
      <c r="J1103" s="2">
        <v>1811</v>
      </c>
      <c r="K1103" s="2">
        <v>628</v>
      </c>
      <c r="L1103" s="2">
        <v>14</v>
      </c>
      <c r="M1103" s="2"/>
      <c r="N1103" s="8">
        <v>43285.431979166664</v>
      </c>
      <c r="O1103" s="4"/>
      <c r="P1103" s="3" t="s">
        <v>4984</v>
      </c>
      <c r="Q1103" s="4"/>
      <c r="R1103" s="4"/>
      <c r="S1103" s="9" t="str">
        <f>HYPERLINK("https://pbs.twimg.com/profile_images/1026262827777105920/v4jzjw4D.jpg","View")</f>
        <v>View</v>
      </c>
    </row>
    <row r="1104" spans="1:19" ht="30">
      <c r="A1104" s="8">
        <v>43370.755069444444</v>
      </c>
      <c r="B1104" s="11" t="str">
        <f>HYPERLINK("https://twitter.com/Faran_Yalda","@Faran_Yalda")</f>
        <v>@Faran_Yalda</v>
      </c>
      <c r="C1104" s="6" t="s">
        <v>5090</v>
      </c>
      <c r="D1104" s="5" t="s">
        <v>5089</v>
      </c>
      <c r="E1104" s="9" t="str">
        <f>HYPERLINK("https://twitter.com/Faran_Yalda/status/1045321486792347649","1045321486792347649")</f>
        <v>1045321486792347649</v>
      </c>
      <c r="F1104" s="4"/>
      <c r="G1104" s="4"/>
      <c r="H1104" s="4"/>
      <c r="I1104" s="10" t="str">
        <f>HYPERLINK("http://twitter.com/download/android","Twitter for Android")</f>
        <v>Twitter for Android</v>
      </c>
      <c r="J1104" s="2">
        <v>772</v>
      </c>
      <c r="K1104" s="2">
        <v>679</v>
      </c>
      <c r="L1104" s="2">
        <v>1</v>
      </c>
      <c r="M1104" s="2"/>
      <c r="N1104" s="8">
        <v>43021.375185185185</v>
      </c>
      <c r="O1104" s="4" t="s">
        <v>10</v>
      </c>
      <c r="P1104" s="3" t="s">
        <v>5088</v>
      </c>
      <c r="Q1104" s="4"/>
      <c r="R1104" s="4"/>
      <c r="S1104" s="9" t="str">
        <f>HYPERLINK("https://pbs.twimg.com/profile_images/1043038922316476417/dwLRys_d.jpg","View")</f>
        <v>View</v>
      </c>
    </row>
    <row r="1105" spans="1:19" ht="20">
      <c r="A1105" s="8">
        <v>43370.755046296297</v>
      </c>
      <c r="B1105" s="11" t="str">
        <f>HYPERLINK("https://twitter.com/Mir_Joker","@Mir_Joker")</f>
        <v>@Mir_Joker</v>
      </c>
      <c r="C1105" s="6" t="s">
        <v>5087</v>
      </c>
      <c r="D1105" s="5" t="s">
        <v>5086</v>
      </c>
      <c r="E1105" s="9" t="str">
        <f>HYPERLINK("https://twitter.com/Mir_Joker/status/1045321478668005378","1045321478668005378")</f>
        <v>1045321478668005378</v>
      </c>
      <c r="F1105" s="4"/>
      <c r="G1105" s="4"/>
      <c r="H1105" s="4"/>
      <c r="I1105" s="10" t="str">
        <f>HYPERLINK("http://twitter.com/download/android","Twitter for Android")</f>
        <v>Twitter for Android</v>
      </c>
      <c r="J1105" s="2">
        <v>272</v>
      </c>
      <c r="K1105" s="2">
        <v>470</v>
      </c>
      <c r="L1105" s="2">
        <v>2</v>
      </c>
      <c r="M1105" s="2"/>
      <c r="N1105" s="8">
        <v>42650.53260416667</v>
      </c>
      <c r="O1105" s="4" t="s">
        <v>5085</v>
      </c>
      <c r="P1105" s="3" t="s">
        <v>5084</v>
      </c>
      <c r="Q1105" s="4"/>
      <c r="R1105" s="4"/>
      <c r="S1105" s="9" t="str">
        <f>HYPERLINK("https://pbs.twimg.com/profile_images/959519378025992192/5jSnOzzB.jpg","View")</f>
        <v>View</v>
      </c>
    </row>
    <row r="1106" spans="1:19" ht="40">
      <c r="A1106" s="8">
        <v>43370.755046296297</v>
      </c>
      <c r="B1106" s="11" t="str">
        <f>HYPERLINK("https://twitter.com/SarahStanley_11","@SarahStanley_11")</f>
        <v>@SarahStanley_11</v>
      </c>
      <c r="C1106" s="6" t="s">
        <v>2512</v>
      </c>
      <c r="D1106" s="5" t="s">
        <v>5083</v>
      </c>
      <c r="E1106" s="9" t="str">
        <f>HYPERLINK("https://twitter.com/SarahStanley_11/status/1045321477858480128","1045321477858480128")</f>
        <v>1045321477858480128</v>
      </c>
      <c r="F1106" s="10" t="s">
        <v>5082</v>
      </c>
      <c r="G1106" s="10" t="s">
        <v>5081</v>
      </c>
      <c r="H1106" s="4"/>
      <c r="I1106" s="10" t="str">
        <f>HYPERLINK("http://twitter.com/download/iphone","Twitter for iPhone")</f>
        <v>Twitter for iPhone</v>
      </c>
      <c r="J1106" s="2">
        <v>1119</v>
      </c>
      <c r="K1106" s="2">
        <v>466</v>
      </c>
      <c r="L1106" s="2">
        <v>2</v>
      </c>
      <c r="M1106" s="2"/>
      <c r="N1106" s="8">
        <v>42784.62332175926</v>
      </c>
      <c r="O1106" s="4"/>
      <c r="P1106" s="3" t="s">
        <v>2509</v>
      </c>
      <c r="Q1106" s="4"/>
      <c r="R1106" s="4"/>
      <c r="S1106" s="9" t="str">
        <f>HYPERLINK("https://pbs.twimg.com/profile_images/1028910062675345408/Ub7ZWVP-.jpg","View")</f>
        <v>View</v>
      </c>
    </row>
    <row r="1107" spans="1:19" ht="40">
      <c r="A1107" s="8">
        <v>43370.755023148144</v>
      </c>
      <c r="B1107" s="11" t="str">
        <f>HYPERLINK("https://twitter.com/zahramirzae","@zahramirzae")</f>
        <v>@zahramirzae</v>
      </c>
      <c r="C1107" s="6" t="s">
        <v>2844</v>
      </c>
      <c r="D1107" s="5" t="s">
        <v>5080</v>
      </c>
      <c r="E1107" s="9" t="str">
        <f>HYPERLINK("https://twitter.com/zahramirzae/status/1045321470082207745","1045321470082207745")</f>
        <v>1045321470082207745</v>
      </c>
      <c r="F1107" s="4"/>
      <c r="G1107" s="4"/>
      <c r="H1107" s="4"/>
      <c r="I1107" s="10" t="str">
        <f>HYPERLINK("http://twitter.com/download/iphone","Twitter for iPhone")</f>
        <v>Twitter for iPhone</v>
      </c>
      <c r="J1107" s="2">
        <v>100</v>
      </c>
      <c r="K1107" s="2">
        <v>98</v>
      </c>
      <c r="L1107" s="2">
        <v>1</v>
      </c>
      <c r="M1107" s="2"/>
      <c r="N1107" s="8">
        <v>43053.990520833337</v>
      </c>
      <c r="O1107" s="4" t="s">
        <v>2842</v>
      </c>
      <c r="P1107" s="3" t="s">
        <v>2841</v>
      </c>
      <c r="Q1107" s="4"/>
      <c r="R1107" s="4"/>
      <c r="S1107" s="9" t="str">
        <f>HYPERLINK("https://pbs.twimg.com/profile_images/1038339347114799104/mi1OITGl.jpg","View")</f>
        <v>View</v>
      </c>
    </row>
    <row r="1108" spans="1:19" ht="30">
      <c r="A1108" s="8">
        <v>43370.754965277782</v>
      </c>
      <c r="B1108" s="11" t="str">
        <f>HYPERLINK("https://twitter.com/EbiMirzaei","@EbiMirzaei")</f>
        <v>@EbiMirzaei</v>
      </c>
      <c r="C1108" s="6" t="s">
        <v>3591</v>
      </c>
      <c r="D1108" s="5" t="s">
        <v>5079</v>
      </c>
      <c r="E1108" s="9" t="str">
        <f>HYPERLINK("https://twitter.com/EbiMirzaei/status/1045321448582250496","1045321448582250496")</f>
        <v>1045321448582250496</v>
      </c>
      <c r="F1108" s="4"/>
      <c r="G1108" s="4"/>
      <c r="H1108" s="4"/>
      <c r="I1108" s="10" t="str">
        <f>HYPERLINK("http://twitter.com/download/android","Twitter for Android")</f>
        <v>Twitter for Android</v>
      </c>
      <c r="J1108" s="2">
        <v>528</v>
      </c>
      <c r="K1108" s="2">
        <v>1526</v>
      </c>
      <c r="L1108" s="2">
        <v>0</v>
      </c>
      <c r="M1108" s="2"/>
      <c r="N1108" s="8">
        <v>41760.356365740743</v>
      </c>
      <c r="O1108" s="4"/>
      <c r="P1108" s="3" t="s">
        <v>3589</v>
      </c>
      <c r="Q1108" s="4"/>
      <c r="R1108" s="4"/>
      <c r="S1108" s="9" t="str">
        <f>HYPERLINK("https://pbs.twimg.com/profile_images/1041202852482502658/cLMYnD-I.jpg","View")</f>
        <v>View</v>
      </c>
    </row>
    <row r="1109" spans="1:19" ht="30">
      <c r="A1109" s="8">
        <v>43370.75472222222</v>
      </c>
      <c r="B1109" s="11" t="str">
        <f>HYPERLINK("https://twitter.com/Nafiseh_Isapour","@Nafiseh_Isapour")</f>
        <v>@Nafiseh_Isapour</v>
      </c>
      <c r="C1109" s="6" t="s">
        <v>2027</v>
      </c>
      <c r="D1109" s="5" t="s">
        <v>5078</v>
      </c>
      <c r="E1109" s="9" t="str">
        <f>HYPERLINK("https://twitter.com/Nafiseh_Isapour/status/1045321362921992192","1045321362921992192")</f>
        <v>1045321362921992192</v>
      </c>
      <c r="F1109" s="4"/>
      <c r="G1109" s="10" t="s">
        <v>5077</v>
      </c>
      <c r="H1109" s="4"/>
      <c r="I1109" s="10" t="str">
        <f>HYPERLINK("http://twitter.com/download/iphone","Twitter for iPhone")</f>
        <v>Twitter for iPhone</v>
      </c>
      <c r="J1109" s="2">
        <v>8784</v>
      </c>
      <c r="K1109" s="2">
        <v>1954</v>
      </c>
      <c r="L1109" s="2">
        <v>22</v>
      </c>
      <c r="M1109" s="2"/>
      <c r="N1109" s="8">
        <v>43115.056967592594</v>
      </c>
      <c r="O1109" s="4" t="s">
        <v>2026</v>
      </c>
      <c r="P1109" s="3" t="s">
        <v>2025</v>
      </c>
      <c r="Q1109" s="4"/>
      <c r="R1109" s="4"/>
      <c r="S1109" s="9" t="str">
        <f>HYPERLINK("https://pbs.twimg.com/profile_images/1034809363570077696/b8QQh7k4.jpg","View")</f>
        <v>View</v>
      </c>
    </row>
    <row r="1110" spans="1:19" ht="20">
      <c r="A1110" s="8">
        <v>43370.754699074074</v>
      </c>
      <c r="B1110" s="11" t="str">
        <f>HYPERLINK("https://twitter.com/PMR0731","@PMR0731")</f>
        <v>@PMR0731</v>
      </c>
      <c r="C1110" s="6" t="s">
        <v>423</v>
      </c>
      <c r="D1110" s="5" t="s">
        <v>5076</v>
      </c>
      <c r="E1110" s="9" t="str">
        <f>HYPERLINK("https://twitter.com/PMR0731/status/1045321351601573888","1045321351601573888")</f>
        <v>1045321351601573888</v>
      </c>
      <c r="F1110" s="10" t="s">
        <v>5075</v>
      </c>
      <c r="G1110" s="4"/>
      <c r="H1110" s="4"/>
      <c r="I1110" s="10" t="str">
        <f>HYPERLINK("http://twitter.com","Twitter Web Client")</f>
        <v>Twitter Web Client</v>
      </c>
      <c r="J1110" s="2">
        <v>797</v>
      </c>
      <c r="K1110" s="2">
        <v>192</v>
      </c>
      <c r="L1110" s="2">
        <v>6</v>
      </c>
      <c r="M1110" s="2"/>
      <c r="N1110" s="8">
        <v>42590.050578703704</v>
      </c>
      <c r="O1110" s="4" t="s">
        <v>420</v>
      </c>
      <c r="P1110" s="3" t="s">
        <v>419</v>
      </c>
      <c r="Q1110" s="4"/>
      <c r="R1110" s="4"/>
      <c r="S1110" s="9" t="str">
        <f>HYPERLINK("https://pbs.twimg.com/profile_images/1030356397630926848/x8SmplII.jpg","View")</f>
        <v>View</v>
      </c>
    </row>
    <row r="1111" spans="1:19" ht="12.5">
      <c r="A1111" s="8">
        <v>43370.754675925928</v>
      </c>
      <c r="B1111" s="11" t="str">
        <f>HYPERLINK("https://twitter.com/iLaRimaa","@iLaRimaa")</f>
        <v>@iLaRimaa</v>
      </c>
      <c r="C1111" s="6" t="s">
        <v>5074</v>
      </c>
      <c r="D1111" s="5" t="s">
        <v>5073</v>
      </c>
      <c r="E1111" s="9" t="str">
        <f>HYPERLINK("https://twitter.com/iLaRimaa/status/1045321347335892993","1045321347335892993")</f>
        <v>1045321347335892993</v>
      </c>
      <c r="F1111" s="4"/>
      <c r="G1111" s="4"/>
      <c r="H1111" s="4"/>
      <c r="I1111" s="10" t="str">
        <f>HYPERLINK("http://twitter.com/download/iphone","Twitter for iPhone")</f>
        <v>Twitter for iPhone</v>
      </c>
      <c r="J1111" s="2">
        <v>417</v>
      </c>
      <c r="K1111" s="2">
        <v>47</v>
      </c>
      <c r="L1111" s="2">
        <v>6</v>
      </c>
      <c r="M1111" s="2"/>
      <c r="N1111" s="8">
        <v>41109.492013888885</v>
      </c>
      <c r="O1111" s="4" t="s">
        <v>5072</v>
      </c>
      <c r="P1111" s="3" t="s">
        <v>5071</v>
      </c>
      <c r="Q1111" s="10" t="s">
        <v>5070</v>
      </c>
      <c r="R1111" s="4"/>
      <c r="S1111" s="9" t="str">
        <f>HYPERLINK("https://pbs.twimg.com/profile_images/993753545081085952/8CwTNuzM.jpg","View")</f>
        <v>View</v>
      </c>
    </row>
    <row r="1112" spans="1:19" ht="20">
      <c r="A1112" s="8">
        <v>43370.754270833335</v>
      </c>
      <c r="B1112" s="11" t="str">
        <f>HYPERLINK("https://twitter.com/behnamallami","@behnamallami")</f>
        <v>@behnamallami</v>
      </c>
      <c r="C1112" s="6" t="s">
        <v>5069</v>
      </c>
      <c r="D1112" s="5" t="s">
        <v>5068</v>
      </c>
      <c r="E1112" s="9" t="str">
        <f>HYPERLINK("https://twitter.com/behnamallami/status/1045321200115863552","1045321200115863552")</f>
        <v>1045321200115863552</v>
      </c>
      <c r="F1112" s="4"/>
      <c r="G1112" s="10" t="s">
        <v>5067</v>
      </c>
      <c r="H1112" s="4"/>
      <c r="I1112" s="10" t="str">
        <f>HYPERLINK("http://twitter.com/download/android","Twitter for Android")</f>
        <v>Twitter for Android</v>
      </c>
      <c r="J1112" s="2">
        <v>350</v>
      </c>
      <c r="K1112" s="2">
        <v>141</v>
      </c>
      <c r="L1112" s="2">
        <v>0</v>
      </c>
      <c r="M1112" s="2"/>
      <c r="N1112" s="8">
        <v>40675.59542824074</v>
      </c>
      <c r="O1112" s="4" t="s">
        <v>55</v>
      </c>
      <c r="P1112" s="3" t="s">
        <v>5066</v>
      </c>
      <c r="Q1112" s="10" t="s">
        <v>5065</v>
      </c>
      <c r="R1112" s="4"/>
      <c r="S1112" s="9" t="str">
        <f>HYPERLINK("https://pbs.twimg.com/profile_images/970750938842624006/NzH2S4cJ.jpg","View")</f>
        <v>View</v>
      </c>
    </row>
    <row r="1113" spans="1:19" ht="30">
      <c r="A1113" s="8">
        <v>43370.754143518519</v>
      </c>
      <c r="B1113" s="11" t="str">
        <f>HYPERLINK("https://twitter.com/AliBazgosha2","@AliBazgosha2")</f>
        <v>@AliBazgosha2</v>
      </c>
      <c r="C1113" s="6" t="s">
        <v>164</v>
      </c>
      <c r="D1113" s="5" t="s">
        <v>5064</v>
      </c>
      <c r="E1113" s="9" t="str">
        <f>HYPERLINK("https://twitter.com/AliBazgosha2/status/1045321154414751744","1045321154414751744")</f>
        <v>1045321154414751744</v>
      </c>
      <c r="F1113" s="4"/>
      <c r="G1113" s="4"/>
      <c r="H1113" s="4"/>
      <c r="I1113" s="10" t="str">
        <f>HYPERLINK("http://twitter.com/download/iphone","Twitter for iPhone")</f>
        <v>Twitter for iPhone</v>
      </c>
      <c r="J1113" s="2">
        <v>4626</v>
      </c>
      <c r="K1113" s="2">
        <v>480</v>
      </c>
      <c r="L1113" s="2">
        <v>11</v>
      </c>
      <c r="M1113" s="2"/>
      <c r="N1113" s="8">
        <v>42597.534224537041</v>
      </c>
      <c r="O1113" s="4" t="s">
        <v>162</v>
      </c>
      <c r="P1113" s="3" t="s">
        <v>161</v>
      </c>
      <c r="Q1113" s="4"/>
      <c r="R1113" s="4"/>
      <c r="S1113" s="9" t="str">
        <f>HYPERLINK("https://pbs.twimg.com/profile_images/1002173034688647168/DDTAV-9J.jpg","View")</f>
        <v>View</v>
      </c>
    </row>
    <row r="1114" spans="1:19" ht="20">
      <c r="A1114" s="8">
        <v>43370.754108796296</v>
      </c>
      <c r="B1114" s="11" t="str">
        <f>HYPERLINK("https://twitter.com/mrndaalll","@mrndaalll")</f>
        <v>@mrndaalll</v>
      </c>
      <c r="C1114" s="6" t="s">
        <v>2719</v>
      </c>
      <c r="D1114" s="5" t="s">
        <v>5063</v>
      </c>
      <c r="E1114" s="9" t="str">
        <f>HYPERLINK("https://twitter.com/mrndaalll/status/1045321139369717760","1045321139369717760")</f>
        <v>1045321139369717760</v>
      </c>
      <c r="F1114" s="4"/>
      <c r="G1114" s="4"/>
      <c r="H1114" s="4"/>
      <c r="I1114" s="10" t="str">
        <f>HYPERLINK("http://twitter.com/download/android","Twitter for Android")</f>
        <v>Twitter for Android</v>
      </c>
      <c r="J1114" s="2">
        <v>3048</v>
      </c>
      <c r="K1114" s="2">
        <v>2886</v>
      </c>
      <c r="L1114" s="2">
        <v>2</v>
      </c>
      <c r="M1114" s="2"/>
      <c r="N1114" s="8">
        <v>43342.90892361111</v>
      </c>
      <c r="O1114" s="4" t="s">
        <v>294</v>
      </c>
      <c r="P1114" s="3" t="s">
        <v>2717</v>
      </c>
      <c r="Q1114" s="10" t="s">
        <v>2716</v>
      </c>
      <c r="R1114" s="4"/>
      <c r="S1114" s="9" t="str">
        <f>HYPERLINK("https://pbs.twimg.com/profile_images/1043195279380545536/szJVTrKx.jpg","View")</f>
        <v>View</v>
      </c>
    </row>
    <row r="1115" spans="1:19" ht="12.5">
      <c r="A1115" s="8">
        <v>43370.75403935185</v>
      </c>
      <c r="B1115" s="11" t="str">
        <f>HYPERLINK("https://twitter.com/miladeyz","@miladeyz")</f>
        <v>@miladeyz</v>
      </c>
      <c r="C1115" s="6" t="s">
        <v>5062</v>
      </c>
      <c r="D1115" s="5" t="s">
        <v>5061</v>
      </c>
      <c r="E1115" s="9" t="str">
        <f>HYPERLINK("https://twitter.com/miladeyz/status/1045321113125965824","1045321113125965824")</f>
        <v>1045321113125965824</v>
      </c>
      <c r="F1115" s="4"/>
      <c r="G1115" s="10" t="s">
        <v>5060</v>
      </c>
      <c r="H1115" s="4"/>
      <c r="I1115" s="10" t="str">
        <f>HYPERLINK("http://twitter.com/download/android","Twitter for Android")</f>
        <v>Twitter for Android</v>
      </c>
      <c r="J1115" s="2">
        <v>10</v>
      </c>
      <c r="K1115" s="2">
        <v>18</v>
      </c>
      <c r="L1115" s="2">
        <v>0</v>
      </c>
      <c r="M1115" s="2"/>
      <c r="N1115" s="8">
        <v>42906.087488425925</v>
      </c>
      <c r="O1115" s="4" t="s">
        <v>200</v>
      </c>
      <c r="P1115" s="3"/>
      <c r="Q1115" s="10" t="s">
        <v>5059</v>
      </c>
      <c r="R1115" s="4"/>
      <c r="S1115" s="9" t="str">
        <f>HYPERLINK("https://pbs.twimg.com/profile_images/1034741483478413313/Q3dpLLHY.jpg","View")</f>
        <v>View</v>
      </c>
    </row>
    <row r="1116" spans="1:19" ht="30">
      <c r="A1116" s="8">
        <v>43370.753865740742</v>
      </c>
      <c r="B1116" s="11" t="str">
        <f>HYPERLINK("https://twitter.com/Behrad_","@Behrad_")</f>
        <v>@Behrad_</v>
      </c>
      <c r="C1116" s="6" t="s">
        <v>5058</v>
      </c>
      <c r="D1116" s="5" t="s">
        <v>5057</v>
      </c>
      <c r="E1116" s="9" t="str">
        <f>HYPERLINK("https://twitter.com/Behrad_/status/1045321053583667200","1045321053583667200")</f>
        <v>1045321053583667200</v>
      </c>
      <c r="F1116" s="4"/>
      <c r="G1116" s="4"/>
      <c r="H1116" s="4"/>
      <c r="I1116" s="10" t="str">
        <f>HYPERLINK("http://twitter.com/download/android","Twitter for Android")</f>
        <v>Twitter for Android</v>
      </c>
      <c r="J1116" s="2">
        <v>12867</v>
      </c>
      <c r="K1116" s="2">
        <v>9183</v>
      </c>
      <c r="L1116" s="2">
        <v>45</v>
      </c>
      <c r="M1116" s="2"/>
      <c r="N1116" s="8">
        <v>40228.218564814815</v>
      </c>
      <c r="O1116" s="4" t="s">
        <v>5056</v>
      </c>
      <c r="P1116" s="3" t="s">
        <v>5055</v>
      </c>
      <c r="Q1116" s="4"/>
      <c r="R1116" s="4"/>
      <c r="S1116" s="9" t="str">
        <f>HYPERLINK("https://pbs.twimg.com/profile_images/1024912195229036544/X60uCJTG.jpg","View")</f>
        <v>View</v>
      </c>
    </row>
    <row r="1117" spans="1:19" ht="30">
      <c r="A1117" s="8">
        <v>43370.753738425927</v>
      </c>
      <c r="B1117" s="11" t="str">
        <f>HYPERLINK("https://twitter.com/Mohammad919139","@Mohammad919139")</f>
        <v>@Mohammad919139</v>
      </c>
      <c r="C1117" s="6" t="s">
        <v>5054</v>
      </c>
      <c r="D1117" s="5" t="s">
        <v>5053</v>
      </c>
      <c r="E1117" s="9" t="str">
        <f>HYPERLINK("https://twitter.com/Mohammad919139/status/1045321005546254336","1045321005546254336")</f>
        <v>1045321005546254336</v>
      </c>
      <c r="F1117" s="4"/>
      <c r="G1117" s="4"/>
      <c r="H1117" s="4"/>
      <c r="I1117" s="10" t="str">
        <f>HYPERLINK("http://twitter.com/download/android","Twitter for Android")</f>
        <v>Twitter for Android</v>
      </c>
      <c r="J1117" s="2">
        <v>9</v>
      </c>
      <c r="K1117" s="2">
        <v>150</v>
      </c>
      <c r="L1117" s="2">
        <v>0</v>
      </c>
      <c r="M1117" s="2"/>
      <c r="N1117" s="8">
        <v>42982.484756944439</v>
      </c>
      <c r="O1117" s="4" t="s">
        <v>200</v>
      </c>
      <c r="P1117" s="3" t="s">
        <v>5052</v>
      </c>
      <c r="Q1117" s="4"/>
      <c r="R1117" s="4"/>
      <c r="S1117" s="9" t="str">
        <f>HYPERLINK("https://pbs.twimg.com/profile_images/904605692719398918/v0JTIP_K.jpg","View")</f>
        <v>View</v>
      </c>
    </row>
    <row r="1118" spans="1:19" ht="20">
      <c r="A1118" s="8">
        <v>43370.75371527778</v>
      </c>
      <c r="B1118" s="11" t="str">
        <f>HYPERLINK("https://twitter.com/mrun13172","@mrun13172")</f>
        <v>@mrun13172</v>
      </c>
      <c r="C1118" s="6" t="s">
        <v>5051</v>
      </c>
      <c r="D1118" s="5" t="s">
        <v>5050</v>
      </c>
      <c r="E1118" s="9" t="str">
        <f>HYPERLINK("https://twitter.com/mrun13172/status/1045320996398526464","1045320996398526464")</f>
        <v>1045320996398526464</v>
      </c>
      <c r="F1118" s="4"/>
      <c r="G1118" s="4"/>
      <c r="H1118" s="4"/>
      <c r="I1118" s="10" t="str">
        <f>HYPERLINK("http://twitter.com/download/android","Twitter for Android")</f>
        <v>Twitter for Android</v>
      </c>
      <c r="J1118" s="2">
        <v>49</v>
      </c>
      <c r="K1118" s="2">
        <v>1388</v>
      </c>
      <c r="L1118" s="2">
        <v>0</v>
      </c>
      <c r="M1118" s="2"/>
      <c r="N1118" s="8">
        <v>43141.447187500002</v>
      </c>
      <c r="O1118" s="4"/>
      <c r="P1118" s="3" t="s">
        <v>5049</v>
      </c>
      <c r="Q1118" s="4"/>
      <c r="R1118" s="4"/>
      <c r="S1118" s="9" t="str">
        <f>HYPERLINK("https://pbs.twimg.com/profile_images/1018819484180770818/Nz64MbDM.jpg","View")</f>
        <v>View</v>
      </c>
    </row>
    <row r="1119" spans="1:19" ht="30">
      <c r="A1119" s="8">
        <v>43370.753506944442</v>
      </c>
      <c r="B1119" s="11" t="str">
        <f>HYPERLINK("https://twitter.com/beyk_ali","@beyk_ali")</f>
        <v>@beyk_ali</v>
      </c>
      <c r="C1119" s="6" t="s">
        <v>5048</v>
      </c>
      <c r="D1119" s="5" t="s">
        <v>5047</v>
      </c>
      <c r="E1119" s="9" t="str">
        <f>HYPERLINK("https://twitter.com/beyk_ali/status/1045320922016731136","1045320922016731136")</f>
        <v>1045320922016731136</v>
      </c>
      <c r="F1119" s="4"/>
      <c r="G1119" s="4"/>
      <c r="H1119" s="4"/>
      <c r="I1119" s="10" t="str">
        <f>HYPERLINK("http://twitter.com/download/android","Twitter for Android")</f>
        <v>Twitter for Android</v>
      </c>
      <c r="J1119" s="2">
        <v>16</v>
      </c>
      <c r="K1119" s="2">
        <v>38</v>
      </c>
      <c r="L1119" s="2">
        <v>0</v>
      </c>
      <c r="M1119" s="2"/>
      <c r="N1119" s="8">
        <v>43241.77270833333</v>
      </c>
      <c r="O1119" s="4" t="s">
        <v>62</v>
      </c>
      <c r="P1119" s="3" t="s">
        <v>5046</v>
      </c>
      <c r="Q1119" s="4"/>
      <c r="R1119" s="4"/>
      <c r="S1119" s="9" t="str">
        <f>HYPERLINK("https://pbs.twimg.com/profile_images/1010918982050893825/MX5oW4Jq.jpg","View")</f>
        <v>View</v>
      </c>
    </row>
    <row r="1120" spans="1:19" ht="30">
      <c r="A1120" s="8">
        <v>43370.753113425926</v>
      </c>
      <c r="B1120" s="11" t="str">
        <f>HYPERLINK("https://twitter.com/ehsan_cheraghi","@ehsan_cheraghi")</f>
        <v>@ehsan_cheraghi</v>
      </c>
      <c r="C1120" s="6" t="s">
        <v>2106</v>
      </c>
      <c r="D1120" s="5" t="s">
        <v>5045</v>
      </c>
      <c r="E1120" s="9" t="str">
        <f>HYPERLINK("https://twitter.com/ehsan_cheraghi/status/1045320780438020096","1045320780438020096")</f>
        <v>1045320780438020096</v>
      </c>
      <c r="F1120" s="4"/>
      <c r="G1120" s="4"/>
      <c r="H1120" s="4"/>
      <c r="I1120" s="10" t="str">
        <f>HYPERLINK("http://twitter.com/download/android","Twitter for Android")</f>
        <v>Twitter for Android</v>
      </c>
      <c r="J1120" s="2">
        <v>389</v>
      </c>
      <c r="K1120" s="2">
        <v>368</v>
      </c>
      <c r="L1120" s="2">
        <v>0</v>
      </c>
      <c r="M1120" s="2"/>
      <c r="N1120" s="8">
        <v>41306.649108796293</v>
      </c>
      <c r="O1120" s="4"/>
      <c r="P1120" s="3" t="s">
        <v>2104</v>
      </c>
      <c r="Q1120" s="4"/>
      <c r="R1120" s="4"/>
      <c r="S1120" s="9" t="str">
        <f>HYPERLINK("https://pbs.twimg.com/profile_images/1011668002532622339/OSoaz6fi.jpg","View")</f>
        <v>View</v>
      </c>
    </row>
    <row r="1121" spans="1:19" ht="40">
      <c r="A1121" s="8">
        <v>43370.753055555557</v>
      </c>
      <c r="B1121" s="11" t="str">
        <f>HYPERLINK("https://twitter.com/_E_o_c_a_","@_E_o_c_a_")</f>
        <v>@_E_o_c_a_</v>
      </c>
      <c r="C1121" s="6" t="s">
        <v>5044</v>
      </c>
      <c r="D1121" s="5" t="s">
        <v>5043</v>
      </c>
      <c r="E1121" s="9" t="str">
        <f>HYPERLINK("https://twitter.com/_E_o_c_a_/status/1045320756094226432","1045320756094226432")</f>
        <v>1045320756094226432</v>
      </c>
      <c r="F1121" s="4"/>
      <c r="G1121" s="10" t="s">
        <v>5042</v>
      </c>
      <c r="H1121" s="4"/>
      <c r="I1121" s="10" t="str">
        <f>HYPERLINK("http://twitter.com/download/android","Twitter for Android")</f>
        <v>Twitter for Android</v>
      </c>
      <c r="J1121" s="2">
        <v>14</v>
      </c>
      <c r="K1121" s="2">
        <v>15</v>
      </c>
      <c r="L1121" s="2">
        <v>0</v>
      </c>
      <c r="M1121" s="2"/>
      <c r="N1121" s="8">
        <v>43084.844513888893</v>
      </c>
      <c r="O1121" s="4"/>
      <c r="P1121" s="3"/>
      <c r="Q1121" s="4"/>
      <c r="R1121" s="4"/>
      <c r="S1121" s="9" t="str">
        <f>HYPERLINK("https://pbs.twimg.com/profile_images/1043781679712821248/owhGu_WV.jpg","View")</f>
        <v>View</v>
      </c>
    </row>
    <row r="1122" spans="1:19" ht="12.5">
      <c r="A1122" s="8">
        <v>43370.752916666665</v>
      </c>
      <c r="B1122" s="11" t="str">
        <f>HYPERLINK("https://twitter.com/monolozh","@monolozh")</f>
        <v>@monolozh</v>
      </c>
      <c r="C1122" s="6" t="s">
        <v>5041</v>
      </c>
      <c r="D1122" s="5" t="s">
        <v>5040</v>
      </c>
      <c r="E1122" s="9" t="str">
        <f>HYPERLINK("https://twitter.com/monolozh/status/1045320707595489280","1045320707595489280")</f>
        <v>1045320707595489280</v>
      </c>
      <c r="F1122" s="4"/>
      <c r="G1122" s="10" t="s">
        <v>5039</v>
      </c>
      <c r="H1122" s="4"/>
      <c r="I1122" s="10" t="str">
        <f>HYPERLINK("http://twitter.com/download/android","Twitter for Android")</f>
        <v>Twitter for Android</v>
      </c>
      <c r="J1122" s="2">
        <v>482</v>
      </c>
      <c r="K1122" s="2">
        <v>1109</v>
      </c>
      <c r="L1122" s="2">
        <v>1</v>
      </c>
      <c r="M1122" s="2"/>
      <c r="N1122" s="8">
        <v>43104.659826388888</v>
      </c>
      <c r="O1122" s="4"/>
      <c r="P1122" s="3" t="s">
        <v>5038</v>
      </c>
      <c r="Q1122" s="4"/>
      <c r="R1122" s="4"/>
      <c r="S1122" s="9" t="str">
        <f>HYPERLINK("https://pbs.twimg.com/profile_images/1015319293301526529/3FQrcE2Q.jpg","View")</f>
        <v>View</v>
      </c>
    </row>
    <row r="1123" spans="1:19" ht="12.5">
      <c r="A1123" s="8">
        <v>43370.752881944441</v>
      </c>
      <c r="B1123" s="11" t="str">
        <f>HYPERLINK("https://twitter.com/eshtebah_bad","@eshtebah_bad")</f>
        <v>@eshtebah_bad</v>
      </c>
      <c r="C1123" s="6" t="s">
        <v>5037</v>
      </c>
      <c r="D1123" s="5" t="s">
        <v>5036</v>
      </c>
      <c r="E1123" s="9" t="str">
        <f>HYPERLINK("https://twitter.com/eshtebah_bad/status/1045320695612403712","1045320695612403712")</f>
        <v>1045320695612403712</v>
      </c>
      <c r="F1123" s="4"/>
      <c r="G1123" s="4"/>
      <c r="H1123" s="4"/>
      <c r="I1123" s="10" t="str">
        <f>HYPERLINK("http://twitter.com","Twitter Web Client")</f>
        <v>Twitter Web Client</v>
      </c>
      <c r="J1123" s="2">
        <v>204</v>
      </c>
      <c r="K1123" s="2">
        <v>410</v>
      </c>
      <c r="L1123" s="2">
        <v>0</v>
      </c>
      <c r="M1123" s="2"/>
      <c r="N1123" s="8">
        <v>43356.520405092597</v>
      </c>
      <c r="O1123" s="4" t="s">
        <v>5035</v>
      </c>
      <c r="P1123" s="3" t="s">
        <v>5034</v>
      </c>
      <c r="Q1123" s="4"/>
      <c r="R1123" s="4"/>
      <c r="S1123" s="9" t="str">
        <f>HYPERLINK("https://pbs.twimg.com/profile_images/1043571091199995904/9XEc1xN7.jpg","View")</f>
        <v>View</v>
      </c>
    </row>
    <row r="1124" spans="1:19" ht="30">
      <c r="A1124" s="8">
        <v>43370.752800925926</v>
      </c>
      <c r="B1124" s="11" t="str">
        <f>HYPERLINK("https://twitter.com/Mortezaghasemi","@Mortezaghasemi")</f>
        <v>@Mortezaghasemi</v>
      </c>
      <c r="C1124" s="6" t="s">
        <v>5033</v>
      </c>
      <c r="D1124" s="5" t="s">
        <v>5032</v>
      </c>
      <c r="E1124" s="9" t="str">
        <f>HYPERLINK("https://twitter.com/Mortezaghasemi/status/1045320666311008256","1045320666311008256")</f>
        <v>1045320666311008256</v>
      </c>
      <c r="F1124" s="4"/>
      <c r="G1124" s="4"/>
      <c r="H1124" s="4"/>
      <c r="I1124" s="10" t="str">
        <f>HYPERLINK("http://twitter.com/download/android","Twitter for Android")</f>
        <v>Twitter for Android</v>
      </c>
      <c r="J1124" s="2">
        <v>266</v>
      </c>
      <c r="K1124" s="2">
        <v>223</v>
      </c>
      <c r="L1124" s="2">
        <v>5</v>
      </c>
      <c r="M1124" s="2"/>
      <c r="N1124" s="8">
        <v>40565.533171296294</v>
      </c>
      <c r="O1124" s="4" t="s">
        <v>10</v>
      </c>
      <c r="P1124" s="3"/>
      <c r="Q1124" s="10" t="s">
        <v>5031</v>
      </c>
      <c r="R1124" s="4"/>
      <c r="S1124" s="9" t="str">
        <f>HYPERLINK("https://pbs.twimg.com/profile_images/1035812874420211713/PfNo5YOB.jpg","View")</f>
        <v>View</v>
      </c>
    </row>
    <row r="1125" spans="1:19" ht="20">
      <c r="A1125" s="8">
        <v>43370.752638888887</v>
      </c>
      <c r="B1125" s="11" t="str">
        <f>HYPERLINK("https://twitter.com/Hsabetnezhad","@Hsabetnezhad")</f>
        <v>@Hsabetnezhad</v>
      </c>
      <c r="C1125" s="6" t="s">
        <v>3328</v>
      </c>
      <c r="D1125" s="5" t="s">
        <v>5030</v>
      </c>
      <c r="E1125" s="9" t="str">
        <f>HYPERLINK("https://twitter.com/Hsabetnezhad/status/1045320607662059520","1045320607662059520")</f>
        <v>1045320607662059520</v>
      </c>
      <c r="F1125" s="4"/>
      <c r="G1125" s="10" t="s">
        <v>5029</v>
      </c>
      <c r="H1125" s="4"/>
      <c r="I1125" s="10" t="str">
        <f>HYPERLINK("http://twitter.com/download/android","Twitter for Android")</f>
        <v>Twitter for Android</v>
      </c>
      <c r="J1125" s="2">
        <v>5</v>
      </c>
      <c r="K1125" s="2">
        <v>5</v>
      </c>
      <c r="L1125" s="2">
        <v>0</v>
      </c>
      <c r="M1125" s="2"/>
      <c r="N1125" s="8">
        <v>43312.482604166667</v>
      </c>
      <c r="O1125" s="4"/>
      <c r="P1125" s="3" t="s">
        <v>3326</v>
      </c>
      <c r="Q1125" s="4"/>
      <c r="R1125" s="4"/>
      <c r="S1125" s="9" t="str">
        <f>HYPERLINK("https://pbs.twimg.com/profile_images/1024191985555521538/exTqhQio.jpg","View")</f>
        <v>View</v>
      </c>
    </row>
    <row r="1126" spans="1:19" ht="30">
      <c r="A1126" s="8">
        <v>43370.752627314811</v>
      </c>
      <c r="B1126" s="11" t="str">
        <f>HYPERLINK("https://twitter.com/davoodamini","@davoodamini")</f>
        <v>@davoodamini</v>
      </c>
      <c r="C1126" s="6" t="s">
        <v>5028</v>
      </c>
      <c r="D1126" s="5" t="s">
        <v>5027</v>
      </c>
      <c r="E1126" s="9" t="str">
        <f>HYPERLINK("https://twitter.com/davoodamini/status/1045320604709277696","1045320604709277696")</f>
        <v>1045320604709277696</v>
      </c>
      <c r="F1126" s="4"/>
      <c r="G1126" s="10" t="s">
        <v>5026</v>
      </c>
      <c r="H1126" s="4"/>
      <c r="I1126" s="10" t="str">
        <f>HYPERLINK("http://twitter.com","Twitter Web Client")</f>
        <v>Twitter Web Client</v>
      </c>
      <c r="J1126" s="2">
        <v>116</v>
      </c>
      <c r="K1126" s="2">
        <v>293</v>
      </c>
      <c r="L1126" s="2">
        <v>4</v>
      </c>
      <c r="M1126" s="2"/>
      <c r="N1126" s="8">
        <v>40313.67123842593</v>
      </c>
      <c r="O1126" s="4" t="s">
        <v>5025</v>
      </c>
      <c r="P1126" s="3" t="s">
        <v>5024</v>
      </c>
      <c r="Q1126" s="10" t="s">
        <v>5023</v>
      </c>
      <c r="R1126" s="4"/>
      <c r="S1126" s="9" t="str">
        <f>HYPERLINK("https://pbs.twimg.com/profile_images/1010544733075197959/yetCUnxj.jpg","View")</f>
        <v>View</v>
      </c>
    </row>
    <row r="1127" spans="1:19" ht="20">
      <c r="A1127" s="8">
        <v>43370.752592592587</v>
      </c>
      <c r="B1127" s="11" t="str">
        <f>HYPERLINK("https://twitter.com/neginazadi","@neginazadi")</f>
        <v>@neginazadi</v>
      </c>
      <c r="C1127" s="6" t="s">
        <v>5022</v>
      </c>
      <c r="D1127" s="5" t="s">
        <v>5021</v>
      </c>
      <c r="E1127" s="9" t="str">
        <f>HYPERLINK("https://twitter.com/neginazadi/status/1045320592193449985","1045320592193449985")</f>
        <v>1045320592193449985</v>
      </c>
      <c r="F1127" s="4"/>
      <c r="G1127" s="4"/>
      <c r="H1127" s="4"/>
      <c r="I1127" s="10" t="str">
        <f>HYPERLINK("http://twitter.com/download/android","Twitter for Android")</f>
        <v>Twitter for Android</v>
      </c>
      <c r="J1127" s="2">
        <v>113</v>
      </c>
      <c r="K1127" s="2">
        <v>245</v>
      </c>
      <c r="L1127" s="2">
        <v>2</v>
      </c>
      <c r="M1127" s="2"/>
      <c r="N1127" s="8">
        <v>41170.958379629628</v>
      </c>
      <c r="O1127" s="4" t="s">
        <v>10</v>
      </c>
      <c r="P1127" s="3" t="s">
        <v>5020</v>
      </c>
      <c r="Q1127" s="4"/>
      <c r="R1127" s="4"/>
      <c r="S1127" s="9" t="str">
        <f>HYPERLINK("https://pbs.twimg.com/profile_images/1035204916678148097/XGMFWwEt.jpg","View")</f>
        <v>View</v>
      </c>
    </row>
    <row r="1128" spans="1:19" ht="20">
      <c r="A1128" s="8">
        <v>43370.752581018518</v>
      </c>
      <c r="B1128" s="11" t="str">
        <f>HYPERLINK("https://twitter.com/mehdi8511","@mehdi8511")</f>
        <v>@mehdi8511</v>
      </c>
      <c r="C1128" s="6" t="s">
        <v>5019</v>
      </c>
      <c r="D1128" s="5" t="s">
        <v>5018</v>
      </c>
      <c r="E1128" s="9" t="str">
        <f>HYPERLINK("https://twitter.com/mehdi8511/status/1045320586090762241","1045320586090762241")</f>
        <v>1045320586090762241</v>
      </c>
      <c r="F1128" s="4"/>
      <c r="G1128" s="4"/>
      <c r="H1128" s="4"/>
      <c r="I1128" s="10" t="str">
        <f>HYPERLINK("http://twitter.com/download/iphone","Twitter for iPhone")</f>
        <v>Twitter for iPhone</v>
      </c>
      <c r="J1128" s="2">
        <v>544</v>
      </c>
      <c r="K1128" s="2">
        <v>529</v>
      </c>
      <c r="L1128" s="2">
        <v>0</v>
      </c>
      <c r="M1128" s="2"/>
      <c r="N1128" s="8">
        <v>42968.536412037036</v>
      </c>
      <c r="O1128" s="4" t="s">
        <v>200</v>
      </c>
      <c r="P1128" s="3" t="s">
        <v>5017</v>
      </c>
      <c r="Q1128" s="4"/>
      <c r="R1128" s="4"/>
      <c r="S1128" s="9" t="str">
        <f>HYPERLINK("https://pbs.twimg.com/profile_images/1017284507714629632/ugGGyMlr.jpg","View")</f>
        <v>View</v>
      </c>
    </row>
    <row r="1129" spans="1:19" ht="20">
      <c r="A1129" s="8">
        <v>43370.752534722225</v>
      </c>
      <c r="B1129" s="11" t="str">
        <f>HYPERLINK("https://twitter.com/MSiamak","@MSiamak")</f>
        <v>@MSiamak</v>
      </c>
      <c r="C1129" s="6" t="s">
        <v>5016</v>
      </c>
      <c r="D1129" s="5" t="s">
        <v>5015</v>
      </c>
      <c r="E1129" s="9" t="str">
        <f>HYPERLINK("https://twitter.com/MSiamak/status/1045320570127224833","1045320570127224833")</f>
        <v>1045320570127224833</v>
      </c>
      <c r="F1129" s="4"/>
      <c r="G1129" s="10" t="s">
        <v>5014</v>
      </c>
      <c r="H1129" s="4"/>
      <c r="I1129" s="10" t="str">
        <f>HYPERLINK("https://mobile.twitter.com","Twitter Lite")</f>
        <v>Twitter Lite</v>
      </c>
      <c r="J1129" s="2">
        <v>2134</v>
      </c>
      <c r="K1129" s="2">
        <v>1632</v>
      </c>
      <c r="L1129" s="2">
        <v>8</v>
      </c>
      <c r="M1129" s="2"/>
      <c r="N1129" s="8">
        <v>40869.14644675926</v>
      </c>
      <c r="O1129" s="4" t="s">
        <v>2959</v>
      </c>
      <c r="P1129" s="3" t="s">
        <v>5013</v>
      </c>
      <c r="Q1129" s="4"/>
      <c r="R1129" s="4"/>
      <c r="S1129" s="9" t="str">
        <f>HYPERLINK("https://pbs.twimg.com/profile_images/1038445846482886659/lh8j0ZeD.jpg","View")</f>
        <v>View</v>
      </c>
    </row>
    <row r="1130" spans="1:19" ht="12.5">
      <c r="A1130" s="8">
        <v>43370.752511574072</v>
      </c>
      <c r="B1130" s="11" t="str">
        <f>HYPERLINK("https://twitter.com/Khashy_R","@Khashy_R")</f>
        <v>@Khashy_R</v>
      </c>
      <c r="C1130" s="6" t="s">
        <v>5012</v>
      </c>
      <c r="D1130" s="5" t="s">
        <v>5011</v>
      </c>
      <c r="E1130" s="9" t="str">
        <f>HYPERLINK("https://twitter.com/Khashy_R/status/1045320561356812290","1045320561356812290")</f>
        <v>1045320561356812290</v>
      </c>
      <c r="F1130" s="4"/>
      <c r="G1130" s="4"/>
      <c r="H1130" s="4"/>
      <c r="I1130" s="10" t="str">
        <f>HYPERLINK("http://twitter.com/download/android","Twitter for Android")</f>
        <v>Twitter for Android</v>
      </c>
      <c r="J1130" s="2">
        <v>295</v>
      </c>
      <c r="K1130" s="2">
        <v>227</v>
      </c>
      <c r="L1130" s="2">
        <v>2</v>
      </c>
      <c r="M1130" s="2"/>
      <c r="N1130" s="8">
        <v>41476.557835648149</v>
      </c>
      <c r="O1130" s="4" t="s">
        <v>5010</v>
      </c>
      <c r="P1130" s="3" t="s">
        <v>5009</v>
      </c>
      <c r="Q1130" s="4"/>
      <c r="R1130" s="4"/>
      <c r="S1130" s="9" t="str">
        <f>HYPERLINK("https://pbs.twimg.com/profile_images/1020371213963718658/yP4Vw98V.jpg","View")</f>
        <v>View</v>
      </c>
    </row>
    <row r="1131" spans="1:19" ht="12.5">
      <c r="A1131" s="8">
        <v>43370.752407407403</v>
      </c>
      <c r="B1131" s="11" t="str">
        <f>HYPERLINK("https://twitter.com/kamran_baranji","@kamran_baranji")</f>
        <v>@kamran_baranji</v>
      </c>
      <c r="C1131" s="6" t="s">
        <v>5008</v>
      </c>
      <c r="D1131" s="5" t="s">
        <v>5007</v>
      </c>
      <c r="E1131" s="9" t="str">
        <f>HYPERLINK("https://twitter.com/kamran_baranji/status/1045320524660977664","1045320524660977664")</f>
        <v>1045320524660977664</v>
      </c>
      <c r="F1131" s="4"/>
      <c r="G1131" s="10" t="s">
        <v>5006</v>
      </c>
      <c r="H1131" s="4"/>
      <c r="I1131" s="10" t="str">
        <f>HYPERLINK("http://twitter.com/download/android","Twitter for Android")</f>
        <v>Twitter for Android</v>
      </c>
      <c r="J1131" s="2">
        <v>1007</v>
      </c>
      <c r="K1131" s="2">
        <v>95</v>
      </c>
      <c r="L1131" s="2">
        <v>10</v>
      </c>
      <c r="M1131" s="2"/>
      <c r="N1131" s="8">
        <v>42734.90225694445</v>
      </c>
      <c r="O1131" s="4"/>
      <c r="P1131" s="3" t="s">
        <v>5005</v>
      </c>
      <c r="Q1131" s="10" t="s">
        <v>5004</v>
      </c>
      <c r="R1131" s="4"/>
      <c r="S1131" s="9" t="str">
        <f>HYPERLINK("https://pbs.twimg.com/profile_images/1027603438828437505/o-tg-Nk6.jpg","View")</f>
        <v>View</v>
      </c>
    </row>
    <row r="1132" spans="1:19" ht="20">
      <c r="A1132" s="8">
        <v>43370.752326388887</v>
      </c>
      <c r="B1132" s="11" t="str">
        <f>HYPERLINK("https://twitter.com/khabar_varzeshi","@khabar_varzeshi")</f>
        <v>@khabar_varzeshi</v>
      </c>
      <c r="C1132" s="6" t="s">
        <v>2149</v>
      </c>
      <c r="D1132" s="5" t="s">
        <v>5003</v>
      </c>
      <c r="E1132" s="9" t="str">
        <f>HYPERLINK("https://twitter.com/khabar_varzeshi/status/1045320491840540673","1045320491840540673")</f>
        <v>1045320491840540673</v>
      </c>
      <c r="F1132" s="4"/>
      <c r="G1132" s="10" t="s">
        <v>5002</v>
      </c>
      <c r="H1132" s="4"/>
      <c r="I1132" s="10" t="str">
        <f>HYPERLINK("http://twitter.com/download/iphone","Twitter for iPhone")</f>
        <v>Twitter for iPhone</v>
      </c>
      <c r="J1132" s="2">
        <v>1376</v>
      </c>
      <c r="K1132" s="2">
        <v>14</v>
      </c>
      <c r="L1132" s="2">
        <v>5</v>
      </c>
      <c r="M1132" s="2"/>
      <c r="N1132" s="8">
        <v>41846.097685185188</v>
      </c>
      <c r="O1132" s="4" t="s">
        <v>10</v>
      </c>
      <c r="P1132" s="3" t="s">
        <v>2146</v>
      </c>
      <c r="Q1132" s="10" t="s">
        <v>2145</v>
      </c>
      <c r="R1132" s="4"/>
      <c r="S1132" s="9" t="str">
        <f>HYPERLINK("https://pbs.twimg.com/profile_images/1012878354972860419/-iMHGVhI.jpg","View")</f>
        <v>View</v>
      </c>
    </row>
    <row r="1133" spans="1:19" ht="20">
      <c r="A1133" s="8">
        <v>43370.752245370371</v>
      </c>
      <c r="B1133" s="11" t="str">
        <f>HYPERLINK("https://twitter.com/zahra_z69","@zahra_z69")</f>
        <v>@zahra_z69</v>
      </c>
      <c r="C1133" s="6" t="s">
        <v>5001</v>
      </c>
      <c r="D1133" s="5" t="s">
        <v>5000</v>
      </c>
      <c r="E1133" s="9" t="str">
        <f>HYPERLINK("https://twitter.com/zahra_z69/status/1045320462916603904","1045320462916603904")</f>
        <v>1045320462916603904</v>
      </c>
      <c r="F1133" s="4"/>
      <c r="G1133" s="4"/>
      <c r="H1133" s="4"/>
      <c r="I1133" s="10" t="str">
        <f>HYPERLINK("http://twitter.com/download/android","Twitter for Android")</f>
        <v>Twitter for Android</v>
      </c>
      <c r="J1133" s="2">
        <v>172</v>
      </c>
      <c r="K1133" s="2">
        <v>84</v>
      </c>
      <c r="L1133" s="2">
        <v>0</v>
      </c>
      <c r="M1133" s="2"/>
      <c r="N1133" s="8">
        <v>42858.523009259261</v>
      </c>
      <c r="O1133" s="4" t="s">
        <v>10</v>
      </c>
      <c r="P1133" s="3" t="s">
        <v>4999</v>
      </c>
      <c r="Q1133" s="4"/>
      <c r="R1133" s="4"/>
      <c r="S1133" s="9" t="str">
        <f>HYPERLINK("https://pbs.twimg.com/profile_images/1043966011047849984/_lV3pRz5.jpg","View")</f>
        <v>View</v>
      </c>
    </row>
    <row r="1134" spans="1:19" ht="12.5">
      <c r="A1134" s="8">
        <v>43370.752210648148</v>
      </c>
      <c r="B1134" s="11" t="str">
        <f>HYPERLINK("https://twitter.com/somayehabdolahi","@somayehabdolahi")</f>
        <v>@somayehabdolahi</v>
      </c>
      <c r="C1134" s="6" t="s">
        <v>4998</v>
      </c>
      <c r="D1134" s="5" t="s">
        <v>4997</v>
      </c>
      <c r="E1134" s="9" t="str">
        <f>HYPERLINK("https://twitter.com/somayehabdolahi/status/1045320452976054272","1045320452976054272")</f>
        <v>1045320452976054272</v>
      </c>
      <c r="F1134" s="4"/>
      <c r="G1134" s="4"/>
      <c r="H1134" s="4"/>
      <c r="I1134" s="10" t="str">
        <f>HYPERLINK("http://twitter.com/download/android","Twitter for Android")</f>
        <v>Twitter for Android</v>
      </c>
      <c r="J1134" s="2">
        <v>716</v>
      </c>
      <c r="K1134" s="2">
        <v>481</v>
      </c>
      <c r="L1134" s="2">
        <v>2</v>
      </c>
      <c r="M1134" s="2"/>
      <c r="N1134" s="8">
        <v>42965.714317129634</v>
      </c>
      <c r="O1134" s="4" t="s">
        <v>4996</v>
      </c>
      <c r="P1134" s="3" t="s">
        <v>4995</v>
      </c>
      <c r="Q1134" s="4"/>
      <c r="R1134" s="4"/>
      <c r="S1134" s="9" t="str">
        <f>HYPERLINK("https://pbs.twimg.com/profile_images/948944682494709761/4aACbKkP.jpg","View")</f>
        <v>View</v>
      </c>
    </row>
    <row r="1135" spans="1:19" ht="30">
      <c r="A1135" s="8">
        <v>43370.752187499995</v>
      </c>
      <c r="B1135" s="11" t="str">
        <f>HYPERLINK("https://twitter.com/anarchist66","@anarchist66")</f>
        <v>@anarchist66</v>
      </c>
      <c r="C1135" s="6" t="s">
        <v>4994</v>
      </c>
      <c r="D1135" s="5" t="s">
        <v>4993</v>
      </c>
      <c r="E1135" s="9" t="str">
        <f>HYPERLINK("https://twitter.com/anarchist66/status/1045320444604272640","1045320444604272640")</f>
        <v>1045320444604272640</v>
      </c>
      <c r="F1135" s="4"/>
      <c r="G1135" s="4"/>
      <c r="H1135" s="4"/>
      <c r="I1135" s="10" t="str">
        <f>HYPERLINK("https://mobile.twitter.com","Twitter Lite")</f>
        <v>Twitter Lite</v>
      </c>
      <c r="J1135" s="2">
        <v>1492</v>
      </c>
      <c r="K1135" s="2">
        <v>1473</v>
      </c>
      <c r="L1135" s="2">
        <v>24</v>
      </c>
      <c r="M1135" s="2"/>
      <c r="N1135" s="8">
        <v>39975.646157407406</v>
      </c>
      <c r="O1135" s="4" t="s">
        <v>4992</v>
      </c>
      <c r="P1135" s="3" t="s">
        <v>4991</v>
      </c>
      <c r="Q1135" s="10" t="s">
        <v>4990</v>
      </c>
      <c r="R1135" s="4"/>
      <c r="S1135" s="9" t="str">
        <f>HYPERLINK("https://pbs.twimg.com/profile_images/1009548268387397632/_tMGq-_b.jpg","View")</f>
        <v>View</v>
      </c>
    </row>
    <row r="1136" spans="1:19" ht="12.5">
      <c r="A1136" s="8">
        <v>43370.752071759256</v>
      </c>
      <c r="B1136" s="11" t="str">
        <f>HYPERLINK("https://twitter.com/Afra65075329","@Afra65075329")</f>
        <v>@Afra65075329</v>
      </c>
      <c r="C1136" s="6" t="s">
        <v>4989</v>
      </c>
      <c r="D1136" s="5" t="s">
        <v>4988</v>
      </c>
      <c r="E1136" s="9" t="str">
        <f>HYPERLINK("https://twitter.com/Afra65075329/status/1045320399653928961","1045320399653928961")</f>
        <v>1045320399653928961</v>
      </c>
      <c r="F1136" s="4"/>
      <c r="G1136" s="10" t="s">
        <v>4987</v>
      </c>
      <c r="H1136" s="4"/>
      <c r="I1136" s="10" t="str">
        <f>HYPERLINK("http://twitter.com/download/android","Twitter for Android")</f>
        <v>Twitter for Android</v>
      </c>
      <c r="J1136" s="2">
        <v>7</v>
      </c>
      <c r="K1136" s="2">
        <v>11</v>
      </c>
      <c r="L1136" s="2">
        <v>0</v>
      </c>
      <c r="M1136" s="2"/>
      <c r="N1136" s="8">
        <v>43365.942627314813</v>
      </c>
      <c r="O1136" s="4"/>
      <c r="P1136" s="3"/>
      <c r="Q1136" s="4"/>
      <c r="R1136" s="4"/>
      <c r="S1136" s="9" t="str">
        <f>HYPERLINK("https://pbs.twimg.com/profile_images/1045320256816906240/ObDn4Abo.jpg","View")</f>
        <v>View</v>
      </c>
    </row>
    <row r="1137" spans="1:19" ht="40">
      <c r="A1137" s="8">
        <v>43370.751967592594</v>
      </c>
      <c r="B1137" s="11" t="str">
        <f>HYPERLINK("https://twitter.com/MostafaKorfi","@MostafaKorfi")</f>
        <v>@MostafaKorfi</v>
      </c>
      <c r="C1137" s="6" t="s">
        <v>4986</v>
      </c>
      <c r="D1137" s="5" t="s">
        <v>4985</v>
      </c>
      <c r="E1137" s="9" t="str">
        <f>HYPERLINK("https://twitter.com/MostafaKorfi/status/1045320362504933376","1045320362504933376")</f>
        <v>1045320362504933376</v>
      </c>
      <c r="F1137" s="4"/>
      <c r="G1137" s="4"/>
      <c r="H1137" s="4"/>
      <c r="I1137" s="10" t="str">
        <f>HYPERLINK("http://twitter.com/download/android","Twitter for Android")</f>
        <v>Twitter for Android</v>
      </c>
      <c r="J1137" s="2">
        <v>1811</v>
      </c>
      <c r="K1137" s="2">
        <v>628</v>
      </c>
      <c r="L1137" s="2">
        <v>14</v>
      </c>
      <c r="M1137" s="2"/>
      <c r="N1137" s="8">
        <v>43285.431979166664</v>
      </c>
      <c r="O1137" s="4"/>
      <c r="P1137" s="3" t="s">
        <v>4984</v>
      </c>
      <c r="Q1137" s="4"/>
      <c r="R1137" s="4"/>
      <c r="S1137" s="9" t="str">
        <f>HYPERLINK("https://pbs.twimg.com/profile_images/1026262827777105920/v4jzjw4D.jpg","View")</f>
        <v>View</v>
      </c>
    </row>
    <row r="1138" spans="1:19" ht="30">
      <c r="A1138" s="8">
        <v>43370.721400462964</v>
      </c>
      <c r="B1138" s="11" t="str">
        <f>HYPERLINK("https://twitter.com/BrdMousavi","@BrdMousavi")</f>
        <v>@BrdMousavi</v>
      </c>
      <c r="C1138" s="6" t="s">
        <v>4983</v>
      </c>
      <c r="D1138" s="5" t="s">
        <v>4982</v>
      </c>
      <c r="E1138" s="9" t="str">
        <f>HYPERLINK("https://twitter.com/BrdMousavi/status/1045309286941904896","1045309286941904896")</f>
        <v>1045309286941904896</v>
      </c>
      <c r="F1138" s="4"/>
      <c r="G1138" s="4"/>
      <c r="H1138" s="4"/>
      <c r="I1138" s="10" t="str">
        <f>HYPERLINK("http://twitter.com/download/android","Twitter for Android")</f>
        <v>Twitter for Android</v>
      </c>
      <c r="J1138" s="2">
        <v>4621</v>
      </c>
      <c r="K1138" s="2">
        <v>439</v>
      </c>
      <c r="L1138" s="2">
        <v>37</v>
      </c>
      <c r="M1138" s="2"/>
      <c r="N1138" s="8">
        <v>42095.413807870369</v>
      </c>
      <c r="O1138" s="4" t="s">
        <v>10</v>
      </c>
      <c r="P1138" s="3" t="s">
        <v>4981</v>
      </c>
      <c r="Q1138" s="4"/>
      <c r="R1138" s="4"/>
      <c r="S1138" s="9" t="str">
        <f>HYPERLINK("https://pbs.twimg.com/profile_images/1025438337207869440/1fe9DCCH.jpg","View")</f>
        <v>View</v>
      </c>
    </row>
    <row r="1139" spans="1:19" ht="20">
      <c r="A1139" s="8">
        <v>43370.721226851849</v>
      </c>
      <c r="B1139" s="11" t="str">
        <f>HYPERLINK("https://twitter.com/rahim_grkz","@rahim_grkz")</f>
        <v>@rahim_grkz</v>
      </c>
      <c r="C1139" s="6" t="s">
        <v>4980</v>
      </c>
      <c r="D1139" s="5" t="s">
        <v>4979</v>
      </c>
      <c r="E1139" s="9" t="str">
        <f>HYPERLINK("https://twitter.com/rahim_grkz/status/1045309223226273793","1045309223226273793")</f>
        <v>1045309223226273793</v>
      </c>
      <c r="F1139" s="4"/>
      <c r="G1139" s="4"/>
      <c r="H1139" s="4"/>
      <c r="I1139" s="10" t="str">
        <f>HYPERLINK("https://mobile.twitter.com","Twitter Lite")</f>
        <v>Twitter Lite</v>
      </c>
      <c r="J1139" s="2">
        <v>97</v>
      </c>
      <c r="K1139" s="2">
        <v>72</v>
      </c>
      <c r="L1139" s="2">
        <v>0</v>
      </c>
      <c r="M1139" s="2"/>
      <c r="N1139" s="8">
        <v>42605.236111111109</v>
      </c>
      <c r="O1139" s="4"/>
      <c r="P1139" s="3" t="s">
        <v>4978</v>
      </c>
      <c r="Q1139" s="10" t="s">
        <v>4977</v>
      </c>
      <c r="R1139" s="4"/>
      <c r="S1139" s="9" t="str">
        <f>HYPERLINK("https://pbs.twimg.com/profile_images/1024740882547924992/02II7Lyh.jpg","View")</f>
        <v>View</v>
      </c>
    </row>
    <row r="1140" spans="1:19" ht="20">
      <c r="A1140" s="8">
        <v>43370.721064814818</v>
      </c>
      <c r="B1140" s="11" t="str">
        <f>HYPERLINK("https://twitter.com/dariushkh58","@dariushkh58")</f>
        <v>@dariushkh58</v>
      </c>
      <c r="C1140" s="6" t="s">
        <v>1253</v>
      </c>
      <c r="D1140" s="5" t="s">
        <v>4976</v>
      </c>
      <c r="E1140" s="9" t="str">
        <f>HYPERLINK("https://twitter.com/dariushkh58/status/1045309163885264896","1045309163885264896")</f>
        <v>1045309163885264896</v>
      </c>
      <c r="F1140" s="4"/>
      <c r="G1140" s="10" t="s">
        <v>4975</v>
      </c>
      <c r="H1140" s="4"/>
      <c r="I1140" s="10" t="str">
        <f>HYPERLINK("http://twitter.com/download/android","Twitter for Android")</f>
        <v>Twitter for Android</v>
      </c>
      <c r="J1140" s="2">
        <v>504</v>
      </c>
      <c r="K1140" s="2">
        <v>1620</v>
      </c>
      <c r="L1140" s="2">
        <v>1</v>
      </c>
      <c r="M1140" s="2"/>
      <c r="N1140" s="8">
        <v>41373.710312499999</v>
      </c>
      <c r="O1140" s="4" t="s">
        <v>254</v>
      </c>
      <c r="P1140" s="3" t="s">
        <v>1251</v>
      </c>
      <c r="Q1140" s="10" t="s">
        <v>1250</v>
      </c>
      <c r="R1140" s="4"/>
      <c r="S1140" s="9" t="str">
        <f>HYPERLINK("https://pbs.twimg.com/profile_images/1044547955620040706/YfeWSlxq.jpg","View")</f>
        <v>View</v>
      </c>
    </row>
    <row r="1141" spans="1:19" ht="20">
      <c r="A1141" s="8">
        <v>43370.720694444448</v>
      </c>
      <c r="B1141" s="11" t="str">
        <f>HYPERLINK("https://twitter.com/AmooTooraj","@AmooTooraj")</f>
        <v>@AmooTooraj</v>
      </c>
      <c r="C1141" s="6" t="s">
        <v>2800</v>
      </c>
      <c r="D1141" s="5" t="s">
        <v>4974</v>
      </c>
      <c r="E1141" s="9" t="str">
        <f>HYPERLINK("https://twitter.com/AmooTooraj/status/1045309031697580032","1045309031697580032")</f>
        <v>1045309031697580032</v>
      </c>
      <c r="F1141" s="4"/>
      <c r="G1141" s="4"/>
      <c r="H1141" s="4"/>
      <c r="I1141" s="10" t="str">
        <f>HYPERLINK("http://twitter.com/download/android","Twitter for Android")</f>
        <v>Twitter for Android</v>
      </c>
      <c r="J1141" s="2">
        <v>36</v>
      </c>
      <c r="K1141" s="2">
        <v>108</v>
      </c>
      <c r="L1141" s="2">
        <v>0</v>
      </c>
      <c r="M1141" s="2"/>
      <c r="N1141" s="8">
        <v>43241.842083333337</v>
      </c>
      <c r="O1141" s="4" t="s">
        <v>10</v>
      </c>
      <c r="P1141" s="3" t="s">
        <v>2798</v>
      </c>
      <c r="Q1141" s="4"/>
      <c r="R1141" s="4"/>
      <c r="S1141" s="9" t="str">
        <f>HYPERLINK("https://pbs.twimg.com/profile_images/1040857103391514624/tuS3R6FX.jpg","View")</f>
        <v>View</v>
      </c>
    </row>
    <row r="1142" spans="1:19" ht="20">
      <c r="A1142" s="8">
        <v>43370.720567129625</v>
      </c>
      <c r="B1142" s="11" t="str">
        <f>HYPERLINK("https://twitter.com/hamid_mhosseini","@hamid_mhosseini")</f>
        <v>@hamid_mhosseini</v>
      </c>
      <c r="C1142" s="6" t="s">
        <v>4973</v>
      </c>
      <c r="D1142" s="5" t="s">
        <v>4972</v>
      </c>
      <c r="E1142" s="9" t="str">
        <f>HYPERLINK("https://twitter.com/hamid_mhosseini/status/1045308985711226880","1045308985711226880")</f>
        <v>1045308985711226880</v>
      </c>
      <c r="F1142" s="4"/>
      <c r="G1142" s="4"/>
      <c r="H1142" s="4"/>
      <c r="I1142" s="10" t="str">
        <f>HYPERLINK("http://twitter.com/download/android","Twitter for Android")</f>
        <v>Twitter for Android</v>
      </c>
      <c r="J1142" s="2">
        <v>747</v>
      </c>
      <c r="K1142" s="2">
        <v>779</v>
      </c>
      <c r="L1142" s="2">
        <v>3</v>
      </c>
      <c r="M1142" s="2"/>
      <c r="N1142" s="8">
        <v>42643.665949074071</v>
      </c>
      <c r="O1142" s="4" t="s">
        <v>254</v>
      </c>
      <c r="P1142" s="3" t="s">
        <v>4971</v>
      </c>
      <c r="Q1142" s="4"/>
      <c r="R1142" s="4"/>
      <c r="S1142" s="9" t="str">
        <f>HYPERLINK("https://pbs.twimg.com/profile_images/1040056137016598534/2VV5BP0F.jpg","View")</f>
        <v>View</v>
      </c>
    </row>
    <row r="1143" spans="1:19" ht="12.5">
      <c r="A1143" s="8">
        <v>43370.720162037032</v>
      </c>
      <c r="B1143" s="11" t="str">
        <f>HYPERLINK("https://twitter.com/ZarghamiFarshad","@ZarghamiFarshad")</f>
        <v>@ZarghamiFarshad</v>
      </c>
      <c r="C1143" s="6" t="s">
        <v>4970</v>
      </c>
      <c r="D1143" s="5" t="s">
        <v>4969</v>
      </c>
      <c r="E1143" s="9" t="str">
        <f>HYPERLINK("https://twitter.com/ZarghamiFarshad/status/1045308837778137091","1045308837778137091")</f>
        <v>1045308837778137091</v>
      </c>
      <c r="F1143" s="4"/>
      <c r="G1143" s="4"/>
      <c r="H1143" s="4"/>
      <c r="I1143" s="10" t="str">
        <f>HYPERLINK("http://twitter.com/download/android","Twitter for Android")</f>
        <v>Twitter for Android</v>
      </c>
      <c r="J1143" s="2">
        <v>529</v>
      </c>
      <c r="K1143" s="2">
        <v>359</v>
      </c>
      <c r="L1143" s="2">
        <v>2</v>
      </c>
      <c r="M1143" s="2"/>
      <c r="N1143" s="8">
        <v>42799.765428240746</v>
      </c>
      <c r="O1143" s="4"/>
      <c r="P1143" s="3" t="s">
        <v>4968</v>
      </c>
      <c r="Q1143" s="4"/>
      <c r="R1143" s="4"/>
      <c r="S1143" s="9" t="str">
        <f>HYPERLINK("https://pbs.twimg.com/profile_images/1018249141489623040/AsU_T3KM.jpg","View")</f>
        <v>View</v>
      </c>
    </row>
    <row r="1144" spans="1:19" ht="30">
      <c r="A1144" s="8">
        <v>43370.720034722224</v>
      </c>
      <c r="B1144" s="11" t="str">
        <f>HYPERLINK("https://twitter.com/alisharei97","@alisharei97")</f>
        <v>@alisharei97</v>
      </c>
      <c r="C1144" s="6" t="s">
        <v>4967</v>
      </c>
      <c r="D1144" s="5" t="s">
        <v>4966</v>
      </c>
      <c r="E1144" s="9" t="str">
        <f>HYPERLINK("https://twitter.com/alisharei97/status/1045308791846313984","1045308791846313984")</f>
        <v>1045308791846313984</v>
      </c>
      <c r="F1144" s="4"/>
      <c r="G1144" s="4"/>
      <c r="H1144" s="4"/>
      <c r="I1144" s="10" t="str">
        <f>HYPERLINK("http://twitter.com/download/android","Twitter for Android")</f>
        <v>Twitter for Android</v>
      </c>
      <c r="J1144" s="2">
        <v>285</v>
      </c>
      <c r="K1144" s="2">
        <v>970</v>
      </c>
      <c r="L1144" s="2">
        <v>2</v>
      </c>
      <c r="M1144" s="2"/>
      <c r="N1144" s="8">
        <v>42915.467060185183</v>
      </c>
      <c r="O1144" s="4" t="s">
        <v>200</v>
      </c>
      <c r="P1144" s="3" t="s">
        <v>4965</v>
      </c>
      <c r="Q1144" s="10" t="s">
        <v>4964</v>
      </c>
      <c r="R1144" s="4"/>
      <c r="S1144" s="9" t="str">
        <f>HYPERLINK("https://pbs.twimg.com/profile_images/885959413860904960/tYgIwDbt.jpg","View")</f>
        <v>View</v>
      </c>
    </row>
    <row r="1145" spans="1:19" ht="20">
      <c r="A1145" s="8">
        <v>43370.719652777778</v>
      </c>
      <c r="B1145" s="11" t="str">
        <f>HYPERLINK("https://twitter.com/zargoliiiiii","@zargoliiiiii")</f>
        <v>@zargoliiiiii</v>
      </c>
      <c r="C1145" s="6" t="s">
        <v>4963</v>
      </c>
      <c r="D1145" s="5" t="s">
        <v>4962</v>
      </c>
      <c r="E1145" s="9" t="str">
        <f>HYPERLINK("https://twitter.com/zargoliiiiii/status/1045308654453485568","1045308654453485568")</f>
        <v>1045308654453485568</v>
      </c>
      <c r="F1145" s="4"/>
      <c r="G1145" s="4"/>
      <c r="H1145" s="4"/>
      <c r="I1145" s="10" t="str">
        <f>HYPERLINK("http://twitter.com/download/android","Twitter for Android")</f>
        <v>Twitter for Android</v>
      </c>
      <c r="J1145" s="2">
        <v>106</v>
      </c>
      <c r="K1145" s="2">
        <v>70</v>
      </c>
      <c r="L1145" s="2">
        <v>0</v>
      </c>
      <c r="M1145" s="2"/>
      <c r="N1145" s="8">
        <v>43066.961724537032</v>
      </c>
      <c r="O1145" s="4" t="s">
        <v>4961</v>
      </c>
      <c r="P1145" s="3"/>
      <c r="Q1145" s="4"/>
      <c r="R1145" s="4"/>
      <c r="S1145" s="9" t="str">
        <f>HYPERLINK("https://pbs.twimg.com/profile_images/1040299978634260487/QFCbFg5n.jpg","View")</f>
        <v>View</v>
      </c>
    </row>
    <row r="1146" spans="1:19" ht="12.5">
      <c r="A1146" s="8">
        <v>43370.719641203701</v>
      </c>
      <c r="B1146" s="11" t="str">
        <f>HYPERLINK("https://twitter.com/kimya25230879","@kimya25230879")</f>
        <v>@kimya25230879</v>
      </c>
      <c r="C1146" s="6" t="s">
        <v>4960</v>
      </c>
      <c r="D1146" s="5" t="s">
        <v>942</v>
      </c>
      <c r="E1146" s="9" t="str">
        <f>HYPERLINK("https://twitter.com/kimya25230879/status/1045308648543711232","1045308648543711232")</f>
        <v>1045308648543711232</v>
      </c>
      <c r="F1146" s="4"/>
      <c r="G1146" s="4"/>
      <c r="H1146" s="4"/>
      <c r="I1146" s="10" t="str">
        <f>HYPERLINK("http://twitter.com","Twitter Web Client")</f>
        <v>Twitter Web Client</v>
      </c>
      <c r="J1146" s="2">
        <v>232</v>
      </c>
      <c r="K1146" s="2">
        <v>1919</v>
      </c>
      <c r="L1146" s="2">
        <v>1</v>
      </c>
      <c r="M1146" s="2"/>
      <c r="N1146" s="8">
        <v>43369.483414351853</v>
      </c>
      <c r="O1146" s="4"/>
      <c r="P1146" s="3" t="s">
        <v>4959</v>
      </c>
      <c r="Q1146" s="4"/>
      <c r="R1146" s="4"/>
      <c r="S1146" s="9" t="str">
        <f>HYPERLINK("https://pbs.twimg.com/profile_images/1044861323157409793/fnuZb92q.jpg","View")</f>
        <v>View</v>
      </c>
    </row>
    <row r="1147" spans="1:19" ht="20">
      <c r="A1147" s="8">
        <v>43370.719594907408</v>
      </c>
      <c r="B1147" s="11" t="str">
        <f>HYPERLINK("https://twitter.com/Salehp","@Salehp")</f>
        <v>@Salehp</v>
      </c>
      <c r="C1147" s="6" t="s">
        <v>2855</v>
      </c>
      <c r="D1147" s="5" t="s">
        <v>4958</v>
      </c>
      <c r="E1147" s="9" t="str">
        <f>HYPERLINK("https://twitter.com/Salehp/status/1045308632370479105","1045308632370479105")</f>
        <v>1045308632370479105</v>
      </c>
      <c r="F1147" s="4"/>
      <c r="G1147" s="10" t="s">
        <v>4957</v>
      </c>
      <c r="H1147" s="4"/>
      <c r="I1147" s="10" t="str">
        <f>HYPERLINK("http://twitter.com/download/iphone","Twitter for iPhone")</f>
        <v>Twitter for iPhone</v>
      </c>
      <c r="J1147" s="2">
        <v>371</v>
      </c>
      <c r="K1147" s="2">
        <v>691</v>
      </c>
      <c r="L1147" s="2">
        <v>5</v>
      </c>
      <c r="M1147" s="2"/>
      <c r="N1147" s="8">
        <v>39981.185763888891</v>
      </c>
      <c r="O1147" s="4" t="s">
        <v>1019</v>
      </c>
      <c r="P1147" s="3" t="s">
        <v>2853</v>
      </c>
      <c r="Q1147" s="4"/>
      <c r="R1147" s="4"/>
      <c r="S1147" s="9" t="str">
        <f>HYPERLINK("https://pbs.twimg.com/profile_images/1029407383011946497/5fRtdKmb.jpg","View")</f>
        <v>View</v>
      </c>
    </row>
    <row r="1148" spans="1:19" ht="30">
      <c r="A1148" s="8">
        <v>43370.719594907408</v>
      </c>
      <c r="B1148" s="11" t="str">
        <f>HYPERLINK("https://twitter.com/REZAAA1999","@REZAAA1999")</f>
        <v>@REZAAA1999</v>
      </c>
      <c r="C1148" s="6" t="s">
        <v>823</v>
      </c>
      <c r="D1148" s="5" t="s">
        <v>4956</v>
      </c>
      <c r="E1148" s="9" t="str">
        <f>HYPERLINK("https://twitter.com/REZAAA1999/status/1045308631808397312","1045308631808397312")</f>
        <v>1045308631808397312</v>
      </c>
      <c r="F1148" s="4"/>
      <c r="G1148" s="4"/>
      <c r="H1148" s="4"/>
      <c r="I1148" s="10" t="str">
        <f>HYPERLINK("http://twitter.com/download/android","Twitter for Android")</f>
        <v>Twitter for Android</v>
      </c>
      <c r="J1148" s="2">
        <v>3258</v>
      </c>
      <c r="K1148" s="2">
        <v>1370</v>
      </c>
      <c r="L1148" s="2">
        <v>13</v>
      </c>
      <c r="M1148" s="2"/>
      <c r="N1148" s="8">
        <v>43028.945601851854</v>
      </c>
      <c r="O1148" s="4" t="s">
        <v>822</v>
      </c>
      <c r="P1148" s="3" t="s">
        <v>821</v>
      </c>
      <c r="Q1148" s="10" t="s">
        <v>820</v>
      </c>
      <c r="R1148" s="4"/>
      <c r="S1148" s="9" t="str">
        <f>HYPERLINK("https://pbs.twimg.com/profile_images/1042829654124621825/xd3pfBSh.jpg","View")</f>
        <v>View</v>
      </c>
    </row>
    <row r="1149" spans="1:19" ht="20">
      <c r="A1149" s="8">
        <v>43370.719583333332</v>
      </c>
      <c r="B1149" s="11" t="str">
        <f>HYPERLINK("https://twitter.com/Alex04370935","@Alex04370935")</f>
        <v>@Alex04370935</v>
      </c>
      <c r="C1149" s="6" t="s">
        <v>4955</v>
      </c>
      <c r="D1149" s="5" t="s">
        <v>4954</v>
      </c>
      <c r="E1149" s="9" t="str">
        <f>HYPERLINK("https://twitter.com/Alex04370935/status/1045308629526740993","1045308629526740993")</f>
        <v>1045308629526740993</v>
      </c>
      <c r="F1149" s="4"/>
      <c r="G1149" s="4"/>
      <c r="H1149" s="4"/>
      <c r="I1149" s="10" t="str">
        <f>HYPERLINK("http://twitter.com/download/android","Twitter for Android")</f>
        <v>Twitter for Android</v>
      </c>
      <c r="J1149" s="2">
        <v>451</v>
      </c>
      <c r="K1149" s="2">
        <v>232</v>
      </c>
      <c r="L1149" s="2">
        <v>2</v>
      </c>
      <c r="M1149" s="2"/>
      <c r="N1149" s="8">
        <v>43167.85800925926</v>
      </c>
      <c r="O1149" s="4" t="s">
        <v>414</v>
      </c>
      <c r="P1149" s="3" t="s">
        <v>4953</v>
      </c>
      <c r="Q1149" s="4"/>
      <c r="R1149" s="4"/>
      <c r="S1149" s="9" t="str">
        <f>HYPERLINK("https://pbs.twimg.com/profile_images/974693433834180608/DUQ-7Bau.jpg","View")</f>
        <v>View</v>
      </c>
    </row>
    <row r="1150" spans="1:19" ht="20">
      <c r="A1150" s="8">
        <v>43370.719513888893</v>
      </c>
      <c r="B1150" s="11" t="str">
        <f>HYPERLINK("https://twitter.com/nima971","@nima971")</f>
        <v>@nima971</v>
      </c>
      <c r="C1150" s="6" t="s">
        <v>4952</v>
      </c>
      <c r="D1150" s="5" t="s">
        <v>4951</v>
      </c>
      <c r="E1150" s="9" t="str">
        <f>HYPERLINK("https://twitter.com/nima971/status/1045308603555565569","1045308603555565569")</f>
        <v>1045308603555565569</v>
      </c>
      <c r="F1150" s="4"/>
      <c r="G1150" s="4"/>
      <c r="H1150" s="4"/>
      <c r="I1150" s="10" t="str">
        <f>HYPERLINK("http://twitter.com/download/android","Twitter for Android")</f>
        <v>Twitter for Android</v>
      </c>
      <c r="J1150" s="2">
        <v>381</v>
      </c>
      <c r="K1150" s="2">
        <v>674</v>
      </c>
      <c r="L1150" s="2">
        <v>3</v>
      </c>
      <c r="M1150" s="2"/>
      <c r="N1150" s="8">
        <v>43162.656805555554</v>
      </c>
      <c r="O1150" s="4" t="s">
        <v>4950</v>
      </c>
      <c r="P1150" s="3" t="s">
        <v>4949</v>
      </c>
      <c r="Q1150" s="4"/>
      <c r="R1150" s="4"/>
      <c r="S1150" s="9" t="str">
        <f>HYPERLINK("https://pbs.twimg.com/profile_images/969909905661530112/bYcmGUiL.jpg","View")</f>
        <v>View</v>
      </c>
    </row>
    <row r="1151" spans="1:19" ht="30">
      <c r="A1151" s="8">
        <v>43370.719328703708</v>
      </c>
      <c r="B1151" s="11" t="str">
        <f>HYPERLINK("https://twitter.com/maral_8888","@maral_8888")</f>
        <v>@maral_8888</v>
      </c>
      <c r="C1151" s="6" t="s">
        <v>1527</v>
      </c>
      <c r="D1151" s="5" t="s">
        <v>4948</v>
      </c>
      <c r="E1151" s="9" t="str">
        <f>HYPERLINK("https://twitter.com/maral_8888/status/1045308535490449409","1045308535490449409")</f>
        <v>1045308535490449409</v>
      </c>
      <c r="F1151" s="4"/>
      <c r="G1151" s="4"/>
      <c r="H1151" s="4"/>
      <c r="I1151" s="10" t="str">
        <f>HYPERLINK("http://twitter.com/download/android","Twitter for Android")</f>
        <v>Twitter for Android</v>
      </c>
      <c r="J1151" s="2">
        <v>196</v>
      </c>
      <c r="K1151" s="2">
        <v>395</v>
      </c>
      <c r="L1151" s="2">
        <v>0</v>
      </c>
      <c r="M1151" s="2"/>
      <c r="N1151" s="8">
        <v>43224.758773148147</v>
      </c>
      <c r="O1151" s="4" t="s">
        <v>1525</v>
      </c>
      <c r="P1151" s="3" t="s">
        <v>1524</v>
      </c>
      <c r="Q1151" s="4"/>
      <c r="R1151" s="4"/>
      <c r="S1151" s="9" t="str">
        <f>HYPERLINK("https://pbs.twimg.com/profile_images/1018033282770964480/NaB5Ynij.jpg","View")</f>
        <v>View</v>
      </c>
    </row>
    <row r="1152" spans="1:19" ht="20">
      <c r="A1152" s="8">
        <v>43370.719247685185</v>
      </c>
      <c r="B1152" s="11" t="str">
        <f>HYPERLINK("https://twitter.com/BiBiGol780","@BiBiGol780")</f>
        <v>@BiBiGol780</v>
      </c>
      <c r="C1152" s="6" t="s">
        <v>4947</v>
      </c>
      <c r="D1152" s="5" t="s">
        <v>4946</v>
      </c>
      <c r="E1152" s="9" t="str">
        <f>HYPERLINK("https://twitter.com/BiBiGol780/status/1045308508437184512","1045308508437184512")</f>
        <v>1045308508437184512</v>
      </c>
      <c r="F1152" s="4"/>
      <c r="G1152" s="4"/>
      <c r="H1152" s="4"/>
      <c r="I1152" s="10" t="str">
        <f>HYPERLINK("http://twitter.com/download/android","Twitter for Android")</f>
        <v>Twitter for Android</v>
      </c>
      <c r="J1152" s="2">
        <v>0</v>
      </c>
      <c r="K1152" s="2">
        <v>22</v>
      </c>
      <c r="L1152" s="2">
        <v>0</v>
      </c>
      <c r="M1152" s="2"/>
      <c r="N1152" s="8">
        <v>43369.543344907404</v>
      </c>
      <c r="O1152" s="4"/>
      <c r="P1152" s="3"/>
      <c r="Q1152" s="4"/>
      <c r="R1152" s="4"/>
      <c r="S1152" s="9" t="str">
        <f>HYPERLINK("https://pbs.twimg.com/profile_images/1044931755961184263/EaGr1yA6.jpg","View")</f>
        <v>View</v>
      </c>
    </row>
    <row r="1153" spans="1:19" ht="40">
      <c r="A1153" s="8">
        <v>43370.719201388885</v>
      </c>
      <c r="B1153" s="11" t="str">
        <f>HYPERLINK("https://twitter.com/botshekanesabz","@botshekanesabz")</f>
        <v>@botshekanesabz</v>
      </c>
      <c r="C1153" s="6" t="s">
        <v>4945</v>
      </c>
      <c r="D1153" s="5" t="s">
        <v>4944</v>
      </c>
      <c r="E1153" s="9" t="str">
        <f>HYPERLINK("https://twitter.com/botshekanesabz/status/1045308490615574529","1045308490615574529")</f>
        <v>1045308490615574529</v>
      </c>
      <c r="F1153" s="4"/>
      <c r="G1153" s="4"/>
      <c r="H1153" s="4"/>
      <c r="I1153" s="10" t="str">
        <f>HYPERLINK("http://twitter.com/download/android","Twitter for Android")</f>
        <v>Twitter for Android</v>
      </c>
      <c r="J1153" s="2">
        <v>762</v>
      </c>
      <c r="K1153" s="2">
        <v>1172</v>
      </c>
      <c r="L1153" s="2">
        <v>4</v>
      </c>
      <c r="M1153" s="2"/>
      <c r="N1153" s="8">
        <v>42176.671979166669</v>
      </c>
      <c r="O1153" s="4" t="s">
        <v>414</v>
      </c>
      <c r="P1153" s="3" t="s">
        <v>4943</v>
      </c>
      <c r="Q1153" s="10" t="s">
        <v>4942</v>
      </c>
      <c r="R1153" s="4"/>
      <c r="S1153" s="9" t="str">
        <f>HYPERLINK("https://pbs.twimg.com/profile_images/612590352596365312/uwSZ7p0i.jpg","View")</f>
        <v>View</v>
      </c>
    </row>
    <row r="1154" spans="1:19" ht="20">
      <c r="A1154" s="8">
        <v>43370.718923611115</v>
      </c>
      <c r="B1154" s="11" t="str">
        <f>HYPERLINK("https://twitter.com/sarzadeh58","@sarzadeh58")</f>
        <v>@sarzadeh58</v>
      </c>
      <c r="C1154" s="6" t="s">
        <v>4941</v>
      </c>
      <c r="D1154" s="5" t="s">
        <v>4940</v>
      </c>
      <c r="E1154" s="9" t="str">
        <f>HYPERLINK("https://twitter.com/sarzadeh58/status/1045308390971510785","1045308390971510785")</f>
        <v>1045308390971510785</v>
      </c>
      <c r="F1154" s="4"/>
      <c r="G1154" s="10" t="s">
        <v>4939</v>
      </c>
      <c r="H1154" s="4"/>
      <c r="I1154" s="10" t="str">
        <f>HYPERLINK("http://twitter.com/download/android","Twitter for Android")</f>
        <v>Twitter for Android</v>
      </c>
      <c r="J1154" s="2">
        <v>7100</v>
      </c>
      <c r="K1154" s="2">
        <v>664</v>
      </c>
      <c r="L1154" s="2">
        <v>52</v>
      </c>
      <c r="M1154" s="2"/>
      <c r="N1154" s="8">
        <v>39977.582615740743</v>
      </c>
      <c r="O1154" s="4" t="s">
        <v>4938</v>
      </c>
      <c r="P1154" s="3" t="s">
        <v>4937</v>
      </c>
      <c r="Q1154" s="4"/>
      <c r="R1154" s="4"/>
      <c r="S1154" s="9" t="str">
        <f>HYPERLINK("https://pbs.twimg.com/profile_images/996824954132840448/kWuq1Y26.jpg","View")</f>
        <v>View</v>
      </c>
    </row>
    <row r="1155" spans="1:19" ht="30">
      <c r="A1155" s="8">
        <v>43370.71876157407</v>
      </c>
      <c r="B1155" s="11" t="str">
        <f>HYPERLINK("https://twitter.com/DanialPanje","@DanialPanje")</f>
        <v>@DanialPanje</v>
      </c>
      <c r="C1155" s="6" t="s">
        <v>3420</v>
      </c>
      <c r="D1155" s="5" t="s">
        <v>4936</v>
      </c>
      <c r="E1155" s="9" t="str">
        <f>HYPERLINK("https://twitter.com/DanialPanje/status/1045308332213456898","1045308332213456898")</f>
        <v>1045308332213456898</v>
      </c>
      <c r="F1155" s="10" t="s">
        <v>4935</v>
      </c>
      <c r="G1155" s="4"/>
      <c r="H1155" s="4"/>
      <c r="I1155" s="10" t="str">
        <f>HYPERLINK("http://twitter.com/download/android","Twitter for Android")</f>
        <v>Twitter for Android</v>
      </c>
      <c r="J1155" s="2">
        <v>160</v>
      </c>
      <c r="K1155" s="2">
        <v>239</v>
      </c>
      <c r="L1155" s="2">
        <v>2</v>
      </c>
      <c r="M1155" s="2"/>
      <c r="N1155" s="8">
        <v>41455.659247685187</v>
      </c>
      <c r="O1155" s="4" t="s">
        <v>170</v>
      </c>
      <c r="P1155" s="3" t="s">
        <v>3418</v>
      </c>
      <c r="Q1155" s="4"/>
      <c r="R1155" s="4"/>
      <c r="S1155" s="9" t="str">
        <f>HYPERLINK("https://pbs.twimg.com/profile_images/1016730210333536256/6LvMU7qu.jpg","View")</f>
        <v>View</v>
      </c>
    </row>
    <row r="1156" spans="1:19" ht="12.5">
      <c r="A1156" s="8">
        <v>43370.718645833331</v>
      </c>
      <c r="B1156" s="11" t="str">
        <f>HYPERLINK("https://twitter.com/Soheila33706971","@Soheila33706971")</f>
        <v>@Soheila33706971</v>
      </c>
      <c r="C1156" s="6" t="s">
        <v>4934</v>
      </c>
      <c r="D1156" s="5" t="s">
        <v>4933</v>
      </c>
      <c r="E1156" s="9" t="str">
        <f>HYPERLINK("https://twitter.com/Soheila33706971/status/1045308287250518016","1045308287250518016")</f>
        <v>1045308287250518016</v>
      </c>
      <c r="F1156" s="4"/>
      <c r="G1156" s="4"/>
      <c r="H1156" s="4"/>
      <c r="I1156" s="10" t="str">
        <f>HYPERLINK("http://twitter.com/download/android","Twitter for Android")</f>
        <v>Twitter for Android</v>
      </c>
      <c r="J1156" s="2">
        <v>43</v>
      </c>
      <c r="K1156" s="2">
        <v>126</v>
      </c>
      <c r="L1156" s="2">
        <v>0</v>
      </c>
      <c r="M1156" s="2"/>
      <c r="N1156" s="8">
        <v>43344.903449074074</v>
      </c>
      <c r="O1156" s="4" t="s">
        <v>4932</v>
      </c>
      <c r="P1156" s="3" t="s">
        <v>4931</v>
      </c>
      <c r="Q1156" s="4"/>
      <c r="R1156" s="4"/>
      <c r="S1156" s="9" t="str">
        <f>HYPERLINK("https://pbs.twimg.com/profile_images/1038142464958312450/3oJqVqMT.jpg","View")</f>
        <v>View</v>
      </c>
    </row>
    <row r="1157" spans="1:19" ht="20">
      <c r="A1157" s="8">
        <v>43370.718645833331</v>
      </c>
      <c r="B1157" s="11" t="str">
        <f>HYPERLINK("https://twitter.com/wonderfulMie","@wonderfulMie")</f>
        <v>@wonderfulMie</v>
      </c>
      <c r="C1157" s="6" t="s">
        <v>3652</v>
      </c>
      <c r="D1157" s="5" t="s">
        <v>4930</v>
      </c>
      <c r="E1157" s="9" t="str">
        <f>HYPERLINK("https://twitter.com/wonderfulMie/status/1045308286432669696","1045308286432669696")</f>
        <v>1045308286432669696</v>
      </c>
      <c r="F1157" s="4"/>
      <c r="G1157" s="4"/>
      <c r="H1157" s="4"/>
      <c r="I1157" s="10" t="str">
        <f>HYPERLINK("http://twitter.com/download/android","Twitter for Android")</f>
        <v>Twitter for Android</v>
      </c>
      <c r="J1157" s="2">
        <v>72</v>
      </c>
      <c r="K1157" s="2">
        <v>138</v>
      </c>
      <c r="L1157" s="2">
        <v>2</v>
      </c>
      <c r="M1157" s="2"/>
      <c r="N1157" s="8">
        <v>41810.139143518521</v>
      </c>
      <c r="O1157" s="4" t="s">
        <v>3650</v>
      </c>
      <c r="P1157" s="3" t="s">
        <v>3649</v>
      </c>
      <c r="Q1157" s="10" t="s">
        <v>3648</v>
      </c>
      <c r="R1157" s="4"/>
      <c r="S1157" s="9" t="str">
        <f>HYPERLINK("https://pbs.twimg.com/profile_images/1039241359864016902/LwCYFm7y.jpg","View")</f>
        <v>View</v>
      </c>
    </row>
    <row r="1158" spans="1:19" ht="20">
      <c r="A1158" s="8">
        <v>43370.718194444446</v>
      </c>
      <c r="B1158" s="11" t="str">
        <f>HYPERLINK("https://twitter.com/MoHAMAD2258","@MoHAMAD2258")</f>
        <v>@MoHAMAD2258</v>
      </c>
      <c r="C1158" s="6" t="s">
        <v>2618</v>
      </c>
      <c r="D1158" s="5" t="s">
        <v>4929</v>
      </c>
      <c r="E1158" s="9" t="str">
        <f>HYPERLINK("https://twitter.com/MoHAMAD2258/status/1045308126482845698","1045308126482845698")</f>
        <v>1045308126482845698</v>
      </c>
      <c r="F1158" s="4"/>
      <c r="G1158" s="4"/>
      <c r="H1158" s="4"/>
      <c r="I1158" s="10" t="str">
        <f>HYPERLINK("http://twitter.com/download/android","Twitter for Android")</f>
        <v>Twitter for Android</v>
      </c>
      <c r="J1158" s="2">
        <v>2237</v>
      </c>
      <c r="K1158" s="2">
        <v>3137</v>
      </c>
      <c r="L1158" s="2">
        <v>4</v>
      </c>
      <c r="M1158" s="2"/>
      <c r="N1158" s="8">
        <v>43166.441747685181</v>
      </c>
      <c r="O1158" s="4" t="s">
        <v>200</v>
      </c>
      <c r="P1158" s="3" t="s">
        <v>2615</v>
      </c>
      <c r="Q1158" s="4"/>
      <c r="R1158" s="4"/>
      <c r="S1158" s="9" t="str">
        <f>HYPERLINK("https://pbs.twimg.com/profile_images/1039547145156734976/srNAozaB.jpg","View")</f>
        <v>View</v>
      </c>
    </row>
    <row r="1159" spans="1:19" ht="12.5">
      <c r="A1159" s="8">
        <v>43370.718148148153</v>
      </c>
      <c r="B1159" s="11" t="str">
        <f>HYPERLINK("https://twitter.com/TelewebionCom","@TelewebionCom")</f>
        <v>@TelewebionCom</v>
      </c>
      <c r="C1159" s="6" t="s">
        <v>3604</v>
      </c>
      <c r="D1159" s="5" t="s">
        <v>4928</v>
      </c>
      <c r="E1159" s="9" t="str">
        <f>HYPERLINK("https://twitter.com/TelewebionCom/status/1045308106710962177","1045308106710962177")</f>
        <v>1045308106710962177</v>
      </c>
      <c r="F1159" s="10" t="s">
        <v>4927</v>
      </c>
      <c r="G1159" s="4"/>
      <c r="H1159" s="4"/>
      <c r="I1159" s="10" t="str">
        <f>HYPERLINK("http://twitter.com/download/iphone","Twitter for iPhone")</f>
        <v>Twitter for iPhone</v>
      </c>
      <c r="J1159" s="2">
        <v>64</v>
      </c>
      <c r="K1159" s="2">
        <v>0</v>
      </c>
      <c r="L1159" s="2">
        <v>0</v>
      </c>
      <c r="M1159" s="2"/>
      <c r="N1159" s="8">
        <v>43037.598402777774</v>
      </c>
      <c r="O1159" s="4"/>
      <c r="P1159" s="3" t="s">
        <v>3600</v>
      </c>
      <c r="Q1159" s="10" t="s">
        <v>3599</v>
      </c>
      <c r="R1159" s="4"/>
      <c r="S1159" s="9" t="str">
        <f>HYPERLINK("https://pbs.twimg.com/profile_images/930765205746913280/LTSUnzSt.jpg","View")</f>
        <v>View</v>
      </c>
    </row>
    <row r="1160" spans="1:19" ht="30">
      <c r="A1160" s="8">
        <v>43370.717997685184</v>
      </c>
      <c r="B1160" s="11" t="str">
        <f>HYPERLINK("https://twitter.com/M3154M","@M3154M")</f>
        <v>@M3154M</v>
      </c>
      <c r="C1160" s="6" t="s">
        <v>4926</v>
      </c>
      <c r="D1160" s="5" t="s">
        <v>4925</v>
      </c>
      <c r="E1160" s="9" t="str">
        <f>HYPERLINK("https://twitter.com/M3154M/status/1045308054126891009","1045308054126891009")</f>
        <v>1045308054126891009</v>
      </c>
      <c r="F1160" s="4"/>
      <c r="G1160" s="4"/>
      <c r="H1160" s="4"/>
      <c r="I1160" s="10" t="str">
        <f>HYPERLINK("http://twitter.com","Twitter Web Client")</f>
        <v>Twitter Web Client</v>
      </c>
      <c r="J1160" s="2">
        <v>430</v>
      </c>
      <c r="K1160" s="2">
        <v>492</v>
      </c>
      <c r="L1160" s="2">
        <v>10</v>
      </c>
      <c r="M1160" s="2"/>
      <c r="N1160" s="8">
        <v>40176.467893518522</v>
      </c>
      <c r="O1160" s="4" t="s">
        <v>380</v>
      </c>
      <c r="P1160" s="3" t="s">
        <v>4924</v>
      </c>
      <c r="Q1160" s="10" t="s">
        <v>4923</v>
      </c>
      <c r="R1160" s="4"/>
      <c r="S1160" s="9" t="str">
        <f>HYPERLINK("https://pbs.twimg.com/profile_images/975478476202496003/UC1KMuR2.jpg","View")</f>
        <v>View</v>
      </c>
    </row>
    <row r="1161" spans="1:19" ht="30">
      <c r="A1161" s="8">
        <v>43370.717997685184</v>
      </c>
      <c r="B1161" s="11" t="str">
        <f>HYPERLINK("https://twitter.com/Fatemeh_kad","@Fatemeh_kad")</f>
        <v>@Fatemeh_kad</v>
      </c>
      <c r="C1161" s="6" t="s">
        <v>4922</v>
      </c>
      <c r="D1161" s="5" t="s">
        <v>4921</v>
      </c>
      <c r="E1161" s="9" t="str">
        <f>HYPERLINK("https://twitter.com/Fatemeh_kad/status/1045308051740397570","1045308051740397570")</f>
        <v>1045308051740397570</v>
      </c>
      <c r="F1161" s="4"/>
      <c r="G1161" s="4"/>
      <c r="H1161" s="4"/>
      <c r="I1161" s="10" t="str">
        <f>HYPERLINK("http://twitter.com/download/iphone","Twitter for iPhone")</f>
        <v>Twitter for iPhone</v>
      </c>
      <c r="J1161" s="2">
        <v>2630</v>
      </c>
      <c r="K1161" s="2">
        <v>2300</v>
      </c>
      <c r="L1161" s="2">
        <v>3</v>
      </c>
      <c r="M1161" s="2"/>
      <c r="N1161" s="8">
        <v>43104.704398148147</v>
      </c>
      <c r="O1161" s="4" t="s">
        <v>4920</v>
      </c>
      <c r="P1161" s="3" t="s">
        <v>4919</v>
      </c>
      <c r="Q1161" s="10" t="s">
        <v>4918</v>
      </c>
      <c r="R1161" s="4"/>
      <c r="S1161" s="9" t="str">
        <f>HYPERLINK("https://pbs.twimg.com/profile_images/1043974977047982086/1QpNXX-7.jpg","View")</f>
        <v>View</v>
      </c>
    </row>
    <row r="1162" spans="1:19" ht="20">
      <c r="A1162" s="8">
        <v>43370.717812499999</v>
      </c>
      <c r="B1162" s="11" t="str">
        <f>HYPERLINK("https://twitter.com/farhaddarush","@farhaddarush")</f>
        <v>@farhaddarush</v>
      </c>
      <c r="C1162" s="6" t="s">
        <v>4917</v>
      </c>
      <c r="D1162" s="5" t="s">
        <v>4916</v>
      </c>
      <c r="E1162" s="9" t="str">
        <f>HYPERLINK("https://twitter.com/farhaddarush/status/1045307987873722368","1045307987873722368")</f>
        <v>1045307987873722368</v>
      </c>
      <c r="F1162" s="4"/>
      <c r="G1162" s="4"/>
      <c r="H1162" s="4"/>
      <c r="I1162" s="10" t="str">
        <f>HYPERLINK("http://twitter.com/download/android","Twitter for Android")</f>
        <v>Twitter for Android</v>
      </c>
      <c r="J1162" s="2">
        <v>2255</v>
      </c>
      <c r="K1162" s="2">
        <v>1017</v>
      </c>
      <c r="L1162" s="2">
        <v>7</v>
      </c>
      <c r="M1162" s="2"/>
      <c r="N1162" s="8">
        <v>41803.78769675926</v>
      </c>
      <c r="O1162" s="4" t="s">
        <v>4915</v>
      </c>
      <c r="P1162" s="3" t="s">
        <v>4914</v>
      </c>
      <c r="Q1162" s="4"/>
      <c r="R1162" s="4"/>
      <c r="S1162" s="9" t="str">
        <f>HYPERLINK("https://pbs.twimg.com/profile_images/1042866009940676608/4YVXJAP1.jpg","View")</f>
        <v>View</v>
      </c>
    </row>
    <row r="1163" spans="1:19" ht="20">
      <c r="A1163" s="8">
        <v>43370.717708333337</v>
      </c>
      <c r="B1163" s="11" t="str">
        <f>HYPERLINK("https://twitter.com/wonderfulMie","@wonderfulMie")</f>
        <v>@wonderfulMie</v>
      </c>
      <c r="C1163" s="6" t="s">
        <v>3652</v>
      </c>
      <c r="D1163" s="5" t="s">
        <v>4913</v>
      </c>
      <c r="E1163" s="9" t="str">
        <f>HYPERLINK("https://twitter.com/wonderfulMie/status/1045307946639527936","1045307946639527936")</f>
        <v>1045307946639527936</v>
      </c>
      <c r="F1163" s="4"/>
      <c r="G1163" s="4"/>
      <c r="H1163" s="4"/>
      <c r="I1163" s="10" t="str">
        <f>HYPERLINK("http://twitter.com/download/android","Twitter for Android")</f>
        <v>Twitter for Android</v>
      </c>
      <c r="J1163" s="2">
        <v>72</v>
      </c>
      <c r="K1163" s="2">
        <v>138</v>
      </c>
      <c r="L1163" s="2">
        <v>2</v>
      </c>
      <c r="M1163" s="2"/>
      <c r="N1163" s="8">
        <v>41810.139143518521</v>
      </c>
      <c r="O1163" s="4" t="s">
        <v>3650</v>
      </c>
      <c r="P1163" s="3" t="s">
        <v>3649</v>
      </c>
      <c r="Q1163" s="10" t="s">
        <v>3648</v>
      </c>
      <c r="R1163" s="4"/>
      <c r="S1163" s="9" t="str">
        <f>HYPERLINK("https://pbs.twimg.com/profile_images/1039241359864016902/LwCYFm7y.jpg","View")</f>
        <v>View</v>
      </c>
    </row>
    <row r="1164" spans="1:19" ht="30">
      <c r="A1164" s="8">
        <v>43370.717557870375</v>
      </c>
      <c r="B1164" s="11" t="str">
        <f>HYPERLINK("https://twitter.com/nooshineshoon","@nooshineshoon")</f>
        <v>@nooshineshoon</v>
      </c>
      <c r="C1164" s="6" t="s">
        <v>3580</v>
      </c>
      <c r="D1164" s="5" t="s">
        <v>4912</v>
      </c>
      <c r="E1164" s="9" t="str">
        <f>HYPERLINK("https://twitter.com/nooshineshoon/status/1045307895296843777","1045307895296843777")</f>
        <v>1045307895296843777</v>
      </c>
      <c r="F1164" s="4"/>
      <c r="G1164" s="4"/>
      <c r="H1164" s="4"/>
      <c r="I1164" s="10" t="str">
        <f>HYPERLINK("http://twitter.com/download/android","Twitter for Android")</f>
        <v>Twitter for Android</v>
      </c>
      <c r="J1164" s="2">
        <v>166</v>
      </c>
      <c r="K1164" s="2">
        <v>169</v>
      </c>
      <c r="L1164" s="2">
        <v>1</v>
      </c>
      <c r="M1164" s="2"/>
      <c r="N1164" s="8">
        <v>43102.033553240741</v>
      </c>
      <c r="O1164" s="4"/>
      <c r="P1164" s="3" t="s">
        <v>3578</v>
      </c>
      <c r="Q1164" s="4"/>
      <c r="R1164" s="4"/>
      <c r="S1164" s="9" t="str">
        <f>HYPERLINK("https://pbs.twimg.com/profile_images/1034021368390668289/TF_WBAOp.jpg","View")</f>
        <v>View</v>
      </c>
    </row>
    <row r="1165" spans="1:19" ht="20">
      <c r="A1165" s="8">
        <v>43370.717245370368</v>
      </c>
      <c r="B1165" s="11" t="str">
        <f>HYPERLINK("https://twitter.com/shahzadeilia","@shahzadeilia")</f>
        <v>@shahzadeilia</v>
      </c>
      <c r="C1165" s="6" t="s">
        <v>4911</v>
      </c>
      <c r="D1165" s="5" t="s">
        <v>4910</v>
      </c>
      <c r="E1165" s="9" t="str">
        <f>HYPERLINK("https://twitter.com/shahzadeilia/status/1045307779353841664","1045307779353841664")</f>
        <v>1045307779353841664</v>
      </c>
      <c r="F1165" s="4"/>
      <c r="G1165" s="4"/>
      <c r="H1165" s="4"/>
      <c r="I1165" s="10" t="str">
        <f>HYPERLINK("https://about.twitter.com/products/tweetdeck","TweetDeck")</f>
        <v>TweetDeck</v>
      </c>
      <c r="J1165" s="2">
        <v>1256</v>
      </c>
      <c r="K1165" s="2">
        <v>4309</v>
      </c>
      <c r="L1165" s="2">
        <v>0</v>
      </c>
      <c r="M1165" s="2"/>
      <c r="N1165" s="8">
        <v>43257.676875000005</v>
      </c>
      <c r="O1165" s="4"/>
      <c r="P1165" s="3" t="s">
        <v>4909</v>
      </c>
      <c r="Q1165" s="4"/>
      <c r="R1165" s="4"/>
      <c r="S1165" s="9" t="str">
        <f>HYPERLINK("https://pbs.twimg.com/profile_images/1008268528825315329/9jhjjrrV.jpg","View")</f>
        <v>View</v>
      </c>
    </row>
    <row r="1166" spans="1:19" ht="20">
      <c r="A1166" s="8">
        <v>43370.717129629629</v>
      </c>
      <c r="B1166" s="11" t="str">
        <f>HYPERLINK("https://twitter.com/AbOo_kqz","@AbOo_kqz")</f>
        <v>@AbOo_kqz</v>
      </c>
      <c r="C1166" s="6" t="s">
        <v>1533</v>
      </c>
      <c r="D1166" s="5" t="s">
        <v>4908</v>
      </c>
      <c r="E1166" s="9" t="str">
        <f>HYPERLINK("https://twitter.com/AbOo_kqz/status/1045307737855340544","1045307737855340544")</f>
        <v>1045307737855340544</v>
      </c>
      <c r="F1166" s="4"/>
      <c r="G1166" s="4"/>
      <c r="H1166" s="4"/>
      <c r="I1166" s="10" t="str">
        <f>HYPERLINK("http://twitter.com","Twitter Web Client")</f>
        <v>Twitter Web Client</v>
      </c>
      <c r="J1166" s="2">
        <v>48</v>
      </c>
      <c r="K1166" s="2">
        <v>112</v>
      </c>
      <c r="L1166" s="2">
        <v>0</v>
      </c>
      <c r="M1166" s="2"/>
      <c r="N1166" s="8">
        <v>42521.938738425924</v>
      </c>
      <c r="O1166" s="4" t="s">
        <v>1531</v>
      </c>
      <c r="P1166" s="3" t="s">
        <v>1530</v>
      </c>
      <c r="Q1166" s="4"/>
      <c r="R1166" s="4"/>
      <c r="S1166" s="9" t="str">
        <f>HYPERLINK("https://pbs.twimg.com/profile_images/737706601084157952/exyDQSiE.jpg","View")</f>
        <v>View</v>
      </c>
    </row>
    <row r="1167" spans="1:19" ht="40">
      <c r="A1167" s="8">
        <v>43370.716793981483</v>
      </c>
      <c r="B1167" s="11" t="str">
        <f>HYPERLINK("https://twitter.com/ploto2546","@ploto2546")</f>
        <v>@ploto2546</v>
      </c>
      <c r="C1167" s="6" t="s">
        <v>264</v>
      </c>
      <c r="D1167" s="5" t="s">
        <v>4907</v>
      </c>
      <c r="E1167" s="9" t="str">
        <f>HYPERLINK("https://twitter.com/ploto2546/status/1045307615872528384","1045307615872528384")</f>
        <v>1045307615872528384</v>
      </c>
      <c r="F1167" s="4"/>
      <c r="G1167" s="4"/>
      <c r="H1167" s="4"/>
      <c r="I1167" s="10" t="str">
        <f>HYPERLINK("http://twitter.com/download/android","Twitter for Android")</f>
        <v>Twitter for Android</v>
      </c>
      <c r="J1167" s="2">
        <v>1688</v>
      </c>
      <c r="K1167" s="2">
        <v>1890</v>
      </c>
      <c r="L1167" s="2">
        <v>5</v>
      </c>
      <c r="M1167" s="2"/>
      <c r="N1167" s="8">
        <v>43207.184918981482</v>
      </c>
      <c r="O1167" s="4" t="s">
        <v>262</v>
      </c>
      <c r="P1167" s="3" t="s">
        <v>261</v>
      </c>
      <c r="Q1167" s="4"/>
      <c r="R1167" s="4"/>
      <c r="S1167" s="9" t="str">
        <f>HYPERLINK("https://pbs.twimg.com/profile_images/1025171503271301127/S_pGLx0M.jpg","View")</f>
        <v>View</v>
      </c>
    </row>
    <row r="1168" spans="1:19" ht="20">
      <c r="A1168" s="8">
        <v>43370.716770833329</v>
      </c>
      <c r="B1168" s="11" t="str">
        <f>HYPERLINK("https://twitter.com/DanialPanje","@DanialPanje")</f>
        <v>@DanialPanje</v>
      </c>
      <c r="C1168" s="6" t="s">
        <v>3420</v>
      </c>
      <c r="D1168" s="5" t="s">
        <v>4906</v>
      </c>
      <c r="E1168" s="9" t="str">
        <f>HYPERLINK("https://twitter.com/DanialPanje/status/1045307609065160704","1045307609065160704")</f>
        <v>1045307609065160704</v>
      </c>
      <c r="F1168" s="4"/>
      <c r="G1168" s="4"/>
      <c r="H1168" s="4"/>
      <c r="I1168" s="10" t="str">
        <f>HYPERLINK("http://twitter.com/download/android","Twitter for Android")</f>
        <v>Twitter for Android</v>
      </c>
      <c r="J1168" s="2">
        <v>160</v>
      </c>
      <c r="K1168" s="2">
        <v>239</v>
      </c>
      <c r="L1168" s="2">
        <v>2</v>
      </c>
      <c r="M1168" s="2"/>
      <c r="N1168" s="8">
        <v>41455.659247685187</v>
      </c>
      <c r="O1168" s="4" t="s">
        <v>170</v>
      </c>
      <c r="P1168" s="3" t="s">
        <v>3418</v>
      </c>
      <c r="Q1168" s="4"/>
      <c r="R1168" s="4"/>
      <c r="S1168" s="9" t="str">
        <f>HYPERLINK("https://pbs.twimg.com/profile_images/1016730210333536256/6LvMU7qu.jpg","View")</f>
        <v>View</v>
      </c>
    </row>
    <row r="1169" spans="1:19" ht="20">
      <c r="A1169" s="8">
        <v>43370.716481481482</v>
      </c>
      <c r="B1169" s="11" t="str">
        <f>HYPERLINK("https://twitter.com/President_bakh","@President_bakh")</f>
        <v>@President_bakh</v>
      </c>
      <c r="C1169" s="6" t="s">
        <v>4905</v>
      </c>
      <c r="D1169" s="5" t="s">
        <v>4904</v>
      </c>
      <c r="E1169" s="9" t="str">
        <f>HYPERLINK("https://twitter.com/President_bakh/status/1045307502664044544","1045307502664044544")</f>
        <v>1045307502664044544</v>
      </c>
      <c r="F1169" s="4"/>
      <c r="G1169" s="10" t="s">
        <v>4903</v>
      </c>
      <c r="H1169" s="4"/>
      <c r="I1169" s="10" t="str">
        <f>HYPERLINK("http://twitter.com/download/android","Twitter for Android")</f>
        <v>Twitter for Android</v>
      </c>
      <c r="J1169" s="2">
        <v>6208</v>
      </c>
      <c r="K1169" s="2">
        <v>5865</v>
      </c>
      <c r="L1169" s="2">
        <v>11</v>
      </c>
      <c r="M1169" s="2"/>
      <c r="N1169" s="8">
        <v>42740.447025462963</v>
      </c>
      <c r="O1169" s="4" t="s">
        <v>4902</v>
      </c>
      <c r="P1169" s="3" t="s">
        <v>4901</v>
      </c>
      <c r="Q1169" s="4"/>
      <c r="R1169" s="4"/>
      <c r="S1169" s="9" t="str">
        <f>HYPERLINK("https://pbs.twimg.com/profile_images/1043204213243883521/xT5gayCJ.jpg","View")</f>
        <v>View</v>
      </c>
    </row>
    <row r="1170" spans="1:19" ht="20">
      <c r="A1170" s="8">
        <v>43370.716261574074</v>
      </c>
      <c r="B1170" s="11" t="str">
        <f>HYPERLINK("https://twitter.com/hossein_2212","@hossein_2212")</f>
        <v>@hossein_2212</v>
      </c>
      <c r="C1170" s="6" t="s">
        <v>4033</v>
      </c>
      <c r="D1170" s="5" t="s">
        <v>4900</v>
      </c>
      <c r="E1170" s="9" t="str">
        <f>HYPERLINK("https://twitter.com/hossein_2212/status/1045307423156817920","1045307423156817920")</f>
        <v>1045307423156817920</v>
      </c>
      <c r="F1170" s="4"/>
      <c r="G1170" s="4"/>
      <c r="H1170" s="4"/>
      <c r="I1170" s="10" t="str">
        <f>HYPERLINK("http://twitter.com/download/android","Twitter for Android")</f>
        <v>Twitter for Android</v>
      </c>
      <c r="J1170" s="2">
        <v>428</v>
      </c>
      <c r="K1170" s="2">
        <v>1238</v>
      </c>
      <c r="L1170" s="2">
        <v>0</v>
      </c>
      <c r="M1170" s="2"/>
      <c r="N1170" s="8">
        <v>43073.786030092597</v>
      </c>
      <c r="O1170" s="4" t="s">
        <v>4031</v>
      </c>
      <c r="P1170" s="3" t="s">
        <v>4030</v>
      </c>
      <c r="Q1170" s="10" t="s">
        <v>4029</v>
      </c>
      <c r="R1170" s="4"/>
      <c r="S1170" s="9" t="str">
        <f>HYPERLINK("https://pbs.twimg.com/profile_images/1034799416635535360/BCesisGg.jpg","View")</f>
        <v>View</v>
      </c>
    </row>
    <row r="1171" spans="1:19" ht="40">
      <c r="A1171" s="8">
        <v>43370.716249999998</v>
      </c>
      <c r="B1171" s="11" t="str">
        <f>HYPERLINK("https://twitter.com/ghezlaj","@ghezlaj")</f>
        <v>@ghezlaj</v>
      </c>
      <c r="C1171" s="6" t="s">
        <v>4899</v>
      </c>
      <c r="D1171" s="5" t="s">
        <v>4898</v>
      </c>
      <c r="E1171" s="9" t="str">
        <f>HYPERLINK("https://twitter.com/ghezlaj/status/1045307419482607617","1045307419482607617")</f>
        <v>1045307419482607617</v>
      </c>
      <c r="F1171" s="10" t="s">
        <v>4897</v>
      </c>
      <c r="G1171" s="4"/>
      <c r="H1171" s="4"/>
      <c r="I1171" s="10" t="str">
        <f>HYPERLINK("http://twitter.com","Twitter Web Client")</f>
        <v>Twitter Web Client</v>
      </c>
      <c r="J1171" s="2">
        <v>235</v>
      </c>
      <c r="K1171" s="2">
        <v>246</v>
      </c>
      <c r="L1171" s="2">
        <v>2</v>
      </c>
      <c r="M1171" s="2"/>
      <c r="N1171" s="8">
        <v>42914.630949074075</v>
      </c>
      <c r="O1171" s="4" t="s">
        <v>4896</v>
      </c>
      <c r="P1171" s="3" t="s">
        <v>4895</v>
      </c>
      <c r="Q1171" s="4"/>
      <c r="R1171" s="4"/>
      <c r="S1171" s="9" t="str">
        <f>HYPERLINK("https://pbs.twimg.com/profile_images/1043770012140490753/47JreG7o.jpg","View")</f>
        <v>View</v>
      </c>
    </row>
    <row r="1172" spans="1:19" ht="20">
      <c r="A1172" s="8">
        <v>43370.716122685189</v>
      </c>
      <c r="B1172" s="11" t="str">
        <f>HYPERLINK("https://twitter.com/HeidarAbdh","@HeidarAbdh")</f>
        <v>@HeidarAbdh</v>
      </c>
      <c r="C1172" s="6" t="s">
        <v>4894</v>
      </c>
      <c r="D1172" s="5" t="s">
        <v>4893</v>
      </c>
      <c r="E1172" s="9" t="str">
        <f>HYPERLINK("https://twitter.com/HeidarAbdh/status/1045307373307527173","1045307373307527173")</f>
        <v>1045307373307527173</v>
      </c>
      <c r="F1172" s="4"/>
      <c r="G1172" s="4"/>
      <c r="H1172" s="4"/>
      <c r="I1172" s="10" t="str">
        <f>HYPERLINK("http://twitter.com/download/android","Twitter for Android")</f>
        <v>Twitter for Android</v>
      </c>
      <c r="J1172" s="2">
        <v>666</v>
      </c>
      <c r="K1172" s="2">
        <v>1557</v>
      </c>
      <c r="L1172" s="2">
        <v>2</v>
      </c>
      <c r="M1172" s="2"/>
      <c r="N1172" s="8">
        <v>41179.687951388885</v>
      </c>
      <c r="O1172" s="4"/>
      <c r="P1172" s="3" t="s">
        <v>4892</v>
      </c>
      <c r="Q1172" s="10" t="s">
        <v>4891</v>
      </c>
      <c r="R1172" s="4"/>
      <c r="S1172" s="9" t="str">
        <f>HYPERLINK("https://pbs.twimg.com/profile_images/878123323162587136/H7yfnVI1.jpg","View")</f>
        <v>View</v>
      </c>
    </row>
    <row r="1173" spans="1:19" ht="20">
      <c r="A1173" s="8">
        <v>43370.716006944444</v>
      </c>
      <c r="B1173" s="11" t="str">
        <f>HYPERLINK("https://twitter.com/ARJ555ARJ","@ARJ555ARJ")</f>
        <v>@ARJ555ARJ</v>
      </c>
      <c r="C1173" s="6" t="s">
        <v>4890</v>
      </c>
      <c r="D1173" s="5" t="s">
        <v>4889</v>
      </c>
      <c r="E1173" s="9" t="str">
        <f>HYPERLINK("https://twitter.com/ARJ555ARJ/status/1045307333683937285","1045307333683937285")</f>
        <v>1045307333683937285</v>
      </c>
      <c r="F1173" s="4"/>
      <c r="G1173" s="4"/>
      <c r="H1173" s="4"/>
      <c r="I1173" s="10" t="str">
        <f>HYPERLINK("http://twitter.com/download/android","Twitter for Android")</f>
        <v>Twitter for Android</v>
      </c>
      <c r="J1173" s="2">
        <v>142</v>
      </c>
      <c r="K1173" s="2">
        <v>132</v>
      </c>
      <c r="L1173" s="2">
        <v>1</v>
      </c>
      <c r="M1173" s="2"/>
      <c r="N1173" s="8">
        <v>43027.834594907406</v>
      </c>
      <c r="O1173" s="4" t="s">
        <v>4888</v>
      </c>
      <c r="P1173" s="3" t="s">
        <v>4887</v>
      </c>
      <c r="Q1173" s="4"/>
      <c r="R1173" s="4"/>
      <c r="S1173" s="9" t="str">
        <f>HYPERLINK("https://pbs.twimg.com/profile_images/1004431649818464265/YoxB6YZ5.jpg","View")</f>
        <v>View</v>
      </c>
    </row>
    <row r="1174" spans="1:19" ht="12.5">
      <c r="A1174" s="8">
        <v>43370.715405092589</v>
      </c>
      <c r="B1174" s="11" t="str">
        <f>HYPERLINK("https://twitter.com/ebi19730","@ebi19730")</f>
        <v>@ebi19730</v>
      </c>
      <c r="C1174" s="6" t="s">
        <v>4886</v>
      </c>
      <c r="D1174" s="5" t="s">
        <v>4885</v>
      </c>
      <c r="E1174" s="9" t="str">
        <f>HYPERLINK("https://twitter.com/ebi19730/status/1045307112891535360","1045307112891535360")</f>
        <v>1045307112891535360</v>
      </c>
      <c r="F1174" s="4"/>
      <c r="G1174" s="4"/>
      <c r="H1174" s="4"/>
      <c r="I1174" s="10" t="str">
        <f>HYPERLINK("http://twitter.com/download/android","Twitter for Android")</f>
        <v>Twitter for Android</v>
      </c>
      <c r="J1174" s="2">
        <v>1861</v>
      </c>
      <c r="K1174" s="2">
        <v>1386</v>
      </c>
      <c r="L1174" s="2">
        <v>5</v>
      </c>
      <c r="M1174" s="2"/>
      <c r="N1174" s="8">
        <v>42702.629560185189</v>
      </c>
      <c r="O1174" s="4" t="s">
        <v>414</v>
      </c>
      <c r="P1174" s="3" t="s">
        <v>4884</v>
      </c>
      <c r="Q1174" s="10" t="s">
        <v>4883</v>
      </c>
      <c r="R1174" s="4"/>
      <c r="S1174" s="9" t="str">
        <f>HYPERLINK("https://pbs.twimg.com/profile_images/954283267397648386/suO6kchi.jpg","View")</f>
        <v>View</v>
      </c>
    </row>
    <row r="1175" spans="1:19" ht="20">
      <c r="A1175" s="8">
        <v>43370.715196759258</v>
      </c>
      <c r="B1175" s="11" t="str">
        <f>HYPERLINK("https://twitter.com/ghooyesepid","@ghooyesepid")</f>
        <v>@ghooyesepid</v>
      </c>
      <c r="C1175" s="6" t="s">
        <v>4882</v>
      </c>
      <c r="D1175" s="5" t="s">
        <v>4881</v>
      </c>
      <c r="E1175" s="9" t="str">
        <f>HYPERLINK("https://twitter.com/ghooyesepid/status/1045307037872214019","1045307037872214019")</f>
        <v>1045307037872214019</v>
      </c>
      <c r="F1175" s="4"/>
      <c r="G1175" s="4"/>
      <c r="H1175" s="4"/>
      <c r="I1175" s="10" t="str">
        <f>HYPERLINK("http://twitter.com/download/android","Twitter for Android")</f>
        <v>Twitter for Android</v>
      </c>
      <c r="J1175" s="2">
        <v>142</v>
      </c>
      <c r="K1175" s="2">
        <v>238</v>
      </c>
      <c r="L1175" s="2">
        <v>0</v>
      </c>
      <c r="M1175" s="2"/>
      <c r="N1175" s="8">
        <v>42779.075150462959</v>
      </c>
      <c r="O1175" s="4" t="s">
        <v>200</v>
      </c>
      <c r="P1175" s="3" t="s">
        <v>4880</v>
      </c>
      <c r="Q1175" s="4"/>
      <c r="R1175" s="4"/>
      <c r="S1175" s="9" t="str">
        <f>HYPERLINK("https://pbs.twimg.com/profile_images/1025624661374189568/_btFibNM.jpg","View")</f>
        <v>View</v>
      </c>
    </row>
    <row r="1176" spans="1:19" ht="20">
      <c r="A1176" s="8">
        <v>43370.714988425927</v>
      </c>
      <c r="B1176" s="11" t="str">
        <f>HYPERLINK("https://twitter.com/NazaninShariati","@NazaninShariati")</f>
        <v>@NazaninShariati</v>
      </c>
      <c r="C1176" s="6" t="s">
        <v>4879</v>
      </c>
      <c r="D1176" s="5" t="s">
        <v>4878</v>
      </c>
      <c r="E1176" s="9" t="str">
        <f>HYPERLINK("https://twitter.com/NazaninShariati/status/1045306961858908160","1045306961858908160")</f>
        <v>1045306961858908160</v>
      </c>
      <c r="F1176" s="4"/>
      <c r="G1176" s="4"/>
      <c r="H1176" s="4"/>
      <c r="I1176" s="10" t="str">
        <f>HYPERLINK("http://twitter.com/download/android","Twitter for Android")</f>
        <v>Twitter for Android</v>
      </c>
      <c r="J1176" s="2">
        <v>788</v>
      </c>
      <c r="K1176" s="2">
        <v>498</v>
      </c>
      <c r="L1176" s="2">
        <v>3</v>
      </c>
      <c r="M1176" s="2"/>
      <c r="N1176" s="8">
        <v>41380.00136574074</v>
      </c>
      <c r="O1176" s="4" t="s">
        <v>311</v>
      </c>
      <c r="P1176" s="3" t="s">
        <v>4877</v>
      </c>
      <c r="Q1176" s="4"/>
      <c r="R1176" s="4"/>
      <c r="S1176" s="9" t="str">
        <f>HYPERLINK("https://pbs.twimg.com/profile_images/1038190580831072256/4vkYBmVN.jpg","View")</f>
        <v>View</v>
      </c>
    </row>
    <row r="1177" spans="1:19" ht="30">
      <c r="A1177" s="8">
        <v>43370.714641203704</v>
      </c>
      <c r="B1177" s="11" t="str">
        <f>HYPERLINK("https://twitter.com/Mostafa_Q","@Mostafa_Q")</f>
        <v>@Mostafa_Q</v>
      </c>
      <c r="C1177" s="6" t="s">
        <v>4876</v>
      </c>
      <c r="D1177" s="5" t="s">
        <v>4875</v>
      </c>
      <c r="E1177" s="9" t="str">
        <f>HYPERLINK("https://twitter.com/Mostafa_Q/status/1045306835413225473","1045306835413225473")</f>
        <v>1045306835413225473</v>
      </c>
      <c r="F1177" s="4"/>
      <c r="G1177" s="10" t="s">
        <v>4874</v>
      </c>
      <c r="H1177" s="4"/>
      <c r="I1177" s="10" t="str">
        <f>HYPERLINK("http://twitter.com","Twitter Web Client")</f>
        <v>Twitter Web Client</v>
      </c>
      <c r="J1177" s="2">
        <v>196</v>
      </c>
      <c r="K1177" s="2">
        <v>792</v>
      </c>
      <c r="L1177" s="2">
        <v>2</v>
      </c>
      <c r="M1177" s="2"/>
      <c r="N1177" s="8">
        <v>40638.888761574075</v>
      </c>
      <c r="O1177" s="4" t="s">
        <v>10</v>
      </c>
      <c r="P1177" s="3" t="s">
        <v>4873</v>
      </c>
      <c r="Q1177" s="4"/>
      <c r="R1177" s="4"/>
      <c r="S1177" s="9" t="str">
        <f>HYPERLINK("https://pbs.twimg.com/profile_images/948116769234923520/dVcSPZjQ.jpg","View")</f>
        <v>View</v>
      </c>
    </row>
    <row r="1178" spans="1:19" ht="20">
      <c r="A1178" s="8">
        <v>43370.713865740741</v>
      </c>
      <c r="B1178" s="11" t="str">
        <f>HYPERLINK("https://twitter.com/avenger_75","@avenger_75")</f>
        <v>@avenger_75</v>
      </c>
      <c r="C1178" s="6" t="s">
        <v>4872</v>
      </c>
      <c r="D1178" s="5" t="s">
        <v>4871</v>
      </c>
      <c r="E1178" s="9" t="str">
        <f>HYPERLINK("https://twitter.com/avenger_75/status/1045306555032367105","1045306555032367105")</f>
        <v>1045306555032367105</v>
      </c>
      <c r="F1178" s="4"/>
      <c r="G1178" s="4"/>
      <c r="H1178" s="4"/>
      <c r="I1178" s="10" t="str">
        <f>HYPERLINK("http://twitter.com/download/android","Twitter for Android")</f>
        <v>Twitter for Android</v>
      </c>
      <c r="J1178" s="2">
        <v>4300</v>
      </c>
      <c r="K1178" s="2">
        <v>1013</v>
      </c>
      <c r="L1178" s="2">
        <v>20</v>
      </c>
      <c r="M1178" s="2"/>
      <c r="N1178" s="8">
        <v>42738.154386574075</v>
      </c>
      <c r="O1178" s="4" t="s">
        <v>4870</v>
      </c>
      <c r="P1178" s="3" t="s">
        <v>4869</v>
      </c>
      <c r="Q1178" s="4"/>
      <c r="R1178" s="4"/>
      <c r="S1178" s="9" t="str">
        <f>HYPERLINK("https://pbs.twimg.com/profile_images/1045276529612267520/6zvWNlW4.jpg","View")</f>
        <v>View</v>
      </c>
    </row>
    <row r="1179" spans="1:19" ht="30">
      <c r="A1179" s="8">
        <v>43370.713553240741</v>
      </c>
      <c r="B1179" s="11" t="str">
        <f>HYPERLINK("https://twitter.com/mrteacher_ir","@mrteacher_ir")</f>
        <v>@mrteacher_ir</v>
      </c>
      <c r="C1179" s="6" t="s">
        <v>913</v>
      </c>
      <c r="D1179" s="5" t="s">
        <v>4868</v>
      </c>
      <c r="E1179" s="9" t="str">
        <f>HYPERLINK("https://twitter.com/mrteacher_ir/status/1045306443891642368","1045306443891642368")</f>
        <v>1045306443891642368</v>
      </c>
      <c r="F1179" s="4"/>
      <c r="G1179" s="4"/>
      <c r="H1179" s="4"/>
      <c r="I1179" s="10" t="str">
        <f>HYPERLINK("http://twitter.com/download/android","Twitter for Android")</f>
        <v>Twitter for Android</v>
      </c>
      <c r="J1179" s="2">
        <v>1007</v>
      </c>
      <c r="K1179" s="2">
        <v>2468</v>
      </c>
      <c r="L1179" s="2">
        <v>2</v>
      </c>
      <c r="M1179" s="2"/>
      <c r="N1179" s="8">
        <v>43326.407037037032</v>
      </c>
      <c r="O1179" s="4"/>
      <c r="P1179" s="3" t="s">
        <v>912</v>
      </c>
      <c r="Q1179" s="4"/>
      <c r="R1179" s="4"/>
      <c r="S1179" s="9" t="str">
        <f>HYPERLINK("https://pbs.twimg.com/profile_images/1045195492899127296/w3oNjblP.jpg","View")</f>
        <v>View</v>
      </c>
    </row>
    <row r="1180" spans="1:19" ht="40">
      <c r="A1180" s="8">
        <v>43370.713530092587</v>
      </c>
      <c r="B1180" s="11" t="str">
        <f>HYPERLINK("https://twitter.com/jire_pamaran","@jire_pamaran")</f>
        <v>@jire_pamaran</v>
      </c>
      <c r="C1180" s="6" t="s">
        <v>155</v>
      </c>
      <c r="D1180" s="5" t="s">
        <v>4867</v>
      </c>
      <c r="E1180" s="9" t="str">
        <f>HYPERLINK("https://twitter.com/jire_pamaran/status/1045306436446752770","1045306436446752770")</f>
        <v>1045306436446752770</v>
      </c>
      <c r="F1180" s="4"/>
      <c r="G1180" s="4"/>
      <c r="H1180" s="4"/>
      <c r="I1180" s="10" t="str">
        <f>HYPERLINK("http://twitter.com/download/iphone","Twitter for iPhone")</f>
        <v>Twitter for iPhone</v>
      </c>
      <c r="J1180" s="2">
        <v>748</v>
      </c>
      <c r="K1180" s="2">
        <v>687</v>
      </c>
      <c r="L1180" s="2">
        <v>0</v>
      </c>
      <c r="M1180" s="2"/>
      <c r="N1180" s="8">
        <v>43224.596041666664</v>
      </c>
      <c r="O1180" s="4"/>
      <c r="P1180" s="3"/>
      <c r="Q1180" s="4"/>
      <c r="R1180" s="4"/>
      <c r="S1180" s="9" t="str">
        <f>HYPERLINK("https://pbs.twimg.com/profile_images/1026131290804969472/jbzHpbhC.jpg","View")</f>
        <v>View</v>
      </c>
    </row>
    <row r="1181" spans="1:19" ht="20">
      <c r="A1181" s="8">
        <v>43370.713136574079</v>
      </c>
      <c r="B1181" s="11" t="str">
        <f>HYPERLINK("https://twitter.com/montazer_114","@montazer_114")</f>
        <v>@montazer_114</v>
      </c>
      <c r="C1181" s="6" t="s">
        <v>4866</v>
      </c>
      <c r="D1181" s="5" t="s">
        <v>4865</v>
      </c>
      <c r="E1181" s="9" t="str">
        <f>HYPERLINK("https://twitter.com/montazer_114/status/1045306290703093760","1045306290703093760")</f>
        <v>1045306290703093760</v>
      </c>
      <c r="F1181" s="4"/>
      <c r="G1181" s="4"/>
      <c r="H1181" s="4"/>
      <c r="I1181" s="10" t="str">
        <f>HYPERLINK("http://twitter.com/download/android","Twitter for Android")</f>
        <v>Twitter for Android</v>
      </c>
      <c r="J1181" s="2">
        <v>647</v>
      </c>
      <c r="K1181" s="2">
        <v>605</v>
      </c>
      <c r="L1181" s="2">
        <v>1</v>
      </c>
      <c r="M1181" s="2"/>
      <c r="N1181" s="8">
        <v>43213.939259259263</v>
      </c>
      <c r="O1181" s="4" t="s">
        <v>4864</v>
      </c>
      <c r="P1181" s="3" t="s">
        <v>4863</v>
      </c>
      <c r="Q1181" s="4"/>
      <c r="R1181" s="4"/>
      <c r="S1181" s="9" t="str">
        <f>HYPERLINK("https://pbs.twimg.com/profile_images/1043003549741764608/M51ADfal.jpg","View")</f>
        <v>View</v>
      </c>
    </row>
    <row r="1182" spans="1:19" ht="40">
      <c r="A1182" s="8">
        <v>43370.71293981481</v>
      </c>
      <c r="B1182" s="11" t="str">
        <f>HYPERLINK("https://twitter.com/genci_pir","@genci_pir")</f>
        <v>@genci_pir</v>
      </c>
      <c r="C1182" s="6" t="s">
        <v>4862</v>
      </c>
      <c r="D1182" s="5" t="s">
        <v>4861</v>
      </c>
      <c r="E1182" s="9" t="str">
        <f>HYPERLINK("https://twitter.com/genci_pir/status/1045306218988916736","1045306218988916736")</f>
        <v>1045306218988916736</v>
      </c>
      <c r="F1182" s="10" t="s">
        <v>4860</v>
      </c>
      <c r="G1182" s="10" t="s">
        <v>4859</v>
      </c>
      <c r="H1182" s="4"/>
      <c r="I1182" s="10" t="str">
        <f>HYPERLINK("http://twitter.com/download/iphone","Twitter for iPhone")</f>
        <v>Twitter for iPhone</v>
      </c>
      <c r="J1182" s="2">
        <v>141</v>
      </c>
      <c r="K1182" s="2">
        <v>306</v>
      </c>
      <c r="L1182" s="2">
        <v>0</v>
      </c>
      <c r="M1182" s="2"/>
      <c r="N1182" s="8">
        <v>41304.876064814816</v>
      </c>
      <c r="O1182" s="4" t="s">
        <v>4858</v>
      </c>
      <c r="P1182" s="3" t="s">
        <v>4857</v>
      </c>
      <c r="Q1182" s="4"/>
      <c r="R1182" s="4"/>
      <c r="S1182" s="9" t="str">
        <f>HYPERLINK("https://pbs.twimg.com/profile_images/1008377748295946241/WIHiBS3P.jpg","View")</f>
        <v>View</v>
      </c>
    </row>
    <row r="1183" spans="1:19" ht="20">
      <c r="A1183" s="8">
        <v>43370.712847222225</v>
      </c>
      <c r="B1183" s="11" t="str">
        <f>HYPERLINK("https://twitter.com/Mahdi_Johari74","@Mahdi_Johari74")</f>
        <v>@Mahdi_Johari74</v>
      </c>
      <c r="C1183" s="6" t="s">
        <v>4856</v>
      </c>
      <c r="D1183" s="5" t="s">
        <v>4855</v>
      </c>
      <c r="E1183" s="9" t="str">
        <f>HYPERLINK("https://twitter.com/Mahdi_Johari74/status/1045306185958723584","1045306185958723584")</f>
        <v>1045306185958723584</v>
      </c>
      <c r="F1183" s="4"/>
      <c r="G1183" s="4"/>
      <c r="H1183" s="4"/>
      <c r="I1183" s="10" t="str">
        <f>HYPERLINK("http://twitter.com/download/android","Twitter for Android")</f>
        <v>Twitter for Android</v>
      </c>
      <c r="J1183" s="2">
        <v>593</v>
      </c>
      <c r="K1183" s="2">
        <v>810</v>
      </c>
      <c r="L1183" s="2">
        <v>3</v>
      </c>
      <c r="M1183" s="2"/>
      <c r="N1183" s="8">
        <v>42845.500081018516</v>
      </c>
      <c r="O1183" s="4" t="s">
        <v>4854</v>
      </c>
      <c r="P1183" s="3" t="s">
        <v>4853</v>
      </c>
      <c r="Q1183" s="4"/>
      <c r="R1183" s="4"/>
      <c r="S1183" s="9" t="str">
        <f>HYPERLINK("https://pbs.twimg.com/profile_images/999948568243863552/UUYfJmKE.jpg","View")</f>
        <v>View</v>
      </c>
    </row>
    <row r="1184" spans="1:19" ht="40">
      <c r="A1184" s="8">
        <v>43370.712696759263</v>
      </c>
      <c r="B1184" s="11" t="str">
        <f>HYPERLINK("https://twitter.com/Haxzzag_501","@Haxzzag_501")</f>
        <v>@Haxzzag_501</v>
      </c>
      <c r="C1184" s="6" t="s">
        <v>220</v>
      </c>
      <c r="D1184" s="5" t="s">
        <v>4852</v>
      </c>
      <c r="E1184" s="9" t="str">
        <f>HYPERLINK("https://twitter.com/Haxzzag_501/status/1045306131298562048","1045306131298562048")</f>
        <v>1045306131298562048</v>
      </c>
      <c r="F1184" s="4"/>
      <c r="G1184" s="4"/>
      <c r="H1184" s="4"/>
      <c r="I1184" s="10" t="str">
        <f>HYPERLINK("http://twitter.com/download/android","Twitter for Android")</f>
        <v>Twitter for Android</v>
      </c>
      <c r="J1184" s="2">
        <v>10</v>
      </c>
      <c r="K1184" s="2">
        <v>41</v>
      </c>
      <c r="L1184" s="2">
        <v>0</v>
      </c>
      <c r="M1184" s="2"/>
      <c r="N1184" s="8">
        <v>41883.918981481482</v>
      </c>
      <c r="O1184" s="4" t="s">
        <v>1525</v>
      </c>
      <c r="P1184" s="3"/>
      <c r="Q1184" s="4"/>
      <c r="R1184" s="4"/>
      <c r="S1184" s="9" t="str">
        <f>HYPERLINK("https://pbs.twimg.com/profile_images/1039918922240282625/VGfzZcEA.jpg","View")</f>
        <v>View</v>
      </c>
    </row>
    <row r="1185" spans="1:19" ht="30">
      <c r="A1185" s="8">
        <v>43370.712638888886</v>
      </c>
      <c r="B1185" s="11" t="str">
        <f>HYPERLINK("https://twitter.com/AliVefghi","@AliVefghi")</f>
        <v>@AliVefghi</v>
      </c>
      <c r="C1185" s="6" t="s">
        <v>4851</v>
      </c>
      <c r="D1185" s="5" t="s">
        <v>4850</v>
      </c>
      <c r="E1185" s="9" t="str">
        <f>HYPERLINK("https://twitter.com/AliVefghi/status/1045306113384747009","1045306113384747009")</f>
        <v>1045306113384747009</v>
      </c>
      <c r="F1185" s="4"/>
      <c r="G1185" s="4"/>
      <c r="H1185" s="4"/>
      <c r="I1185" s="10" t="str">
        <f>HYPERLINK("http://twitter.com/download/android","Twitter for Android")</f>
        <v>Twitter for Android</v>
      </c>
      <c r="J1185" s="2">
        <v>673</v>
      </c>
      <c r="K1185" s="2">
        <v>543</v>
      </c>
      <c r="L1185" s="2">
        <v>1</v>
      </c>
      <c r="M1185" s="2"/>
      <c r="N1185" s="8">
        <v>42885.958796296298</v>
      </c>
      <c r="O1185" s="4" t="s">
        <v>311</v>
      </c>
      <c r="P1185" s="3" t="s">
        <v>4849</v>
      </c>
      <c r="Q1185" s="4"/>
      <c r="R1185" s="4"/>
      <c r="S1185" s="9" t="str">
        <f>HYPERLINK("https://pbs.twimg.com/profile_images/869629756362412035/YyriZjaP.jpg","View")</f>
        <v>View</v>
      </c>
    </row>
    <row r="1186" spans="1:19" ht="40">
      <c r="A1186" s="8">
        <v>43370.712453703702</v>
      </c>
      <c r="B1186" s="11" t="str">
        <f>HYPERLINK("https://twitter.com/arastuq","@arastuq")</f>
        <v>@arastuq</v>
      </c>
      <c r="C1186" s="6" t="s">
        <v>4848</v>
      </c>
      <c r="D1186" s="5" t="s">
        <v>4847</v>
      </c>
      <c r="E1186" s="9" t="str">
        <f>HYPERLINK("https://twitter.com/arastuq/status/1045306044136779776","1045306044136779776")</f>
        <v>1045306044136779776</v>
      </c>
      <c r="F1186" s="4"/>
      <c r="G1186" s="10" t="s">
        <v>4846</v>
      </c>
      <c r="H1186" s="4"/>
      <c r="I1186" s="10" t="str">
        <f>HYPERLINK("http://twitter.com/download/android","Twitter for Android")</f>
        <v>Twitter for Android</v>
      </c>
      <c r="J1186" s="2">
        <v>6001</v>
      </c>
      <c r="K1186" s="2">
        <v>981</v>
      </c>
      <c r="L1186" s="2">
        <v>43</v>
      </c>
      <c r="M1186" s="2"/>
      <c r="N1186" s="8">
        <v>40217.945150462961</v>
      </c>
      <c r="O1186" s="4" t="s">
        <v>4845</v>
      </c>
      <c r="P1186" s="3" t="s">
        <v>4844</v>
      </c>
      <c r="Q1186" s="10" t="s">
        <v>4843</v>
      </c>
      <c r="R1186" s="4"/>
      <c r="S1186" s="9" t="str">
        <f>HYPERLINK("https://pbs.twimg.com/profile_images/978947744059490304/-nDbAyus.jpg","View")</f>
        <v>View</v>
      </c>
    </row>
    <row r="1187" spans="1:19" ht="20">
      <c r="A1187" s="8">
        <v>43370.712430555555</v>
      </c>
      <c r="B1187" s="11" t="str">
        <f>HYPERLINK("https://twitter.com/Tasnimnews_Fa","@Tasnimnews_Fa")</f>
        <v>@Tasnimnews_Fa</v>
      </c>
      <c r="C1187" s="6" t="s">
        <v>3472</v>
      </c>
      <c r="D1187" s="5" t="s">
        <v>4842</v>
      </c>
      <c r="E1187" s="9" t="str">
        <f>HYPERLINK("https://twitter.com/Tasnimnews_Fa/status/1045306036897402880","1045306036897402880")</f>
        <v>1045306036897402880</v>
      </c>
      <c r="F1187" s="4"/>
      <c r="G1187" s="10" t="s">
        <v>4841</v>
      </c>
      <c r="H1187" s="4"/>
      <c r="I1187" s="10" t="str">
        <f>HYPERLINK("http://twitter.com","Twitter Web Client")</f>
        <v>Twitter Web Client</v>
      </c>
      <c r="J1187" s="2">
        <v>111055</v>
      </c>
      <c r="K1187" s="2">
        <v>19</v>
      </c>
      <c r="L1187" s="2">
        <v>393</v>
      </c>
      <c r="M1187" s="2" t="s">
        <v>1701</v>
      </c>
      <c r="N1187" s="8">
        <v>41868.671585648146</v>
      </c>
      <c r="O1187" s="4" t="s">
        <v>10</v>
      </c>
      <c r="P1187" s="3" t="s">
        <v>3469</v>
      </c>
      <c r="Q1187" s="10" t="s">
        <v>3468</v>
      </c>
      <c r="R1187" s="4"/>
      <c r="S1187" s="9" t="str">
        <f>HYPERLINK("https://pbs.twimg.com/profile_images/942003149430239232/hvLw_1_E.jpg","View")</f>
        <v>View</v>
      </c>
    </row>
    <row r="1188" spans="1:19" ht="12.5">
      <c r="A1188" s="8">
        <v>43370.712384259255</v>
      </c>
      <c r="B1188" s="11" t="str">
        <f>HYPERLINK("https://twitter.com/H_luigi","@H_luigi")</f>
        <v>@H_luigi</v>
      </c>
      <c r="C1188" s="6" t="s">
        <v>3390</v>
      </c>
      <c r="D1188" s="5" t="s">
        <v>4840</v>
      </c>
      <c r="E1188" s="9" t="str">
        <f>HYPERLINK("https://twitter.com/H_luigi/status/1045306020116004869","1045306020116004869")</f>
        <v>1045306020116004869</v>
      </c>
      <c r="F1188" s="4"/>
      <c r="G1188" s="4"/>
      <c r="H1188" s="4"/>
      <c r="I1188" s="10" t="str">
        <f>HYPERLINK("http://twitter.com/download/android","Twitter for Android")</f>
        <v>Twitter for Android</v>
      </c>
      <c r="J1188" s="2">
        <v>6155</v>
      </c>
      <c r="K1188" s="2">
        <v>537</v>
      </c>
      <c r="L1188" s="2">
        <v>35</v>
      </c>
      <c r="M1188" s="2"/>
      <c r="N1188" s="8">
        <v>41807.576689814814</v>
      </c>
      <c r="O1188" s="4" t="s">
        <v>3388</v>
      </c>
      <c r="P1188" s="3" t="s">
        <v>3387</v>
      </c>
      <c r="Q1188" s="4"/>
      <c r="R1188" s="4"/>
      <c r="S1188" s="9" t="str">
        <f>HYPERLINK("https://pbs.twimg.com/profile_images/1015873025185591296/SSN5fz3z.jpg","View")</f>
        <v>View</v>
      </c>
    </row>
    <row r="1189" spans="1:19" ht="12.5">
      <c r="A1189" s="8">
        <v>43370.712233796294</v>
      </c>
      <c r="B1189" s="11" t="str">
        <f>HYPERLINK("https://twitter.com/peymanolis","@peymanolis")</f>
        <v>@peymanolis</v>
      </c>
      <c r="C1189" s="6" t="s">
        <v>4839</v>
      </c>
      <c r="D1189" s="5" t="s">
        <v>4838</v>
      </c>
      <c r="E1189" s="9" t="str">
        <f>HYPERLINK("https://twitter.com/peymanolis/status/1045305966248554496","1045305966248554496")</f>
        <v>1045305966248554496</v>
      </c>
      <c r="F1189" s="4"/>
      <c r="G1189" s="10" t="s">
        <v>4837</v>
      </c>
      <c r="H1189" s="4"/>
      <c r="I1189" s="10" t="str">
        <f>HYPERLINK("http://twitter.com/download/iphone","Twitter for iPhone")</f>
        <v>Twitter for iPhone</v>
      </c>
      <c r="J1189" s="2">
        <v>455</v>
      </c>
      <c r="K1189" s="2">
        <v>342</v>
      </c>
      <c r="L1189" s="2">
        <v>5</v>
      </c>
      <c r="M1189" s="2"/>
      <c r="N1189" s="8">
        <v>42587.996053240742</v>
      </c>
      <c r="O1189" s="4"/>
      <c r="P1189" s="3" t="s">
        <v>4836</v>
      </c>
      <c r="Q1189" s="4"/>
      <c r="R1189" s="4"/>
      <c r="S1189" s="9" t="str">
        <f>HYPERLINK("https://pbs.twimg.com/profile_images/1007362552483975170/58xbI5Fd.jpg","View")</f>
        <v>View</v>
      </c>
    </row>
    <row r="1190" spans="1:19" ht="20">
      <c r="A1190" s="8">
        <v>43370.712048611109</v>
      </c>
      <c r="B1190" s="11" t="str">
        <f>HYPERLINK("https://twitter.com/omidbeedel","@omidbeedel")</f>
        <v>@omidbeedel</v>
      </c>
      <c r="C1190" s="6" t="s">
        <v>4835</v>
      </c>
      <c r="D1190" s="5" t="s">
        <v>4834</v>
      </c>
      <c r="E1190" s="9" t="str">
        <f>HYPERLINK("https://twitter.com/omidbeedel/status/1045305896090447872","1045305896090447872")</f>
        <v>1045305896090447872</v>
      </c>
      <c r="F1190" s="4"/>
      <c r="G1190" s="4"/>
      <c r="H1190" s="4"/>
      <c r="I1190" s="10" t="str">
        <f>HYPERLINK("http://twitter.com/download/android","Twitter for Android")</f>
        <v>Twitter for Android</v>
      </c>
      <c r="J1190" s="2">
        <v>344</v>
      </c>
      <c r="K1190" s="2">
        <v>137</v>
      </c>
      <c r="L1190" s="2">
        <v>3</v>
      </c>
      <c r="M1190" s="2"/>
      <c r="N1190" s="8">
        <v>43119.533229166671</v>
      </c>
      <c r="O1190" s="4" t="s">
        <v>4833</v>
      </c>
      <c r="P1190" s="3" t="s">
        <v>4832</v>
      </c>
      <c r="Q1190" s="4"/>
      <c r="R1190" s="4"/>
      <c r="S1190" s="9" t="str">
        <f>HYPERLINK("https://pbs.twimg.com/profile_images/1044942651240402945/ibK4kusB.jpg","View")</f>
        <v>View</v>
      </c>
    </row>
    <row r="1191" spans="1:19" ht="20">
      <c r="A1191" s="8">
        <v>43370.711979166663</v>
      </c>
      <c r="B1191" s="11" t="str">
        <f>HYPERLINK("https://twitter.com/amoomozi","@amoomozi")</f>
        <v>@amoomozi</v>
      </c>
      <c r="C1191" s="6" t="s">
        <v>4831</v>
      </c>
      <c r="D1191" s="5" t="s">
        <v>4830</v>
      </c>
      <c r="E1191" s="9" t="str">
        <f>HYPERLINK("https://twitter.com/amoomozi/status/1045305874246324224","1045305874246324224")</f>
        <v>1045305874246324224</v>
      </c>
      <c r="F1191" s="4"/>
      <c r="G1191" s="4"/>
      <c r="H1191" s="4"/>
      <c r="I1191" s="10" t="str">
        <f>HYPERLINK("http://twitter.com","Twitter Web Client")</f>
        <v>Twitter Web Client</v>
      </c>
      <c r="J1191" s="2">
        <v>1294</v>
      </c>
      <c r="K1191" s="2">
        <v>1614</v>
      </c>
      <c r="L1191" s="2">
        <v>1</v>
      </c>
      <c r="M1191" s="2"/>
      <c r="N1191" s="8">
        <v>40903.454571759255</v>
      </c>
      <c r="O1191" s="4"/>
      <c r="P1191" s="3" t="s">
        <v>4829</v>
      </c>
      <c r="Q1191" s="4"/>
      <c r="R1191" s="4"/>
      <c r="S1191" s="9" t="str">
        <f>HYPERLINK("https://pbs.twimg.com/profile_images/896781566944264193/iqX9sJTf.jpg","View")</f>
        <v>View</v>
      </c>
    </row>
    <row r="1192" spans="1:19" ht="20">
      <c r="A1192" s="8">
        <v>43370.711921296301</v>
      </c>
      <c r="B1192" s="11" t="str">
        <f>HYPERLINK("https://twitter.com/persian405","@persian405")</f>
        <v>@persian405</v>
      </c>
      <c r="C1192" s="6" t="s">
        <v>4828</v>
      </c>
      <c r="D1192" s="5" t="s">
        <v>4827</v>
      </c>
      <c r="E1192" s="9" t="str">
        <f>HYPERLINK("https://twitter.com/persian405/status/1045305852125753345","1045305852125753345")</f>
        <v>1045305852125753345</v>
      </c>
      <c r="F1192" s="4"/>
      <c r="G1192" s="10" t="s">
        <v>4826</v>
      </c>
      <c r="H1192" s="4"/>
      <c r="I1192" s="10" t="str">
        <f>HYPERLINK("http://twitter.com/download/android","Twitter for Android")</f>
        <v>Twitter for Android</v>
      </c>
      <c r="J1192" s="2">
        <v>1292</v>
      </c>
      <c r="K1192" s="2">
        <v>2971</v>
      </c>
      <c r="L1192" s="2">
        <v>1</v>
      </c>
      <c r="M1192" s="2"/>
      <c r="N1192" s="8">
        <v>42527.679722222223</v>
      </c>
      <c r="O1192" s="4"/>
      <c r="P1192" s="3" t="s">
        <v>4825</v>
      </c>
      <c r="Q1192" s="4"/>
      <c r="R1192" s="4"/>
      <c r="S1192" s="9" t="str">
        <f>HYPERLINK("https://pbs.twimg.com/profile_images/902569738944917505/tDj1IzzV.jpg","View")</f>
        <v>View</v>
      </c>
    </row>
    <row r="1193" spans="1:19" ht="20">
      <c r="A1193" s="8">
        <v>43370.711909722224</v>
      </c>
      <c r="B1193" s="11" t="str">
        <f>HYPERLINK("https://twitter.com/PMR0731","@PMR0731")</f>
        <v>@PMR0731</v>
      </c>
      <c r="C1193" s="6" t="s">
        <v>423</v>
      </c>
      <c r="D1193" s="5" t="s">
        <v>4824</v>
      </c>
      <c r="E1193" s="9" t="str">
        <f>HYPERLINK("https://twitter.com/PMR0731/status/1045305848816435201","1045305848816435201")</f>
        <v>1045305848816435201</v>
      </c>
      <c r="F1193" s="4"/>
      <c r="G1193" s="10" t="s">
        <v>4823</v>
      </c>
      <c r="H1193" s="4"/>
      <c r="I1193" s="10" t="str">
        <f>HYPERLINK("http://twitter.com","Twitter Web Client")</f>
        <v>Twitter Web Client</v>
      </c>
      <c r="J1193" s="2">
        <v>798</v>
      </c>
      <c r="K1193" s="2">
        <v>192</v>
      </c>
      <c r="L1193" s="2">
        <v>6</v>
      </c>
      <c r="M1193" s="2"/>
      <c r="N1193" s="8">
        <v>42590.050578703704</v>
      </c>
      <c r="O1193" s="4" t="s">
        <v>420</v>
      </c>
      <c r="P1193" s="3" t="s">
        <v>419</v>
      </c>
      <c r="Q1193" s="4"/>
      <c r="R1193" s="4"/>
      <c r="S1193" s="9" t="str">
        <f>HYPERLINK("https://pbs.twimg.com/profile_images/1030356397630926848/x8SmplII.jpg","View")</f>
        <v>View</v>
      </c>
    </row>
    <row r="1194" spans="1:19" ht="20">
      <c r="A1194" s="8">
        <v>43370.711759259255</v>
      </c>
      <c r="B1194" s="11" t="str">
        <f>HYPERLINK("https://twitter.com/shearestan","@shearestan")</f>
        <v>@shearestan</v>
      </c>
      <c r="C1194" s="6" t="s">
        <v>4822</v>
      </c>
      <c r="D1194" s="5" t="s">
        <v>4821</v>
      </c>
      <c r="E1194" s="9" t="str">
        <f>HYPERLINK("https://twitter.com/shearestan/status/1045305792231075840","1045305792231075840")</f>
        <v>1045305792231075840</v>
      </c>
      <c r="F1194" s="4"/>
      <c r="G1194" s="4"/>
      <c r="H1194" s="4"/>
      <c r="I1194" s="10" t="str">
        <f>HYPERLINK("http://twitter.com/download/android","Twitter for Android")</f>
        <v>Twitter for Android</v>
      </c>
      <c r="J1194" s="2">
        <v>912</v>
      </c>
      <c r="K1194" s="2">
        <v>1476</v>
      </c>
      <c r="L1194" s="2">
        <v>1</v>
      </c>
      <c r="M1194" s="2"/>
      <c r="N1194" s="8">
        <v>43221.998136574075</v>
      </c>
      <c r="O1194" s="4"/>
      <c r="P1194" s="3" t="s">
        <v>4820</v>
      </c>
      <c r="Q1194" s="4"/>
      <c r="R1194" s="4"/>
      <c r="S1194" s="9" t="str">
        <f>HYPERLINK("https://pbs.twimg.com/profile_images/1026399293480034306/909LRHot.jpg","View")</f>
        <v>View</v>
      </c>
    </row>
    <row r="1195" spans="1:19" ht="30">
      <c r="A1195" s="8">
        <v>43370.711678240739</v>
      </c>
      <c r="B1195" s="11" t="str">
        <f>HYPERLINK("https://twitter.com/mehrdadmanafi","@mehrdadmanafi")</f>
        <v>@mehrdadmanafi</v>
      </c>
      <c r="C1195" s="6" t="s">
        <v>4819</v>
      </c>
      <c r="D1195" s="5" t="s">
        <v>4818</v>
      </c>
      <c r="E1195" s="9" t="str">
        <f>HYPERLINK("https://twitter.com/mehrdadmanafi/status/1045305764531904514","1045305764531904514")</f>
        <v>1045305764531904514</v>
      </c>
      <c r="F1195" s="4"/>
      <c r="G1195" s="4"/>
      <c r="H1195" s="4"/>
      <c r="I1195" s="10" t="str">
        <f>HYPERLINK("http://twitter.com/download/iphone","Twitter for iPhone")</f>
        <v>Twitter for iPhone</v>
      </c>
      <c r="J1195" s="2">
        <v>19</v>
      </c>
      <c r="K1195" s="2">
        <v>26</v>
      </c>
      <c r="L1195" s="2">
        <v>0</v>
      </c>
      <c r="M1195" s="2"/>
      <c r="N1195" s="8">
        <v>43016.999050925922</v>
      </c>
      <c r="O1195" s="4" t="s">
        <v>200</v>
      </c>
      <c r="P1195" s="3" t="s">
        <v>4817</v>
      </c>
      <c r="Q1195" s="4"/>
      <c r="R1195" s="4"/>
      <c r="S1195" s="9" t="str">
        <f>HYPERLINK("https://pbs.twimg.com/profile_images/1038186771220189185/j13PsVUj.jpg","View")</f>
        <v>View</v>
      </c>
    </row>
    <row r="1196" spans="1:19" ht="20">
      <c r="A1196" s="8">
        <v>43370.711597222224</v>
      </c>
      <c r="B1196" s="11" t="str">
        <f>HYPERLINK("https://twitter.com/adamse11111","@adamse11111")</f>
        <v>@adamse11111</v>
      </c>
      <c r="C1196" s="6" t="s">
        <v>3984</v>
      </c>
      <c r="D1196" s="5" t="s">
        <v>4816</v>
      </c>
      <c r="E1196" s="9" t="str">
        <f>HYPERLINK("https://twitter.com/adamse11111/status/1045305734542610432","1045305734542610432")</f>
        <v>1045305734542610432</v>
      </c>
      <c r="F1196" s="4"/>
      <c r="G1196" s="10" t="s">
        <v>4815</v>
      </c>
      <c r="H1196" s="4"/>
      <c r="I1196" s="10" t="str">
        <f>HYPERLINK("http://twitter.com/download/android","Twitter for Android")</f>
        <v>Twitter for Android</v>
      </c>
      <c r="J1196" s="2">
        <v>12775</v>
      </c>
      <c r="K1196" s="2">
        <v>953</v>
      </c>
      <c r="L1196" s="2">
        <v>9</v>
      </c>
      <c r="M1196" s="2"/>
      <c r="N1196" s="8">
        <v>43111.571516203709</v>
      </c>
      <c r="O1196" s="4" t="s">
        <v>597</v>
      </c>
      <c r="P1196" s="3" t="s">
        <v>3982</v>
      </c>
      <c r="Q1196" s="4"/>
      <c r="R1196" s="4"/>
      <c r="S1196" s="9" t="str">
        <f>HYPERLINK("https://pbs.twimg.com/profile_images/1033789552383549440/vJALubD0.jpg","View")</f>
        <v>View</v>
      </c>
    </row>
    <row r="1197" spans="1:19" ht="40">
      <c r="A1197" s="8">
        <v>43370.711215277777</v>
      </c>
      <c r="B1197" s="11" t="str">
        <f>HYPERLINK("https://twitter.com/mohammad_213110","@mohammad_213110")</f>
        <v>@mohammad_213110</v>
      </c>
      <c r="C1197" s="6" t="s">
        <v>4814</v>
      </c>
      <c r="D1197" s="5" t="s">
        <v>4813</v>
      </c>
      <c r="E1197" s="9" t="str">
        <f>HYPERLINK("https://twitter.com/mohammad_213110/status/1045305596122214403","1045305596122214403")</f>
        <v>1045305596122214403</v>
      </c>
      <c r="F1197" s="4"/>
      <c r="G1197" s="4"/>
      <c r="H1197" s="4"/>
      <c r="I1197" s="10" t="str">
        <f>HYPERLINK("http://twitter.com/download/android","Twitter for Android")</f>
        <v>Twitter for Android</v>
      </c>
      <c r="J1197" s="2">
        <v>4376</v>
      </c>
      <c r="K1197" s="2">
        <v>1461</v>
      </c>
      <c r="L1197" s="2">
        <v>12</v>
      </c>
      <c r="M1197" s="2"/>
      <c r="N1197" s="8">
        <v>42926.946898148148</v>
      </c>
      <c r="O1197" s="4" t="s">
        <v>4812</v>
      </c>
      <c r="P1197" s="3" t="s">
        <v>4811</v>
      </c>
      <c r="Q1197" s="4"/>
      <c r="R1197" s="4"/>
      <c r="S1197" s="9" t="str">
        <f>HYPERLINK("https://pbs.twimg.com/profile_images/1043244692811522049/y_fNPPTD.jpg","View")</f>
        <v>View</v>
      </c>
    </row>
    <row r="1198" spans="1:19" ht="30">
      <c r="A1198" s="8">
        <v>43370.711180555554</v>
      </c>
      <c r="B1198" s="11" t="str">
        <f>HYPERLINK("https://twitter.com/ErfanHajbabaee","@ErfanHajbabaee")</f>
        <v>@ErfanHajbabaee</v>
      </c>
      <c r="C1198" s="6" t="s">
        <v>660</v>
      </c>
      <c r="D1198" s="5" t="s">
        <v>4810</v>
      </c>
      <c r="E1198" s="9" t="str">
        <f>HYPERLINK("https://twitter.com/ErfanHajbabaee/status/1045305583992221696","1045305583992221696")</f>
        <v>1045305583992221696</v>
      </c>
      <c r="F1198" s="4"/>
      <c r="G1198" s="4"/>
      <c r="H1198" s="4"/>
      <c r="I1198" s="10" t="str">
        <f>HYPERLINK("http://twitter.com/download/android","Twitter for Android")</f>
        <v>Twitter for Android</v>
      </c>
      <c r="J1198" s="2">
        <v>114</v>
      </c>
      <c r="K1198" s="2">
        <v>73</v>
      </c>
      <c r="L1198" s="2">
        <v>0</v>
      </c>
      <c r="M1198" s="2"/>
      <c r="N1198" s="8">
        <v>43255.527858796297</v>
      </c>
      <c r="O1198" s="4" t="s">
        <v>657</v>
      </c>
      <c r="P1198" s="3" t="s">
        <v>656</v>
      </c>
      <c r="Q1198" s="4"/>
      <c r="R1198" s="4"/>
      <c r="S1198" s="9" t="str">
        <f>HYPERLINK("https://pbs.twimg.com/profile_images/1041679103177490432/gLzwxFyO.jpg","View")</f>
        <v>View</v>
      </c>
    </row>
    <row r="1199" spans="1:19" ht="12.5">
      <c r="A1199" s="8">
        <v>43370.711064814815</v>
      </c>
      <c r="B1199" s="11" t="str">
        <f>HYPERLINK("https://twitter.com/ahoo_khanoom93","@ahoo_khanoom93")</f>
        <v>@ahoo_khanoom93</v>
      </c>
      <c r="C1199" s="6" t="s">
        <v>2119</v>
      </c>
      <c r="D1199" s="5" t="s">
        <v>4809</v>
      </c>
      <c r="E1199" s="9" t="str">
        <f>HYPERLINK("https://twitter.com/ahoo_khanoom93/status/1045305541025832960","1045305541025832960")</f>
        <v>1045305541025832960</v>
      </c>
      <c r="F1199" s="4"/>
      <c r="G1199" s="4"/>
      <c r="H1199" s="4"/>
      <c r="I1199" s="10" t="str">
        <f>HYPERLINK("http://twitter.com/download/android","Twitter for Android")</f>
        <v>Twitter for Android</v>
      </c>
      <c r="J1199" s="2">
        <v>1300</v>
      </c>
      <c r="K1199" s="2">
        <v>545</v>
      </c>
      <c r="L1199" s="2">
        <v>5</v>
      </c>
      <c r="M1199" s="2"/>
      <c r="N1199" s="8">
        <v>43101.800509259258</v>
      </c>
      <c r="O1199" s="4" t="s">
        <v>2117</v>
      </c>
      <c r="P1199" s="3" t="s">
        <v>2116</v>
      </c>
      <c r="Q1199" s="4"/>
      <c r="R1199" s="4"/>
      <c r="S1199" s="9" t="str">
        <f>HYPERLINK("https://pbs.twimg.com/profile_images/1045004659298095104/bbl58kVg.jpg","View")</f>
        <v>View</v>
      </c>
    </row>
    <row r="1200" spans="1:19" ht="20">
      <c r="A1200" s="8">
        <v>43370.710370370369</v>
      </c>
      <c r="B1200" s="11" t="str">
        <f>HYPERLINK("https://twitter.com/Ghahhar","@Ghahhar")</f>
        <v>@Ghahhar</v>
      </c>
      <c r="C1200" s="6" t="s">
        <v>3667</v>
      </c>
      <c r="D1200" s="5" t="s">
        <v>4808</v>
      </c>
      <c r="E1200" s="9" t="str">
        <f>HYPERLINK("https://twitter.com/Ghahhar/status/1045305290546171906","1045305290546171906")</f>
        <v>1045305290546171906</v>
      </c>
      <c r="F1200" s="4"/>
      <c r="G1200" s="10" t="s">
        <v>4807</v>
      </c>
      <c r="H1200" s="4"/>
      <c r="I1200" s="10" t="str">
        <f>HYPERLINK("http://twitter.com/download/iphone","Twitter for iPhone")</f>
        <v>Twitter for iPhone</v>
      </c>
      <c r="J1200" s="2">
        <v>3860</v>
      </c>
      <c r="K1200" s="2">
        <v>319</v>
      </c>
      <c r="L1200" s="2">
        <v>14</v>
      </c>
      <c r="M1200" s="2"/>
      <c r="N1200" s="8">
        <v>41135.69840277778</v>
      </c>
      <c r="O1200" s="4"/>
      <c r="P1200" s="3" t="s">
        <v>3664</v>
      </c>
      <c r="Q1200" s="10" t="s">
        <v>3663</v>
      </c>
      <c r="R1200" s="4"/>
      <c r="S1200" s="9" t="str">
        <f>HYPERLINK("https://pbs.twimg.com/profile_images/1044020442330222592/7KcT8ECd.jpg","View")</f>
        <v>View</v>
      </c>
    </row>
    <row r="1201" spans="1:19" ht="20">
      <c r="A1201" s="8">
        <v>43370.710358796292</v>
      </c>
      <c r="B1201" s="11" t="str">
        <f>HYPERLINK("https://twitter.com/LoscheShahram","@LoscheShahram")</f>
        <v>@LoscheShahram</v>
      </c>
      <c r="C1201" s="6" t="s">
        <v>4806</v>
      </c>
      <c r="D1201" s="5" t="s">
        <v>4805</v>
      </c>
      <c r="E1201" s="9" t="str">
        <f>HYPERLINK("https://twitter.com/LoscheShahram/status/1045305285018095616","1045305285018095616")</f>
        <v>1045305285018095616</v>
      </c>
      <c r="F1201" s="4"/>
      <c r="G1201" s="4"/>
      <c r="H1201" s="4"/>
      <c r="I1201" s="10" t="str">
        <f>HYPERLINK("https://mobile.twitter.com","Twitter Lite")</f>
        <v>Twitter Lite</v>
      </c>
      <c r="J1201" s="2">
        <v>316</v>
      </c>
      <c r="K1201" s="2">
        <v>385</v>
      </c>
      <c r="L1201" s="2">
        <v>1</v>
      </c>
      <c r="M1201" s="2"/>
      <c r="N1201" s="8">
        <v>40470.971631944441</v>
      </c>
      <c r="O1201" s="4"/>
      <c r="P1201" s="3"/>
      <c r="Q1201" s="4"/>
      <c r="R1201" s="4"/>
      <c r="S1201" s="9" t="str">
        <f>HYPERLINK("https://pbs.twimg.com/profile_images/952863045860188165/7UAlwiQm.jpg","View")</f>
        <v>View</v>
      </c>
    </row>
    <row r="1202" spans="1:19" ht="12.5">
      <c r="A1202" s="8">
        <v>43370.710347222222</v>
      </c>
      <c r="B1202" s="11" t="str">
        <f>HYPERLINK("https://twitter.com/mahdian_n","@mahdian_n")</f>
        <v>@mahdian_n</v>
      </c>
      <c r="C1202" s="6" t="s">
        <v>4804</v>
      </c>
      <c r="D1202" s="5" t="s">
        <v>4803</v>
      </c>
      <c r="E1202" s="9" t="str">
        <f>HYPERLINK("https://twitter.com/mahdian_n/status/1045305282904170496","1045305282904170496")</f>
        <v>1045305282904170496</v>
      </c>
      <c r="F1202" s="4"/>
      <c r="G1202" s="10" t="s">
        <v>4802</v>
      </c>
      <c r="H1202" s="4"/>
      <c r="I1202" s="10" t="str">
        <f>HYPERLINK("http://twitter.com/download/android","Twitter for Android")</f>
        <v>Twitter for Android</v>
      </c>
      <c r="J1202" s="2">
        <v>87</v>
      </c>
      <c r="K1202" s="2">
        <v>148</v>
      </c>
      <c r="L1202" s="2">
        <v>0</v>
      </c>
      <c r="M1202" s="2"/>
      <c r="N1202" s="8">
        <v>43313.072222222225</v>
      </c>
      <c r="O1202" s="4" t="s">
        <v>4801</v>
      </c>
      <c r="P1202" s="3" t="s">
        <v>4800</v>
      </c>
      <c r="Q1202" s="4"/>
      <c r="R1202" s="4"/>
      <c r="S1202" s="9" t="str">
        <f>HYPERLINK("https://pbs.twimg.com/profile_images/1043437031735668738/F3Pqihya.jpg","View")</f>
        <v>View</v>
      </c>
    </row>
    <row r="1203" spans="1:19" ht="30">
      <c r="A1203" s="8">
        <v>43370.709988425922</v>
      </c>
      <c r="B1203" s="11" t="str">
        <f>HYPERLINK("https://twitter.com/sam2_au","@sam2_au")</f>
        <v>@sam2_au</v>
      </c>
      <c r="C1203" s="6" t="s">
        <v>4799</v>
      </c>
      <c r="D1203" s="5" t="s">
        <v>4798</v>
      </c>
      <c r="E1203" s="9" t="str">
        <f>HYPERLINK("https://twitter.com/sam2_au/status/1045305150544306176","1045305150544306176")</f>
        <v>1045305150544306176</v>
      </c>
      <c r="F1203" s="10" t="s">
        <v>4797</v>
      </c>
      <c r="G1203" s="4"/>
      <c r="H1203" s="4"/>
      <c r="I1203" s="10" t="str">
        <f>HYPERLINK("https://mobile.twitter.com","Twitter Lite")</f>
        <v>Twitter Lite</v>
      </c>
      <c r="J1203" s="2">
        <v>1469</v>
      </c>
      <c r="K1203" s="2">
        <v>1377</v>
      </c>
      <c r="L1203" s="2">
        <v>15</v>
      </c>
      <c r="M1203" s="2"/>
      <c r="N1203" s="8">
        <v>40561.868460648147</v>
      </c>
      <c r="O1203" s="4" t="s">
        <v>4796</v>
      </c>
      <c r="P1203" s="3" t="s">
        <v>4795</v>
      </c>
      <c r="Q1203" s="4"/>
      <c r="R1203" s="4"/>
      <c r="S1203" s="9" t="str">
        <f>HYPERLINK("https://pbs.twimg.com/profile_images/1032531878874468353/ttJHLUUh.jpg","View")</f>
        <v>View</v>
      </c>
    </row>
    <row r="1204" spans="1:19" ht="20">
      <c r="A1204" s="8">
        <v>43370.70993055556</v>
      </c>
      <c r="B1204" s="11" t="str">
        <f>HYPERLINK("https://twitter.com/mahboobe___20","@mahboobe___20")</f>
        <v>@mahboobe___20</v>
      </c>
      <c r="C1204" s="6" t="s">
        <v>1926</v>
      </c>
      <c r="D1204" s="5" t="s">
        <v>4794</v>
      </c>
      <c r="E1204" s="9" t="str">
        <f>HYPERLINK("https://twitter.com/mahboobe___20/status/1045305129099038721","1045305129099038721")</f>
        <v>1045305129099038721</v>
      </c>
      <c r="F1204" s="4"/>
      <c r="G1204" s="4"/>
      <c r="H1204" s="4"/>
      <c r="I1204" s="10" t="str">
        <f>HYPERLINK("http://twitter.com/download/iphone","Twitter for iPhone")</f>
        <v>Twitter for iPhone</v>
      </c>
      <c r="J1204" s="2">
        <v>2497</v>
      </c>
      <c r="K1204" s="2">
        <v>337</v>
      </c>
      <c r="L1204" s="2">
        <v>15</v>
      </c>
      <c r="M1204" s="2"/>
      <c r="N1204" s="8">
        <v>42577.786527777775</v>
      </c>
      <c r="O1204" s="4"/>
      <c r="P1204" s="3" t="s">
        <v>1925</v>
      </c>
      <c r="Q1204" s="4"/>
      <c r="R1204" s="4"/>
      <c r="S1204" s="9" t="str">
        <f>HYPERLINK("https://pbs.twimg.com/profile_images/1045038656849883136/CLSL1jQH.jpg","View")</f>
        <v>View</v>
      </c>
    </row>
    <row r="1205" spans="1:19" ht="20">
      <c r="A1205" s="8">
        <v>43370.709861111114</v>
      </c>
      <c r="B1205" s="11" t="str">
        <f>HYPERLINK("https://twitter.com/redgirl_samira","@redgirl_samira")</f>
        <v>@redgirl_samira</v>
      </c>
      <c r="C1205" s="6" t="s">
        <v>321</v>
      </c>
      <c r="D1205" s="5" t="s">
        <v>4793</v>
      </c>
      <c r="E1205" s="9" t="str">
        <f>HYPERLINK("https://twitter.com/redgirl_samira/status/1045305105644425217","1045305105644425217")</f>
        <v>1045305105644425217</v>
      </c>
      <c r="F1205" s="4"/>
      <c r="G1205" s="4"/>
      <c r="H1205" s="4"/>
      <c r="I1205" s="10" t="str">
        <f>HYPERLINK("http://twitter.com/download/android","Twitter for Android")</f>
        <v>Twitter for Android</v>
      </c>
      <c r="J1205" s="2">
        <v>31</v>
      </c>
      <c r="K1205" s="2">
        <v>51</v>
      </c>
      <c r="L1205" s="2">
        <v>0</v>
      </c>
      <c r="M1205" s="2"/>
      <c r="N1205" s="8">
        <v>43080.140219907407</v>
      </c>
      <c r="O1205" s="4" t="s">
        <v>318</v>
      </c>
      <c r="P1205" s="3" t="s">
        <v>317</v>
      </c>
      <c r="Q1205" s="4"/>
      <c r="R1205" s="4"/>
      <c r="S1205" s="9" t="str">
        <f>HYPERLINK("https://pbs.twimg.com/profile_images/1041269033524449280/N2p9S43i.jpg","View")</f>
        <v>View</v>
      </c>
    </row>
    <row r="1206" spans="1:19" ht="20">
      <c r="A1206" s="8">
        <v>43370.709780092591</v>
      </c>
      <c r="B1206" s="11" t="str">
        <f>HYPERLINK("https://twitter.com/Eyni_ir","@Eyni_ir")</f>
        <v>@Eyni_ir</v>
      </c>
      <c r="C1206" s="6" t="s">
        <v>4792</v>
      </c>
      <c r="D1206" s="5" t="s">
        <v>4791</v>
      </c>
      <c r="E1206" s="9" t="str">
        <f>HYPERLINK("https://twitter.com/Eyni_ir/status/1045305076783316992","1045305076783316992")</f>
        <v>1045305076783316992</v>
      </c>
      <c r="F1206" s="4"/>
      <c r="G1206" s="4"/>
      <c r="H1206" s="4"/>
      <c r="I1206" s="10" t="str">
        <f>HYPERLINK("http://twitter.com","Twitter Web Client")</f>
        <v>Twitter Web Client</v>
      </c>
      <c r="J1206" s="2">
        <v>130</v>
      </c>
      <c r="K1206" s="2">
        <v>152</v>
      </c>
      <c r="L1206" s="2">
        <v>0</v>
      </c>
      <c r="M1206" s="2"/>
      <c r="N1206" s="8">
        <v>42419.350243055553</v>
      </c>
      <c r="O1206" s="4"/>
      <c r="P1206" s="3" t="s">
        <v>4790</v>
      </c>
      <c r="Q1206" s="4"/>
      <c r="R1206" s="4"/>
      <c r="S1206" s="9" t="str">
        <f>HYPERLINK("https://pbs.twimg.com/profile_images/1004455000804765696/yoXEU3S3.jpg","View")</f>
        <v>View</v>
      </c>
    </row>
    <row r="1207" spans="1:19" ht="30">
      <c r="A1207" s="8">
        <v>43370.709016203706</v>
      </c>
      <c r="B1207" s="11" t="str">
        <f>HYPERLINK("https://twitter.com/Milad_Nasim","@Milad_Nasim")</f>
        <v>@Milad_Nasim</v>
      </c>
      <c r="C1207" s="6" t="s">
        <v>4789</v>
      </c>
      <c r="D1207" s="5" t="s">
        <v>4788</v>
      </c>
      <c r="E1207" s="9" t="str">
        <f>HYPERLINK("https://twitter.com/Milad_Nasim/status/1045304799779069952","1045304799779069952")</f>
        <v>1045304799779069952</v>
      </c>
      <c r="F1207" s="4"/>
      <c r="G1207" s="4"/>
      <c r="H1207" s="4"/>
      <c r="I1207" s="10" t="str">
        <f>HYPERLINK("http://twitter.com/download/android","Twitter for Android")</f>
        <v>Twitter for Android</v>
      </c>
      <c r="J1207" s="2">
        <v>73</v>
      </c>
      <c r="K1207" s="2">
        <v>28</v>
      </c>
      <c r="L1207" s="2">
        <v>0</v>
      </c>
      <c r="M1207" s="2"/>
      <c r="N1207" s="8">
        <v>42825.606053240743</v>
      </c>
      <c r="O1207" s="4" t="s">
        <v>254</v>
      </c>
      <c r="P1207" s="3" t="s">
        <v>4787</v>
      </c>
      <c r="Q1207" s="10" t="s">
        <v>4786</v>
      </c>
      <c r="R1207" s="4"/>
      <c r="S1207" s="9" t="str">
        <f>HYPERLINK("https://pbs.twimg.com/profile_images/1030188443354255360/W0lDd00C.jpg","View")</f>
        <v>View</v>
      </c>
    </row>
    <row r="1208" spans="1:19" ht="20">
      <c r="A1208" s="8">
        <v>43370.708356481482</v>
      </c>
      <c r="B1208" s="11" t="str">
        <f>HYPERLINK("https://twitter.com/Zahra_Zareii","@Zahra_Zareii")</f>
        <v>@Zahra_Zareii</v>
      </c>
      <c r="C1208" s="6" t="s">
        <v>4785</v>
      </c>
      <c r="D1208" s="5" t="s">
        <v>4784</v>
      </c>
      <c r="E1208" s="9" t="str">
        <f>HYPERLINK("https://twitter.com/Zahra_Zareii/status/1045304560884097024","1045304560884097024")</f>
        <v>1045304560884097024</v>
      </c>
      <c r="F1208" s="4"/>
      <c r="G1208" s="4"/>
      <c r="H1208" s="4"/>
      <c r="I1208" s="10" t="str">
        <f>HYPERLINK("http://twitter.com/download/android","Twitter for Android")</f>
        <v>Twitter for Android</v>
      </c>
      <c r="J1208" s="2">
        <v>2337</v>
      </c>
      <c r="K1208" s="2">
        <v>2124</v>
      </c>
      <c r="L1208" s="2">
        <v>1</v>
      </c>
      <c r="M1208" s="2"/>
      <c r="N1208" s="8">
        <v>43110.12091435185</v>
      </c>
      <c r="O1208" s="4" t="s">
        <v>4783</v>
      </c>
      <c r="P1208" s="3" t="s">
        <v>4782</v>
      </c>
      <c r="Q1208" s="4"/>
      <c r="R1208" s="4"/>
      <c r="S1208" s="9" t="str">
        <f>HYPERLINK("https://pbs.twimg.com/profile_images/961253198186106882/F4NBkzoG.jpg","View")</f>
        <v>View</v>
      </c>
    </row>
    <row r="1209" spans="1:19" ht="12.5">
      <c r="A1209" s="8">
        <v>43370.708356481482</v>
      </c>
      <c r="B1209" s="11" t="str">
        <f>HYPERLINK("https://twitter.com/feitox","@feitox")</f>
        <v>@feitox</v>
      </c>
      <c r="C1209" s="6" t="s">
        <v>4781</v>
      </c>
      <c r="D1209" s="5" t="s">
        <v>4780</v>
      </c>
      <c r="E1209" s="9" t="str">
        <f>HYPERLINK("https://twitter.com/feitox/status/1045304558031917058","1045304558031917058")</f>
        <v>1045304558031917058</v>
      </c>
      <c r="F1209" s="4"/>
      <c r="G1209" s="4"/>
      <c r="H1209" s="4"/>
      <c r="I1209" s="10" t="str">
        <f>HYPERLINK("http://twitter.com/download/android","Twitter for Android")</f>
        <v>Twitter for Android</v>
      </c>
      <c r="J1209" s="2">
        <v>492</v>
      </c>
      <c r="K1209" s="2">
        <v>395</v>
      </c>
      <c r="L1209" s="2">
        <v>1</v>
      </c>
      <c r="M1209" s="2"/>
      <c r="N1209" s="8">
        <v>43107.013402777782</v>
      </c>
      <c r="O1209" s="4" t="s">
        <v>1922</v>
      </c>
      <c r="P1209" s="3" t="s">
        <v>4779</v>
      </c>
      <c r="Q1209" s="4"/>
      <c r="R1209" s="4"/>
      <c r="S1209" s="9" t="str">
        <f>HYPERLINK("https://pbs.twimg.com/profile_images/1039885048818880512/pDrzNmbV.jpg","View")</f>
        <v>View</v>
      </c>
    </row>
    <row r="1210" spans="1:19" ht="12.5">
      <c r="A1210" s="8">
        <v>43370.708333333328</v>
      </c>
      <c r="B1210" s="11" t="str">
        <f>HYPERLINK("https://twitter.com/farnaaaaazz","@farnaaaaazz")</f>
        <v>@farnaaaaazz</v>
      </c>
      <c r="C1210" s="6" t="s">
        <v>4778</v>
      </c>
      <c r="D1210" s="5" t="s">
        <v>4777</v>
      </c>
      <c r="E1210" s="9" t="str">
        <f>HYPERLINK("https://twitter.com/farnaaaaazz/status/1045304552877162497","1045304552877162497")</f>
        <v>1045304552877162497</v>
      </c>
      <c r="F1210" s="4"/>
      <c r="G1210" s="10" t="s">
        <v>4776</v>
      </c>
      <c r="H1210" s="4"/>
      <c r="I1210" s="10" t="str">
        <f>HYPERLINK("http://twitter.com/download/iphone","Twitter for iPhone")</f>
        <v>Twitter for iPhone</v>
      </c>
      <c r="J1210" s="2">
        <v>6630</v>
      </c>
      <c r="K1210" s="2">
        <v>475</v>
      </c>
      <c r="L1210" s="2">
        <v>36</v>
      </c>
      <c r="M1210" s="2"/>
      <c r="N1210" s="8">
        <v>42842.415150462963</v>
      </c>
      <c r="O1210" s="4" t="s">
        <v>72</v>
      </c>
      <c r="P1210" s="3" t="s">
        <v>4775</v>
      </c>
      <c r="Q1210" s="4"/>
      <c r="R1210" s="4"/>
      <c r="S1210" s="9" t="str">
        <f>HYPERLINK("https://pbs.twimg.com/profile_images/1039801129595547648/RtXSYD5z.jpg","View")</f>
        <v>View</v>
      </c>
    </row>
    <row r="1211" spans="1:19" ht="20">
      <c r="A1211" s="8">
        <v>43370.708252314813</v>
      </c>
      <c r="B1211" s="11" t="str">
        <f>HYPERLINK("https://twitter.com/_AhmadR3zA","@_AhmadR3zA")</f>
        <v>@_AhmadR3zA</v>
      </c>
      <c r="C1211" s="6" t="s">
        <v>4774</v>
      </c>
      <c r="D1211" s="5" t="s">
        <v>4773</v>
      </c>
      <c r="E1211" s="9" t="str">
        <f>HYPERLINK("https://twitter.com/_AhmadR3zA/status/1045304522527186945","1045304522527186945")</f>
        <v>1045304522527186945</v>
      </c>
      <c r="F1211" s="4"/>
      <c r="G1211" s="4"/>
      <c r="H1211" s="4"/>
      <c r="I1211" s="10" t="str">
        <f>HYPERLINK("http://twitter.com/download/iphone","Twitter for iPhone")</f>
        <v>Twitter for iPhone</v>
      </c>
      <c r="J1211" s="2">
        <v>251</v>
      </c>
      <c r="K1211" s="2">
        <v>357</v>
      </c>
      <c r="L1211" s="2">
        <v>0</v>
      </c>
      <c r="M1211" s="2"/>
      <c r="N1211" s="8">
        <v>41921.483599537038</v>
      </c>
      <c r="O1211" s="4" t="s">
        <v>4772</v>
      </c>
      <c r="P1211" s="3" t="s">
        <v>4771</v>
      </c>
      <c r="Q1211" s="4"/>
      <c r="R1211" s="4"/>
      <c r="S1211" s="9" t="str">
        <f>HYPERLINK("https://pbs.twimg.com/profile_images/875674717193220096/fVsydNAh.jpg","View")</f>
        <v>View</v>
      </c>
    </row>
    <row r="1212" spans="1:19" ht="20">
      <c r="A1212" s="8">
        <v>43370.708090277782</v>
      </c>
      <c r="B1212" s="11" t="str">
        <f>HYPERLINK("https://twitter.com/ahmadv_313","@ahmadv_313")</f>
        <v>@ahmadv_313</v>
      </c>
      <c r="C1212" s="6" t="s">
        <v>4770</v>
      </c>
      <c r="D1212" s="5" t="s">
        <v>4769</v>
      </c>
      <c r="E1212" s="9" t="str">
        <f>HYPERLINK("https://twitter.com/ahmadv_313/status/1045304464654159872","1045304464654159872")</f>
        <v>1045304464654159872</v>
      </c>
      <c r="F1212" s="4"/>
      <c r="G1212" s="10" t="s">
        <v>4768</v>
      </c>
      <c r="H1212" s="4"/>
      <c r="I1212" s="10" t="str">
        <f>HYPERLINK("http://twitter.com/download/android","Twitter for Android")</f>
        <v>Twitter for Android</v>
      </c>
      <c r="J1212" s="2">
        <v>11</v>
      </c>
      <c r="K1212" s="2">
        <v>12</v>
      </c>
      <c r="L1212" s="2">
        <v>0</v>
      </c>
      <c r="M1212" s="2"/>
      <c r="N1212" s="8">
        <v>43197.877326388887</v>
      </c>
      <c r="O1212" s="4" t="s">
        <v>72</v>
      </c>
      <c r="P1212" s="3"/>
      <c r="Q1212" s="4"/>
      <c r="R1212" s="4"/>
      <c r="S1212" s="9" t="str">
        <f>HYPERLINK("https://pbs.twimg.com/profile_images/994927703961886720/wo1pf9b9.jpg","View")</f>
        <v>View</v>
      </c>
    </row>
    <row r="1213" spans="1:19" ht="12.5">
      <c r="A1213" s="8">
        <v>43370.708067129628</v>
      </c>
      <c r="B1213" s="11" t="str">
        <f>HYPERLINK("https://twitter.com/mojgaaannn","@mojgaaannn")</f>
        <v>@mojgaaannn</v>
      </c>
      <c r="C1213" s="6" t="s">
        <v>4767</v>
      </c>
      <c r="D1213" s="5" t="s">
        <v>4766</v>
      </c>
      <c r="E1213" s="9" t="str">
        <f>HYPERLINK("https://twitter.com/mojgaaannn/status/1045304456127152135","1045304456127152135")</f>
        <v>1045304456127152135</v>
      </c>
      <c r="F1213" s="4"/>
      <c r="G1213" s="4"/>
      <c r="H1213" s="4"/>
      <c r="I1213" s="10" t="str">
        <f>HYPERLINK("http://twitter.com/download/iphone","Twitter for iPhone")</f>
        <v>Twitter for iPhone</v>
      </c>
      <c r="J1213" s="2">
        <v>6</v>
      </c>
      <c r="K1213" s="2">
        <v>63</v>
      </c>
      <c r="L1213" s="2">
        <v>0</v>
      </c>
      <c r="M1213" s="2"/>
      <c r="N1213" s="8">
        <v>43346.915879629625</v>
      </c>
      <c r="O1213" s="4" t="s">
        <v>55</v>
      </c>
      <c r="P1213" s="3" t="s">
        <v>4765</v>
      </c>
      <c r="Q1213" s="4"/>
      <c r="R1213" s="4"/>
      <c r="S1213" s="9" t="str">
        <f>HYPERLINK("https://pbs.twimg.com/profile_images/1038110693248131079/2_mFNF0d.jpg","View")</f>
        <v>View</v>
      </c>
    </row>
    <row r="1214" spans="1:19" ht="30">
      <c r="A1214" s="8">
        <v>43370.707951388889</v>
      </c>
      <c r="B1214" s="11" t="str">
        <f>HYPERLINK("https://twitter.com/bbcpersiansport","@bbcpersiansport")</f>
        <v>@bbcpersiansport</v>
      </c>
      <c r="C1214" s="6" t="s">
        <v>4220</v>
      </c>
      <c r="D1214" s="5" t="s">
        <v>4764</v>
      </c>
      <c r="E1214" s="9" t="str">
        <f>HYPERLINK("https://twitter.com/bbcpersiansport/status/1045304412602855424","1045304412602855424")</f>
        <v>1045304412602855424</v>
      </c>
      <c r="F1214" s="4"/>
      <c r="G1214" s="10" t="s">
        <v>4763</v>
      </c>
      <c r="H1214" s="4"/>
      <c r="I1214" s="10" t="str">
        <f>HYPERLINK("http://twitter.com/download/iphone","Twitter for iPhone")</f>
        <v>Twitter for iPhone</v>
      </c>
      <c r="J1214" s="2">
        <v>228718</v>
      </c>
      <c r="K1214" s="2">
        <v>152</v>
      </c>
      <c r="L1214" s="2">
        <v>310</v>
      </c>
      <c r="M1214" s="2" t="s">
        <v>1701</v>
      </c>
      <c r="N1214" s="8">
        <v>40318.713576388887</v>
      </c>
      <c r="O1214" s="4"/>
      <c r="P1214" s="3"/>
      <c r="Q1214" s="10" t="s">
        <v>4217</v>
      </c>
      <c r="R1214" s="4"/>
      <c r="S1214" s="9" t="str">
        <f>HYPERLINK("https://pbs.twimg.com/profile_images/586219124562460672/qrgu5k3O.jpg","View")</f>
        <v>View</v>
      </c>
    </row>
    <row r="1215" spans="1:19" ht="20">
      <c r="A1215" s="8">
        <v>43370.707337962958</v>
      </c>
      <c r="B1215" s="11" t="str">
        <f>HYPERLINK("https://twitter.com/grayjenabkhan","@grayjenabkhan")</f>
        <v>@grayjenabkhan</v>
      </c>
      <c r="C1215" s="6" t="s">
        <v>4762</v>
      </c>
      <c r="D1215" s="5" t="s">
        <v>4761</v>
      </c>
      <c r="E1215" s="9" t="str">
        <f>HYPERLINK("https://twitter.com/grayjenabkhan/status/1045304189595856898","1045304189595856898")</f>
        <v>1045304189595856898</v>
      </c>
      <c r="F1215" s="4"/>
      <c r="G1215" s="4"/>
      <c r="H1215" s="4"/>
      <c r="I1215" s="10" t="str">
        <f>HYPERLINK("http://twitter.com/download/android","Twitter for Android")</f>
        <v>Twitter for Android</v>
      </c>
      <c r="J1215" s="2">
        <v>1730</v>
      </c>
      <c r="K1215" s="2">
        <v>3171</v>
      </c>
      <c r="L1215" s="2">
        <v>2</v>
      </c>
      <c r="M1215" s="2"/>
      <c r="N1215" s="8">
        <v>43297.488182870366</v>
      </c>
      <c r="O1215" s="4" t="s">
        <v>4760</v>
      </c>
      <c r="P1215" s="3" t="s">
        <v>4759</v>
      </c>
      <c r="Q1215" s="4"/>
      <c r="R1215" s="4"/>
      <c r="S1215" s="9" t="str">
        <f>HYPERLINK("https://pbs.twimg.com/profile_images/1025994676246142981/VaJqdrrv.jpg","View")</f>
        <v>View</v>
      </c>
    </row>
    <row r="1216" spans="1:19" ht="20">
      <c r="A1216" s="8">
        <v>43370.707083333335</v>
      </c>
      <c r="B1216" s="11" t="str">
        <f>HYPERLINK("https://twitter.com/babyarezoo","@babyarezoo")</f>
        <v>@babyarezoo</v>
      </c>
      <c r="C1216" s="6" t="s">
        <v>4758</v>
      </c>
      <c r="D1216" s="5" t="s">
        <v>4757</v>
      </c>
      <c r="E1216" s="9" t="str">
        <f>HYPERLINK("https://twitter.com/babyarezoo/status/1045304097841262593","1045304097841262593")</f>
        <v>1045304097841262593</v>
      </c>
      <c r="F1216" s="4"/>
      <c r="G1216" s="10" t="s">
        <v>4756</v>
      </c>
      <c r="H1216" s="4"/>
      <c r="I1216" s="10" t="str">
        <f>HYPERLINK("http://twitter.com/download/iphone","Twitter for iPhone")</f>
        <v>Twitter for iPhone</v>
      </c>
      <c r="J1216" s="2">
        <v>3669</v>
      </c>
      <c r="K1216" s="2">
        <v>717</v>
      </c>
      <c r="L1216" s="2">
        <v>12</v>
      </c>
      <c r="M1216" s="2"/>
      <c r="N1216" s="8">
        <v>42953.093900462962</v>
      </c>
      <c r="O1216" s="4" t="s">
        <v>4755</v>
      </c>
      <c r="P1216" s="3" t="s">
        <v>4754</v>
      </c>
      <c r="Q1216" s="10" t="s">
        <v>4753</v>
      </c>
      <c r="R1216" s="4"/>
      <c r="S1216" s="9" t="str">
        <f>HYPERLINK("https://pbs.twimg.com/profile_images/1044616484750864386/dihA1Viw.jpg","View")</f>
        <v>View</v>
      </c>
    </row>
    <row r="1217" spans="1:19" ht="30">
      <c r="A1217" s="8">
        <v>43370.707025462965</v>
      </c>
      <c r="B1217" s="11" t="str">
        <f>HYPERLINK("https://twitter.com/FahimeKhorasani","@FahimeKhorasani")</f>
        <v>@FahimeKhorasani</v>
      </c>
      <c r="C1217" s="6" t="s">
        <v>4752</v>
      </c>
      <c r="D1217" s="5" t="s">
        <v>4751</v>
      </c>
      <c r="E1217" s="9" t="str">
        <f>HYPERLINK("https://twitter.com/FahimeKhorasani/status/1045304075234017283","1045304075234017283")</f>
        <v>1045304075234017283</v>
      </c>
      <c r="F1217" s="4"/>
      <c r="G1217" s="4"/>
      <c r="H1217" s="4"/>
      <c r="I1217" s="10" t="str">
        <f>HYPERLINK("http://twitter.com/download/android","Twitter for Android")</f>
        <v>Twitter for Android</v>
      </c>
      <c r="J1217" s="2">
        <v>697</v>
      </c>
      <c r="K1217" s="2">
        <v>2057</v>
      </c>
      <c r="L1217" s="2">
        <v>0</v>
      </c>
      <c r="M1217" s="2"/>
      <c r="N1217" s="8">
        <v>43241.727708333332</v>
      </c>
      <c r="O1217" s="4"/>
      <c r="P1217" s="3" t="s">
        <v>4750</v>
      </c>
      <c r="Q1217" s="4"/>
      <c r="R1217" s="4"/>
      <c r="S1217" s="9" t="str">
        <f>HYPERLINK("https://pbs.twimg.com/profile_images/1012596201491959808/161G3bQT.jpg","View")</f>
        <v>View</v>
      </c>
    </row>
    <row r="1218" spans="1:19" ht="20">
      <c r="A1218" s="8">
        <v>43370.706979166665</v>
      </c>
      <c r="B1218" s="11" t="str">
        <f>HYPERLINK("https://twitter.com/t_a1362","@t_a1362")</f>
        <v>@t_a1362</v>
      </c>
      <c r="C1218" s="6" t="s">
        <v>616</v>
      </c>
      <c r="D1218" s="5" t="s">
        <v>4749</v>
      </c>
      <c r="E1218" s="9" t="str">
        <f>HYPERLINK("https://twitter.com/t_a1362/status/1045304059962355713","1045304059962355713")</f>
        <v>1045304059962355713</v>
      </c>
      <c r="F1218" s="4"/>
      <c r="G1218" s="4"/>
      <c r="H1218" s="4"/>
      <c r="I1218" s="10" t="str">
        <f>HYPERLINK("https://mobile.twitter.com","Twitter Lite")</f>
        <v>Twitter Lite</v>
      </c>
      <c r="J1218" s="2">
        <v>1216</v>
      </c>
      <c r="K1218" s="2">
        <v>414</v>
      </c>
      <c r="L1218" s="2">
        <v>6</v>
      </c>
      <c r="M1218" s="2"/>
      <c r="N1218" s="8">
        <v>42671.691875000004</v>
      </c>
      <c r="O1218" s="4" t="s">
        <v>4748</v>
      </c>
      <c r="P1218" s="3" t="s">
        <v>4747</v>
      </c>
      <c r="Q1218" s="4"/>
      <c r="R1218" s="4"/>
      <c r="S1218" s="9" t="str">
        <f>HYPERLINK("https://pbs.twimg.com/profile_images/920631864284598273/hPePMKZm.jpg","View")</f>
        <v>View</v>
      </c>
    </row>
    <row r="1219" spans="1:19" ht="20">
      <c r="A1219" s="8">
        <v>43370.706967592589</v>
      </c>
      <c r="B1219" s="11" t="str">
        <f>HYPERLINK("https://twitter.com/shepelutca","@shepelutca")</f>
        <v>@shepelutca</v>
      </c>
      <c r="C1219" s="6" t="s">
        <v>418</v>
      </c>
      <c r="D1219" s="5" t="s">
        <v>4746</v>
      </c>
      <c r="E1219" s="9" t="str">
        <f>HYPERLINK("https://twitter.com/shepelutca/status/1045304055319474177","1045304055319474177")</f>
        <v>1045304055319474177</v>
      </c>
      <c r="F1219" s="4"/>
      <c r="G1219" s="4"/>
      <c r="H1219" s="4"/>
      <c r="I1219" s="10" t="str">
        <f>HYPERLINK("http://twitter.com/download/iphone","Twitter for iPhone")</f>
        <v>Twitter for iPhone</v>
      </c>
      <c r="J1219" s="2">
        <v>340</v>
      </c>
      <c r="K1219" s="2">
        <v>550</v>
      </c>
      <c r="L1219" s="2">
        <v>2</v>
      </c>
      <c r="M1219" s="2"/>
      <c r="N1219" s="8">
        <v>39994.676608796297</v>
      </c>
      <c r="O1219" s="4" t="s">
        <v>31</v>
      </c>
      <c r="P1219" s="3" t="s">
        <v>416</v>
      </c>
      <c r="Q1219" s="4"/>
      <c r="R1219" s="4"/>
      <c r="S1219" s="9" t="str">
        <f>HYPERLINK("https://pbs.twimg.com/profile_images/965997577001893893/g8aVDpX3.jpg","View")</f>
        <v>View</v>
      </c>
    </row>
    <row r="1220" spans="1:19" ht="40">
      <c r="A1220" s="8">
        <v>43370.70684027778</v>
      </c>
      <c r="B1220" s="11" t="str">
        <f>HYPERLINK("https://twitter.com/mashtaliteruni","@mashtaliteruni")</f>
        <v>@mashtaliteruni</v>
      </c>
      <c r="C1220" s="6" t="s">
        <v>4745</v>
      </c>
      <c r="D1220" s="5" t="s">
        <v>4744</v>
      </c>
      <c r="E1220" s="9" t="str">
        <f>HYPERLINK("https://twitter.com/mashtaliteruni/status/1045304008779403264","1045304008779403264")</f>
        <v>1045304008779403264</v>
      </c>
      <c r="F1220" s="4"/>
      <c r="G1220" s="4"/>
      <c r="H1220" s="4"/>
      <c r="I1220" s="10" t="str">
        <f>HYPERLINK("http://twitter.com/download/android","Twitter for Android")</f>
        <v>Twitter for Android</v>
      </c>
      <c r="J1220" s="2">
        <v>31</v>
      </c>
      <c r="K1220" s="2">
        <v>53</v>
      </c>
      <c r="L1220" s="2">
        <v>1</v>
      </c>
      <c r="M1220" s="2"/>
      <c r="N1220" s="8">
        <v>42748.097268518519</v>
      </c>
      <c r="O1220" s="4"/>
      <c r="P1220" s="3"/>
      <c r="Q1220" s="4"/>
      <c r="R1220" s="4"/>
      <c r="S1220" s="9" t="str">
        <f>HYPERLINK("https://pbs.twimg.com/profile_images/1026551987914059776/dKqsVrNE.jpg","View")</f>
        <v>View</v>
      </c>
    </row>
    <row r="1221" spans="1:19" ht="20">
      <c r="A1221" s="8">
        <v>43370.706342592588</v>
      </c>
      <c r="B1221" s="11" t="str">
        <f>HYPERLINK("https://twitter.com/ploto2546","@ploto2546")</f>
        <v>@ploto2546</v>
      </c>
      <c r="C1221" s="6" t="s">
        <v>264</v>
      </c>
      <c r="D1221" s="5" t="s">
        <v>4743</v>
      </c>
      <c r="E1221" s="9" t="str">
        <f>HYPERLINK("https://twitter.com/ploto2546/status/1045303831091916801","1045303831091916801")</f>
        <v>1045303831091916801</v>
      </c>
      <c r="F1221" s="4"/>
      <c r="G1221" s="4"/>
      <c r="H1221" s="4"/>
      <c r="I1221" s="10" t="str">
        <f>HYPERLINK("http://twitter.com/download/android","Twitter for Android")</f>
        <v>Twitter for Android</v>
      </c>
      <c r="J1221" s="2">
        <v>1688</v>
      </c>
      <c r="K1221" s="2">
        <v>1890</v>
      </c>
      <c r="L1221" s="2">
        <v>5</v>
      </c>
      <c r="M1221" s="2"/>
      <c r="N1221" s="8">
        <v>43207.184918981482</v>
      </c>
      <c r="O1221" s="4" t="s">
        <v>262</v>
      </c>
      <c r="P1221" s="3" t="s">
        <v>261</v>
      </c>
      <c r="Q1221" s="4"/>
      <c r="R1221" s="4"/>
      <c r="S1221" s="9" t="str">
        <f>HYPERLINK("https://pbs.twimg.com/profile_images/1025171503271301127/S_pGLx0M.jpg","View")</f>
        <v>View</v>
      </c>
    </row>
    <row r="1222" spans="1:19" ht="30">
      <c r="A1222" s="8">
        <v>43370.706307870365</v>
      </c>
      <c r="B1222" s="11" t="str">
        <f>HYPERLINK("https://twitter.com/sergio_milad","@sergio_milad")</f>
        <v>@sergio_milad</v>
      </c>
      <c r="C1222" s="6" t="s">
        <v>4742</v>
      </c>
      <c r="D1222" s="5" t="s">
        <v>4741</v>
      </c>
      <c r="E1222" s="9" t="str">
        <f>HYPERLINK("https://twitter.com/sergio_milad/status/1045303816487342080","1045303816487342080")</f>
        <v>1045303816487342080</v>
      </c>
      <c r="F1222" s="4"/>
      <c r="G1222" s="4"/>
      <c r="H1222" s="4"/>
      <c r="I1222" s="10" t="str">
        <f>HYPERLINK("http://twitter.com/download/android","Twitter for Android")</f>
        <v>Twitter for Android</v>
      </c>
      <c r="J1222" s="2">
        <v>973</v>
      </c>
      <c r="K1222" s="2">
        <v>1365</v>
      </c>
      <c r="L1222" s="2">
        <v>0</v>
      </c>
      <c r="M1222" s="2"/>
      <c r="N1222" s="8">
        <v>43211.075925925921</v>
      </c>
      <c r="O1222" s="4" t="s">
        <v>4740</v>
      </c>
      <c r="P1222" s="3" t="s">
        <v>4739</v>
      </c>
      <c r="Q1222" s="4"/>
      <c r="R1222" s="4"/>
      <c r="S1222" s="9" t="str">
        <f>HYPERLINK("https://pbs.twimg.com/profile_images/1044695866576130050/23qmqIt6.jpg","View")</f>
        <v>View</v>
      </c>
    </row>
    <row r="1223" spans="1:19" ht="20">
      <c r="A1223" s="8">
        <v>43370.706111111111</v>
      </c>
      <c r="B1223" s="11" t="str">
        <f>HYPERLINK("https://twitter.com/Soroushx2x","@Soroushx2x")</f>
        <v>@Soroushx2x</v>
      </c>
      <c r="C1223" s="6" t="s">
        <v>4735</v>
      </c>
      <c r="D1223" s="5" t="s">
        <v>4738</v>
      </c>
      <c r="E1223" s="9" t="str">
        <f>HYPERLINK("https://twitter.com/Soroushx2x/status/1045303744789925888","1045303744789925888")</f>
        <v>1045303744789925888</v>
      </c>
      <c r="F1223" s="4"/>
      <c r="G1223" s="4"/>
      <c r="H1223" s="4"/>
      <c r="I1223" s="10" t="str">
        <f>HYPERLINK("http://twitter.com/download/android","Twitter for Android")</f>
        <v>Twitter for Android</v>
      </c>
      <c r="J1223" s="2">
        <v>166</v>
      </c>
      <c r="K1223" s="2">
        <v>479</v>
      </c>
      <c r="L1223" s="2">
        <v>0</v>
      </c>
      <c r="M1223" s="2"/>
      <c r="N1223" s="8">
        <v>42689.791608796295</v>
      </c>
      <c r="O1223" s="4"/>
      <c r="P1223" s="3" t="s">
        <v>4732</v>
      </c>
      <c r="Q1223" s="4"/>
      <c r="R1223" s="4"/>
      <c r="S1223" s="9" t="str">
        <f>HYPERLINK("https://pbs.twimg.com/profile_images/993560462368428034/8U6oMRHE.jpg","View")</f>
        <v>View</v>
      </c>
    </row>
    <row r="1224" spans="1:19" ht="12.5">
      <c r="A1224" s="8">
        <v>43370.705925925926</v>
      </c>
      <c r="B1224" s="11" t="str">
        <f>HYPERLINK("https://twitter.com/Parsatavakolii","@Parsatavakolii")</f>
        <v>@Parsatavakolii</v>
      </c>
      <c r="C1224" s="6" t="s">
        <v>423</v>
      </c>
      <c r="D1224" s="5" t="s">
        <v>4737</v>
      </c>
      <c r="E1224" s="9" t="str">
        <f>HYPERLINK("https://twitter.com/Parsatavakolii/status/1045303677865660416","1045303677865660416")</f>
        <v>1045303677865660416</v>
      </c>
      <c r="F1224" s="4"/>
      <c r="G1224" s="10" t="s">
        <v>4736</v>
      </c>
      <c r="H1224" s="4"/>
      <c r="I1224" s="10" t="str">
        <f>HYPERLINK("http://twitter.com/download/iphone","Twitter for iPhone")</f>
        <v>Twitter for iPhone</v>
      </c>
      <c r="J1224" s="2">
        <v>406</v>
      </c>
      <c r="K1224" s="2">
        <v>942</v>
      </c>
      <c r="L1224" s="2">
        <v>0</v>
      </c>
      <c r="M1224" s="2"/>
      <c r="N1224" s="8">
        <v>43356.22388888889</v>
      </c>
      <c r="O1224" s="4"/>
      <c r="P1224" s="3" t="s">
        <v>1653</v>
      </c>
      <c r="Q1224" s="10" t="s">
        <v>1698</v>
      </c>
      <c r="R1224" s="4"/>
      <c r="S1224" s="9" t="str">
        <f>HYPERLINK("https://pbs.twimg.com/profile_images/1045290809929740288/L5OTDnBK.jpg","View")</f>
        <v>View</v>
      </c>
    </row>
    <row r="1225" spans="1:19" ht="30">
      <c r="A1225" s="8">
        <v>43370.705821759257</v>
      </c>
      <c r="B1225" s="11" t="str">
        <f>HYPERLINK("https://twitter.com/Soroushx2x","@Soroushx2x")</f>
        <v>@Soroushx2x</v>
      </c>
      <c r="C1225" s="6" t="s">
        <v>4735</v>
      </c>
      <c r="D1225" s="5" t="s">
        <v>4734</v>
      </c>
      <c r="E1225" s="9" t="str">
        <f>HYPERLINK("https://twitter.com/Soroushx2x/status/1045303642004353030","1045303642004353030")</f>
        <v>1045303642004353030</v>
      </c>
      <c r="F1225" s="10" t="s">
        <v>4733</v>
      </c>
      <c r="G1225" s="4"/>
      <c r="H1225" s="4"/>
      <c r="I1225" s="10" t="str">
        <f>HYPERLINK("http://twitter.com/download/android","Twitter for Android")</f>
        <v>Twitter for Android</v>
      </c>
      <c r="J1225" s="2">
        <v>166</v>
      </c>
      <c r="K1225" s="2">
        <v>479</v>
      </c>
      <c r="L1225" s="2">
        <v>0</v>
      </c>
      <c r="M1225" s="2"/>
      <c r="N1225" s="8">
        <v>42689.791608796295</v>
      </c>
      <c r="O1225" s="4"/>
      <c r="P1225" s="3" t="s">
        <v>4732</v>
      </c>
      <c r="Q1225" s="4"/>
      <c r="R1225" s="4"/>
      <c r="S1225" s="9" t="str">
        <f>HYPERLINK("https://pbs.twimg.com/profile_images/993560462368428034/8U6oMRHE.jpg","View")</f>
        <v>View</v>
      </c>
    </row>
    <row r="1226" spans="1:19" ht="20">
      <c r="A1226" s="8">
        <v>43370.705671296295</v>
      </c>
      <c r="B1226" s="11" t="str">
        <f>HYPERLINK("https://twitter.com/Ye_Sadegh","@Ye_Sadegh")</f>
        <v>@Ye_Sadegh</v>
      </c>
      <c r="C1226" s="6" t="s">
        <v>611</v>
      </c>
      <c r="D1226" s="5" t="s">
        <v>4731</v>
      </c>
      <c r="E1226" s="9" t="str">
        <f>HYPERLINK("https://twitter.com/Ye_Sadegh/status/1045303587876851713","1045303587876851713")</f>
        <v>1045303587876851713</v>
      </c>
      <c r="F1226" s="4"/>
      <c r="G1226" s="4"/>
      <c r="H1226" s="4"/>
      <c r="I1226" s="10" t="str">
        <f>HYPERLINK("http://twitter.com/download/android","Twitter for Android")</f>
        <v>Twitter for Android</v>
      </c>
      <c r="J1226" s="2">
        <v>1066</v>
      </c>
      <c r="K1226" s="2">
        <v>1086</v>
      </c>
      <c r="L1226" s="2">
        <v>2</v>
      </c>
      <c r="M1226" s="2"/>
      <c r="N1226" s="8">
        <v>42017.162407407406</v>
      </c>
      <c r="O1226" s="4" t="s">
        <v>609</v>
      </c>
      <c r="P1226" s="3" t="s">
        <v>608</v>
      </c>
      <c r="Q1226" s="4"/>
      <c r="R1226" s="4"/>
      <c r="S1226" s="9" t="str">
        <f>HYPERLINK("https://pbs.twimg.com/profile_images/1038942566799028227/-1cdY1bi.jpg","View")</f>
        <v>View</v>
      </c>
    </row>
    <row r="1227" spans="1:19" ht="12.5">
      <c r="A1227" s="8">
        <v>43370.705636574072</v>
      </c>
      <c r="B1227" s="11" t="str">
        <f>HYPERLINK("https://twitter.com/abdizade_mehdi","@abdizade_mehdi")</f>
        <v>@abdizade_mehdi</v>
      </c>
      <c r="C1227" s="6" t="s">
        <v>4730</v>
      </c>
      <c r="D1227" s="5" t="s">
        <v>4729</v>
      </c>
      <c r="E1227" s="9" t="str">
        <f>HYPERLINK("https://twitter.com/abdizade_mehdi/status/1045303575646277632","1045303575646277632")</f>
        <v>1045303575646277632</v>
      </c>
      <c r="F1227" s="4"/>
      <c r="G1227" s="4"/>
      <c r="H1227" s="4"/>
      <c r="I1227" s="10" t="str">
        <f>HYPERLINK("http://twitter.com/download/android","Twitter for Android")</f>
        <v>Twitter for Android</v>
      </c>
      <c r="J1227" s="2">
        <v>573</v>
      </c>
      <c r="K1227" s="2">
        <v>821</v>
      </c>
      <c r="L1227" s="2">
        <v>2</v>
      </c>
      <c r="M1227" s="2"/>
      <c r="N1227" s="8">
        <v>42737.457627314812</v>
      </c>
      <c r="O1227" s="4" t="s">
        <v>62</v>
      </c>
      <c r="P1227" s="3" t="s">
        <v>4728</v>
      </c>
      <c r="Q1227" s="4"/>
      <c r="R1227" s="4"/>
      <c r="S1227" s="9" t="str">
        <f>HYPERLINK("https://pbs.twimg.com/profile_images/1045014196558147585/ZOg-rZ3M.jpg","View")</f>
        <v>View</v>
      </c>
    </row>
    <row r="1228" spans="1:19" ht="20">
      <c r="A1228" s="8">
        <v>43370.705636574072</v>
      </c>
      <c r="B1228" s="11" t="str">
        <f>HYPERLINK("https://twitter.com/meghdad_ghavami","@meghdad_ghavami")</f>
        <v>@meghdad_ghavami</v>
      </c>
      <c r="C1228" s="6" t="s">
        <v>4727</v>
      </c>
      <c r="D1228" s="5" t="s">
        <v>4726</v>
      </c>
      <c r="E1228" s="9" t="str">
        <f>HYPERLINK("https://twitter.com/meghdad_ghavami/status/1045303572051759104","1045303572051759104")</f>
        <v>1045303572051759104</v>
      </c>
      <c r="F1228" s="4"/>
      <c r="G1228" s="4"/>
      <c r="H1228" s="4"/>
      <c r="I1228" s="10" t="str">
        <f>HYPERLINK("http://twitter.com/download/android","Twitter for Android")</f>
        <v>Twitter for Android</v>
      </c>
      <c r="J1228" s="2">
        <v>2309</v>
      </c>
      <c r="K1228" s="2">
        <v>729</v>
      </c>
      <c r="L1228" s="2">
        <v>19</v>
      </c>
      <c r="M1228" s="2"/>
      <c r="N1228" s="8">
        <v>42810.784803240742</v>
      </c>
      <c r="O1228" s="4"/>
      <c r="P1228" s="3" t="s">
        <v>4725</v>
      </c>
      <c r="Q1228" s="10" t="s">
        <v>4724</v>
      </c>
      <c r="R1228" s="4"/>
      <c r="S1228" s="9" t="str">
        <f>HYPERLINK("https://pbs.twimg.com/profile_images/945075803510988800/_4LieJAh.jpg","View")</f>
        <v>View</v>
      </c>
    </row>
    <row r="1229" spans="1:19" ht="12.5">
      <c r="A1229" s="8">
        <v>43370.705625000002</v>
      </c>
      <c r="B1229" s="11" t="str">
        <f>HYPERLINK("https://twitter.com/EsteghlalTehFC","@EsteghlalTehFC")</f>
        <v>@EsteghlalTehFC</v>
      </c>
      <c r="C1229" s="6" t="s">
        <v>3043</v>
      </c>
      <c r="D1229" s="5" t="s">
        <v>4723</v>
      </c>
      <c r="E1229" s="9" t="str">
        <f>HYPERLINK("https://twitter.com/EsteghlalTehFC/status/1045303570663448578","1045303570663448578")</f>
        <v>1045303570663448578</v>
      </c>
      <c r="F1229" s="4"/>
      <c r="G1229" s="4"/>
      <c r="H1229" s="4"/>
      <c r="I1229" s="10" t="str">
        <f>HYPERLINK("http://twitter.com/download/android","Twitter for Android")</f>
        <v>Twitter for Android</v>
      </c>
      <c r="J1229" s="2">
        <v>10980</v>
      </c>
      <c r="K1229" s="2">
        <v>16</v>
      </c>
      <c r="L1229" s="2">
        <v>35</v>
      </c>
      <c r="M1229" s="2"/>
      <c r="N1229" s="8">
        <v>41016.844317129631</v>
      </c>
      <c r="O1229" s="4" t="s">
        <v>2944</v>
      </c>
      <c r="P1229" s="3" t="s">
        <v>3041</v>
      </c>
      <c r="Q1229" s="10" t="s">
        <v>2577</v>
      </c>
      <c r="R1229" s="4"/>
      <c r="S1229" s="9" t="str">
        <f>HYPERLINK("https://pbs.twimg.com/profile_images/1018931327599628288/EP7JzcFn.jpg","View")</f>
        <v>View</v>
      </c>
    </row>
    <row r="1230" spans="1:19" ht="30">
      <c r="A1230" s="8">
        <v>43370.705601851849</v>
      </c>
      <c r="B1230" s="11" t="str">
        <f>HYPERLINK("https://twitter.com/blind_owl","@blind_owl")</f>
        <v>@blind_owl</v>
      </c>
      <c r="C1230" s="6" t="s">
        <v>4722</v>
      </c>
      <c r="D1230" s="5" t="s">
        <v>4721</v>
      </c>
      <c r="E1230" s="9" t="str">
        <f>HYPERLINK("https://twitter.com/blind_owl/status/1045303561998012416","1045303561998012416")</f>
        <v>1045303561998012416</v>
      </c>
      <c r="F1230" s="4"/>
      <c r="G1230" s="10" t="s">
        <v>4720</v>
      </c>
      <c r="H1230" s="4"/>
      <c r="I1230" s="10" t="str">
        <f>HYPERLINK("http://twitter.com/download/iphone","Twitter for iPhone")</f>
        <v>Twitter for iPhone</v>
      </c>
      <c r="J1230" s="2">
        <v>2016</v>
      </c>
      <c r="K1230" s="2">
        <v>503</v>
      </c>
      <c r="L1230" s="2">
        <v>41</v>
      </c>
      <c r="M1230" s="2"/>
      <c r="N1230" s="8">
        <v>39807.947812500002</v>
      </c>
      <c r="O1230" s="4"/>
      <c r="P1230" s="3" t="s">
        <v>4719</v>
      </c>
      <c r="Q1230" s="4"/>
      <c r="R1230" s="4"/>
      <c r="S1230" s="9" t="str">
        <f>HYPERLINK("https://pbs.twimg.com/profile_images/1044605822674903041/ECCSRk-I.jpg","View")</f>
        <v>View</v>
      </c>
    </row>
    <row r="1231" spans="1:19" ht="12.5">
      <c r="A1231" s="8">
        <v>43370.705509259264</v>
      </c>
      <c r="B1231" s="11" t="str">
        <f>HYPERLINK("https://twitter.com/NO_060","@NO_060")</f>
        <v>@NO_060</v>
      </c>
      <c r="C1231" s="6" t="s">
        <v>4718</v>
      </c>
      <c r="D1231" s="5" t="s">
        <v>4717</v>
      </c>
      <c r="E1231" s="9" t="str">
        <f>HYPERLINK("https://twitter.com/NO_060/status/1045303529718444032","1045303529718444032")</f>
        <v>1045303529718444032</v>
      </c>
      <c r="F1231" s="4"/>
      <c r="G1231" s="4"/>
      <c r="H1231" s="4"/>
      <c r="I1231" s="10" t="str">
        <f>HYPERLINK("http://twitter.com/download/iphone","Twitter for iPhone")</f>
        <v>Twitter for iPhone</v>
      </c>
      <c r="J1231" s="2">
        <v>1055</v>
      </c>
      <c r="K1231" s="2">
        <v>744</v>
      </c>
      <c r="L1231" s="2">
        <v>8</v>
      </c>
      <c r="M1231" s="2"/>
      <c r="N1231" s="8">
        <v>41295.040150462963</v>
      </c>
      <c r="O1231" s="4"/>
      <c r="P1231" s="3" t="s">
        <v>4716</v>
      </c>
      <c r="Q1231" s="4"/>
      <c r="R1231" s="4"/>
      <c r="S1231" s="9" t="str">
        <f>HYPERLINK("https://pbs.twimg.com/profile_images/981275141761126400/wG09XIEA.jpg","View")</f>
        <v>View</v>
      </c>
    </row>
    <row r="1232" spans="1:19" ht="30">
      <c r="A1232" s="8">
        <v>43370.704884259263</v>
      </c>
      <c r="B1232" s="11" t="str">
        <f>HYPERLINK("https://twitter.com/Samen_68","@Samen_68")</f>
        <v>@Samen_68</v>
      </c>
      <c r="C1232" s="6" t="s">
        <v>4715</v>
      </c>
      <c r="D1232" s="5" t="s">
        <v>4714</v>
      </c>
      <c r="E1232" s="9" t="str">
        <f>HYPERLINK("https://twitter.com/Samen_68/status/1045303301049405440","1045303301049405440")</f>
        <v>1045303301049405440</v>
      </c>
      <c r="F1232" s="4"/>
      <c r="G1232" s="4"/>
      <c r="H1232" s="4"/>
      <c r="I1232" s="10" t="str">
        <f>HYPERLINK("http://twitter.com/download/android","Twitter for Android")</f>
        <v>Twitter for Android</v>
      </c>
      <c r="J1232" s="2">
        <v>1409</v>
      </c>
      <c r="K1232" s="2">
        <v>1435</v>
      </c>
      <c r="L1232" s="2">
        <v>0</v>
      </c>
      <c r="M1232" s="2"/>
      <c r="N1232" s="8">
        <v>43253.889976851853</v>
      </c>
      <c r="O1232" s="4" t="s">
        <v>4713</v>
      </c>
      <c r="P1232" s="3" t="s">
        <v>4712</v>
      </c>
      <c r="Q1232" s="4"/>
      <c r="R1232" s="4"/>
      <c r="S1232" s="9" t="str">
        <f>HYPERLINK("https://pbs.twimg.com/profile_images/1044958057502044161/KmPi-QaD.jpg","View")</f>
        <v>View</v>
      </c>
    </row>
    <row r="1233" spans="1:19" ht="40">
      <c r="A1233" s="8">
        <v>43370.704837962963</v>
      </c>
      <c r="B1233" s="11" t="str">
        <f>HYPERLINK("https://twitter.com/siaavashmoradi","@siaavashmoradi")</f>
        <v>@siaavashmoradi</v>
      </c>
      <c r="C1233" s="6" t="s">
        <v>4711</v>
      </c>
      <c r="D1233" s="5" t="s">
        <v>4710</v>
      </c>
      <c r="E1233" s="9" t="str">
        <f>HYPERLINK("https://twitter.com/siaavashmoradi/status/1045303284158930944","1045303284158930944")</f>
        <v>1045303284158930944</v>
      </c>
      <c r="F1233" s="4"/>
      <c r="G1233" s="4"/>
      <c r="H1233" s="4"/>
      <c r="I1233" s="10" t="str">
        <f>HYPERLINK("http://twitter.com/download/android","Twitter for Android")</f>
        <v>Twitter for Android</v>
      </c>
      <c r="J1233" s="2">
        <v>1</v>
      </c>
      <c r="K1233" s="2">
        <v>11</v>
      </c>
      <c r="L1233" s="2">
        <v>0</v>
      </c>
      <c r="M1233" s="2"/>
      <c r="N1233" s="8">
        <v>43369.50381944445</v>
      </c>
      <c r="O1233" s="4" t="s">
        <v>414</v>
      </c>
      <c r="P1233" s="3" t="s">
        <v>4709</v>
      </c>
      <c r="Q1233" s="4"/>
      <c r="R1233" s="4"/>
      <c r="S1233" s="9" t="str">
        <f>HYPERLINK("https://pbs.twimg.com/profile_images/1044875495232471040/9DNZf4Rg.jpg","View")</f>
        <v>View</v>
      </c>
    </row>
    <row r="1234" spans="1:19" ht="30">
      <c r="A1234" s="8">
        <v>43370.704745370371</v>
      </c>
      <c r="B1234" s="11" t="str">
        <f>HYPERLINK("https://twitter.com/ploto2546","@ploto2546")</f>
        <v>@ploto2546</v>
      </c>
      <c r="C1234" s="6" t="s">
        <v>264</v>
      </c>
      <c r="D1234" s="5" t="s">
        <v>4708</v>
      </c>
      <c r="E1234" s="9" t="str">
        <f>HYPERLINK("https://twitter.com/ploto2546/status/1045303249115451392","1045303249115451392")</f>
        <v>1045303249115451392</v>
      </c>
      <c r="F1234" s="4"/>
      <c r="G1234" s="4"/>
      <c r="H1234" s="4"/>
      <c r="I1234" s="10" t="str">
        <f>HYPERLINK("http://twitter.com/download/android","Twitter for Android")</f>
        <v>Twitter for Android</v>
      </c>
      <c r="J1234" s="2">
        <v>1688</v>
      </c>
      <c r="K1234" s="2">
        <v>1890</v>
      </c>
      <c r="L1234" s="2">
        <v>5</v>
      </c>
      <c r="M1234" s="2"/>
      <c r="N1234" s="8">
        <v>43207.184918981482</v>
      </c>
      <c r="O1234" s="4" t="s">
        <v>262</v>
      </c>
      <c r="P1234" s="3" t="s">
        <v>261</v>
      </c>
      <c r="Q1234" s="4"/>
      <c r="R1234" s="4"/>
      <c r="S1234" s="9" t="str">
        <f>HYPERLINK("https://pbs.twimg.com/profile_images/1025171503271301127/S_pGLx0M.jpg","View")</f>
        <v>View</v>
      </c>
    </row>
    <row r="1235" spans="1:19" ht="20">
      <c r="A1235" s="8">
        <v>43370.704710648148</v>
      </c>
      <c r="B1235" s="11" t="str">
        <f>HYPERLINK("https://twitter.com/Nona_esteghlali","@Nona_esteghlali")</f>
        <v>@Nona_esteghlali</v>
      </c>
      <c r="C1235" s="6" t="s">
        <v>4707</v>
      </c>
      <c r="D1235" s="5" t="s">
        <v>4706</v>
      </c>
      <c r="E1235" s="9" t="str">
        <f>HYPERLINK("https://twitter.com/Nona_esteghlali/status/1045303238352924673","1045303238352924673")</f>
        <v>1045303238352924673</v>
      </c>
      <c r="F1235" s="4"/>
      <c r="G1235" s="4"/>
      <c r="H1235" s="4"/>
      <c r="I1235" s="10" t="str">
        <f>HYPERLINK("http://twitter.com/download/android","Twitter for Android")</f>
        <v>Twitter for Android</v>
      </c>
      <c r="J1235" s="2">
        <v>13249</v>
      </c>
      <c r="K1235" s="2">
        <v>519</v>
      </c>
      <c r="L1235" s="2">
        <v>78</v>
      </c>
      <c r="M1235" s="2"/>
      <c r="N1235" s="8">
        <v>41839.826574074075</v>
      </c>
      <c r="O1235" s="4" t="s">
        <v>4705</v>
      </c>
      <c r="P1235" s="3" t="s">
        <v>4704</v>
      </c>
      <c r="Q1235" s="4"/>
      <c r="R1235" s="4"/>
      <c r="S1235" s="9" t="str">
        <f>HYPERLINK("https://pbs.twimg.com/profile_images/1045244853347647488/zEbAK6Cc.jpg","View")</f>
        <v>View</v>
      </c>
    </row>
    <row r="1236" spans="1:19" ht="12.5">
      <c r="A1236" s="8">
        <v>43370.704594907409</v>
      </c>
      <c r="B1236" s="11" t="str">
        <f>HYPERLINK("https://twitter.com/VMardasi","@VMardasi")</f>
        <v>@VMardasi</v>
      </c>
      <c r="C1236" s="6" t="s">
        <v>4703</v>
      </c>
      <c r="D1236" s="5" t="s">
        <v>4702</v>
      </c>
      <c r="E1236" s="9" t="str">
        <f>HYPERLINK("https://twitter.com/VMardasi/status/1045303195973627911","1045303195973627911")</f>
        <v>1045303195973627911</v>
      </c>
      <c r="F1236" s="4"/>
      <c r="G1236" s="4"/>
      <c r="H1236" s="4"/>
      <c r="I1236" s="10" t="str">
        <f>HYPERLINK("http://twitter.com/download/iphone","Twitter for iPhone")</f>
        <v>Twitter for iPhone</v>
      </c>
      <c r="J1236" s="2">
        <v>2</v>
      </c>
      <c r="K1236" s="2">
        <v>9</v>
      </c>
      <c r="L1236" s="2">
        <v>0</v>
      </c>
      <c r="M1236" s="2"/>
      <c r="N1236" s="8">
        <v>43368.844918981486</v>
      </c>
      <c r="O1236" s="4" t="s">
        <v>72</v>
      </c>
      <c r="P1236" s="3" t="s">
        <v>4701</v>
      </c>
      <c r="Q1236" s="10" t="s">
        <v>4700</v>
      </c>
      <c r="R1236" s="4"/>
      <c r="S1236" s="9" t="str">
        <f>HYPERLINK("https://pbs.twimg.com/profile_images/1044657247245217792/8eOESqx4.jpg","View")</f>
        <v>View</v>
      </c>
    </row>
    <row r="1237" spans="1:19" ht="50">
      <c r="A1237" s="8">
        <v>43370.704467592594</v>
      </c>
      <c r="B1237" s="11" t="str">
        <f>HYPERLINK("https://twitter.com/kaidiamin","@kaidiamin")</f>
        <v>@kaidiamin</v>
      </c>
      <c r="C1237" s="6" t="s">
        <v>4699</v>
      </c>
      <c r="D1237" s="5" t="s">
        <v>4698</v>
      </c>
      <c r="E1237" s="9" t="str">
        <f>HYPERLINK("https://twitter.com/kaidiamin/status/1045303149337034752","1045303149337034752")</f>
        <v>1045303149337034752</v>
      </c>
      <c r="F1237" s="4"/>
      <c r="G1237" s="10" t="s">
        <v>4697</v>
      </c>
      <c r="H1237" s="4"/>
      <c r="I1237" s="10" t="str">
        <f>HYPERLINK("http://twitter.com","Twitter Web Client")</f>
        <v>Twitter Web Client</v>
      </c>
      <c r="J1237" s="2">
        <v>2958</v>
      </c>
      <c r="K1237" s="2">
        <v>3080</v>
      </c>
      <c r="L1237" s="2">
        <v>0</v>
      </c>
      <c r="M1237" s="2"/>
      <c r="N1237" s="8">
        <v>41338.988298611112</v>
      </c>
      <c r="O1237" s="10" t="s">
        <v>4696</v>
      </c>
      <c r="P1237" s="3" t="s">
        <v>4695</v>
      </c>
      <c r="Q1237" s="10" t="s">
        <v>4694</v>
      </c>
      <c r="R1237" s="4"/>
      <c r="S1237" s="9" t="str">
        <f>HYPERLINK("https://pbs.twimg.com/profile_images/937302225470328832/ZLYUKweg.jpg","View")</f>
        <v>View</v>
      </c>
    </row>
    <row r="1238" spans="1:19" ht="12.5">
      <c r="A1238" s="8">
        <v>43370.67967592593</v>
      </c>
      <c r="B1238" s="11" t="str">
        <f>HYPERLINK("https://twitter.com/FcEsteghlalIran","@FcEsteghlalIran")</f>
        <v>@FcEsteghlalIran</v>
      </c>
      <c r="C1238" s="6" t="s">
        <v>4693</v>
      </c>
      <c r="D1238" s="5" t="s">
        <v>4692</v>
      </c>
      <c r="E1238" s="9" t="str">
        <f>HYPERLINK("https://twitter.com/FcEsteghlalIran/status/1045294164550852609","1045294164550852609")</f>
        <v>1045294164550852609</v>
      </c>
      <c r="F1238" s="4"/>
      <c r="G1238" s="10" t="s">
        <v>4691</v>
      </c>
      <c r="H1238" s="4"/>
      <c r="I1238" s="10" t="str">
        <f>HYPERLINK("http://twitter.com","Twitter Web Client")</f>
        <v>Twitter Web Client</v>
      </c>
      <c r="J1238" s="2">
        <v>1149</v>
      </c>
      <c r="K1238" s="2">
        <v>4</v>
      </c>
      <c r="L1238" s="2">
        <v>0</v>
      </c>
      <c r="M1238" s="2"/>
      <c r="N1238" s="8">
        <v>43223.646655092598</v>
      </c>
      <c r="O1238" s="4" t="s">
        <v>62</v>
      </c>
      <c r="P1238" s="3" t="s">
        <v>4690</v>
      </c>
      <c r="Q1238" s="10" t="s">
        <v>4689</v>
      </c>
      <c r="R1238" s="4"/>
      <c r="S1238" s="9" t="str">
        <f>HYPERLINK("https://pbs.twimg.com/profile_images/994140802908487680/a-mfMcCA.jpg","View")</f>
        <v>View</v>
      </c>
    </row>
    <row r="1239" spans="1:19" ht="30">
      <c r="A1239" s="8">
        <v>43370.679502314815</v>
      </c>
      <c r="B1239" s="11" t="str">
        <f>HYPERLINK("https://twitter.com/zohrehghkshn","@zohrehghkshn")</f>
        <v>@zohrehghkshn</v>
      </c>
      <c r="C1239" s="6" t="s">
        <v>4688</v>
      </c>
      <c r="D1239" s="5" t="s">
        <v>4687</v>
      </c>
      <c r="E1239" s="9" t="str">
        <f>HYPERLINK("https://twitter.com/zohrehghkshn/status/1045294101921517574","1045294101921517574")</f>
        <v>1045294101921517574</v>
      </c>
      <c r="F1239" s="10" t="s">
        <v>4686</v>
      </c>
      <c r="G1239" s="4"/>
      <c r="H1239" s="4"/>
      <c r="I1239" s="10" t="str">
        <f>HYPERLINK("http://twitter.com/download/android","Twitter for Android")</f>
        <v>Twitter for Android</v>
      </c>
      <c r="J1239" s="2">
        <v>1832</v>
      </c>
      <c r="K1239" s="2">
        <v>481</v>
      </c>
      <c r="L1239" s="2">
        <v>20</v>
      </c>
      <c r="M1239" s="2"/>
      <c r="N1239" s="8">
        <v>42333.11440972222</v>
      </c>
      <c r="O1239" s="4" t="s">
        <v>170</v>
      </c>
      <c r="P1239" s="3" t="s">
        <v>4685</v>
      </c>
      <c r="Q1239" s="10" t="s">
        <v>4684</v>
      </c>
      <c r="R1239" s="4"/>
      <c r="S1239" s="9" t="str">
        <f>HYPERLINK("https://pbs.twimg.com/profile_images/1038737354738032641/2_BShxKS.jpg","View")</f>
        <v>View</v>
      </c>
    </row>
    <row r="1240" spans="1:19" ht="20">
      <c r="A1240" s="8">
        <v>43370.679351851853</v>
      </c>
      <c r="B1240" s="11" t="str">
        <f>HYPERLINK("https://twitter.com/moha_reza95","@moha_reza95")</f>
        <v>@moha_reza95</v>
      </c>
      <c r="C1240" s="6" t="s">
        <v>4683</v>
      </c>
      <c r="D1240" s="5" t="s">
        <v>4682</v>
      </c>
      <c r="E1240" s="9" t="str">
        <f>HYPERLINK("https://twitter.com/moha_reza95/status/1045294046816677889","1045294046816677889")</f>
        <v>1045294046816677889</v>
      </c>
      <c r="F1240" s="4"/>
      <c r="G1240" s="4"/>
      <c r="H1240" s="4"/>
      <c r="I1240" s="10" t="str">
        <f>HYPERLINK("http://twitter.com/download/android","Twitter for Android")</f>
        <v>Twitter for Android</v>
      </c>
      <c r="J1240" s="2">
        <v>603</v>
      </c>
      <c r="K1240" s="2">
        <v>2892</v>
      </c>
      <c r="L1240" s="2">
        <v>0</v>
      </c>
      <c r="M1240" s="2"/>
      <c r="N1240" s="8">
        <v>40580.573935185181</v>
      </c>
      <c r="O1240" s="4" t="s">
        <v>4681</v>
      </c>
      <c r="P1240" s="3" t="s">
        <v>4680</v>
      </c>
      <c r="Q1240" s="4"/>
      <c r="R1240" s="4"/>
      <c r="S1240" s="9" t="str">
        <f>HYPERLINK("https://pbs.twimg.com/profile_images/721576754905804801/B-RSJOfv.jpg","View")</f>
        <v>View</v>
      </c>
    </row>
    <row r="1241" spans="1:19" ht="20">
      <c r="A1241" s="8">
        <v>43370.679155092592</v>
      </c>
      <c r="B1241" s="11" t="str">
        <f>HYPERLINK("https://twitter.com/zanan_emrooz","@zanan_emrooz")</f>
        <v>@zanan_emrooz</v>
      </c>
      <c r="C1241" s="6" t="s">
        <v>4653</v>
      </c>
      <c r="D1241" s="5" t="s">
        <v>4679</v>
      </c>
      <c r="E1241" s="9" t="str">
        <f>HYPERLINK("https://twitter.com/zanan_emrooz/status/1045293977094819840","1045293977094819840")</f>
        <v>1045293977094819840</v>
      </c>
      <c r="F1241" s="4"/>
      <c r="G1241" s="4"/>
      <c r="H1241" s="4"/>
      <c r="I1241" s="10" t="str">
        <f>HYPERLINK("http://twitter.com/#!/download/ipad","Twitter for iPad")</f>
        <v>Twitter for iPad</v>
      </c>
      <c r="J1241" s="2">
        <v>505</v>
      </c>
      <c r="K1241" s="2">
        <v>6</v>
      </c>
      <c r="L1241" s="2">
        <v>12</v>
      </c>
      <c r="M1241" s="2"/>
      <c r="N1241" s="8">
        <v>42791.487511574072</v>
      </c>
      <c r="O1241" s="4"/>
      <c r="P1241" s="3" t="s">
        <v>4651</v>
      </c>
      <c r="Q1241" s="10" t="s">
        <v>4650</v>
      </c>
      <c r="R1241" s="4"/>
      <c r="S1241" s="9" t="str">
        <f>HYPERLINK("https://pbs.twimg.com/profile_images/835412174440914945/lTPjWfDS.jpg","View")</f>
        <v>View</v>
      </c>
    </row>
    <row r="1242" spans="1:19" ht="20">
      <c r="A1242" s="8">
        <v>43370.678946759261</v>
      </c>
      <c r="B1242" s="11" t="str">
        <f>HYPERLINK("https://twitter.com/asoltani196","@asoltani196")</f>
        <v>@asoltani196</v>
      </c>
      <c r="C1242" s="6" t="s">
        <v>4678</v>
      </c>
      <c r="D1242" s="5" t="s">
        <v>4677</v>
      </c>
      <c r="E1242" s="9" t="str">
        <f>HYPERLINK("https://twitter.com/asoltani196/status/1045293903388307459","1045293903388307459")</f>
        <v>1045293903388307459</v>
      </c>
      <c r="F1242" s="4"/>
      <c r="G1242" s="4"/>
      <c r="H1242" s="4"/>
      <c r="I1242" s="10" t="str">
        <f>HYPERLINK("https://mobile.twitter.com","Twitter Lite")</f>
        <v>Twitter Lite</v>
      </c>
      <c r="J1242" s="2">
        <v>617</v>
      </c>
      <c r="K1242" s="2">
        <v>639</v>
      </c>
      <c r="L1242" s="2">
        <v>0</v>
      </c>
      <c r="M1242" s="2"/>
      <c r="N1242" s="8">
        <v>42780.063368055555</v>
      </c>
      <c r="O1242" s="4" t="s">
        <v>4676</v>
      </c>
      <c r="P1242" s="3" t="s">
        <v>4675</v>
      </c>
      <c r="Q1242" s="4"/>
      <c r="R1242" s="4"/>
      <c r="S1242" s="9" t="str">
        <f>HYPERLINK("https://pbs.twimg.com/profile_images/992847007319494656/-8xYpsrL.jpg","View")</f>
        <v>View</v>
      </c>
    </row>
    <row r="1243" spans="1:19" ht="40">
      <c r="A1243" s="8">
        <v>43370.678715277776</v>
      </c>
      <c r="B1243" s="11" t="str">
        <f>HYPERLINK("https://twitter.com/nioscha1","@nioscha1")</f>
        <v>@nioscha1</v>
      </c>
      <c r="C1243" s="6" t="s">
        <v>4674</v>
      </c>
      <c r="D1243" s="5" t="s">
        <v>4673</v>
      </c>
      <c r="E1243" s="9" t="str">
        <f>HYPERLINK("https://twitter.com/nioscha1/status/1045293818956972032","1045293818956972032")</f>
        <v>1045293818956972032</v>
      </c>
      <c r="F1243" s="4"/>
      <c r="G1243" s="4"/>
      <c r="H1243" s="4"/>
      <c r="I1243" s="10" t="str">
        <f>HYPERLINK("http://twitter.com","Twitter Web Client")</f>
        <v>Twitter Web Client</v>
      </c>
      <c r="J1243" s="2">
        <v>359</v>
      </c>
      <c r="K1243" s="2">
        <v>446</v>
      </c>
      <c r="L1243" s="2">
        <v>1</v>
      </c>
      <c r="M1243" s="2"/>
      <c r="N1243" s="8">
        <v>41911.965324074074</v>
      </c>
      <c r="O1243" s="4"/>
      <c r="P1243" s="3" t="s">
        <v>4672</v>
      </c>
      <c r="Q1243" s="4"/>
      <c r="R1243" s="4"/>
      <c r="S1243" s="9" t="str">
        <f>HYPERLINK("https://pbs.twimg.com/profile_images/994554305872121857/-bt19KeO.jpg","View")</f>
        <v>View</v>
      </c>
    </row>
    <row r="1244" spans="1:19" ht="30">
      <c r="A1244" s="8">
        <v>43370.678622685184</v>
      </c>
      <c r="B1244" s="11" t="str">
        <f>HYPERLINK("https://twitter.com/EsteghlalTehFC","@EsteghlalTehFC")</f>
        <v>@EsteghlalTehFC</v>
      </c>
      <c r="C1244" s="6" t="s">
        <v>3043</v>
      </c>
      <c r="D1244" s="5" t="s">
        <v>4671</v>
      </c>
      <c r="E1244" s="9" t="str">
        <f>HYPERLINK("https://twitter.com/EsteghlalTehFC/status/1045293782940491777","1045293782940491777")</f>
        <v>1045293782940491777</v>
      </c>
      <c r="F1244" s="4"/>
      <c r="G1244" s="4"/>
      <c r="H1244" s="4"/>
      <c r="I1244" s="10" t="str">
        <f>HYPERLINK("https://about.twitter.com/products/tweetdeck","TweetDeck")</f>
        <v>TweetDeck</v>
      </c>
      <c r="J1244" s="2">
        <v>10979</v>
      </c>
      <c r="K1244" s="2">
        <v>16</v>
      </c>
      <c r="L1244" s="2">
        <v>35</v>
      </c>
      <c r="M1244" s="2"/>
      <c r="N1244" s="8">
        <v>41016.844317129631</v>
      </c>
      <c r="O1244" s="4" t="s">
        <v>2944</v>
      </c>
      <c r="P1244" s="3" t="s">
        <v>3041</v>
      </c>
      <c r="Q1244" s="10" t="s">
        <v>2577</v>
      </c>
      <c r="R1244" s="4"/>
      <c r="S1244" s="9" t="str">
        <f>HYPERLINK("https://pbs.twimg.com/profile_images/1018931327599628288/EP7JzcFn.jpg","View")</f>
        <v>View</v>
      </c>
    </row>
    <row r="1245" spans="1:19" ht="12.5">
      <c r="A1245" s="8">
        <v>43370.678622685184</v>
      </c>
      <c r="B1245" s="11" t="str">
        <f>HYPERLINK("https://twitter.com/Red_adore_angel","@Red_adore_angel")</f>
        <v>@Red_adore_angel</v>
      </c>
      <c r="C1245" s="6" t="s">
        <v>1137</v>
      </c>
      <c r="D1245" s="5" t="s">
        <v>4670</v>
      </c>
      <c r="E1245" s="9" t="str">
        <f>HYPERLINK("https://twitter.com/Red_adore_angel/status/1045293782906884096","1045293782906884096")</f>
        <v>1045293782906884096</v>
      </c>
      <c r="F1245" s="4"/>
      <c r="G1245" s="10" t="s">
        <v>4669</v>
      </c>
      <c r="H1245" s="4"/>
      <c r="I1245" s="10" t="str">
        <f>HYPERLINK("http://twitter.com/download/android","Twitter for Android")</f>
        <v>Twitter for Android</v>
      </c>
      <c r="J1245" s="2">
        <v>1652</v>
      </c>
      <c r="K1245" s="2">
        <v>345</v>
      </c>
      <c r="L1245" s="2">
        <v>8</v>
      </c>
      <c r="M1245" s="2"/>
      <c r="N1245" s="8">
        <v>43053.892824074079</v>
      </c>
      <c r="O1245" s="4" t="s">
        <v>1135</v>
      </c>
      <c r="P1245" s="3" t="s">
        <v>1134</v>
      </c>
      <c r="Q1245" s="10" t="s">
        <v>1133</v>
      </c>
      <c r="R1245" s="4"/>
      <c r="S1245" s="9" t="str">
        <f>HYPERLINK("https://pbs.twimg.com/profile_images/1045286940201963520/tNK2vsvA.jpg","View")</f>
        <v>View</v>
      </c>
    </row>
    <row r="1246" spans="1:19" ht="30">
      <c r="A1246" s="8">
        <v>43370.677905092598</v>
      </c>
      <c r="B1246" s="11" t="str">
        <f>HYPERLINK("https://twitter.com/piroozinews","@piroozinews")</f>
        <v>@piroozinews</v>
      </c>
      <c r="C1246" s="6" t="s">
        <v>764</v>
      </c>
      <c r="D1246" s="5" t="s">
        <v>4668</v>
      </c>
      <c r="E1246" s="9" t="str">
        <f>HYPERLINK("https://twitter.com/piroozinews/status/1045293522675539968","1045293522675539968")</f>
        <v>1045293522675539968</v>
      </c>
      <c r="F1246" s="4"/>
      <c r="G1246" s="10" t="s">
        <v>4667</v>
      </c>
      <c r="H1246" s="4"/>
      <c r="I1246" s="10" t="str">
        <f>HYPERLINK("http://twitter.com/download/android","Twitter for Android")</f>
        <v>Twitter for Android</v>
      </c>
      <c r="J1246" s="2">
        <v>28759</v>
      </c>
      <c r="K1246" s="2">
        <v>31</v>
      </c>
      <c r="L1246" s="2">
        <v>245</v>
      </c>
      <c r="M1246" s="2"/>
      <c r="N1246" s="8">
        <v>42343.636840277773</v>
      </c>
      <c r="O1246" s="4" t="s">
        <v>762</v>
      </c>
      <c r="P1246" s="3" t="s">
        <v>761</v>
      </c>
      <c r="Q1246" s="10" t="s">
        <v>760</v>
      </c>
      <c r="R1246" s="4"/>
      <c r="S1246" s="9" t="str">
        <f>HYPERLINK("https://pbs.twimg.com/profile_images/1014483613310570497/0eFAC3lV.jpg","View")</f>
        <v>View</v>
      </c>
    </row>
    <row r="1247" spans="1:19" ht="30">
      <c r="A1247" s="8">
        <v>43370.677546296298</v>
      </c>
      <c r="B1247" s="11" t="str">
        <f>HYPERLINK("https://twitter.com/aneggplantist","@aneggplantist")</f>
        <v>@aneggplantist</v>
      </c>
      <c r="C1247" s="6" t="s">
        <v>4666</v>
      </c>
      <c r="D1247" s="5" t="s">
        <v>4665</v>
      </c>
      <c r="E1247" s="9" t="str">
        <f>HYPERLINK("https://twitter.com/aneggplantist/status/1045293394736558081","1045293394736558081")</f>
        <v>1045293394736558081</v>
      </c>
      <c r="F1247" s="4"/>
      <c r="G1247" s="10" t="s">
        <v>4664</v>
      </c>
      <c r="H1247" s="4"/>
      <c r="I1247" s="10" t="str">
        <f>HYPERLINK("http://twitter.com","Twitter Web Client")</f>
        <v>Twitter Web Client</v>
      </c>
      <c r="J1247" s="2">
        <v>87</v>
      </c>
      <c r="K1247" s="2">
        <v>339</v>
      </c>
      <c r="L1247" s="2">
        <v>0</v>
      </c>
      <c r="M1247" s="2"/>
      <c r="N1247" s="8">
        <v>43073.700636574074</v>
      </c>
      <c r="O1247" s="4" t="s">
        <v>72</v>
      </c>
      <c r="P1247" s="3" t="s">
        <v>4663</v>
      </c>
      <c r="Q1247" s="4"/>
      <c r="R1247" s="4"/>
      <c r="S1247" s="9" t="str">
        <f>HYPERLINK("https://pbs.twimg.com/profile_images/1040122847644008449/1zgoDFJr.jpg","View")</f>
        <v>View</v>
      </c>
    </row>
    <row r="1248" spans="1:19" ht="30">
      <c r="A1248" s="8">
        <v>43370.677430555559</v>
      </c>
      <c r="B1248" s="11" t="str">
        <f>HYPERLINK("https://twitter.com/m_maghfoori","@m_maghfoori")</f>
        <v>@m_maghfoori</v>
      </c>
      <c r="C1248" s="6" t="s">
        <v>4662</v>
      </c>
      <c r="D1248" s="5" t="s">
        <v>4661</v>
      </c>
      <c r="E1248" s="9" t="str">
        <f>HYPERLINK("https://twitter.com/m_maghfoori/status/1045293350583242752","1045293350583242752")</f>
        <v>1045293350583242752</v>
      </c>
      <c r="F1248" s="4"/>
      <c r="G1248" s="4"/>
      <c r="H1248" s="4"/>
      <c r="I1248" s="10" t="str">
        <f>HYPERLINK("http://twitter.com/download/android","Twitter for Android")</f>
        <v>Twitter for Android</v>
      </c>
      <c r="J1248" s="2">
        <v>22</v>
      </c>
      <c r="K1248" s="2">
        <v>5</v>
      </c>
      <c r="L1248" s="2">
        <v>0</v>
      </c>
      <c r="M1248" s="2"/>
      <c r="N1248" s="8">
        <v>42765.533437499995</v>
      </c>
      <c r="O1248" s="4" t="s">
        <v>4660</v>
      </c>
      <c r="P1248" s="3" t="s">
        <v>4659</v>
      </c>
      <c r="Q1248" s="4"/>
      <c r="R1248" s="4"/>
      <c r="S1248" s="9" t="str">
        <f>HYPERLINK("https://pbs.twimg.com/profile_images/883705728091004931/8Q4oWp4D.jpg","View")</f>
        <v>View</v>
      </c>
    </row>
    <row r="1249" spans="1:19" ht="12.5">
      <c r="A1249" s="8">
        <v>43370.677268518513</v>
      </c>
      <c r="B1249" s="11" t="str">
        <f>HYPERLINK("https://twitter.com/kim2_kim98","@kim2_kim98")</f>
        <v>@kim2_kim98</v>
      </c>
      <c r="C1249" s="6" t="s">
        <v>4658</v>
      </c>
      <c r="D1249" s="5" t="s">
        <v>4657</v>
      </c>
      <c r="E1249" s="9" t="str">
        <f>HYPERLINK("https://twitter.com/kim2_kim98/status/1045293294274707456","1045293294274707456")</f>
        <v>1045293294274707456</v>
      </c>
      <c r="F1249" s="4"/>
      <c r="G1249" s="4"/>
      <c r="H1249" s="4"/>
      <c r="I1249" s="10" t="str">
        <f>HYPERLINK("http://twitter.com/download/iphone","Twitter for iPhone")</f>
        <v>Twitter for iPhone</v>
      </c>
      <c r="J1249" s="2">
        <v>4278</v>
      </c>
      <c r="K1249" s="2">
        <v>421</v>
      </c>
      <c r="L1249" s="2">
        <v>15</v>
      </c>
      <c r="M1249" s="2"/>
      <c r="N1249" s="8">
        <v>42743.55201388889</v>
      </c>
      <c r="O1249" s="4" t="s">
        <v>4656</v>
      </c>
      <c r="P1249" s="3" t="s">
        <v>4655</v>
      </c>
      <c r="Q1249" s="10" t="s">
        <v>4654</v>
      </c>
      <c r="R1249" s="4"/>
      <c r="S1249" s="9" t="str">
        <f>HYPERLINK("https://pbs.twimg.com/profile_images/1045293013143093249/f-ulw89k.jpg","View")</f>
        <v>View</v>
      </c>
    </row>
    <row r="1250" spans="1:19" ht="30">
      <c r="A1250" s="8">
        <v>43370.677233796298</v>
      </c>
      <c r="B1250" s="11" t="str">
        <f>HYPERLINK("https://twitter.com/zanan_emrooz","@zanan_emrooz")</f>
        <v>@zanan_emrooz</v>
      </c>
      <c r="C1250" s="6" t="s">
        <v>4653</v>
      </c>
      <c r="D1250" s="5" t="s">
        <v>4652</v>
      </c>
      <c r="E1250" s="9" t="str">
        <f>HYPERLINK("https://twitter.com/zanan_emrooz/status/1045293282039934978","1045293282039934978")</f>
        <v>1045293282039934978</v>
      </c>
      <c r="F1250" s="4"/>
      <c r="G1250" s="4"/>
      <c r="H1250" s="4"/>
      <c r="I1250" s="10" t="str">
        <f>HYPERLINK("http://twitter.com/#!/download/ipad","Twitter for iPad")</f>
        <v>Twitter for iPad</v>
      </c>
      <c r="J1250" s="2">
        <v>505</v>
      </c>
      <c r="K1250" s="2">
        <v>6</v>
      </c>
      <c r="L1250" s="2">
        <v>12</v>
      </c>
      <c r="M1250" s="2"/>
      <c r="N1250" s="8">
        <v>42791.487511574072</v>
      </c>
      <c r="O1250" s="4"/>
      <c r="P1250" s="3" t="s">
        <v>4651</v>
      </c>
      <c r="Q1250" s="10" t="s">
        <v>4650</v>
      </c>
      <c r="R1250" s="4"/>
      <c r="S1250" s="9" t="str">
        <f>HYPERLINK("https://pbs.twimg.com/profile_images/835412174440914945/lTPjWfDS.jpg","View")</f>
        <v>View</v>
      </c>
    </row>
    <row r="1251" spans="1:19" ht="30">
      <c r="A1251" s="8">
        <v>43370.677002314813</v>
      </c>
      <c r="B1251" s="11" t="str">
        <f>HYPERLINK("https://twitter.com/IranIntl","@IranIntl")</f>
        <v>@IranIntl</v>
      </c>
      <c r="C1251" s="6" t="s">
        <v>4649</v>
      </c>
      <c r="D1251" s="5" t="s">
        <v>4648</v>
      </c>
      <c r="E1251" s="9" t="str">
        <f>HYPERLINK("https://twitter.com/IranIntl/status/1045293198434873344","1045293198434873344")</f>
        <v>1045293198434873344</v>
      </c>
      <c r="F1251" s="4"/>
      <c r="G1251" s="4"/>
      <c r="H1251" s="4"/>
      <c r="I1251" s="10" t="str">
        <f>HYPERLINK("http://www.falcon.io","Falcon Social Media Management ")</f>
        <v xml:space="preserve">Falcon Social Media Management </v>
      </c>
      <c r="J1251" s="2">
        <v>12369</v>
      </c>
      <c r="K1251" s="2">
        <v>39</v>
      </c>
      <c r="L1251" s="2">
        <v>86</v>
      </c>
      <c r="M1251" s="2"/>
      <c r="N1251" s="8">
        <v>42495.854155092587</v>
      </c>
      <c r="O1251" s="4" t="s">
        <v>31</v>
      </c>
      <c r="P1251" s="3" t="s">
        <v>4647</v>
      </c>
      <c r="Q1251" s="10" t="s">
        <v>3978</v>
      </c>
      <c r="R1251" s="4"/>
      <c r="S1251" s="9" t="str">
        <f>HYPERLINK("https://pbs.twimg.com/profile_images/959109044987416576/LIHHUain.jpg","View")</f>
        <v>View</v>
      </c>
    </row>
    <row r="1252" spans="1:19" ht="12.5">
      <c r="A1252" s="8">
        <v>43370.676805555559</v>
      </c>
      <c r="B1252" s="11" t="str">
        <f>HYPERLINK("https://twitter.com/dokhtararyaee","@dokhtararyaee")</f>
        <v>@dokhtararyaee</v>
      </c>
      <c r="C1252" s="6" t="s">
        <v>972</v>
      </c>
      <c r="D1252" s="5" t="s">
        <v>4646</v>
      </c>
      <c r="E1252" s="9" t="str">
        <f>HYPERLINK("https://twitter.com/dokhtararyaee/status/1045293124300533761","1045293124300533761")</f>
        <v>1045293124300533761</v>
      </c>
      <c r="F1252" s="4"/>
      <c r="G1252" s="4"/>
      <c r="H1252" s="4"/>
      <c r="I1252" s="10" t="str">
        <f>HYPERLINK("https://mobile.twitter.com","Twitter Lite")</f>
        <v>Twitter Lite</v>
      </c>
      <c r="J1252" s="2">
        <v>8</v>
      </c>
      <c r="K1252" s="2">
        <v>26</v>
      </c>
      <c r="L1252" s="2">
        <v>0</v>
      </c>
      <c r="M1252" s="2"/>
      <c r="N1252" s="8">
        <v>43244.229722222226</v>
      </c>
      <c r="O1252" s="4"/>
      <c r="P1252" s="3"/>
      <c r="Q1252" s="4"/>
      <c r="R1252" s="4"/>
      <c r="S1252" s="9" t="str">
        <f>HYPERLINK("https://pbs.twimg.com/profile_images/1008834123480346627/NyYMn5UQ.jpg","View")</f>
        <v>View</v>
      </c>
    </row>
    <row r="1253" spans="1:19" ht="20">
      <c r="A1253" s="8">
        <v>43370.676736111112</v>
      </c>
      <c r="B1253" s="11" t="str">
        <f>HYPERLINK("https://twitter.com/Ali_daneshmand_","@Ali_daneshmand_")</f>
        <v>@Ali_daneshmand_</v>
      </c>
      <c r="C1253" s="6" t="s">
        <v>4645</v>
      </c>
      <c r="D1253" s="5" t="s">
        <v>4644</v>
      </c>
      <c r="E1253" s="9" t="str">
        <f>HYPERLINK("https://twitter.com/Ali_daneshmand_/status/1045293101256986624","1045293101256986624")</f>
        <v>1045293101256986624</v>
      </c>
      <c r="F1253" s="4"/>
      <c r="G1253" s="4"/>
      <c r="H1253" s="4"/>
      <c r="I1253" s="10" t="str">
        <f>HYPERLINK("http://twitter.com/download/android","Twitter for Android")</f>
        <v>Twitter for Android</v>
      </c>
      <c r="J1253" s="2">
        <v>617</v>
      </c>
      <c r="K1253" s="2">
        <v>1120</v>
      </c>
      <c r="L1253" s="2">
        <v>1</v>
      </c>
      <c r="M1253" s="2"/>
      <c r="N1253" s="8">
        <v>42909.884108796294</v>
      </c>
      <c r="O1253" s="4"/>
      <c r="P1253" s="3" t="s">
        <v>4643</v>
      </c>
      <c r="Q1253" s="4"/>
      <c r="R1253" s="4"/>
      <c r="S1253" s="9" t="str">
        <f>HYPERLINK("https://pbs.twimg.com/profile_images/997443055539052544/l_rkUXxL.jpg","View")</f>
        <v>View</v>
      </c>
    </row>
    <row r="1254" spans="1:19" ht="20">
      <c r="A1254" s="8">
        <v>43370.675752314812</v>
      </c>
      <c r="B1254" s="11" t="str">
        <f>HYPERLINK("https://twitter.com/passineLeFrance","@passineLeFrance")</f>
        <v>@passineLeFrance</v>
      </c>
      <c r="C1254" s="6" t="s">
        <v>4642</v>
      </c>
      <c r="D1254" s="5" t="s">
        <v>4641</v>
      </c>
      <c r="E1254" s="9" t="str">
        <f>HYPERLINK("https://twitter.com/passineLeFrance/status/1045292744426614784","1045292744426614784")</f>
        <v>1045292744426614784</v>
      </c>
      <c r="F1254" s="4"/>
      <c r="G1254" s="4"/>
      <c r="H1254" s="4"/>
      <c r="I1254" s="10" t="str">
        <f>HYPERLINK("http://twitter.com/download/iphone","Twitter for iPhone")</f>
        <v>Twitter for iPhone</v>
      </c>
      <c r="J1254" s="2">
        <v>332</v>
      </c>
      <c r="K1254" s="2">
        <v>110</v>
      </c>
      <c r="L1254" s="2">
        <v>2</v>
      </c>
      <c r="M1254" s="2"/>
      <c r="N1254" s="8">
        <v>42883.584907407407</v>
      </c>
      <c r="O1254" s="4" t="s">
        <v>10</v>
      </c>
      <c r="P1254" s="3" t="s">
        <v>4640</v>
      </c>
      <c r="Q1254" s="10" t="s">
        <v>4639</v>
      </c>
      <c r="R1254" s="4"/>
      <c r="S1254" s="9" t="str">
        <f>HYPERLINK("https://pbs.twimg.com/profile_images/1043959133517631490/mAnsm7V-.jpg","View")</f>
        <v>View</v>
      </c>
    </row>
    <row r="1255" spans="1:19" ht="30">
      <c r="A1255" s="8">
        <v>43370.675706018519</v>
      </c>
      <c r="B1255" s="11" t="str">
        <f>HYPERLINK("https://twitter.com/madsbehi","@madsbehi")</f>
        <v>@madsbehi</v>
      </c>
      <c r="C1255" s="6" t="s">
        <v>3351</v>
      </c>
      <c r="D1255" s="5" t="s">
        <v>4638</v>
      </c>
      <c r="E1255" s="9" t="str">
        <f>HYPERLINK("https://twitter.com/madsbehi/status/1045292729012572160","1045292729012572160")</f>
        <v>1045292729012572160</v>
      </c>
      <c r="F1255" s="4"/>
      <c r="G1255" s="10" t="s">
        <v>4637</v>
      </c>
      <c r="H1255" s="4"/>
      <c r="I1255" s="10" t="str">
        <f>HYPERLINK("http://twitter.com/download/android","Twitter for Android")</f>
        <v>Twitter for Android</v>
      </c>
      <c r="J1255" s="2">
        <v>564</v>
      </c>
      <c r="K1255" s="2">
        <v>567</v>
      </c>
      <c r="L1255" s="2">
        <v>1</v>
      </c>
      <c r="M1255" s="2"/>
      <c r="N1255" s="8">
        <v>42294.452013888891</v>
      </c>
      <c r="O1255" s="4"/>
      <c r="P1255" s="3" t="s">
        <v>3349</v>
      </c>
      <c r="Q1255" s="10" t="s">
        <v>3348</v>
      </c>
      <c r="R1255" s="4"/>
      <c r="S1255" s="9" t="str">
        <f>HYPERLINK("https://pbs.twimg.com/profile_images/919088277537394688/hd4TxUhG.jpg","View")</f>
        <v>View</v>
      </c>
    </row>
    <row r="1256" spans="1:19" ht="20">
      <c r="A1256" s="8">
        <v>43370.675555555557</v>
      </c>
      <c r="B1256" s="11" t="str">
        <f>HYPERLINK("https://twitter.com/Abed_zizek","@Abed_zizek")</f>
        <v>@Abed_zizek</v>
      </c>
      <c r="C1256" s="6" t="s">
        <v>4636</v>
      </c>
      <c r="D1256" s="5" t="s">
        <v>4635</v>
      </c>
      <c r="E1256" s="9" t="str">
        <f>HYPERLINK("https://twitter.com/Abed_zizek/status/1045292673156993024","1045292673156993024")</f>
        <v>1045292673156993024</v>
      </c>
      <c r="F1256" s="4"/>
      <c r="G1256" s="4"/>
      <c r="H1256" s="4"/>
      <c r="I1256" s="10" t="str">
        <f>HYPERLINK("http://twitter.com/download/android","Twitter for Android")</f>
        <v>Twitter for Android</v>
      </c>
      <c r="J1256" s="2">
        <v>1055</v>
      </c>
      <c r="K1256" s="2">
        <v>747</v>
      </c>
      <c r="L1256" s="2">
        <v>3</v>
      </c>
      <c r="M1256" s="2"/>
      <c r="N1256" s="8">
        <v>43132.292083333334</v>
      </c>
      <c r="O1256" s="4" t="s">
        <v>793</v>
      </c>
      <c r="P1256" s="3" t="s">
        <v>4634</v>
      </c>
      <c r="Q1256" s="4"/>
      <c r="R1256" s="4"/>
      <c r="S1256" s="9" t="str">
        <f>HYPERLINK("https://pbs.twimg.com/profile_images/989941599718330368/PiJAgBfk.jpg","View")</f>
        <v>View</v>
      </c>
    </row>
    <row r="1257" spans="1:19" ht="12.5">
      <c r="A1257" s="8">
        <v>43370.675370370373</v>
      </c>
      <c r="B1257" s="11" t="str">
        <f>HYPERLINK("https://twitter.com/_sina8","@_sina8")</f>
        <v>@_sina8</v>
      </c>
      <c r="C1257" s="6" t="s">
        <v>2455</v>
      </c>
      <c r="D1257" s="5" t="s">
        <v>4633</v>
      </c>
      <c r="E1257" s="9" t="str">
        <f>HYPERLINK("https://twitter.com/_sina8/status/1045292605452558336","1045292605452558336")</f>
        <v>1045292605452558336</v>
      </c>
      <c r="F1257" s="4"/>
      <c r="G1257" s="4"/>
      <c r="H1257" s="4"/>
      <c r="I1257" s="10" t="str">
        <f>HYPERLINK("http://twitter.com/download/android","Twitter for Android")</f>
        <v>Twitter for Android</v>
      </c>
      <c r="J1257" s="2">
        <v>1</v>
      </c>
      <c r="K1257" s="2">
        <v>9</v>
      </c>
      <c r="L1257" s="2">
        <v>0</v>
      </c>
      <c r="M1257" s="2"/>
      <c r="N1257" s="8">
        <v>43363.939340277779</v>
      </c>
      <c r="O1257" s="4" t="s">
        <v>4632</v>
      </c>
      <c r="P1257" s="3" t="s">
        <v>4631</v>
      </c>
      <c r="Q1257" s="4"/>
      <c r="R1257" s="4"/>
      <c r="S1257" s="9" t="str">
        <f>HYPERLINK("https://pbs.twimg.com/profile_images/1042837147638816770/ZjkzOFo0.jpg","View")</f>
        <v>View</v>
      </c>
    </row>
    <row r="1258" spans="1:19" ht="20">
      <c r="A1258" s="8">
        <v>43370.675266203703</v>
      </c>
      <c r="B1258" s="11" t="str">
        <f>HYPERLINK("https://twitter.com/abomahmod_ir","@abomahmod_ir")</f>
        <v>@abomahmod_ir</v>
      </c>
      <c r="C1258" s="6" t="s">
        <v>4618</v>
      </c>
      <c r="D1258" s="5" t="s">
        <v>4630</v>
      </c>
      <c r="E1258" s="9" t="str">
        <f>HYPERLINK("https://twitter.com/abomahmod_ir/status/1045292566915280897","1045292566915280897")</f>
        <v>1045292566915280897</v>
      </c>
      <c r="F1258" s="4"/>
      <c r="G1258" s="4"/>
      <c r="H1258" s="4"/>
      <c r="I1258" s="10" t="str">
        <f>HYPERLINK("http://twitter.com/download/android","Twitter for Android")</f>
        <v>Twitter for Android</v>
      </c>
      <c r="J1258" s="2">
        <v>696</v>
      </c>
      <c r="K1258" s="2">
        <v>94</v>
      </c>
      <c r="L1258" s="2">
        <v>3</v>
      </c>
      <c r="M1258" s="2"/>
      <c r="N1258" s="8">
        <v>43254.629976851851</v>
      </c>
      <c r="O1258" s="4" t="s">
        <v>62</v>
      </c>
      <c r="P1258" s="3" t="s">
        <v>4616</v>
      </c>
      <c r="Q1258" s="4"/>
      <c r="R1258" s="4"/>
      <c r="S1258" s="9" t="str">
        <f>HYPERLINK("https://pbs.twimg.com/profile_images/1035205316131127296/OTo1IEfK.jpg","View")</f>
        <v>View</v>
      </c>
    </row>
    <row r="1259" spans="1:19" ht="20">
      <c r="A1259" s="8">
        <v>43370.675196759257</v>
      </c>
      <c r="B1259" s="11" t="str">
        <f>HYPERLINK("https://twitter.com/amin_assadi71","@amin_assadi71")</f>
        <v>@amin_assadi71</v>
      </c>
      <c r="C1259" s="6" t="s">
        <v>3202</v>
      </c>
      <c r="D1259" s="5" t="s">
        <v>4629</v>
      </c>
      <c r="E1259" s="9" t="str">
        <f>HYPERLINK("https://twitter.com/amin_assadi71/status/1045292543045505024","1045292543045505024")</f>
        <v>1045292543045505024</v>
      </c>
      <c r="F1259" s="4"/>
      <c r="G1259" s="4"/>
      <c r="H1259" s="4"/>
      <c r="I1259" s="10" t="str">
        <f>HYPERLINK("http://twitter.com/download/android","Twitter for Android")</f>
        <v>Twitter for Android</v>
      </c>
      <c r="J1259" s="2">
        <v>5539</v>
      </c>
      <c r="K1259" s="2">
        <v>3073</v>
      </c>
      <c r="L1259" s="2">
        <v>6</v>
      </c>
      <c r="M1259" s="2"/>
      <c r="N1259" s="8">
        <v>43117.973912037036</v>
      </c>
      <c r="O1259" s="4" t="s">
        <v>200</v>
      </c>
      <c r="P1259" s="3" t="s">
        <v>3200</v>
      </c>
      <c r="Q1259" s="10" t="s">
        <v>3199</v>
      </c>
      <c r="R1259" s="4"/>
      <c r="S1259" s="9" t="str">
        <f>HYPERLINK("https://pbs.twimg.com/profile_images/1038811069219840001/zyUBuejj.jpg","View")</f>
        <v>View</v>
      </c>
    </row>
    <row r="1260" spans="1:19" ht="20">
      <c r="A1260" s="8">
        <v>43370.675046296295</v>
      </c>
      <c r="B1260" s="11" t="str">
        <f>HYPERLINK("https://twitter.com/radiosardar","@radiosardar")</f>
        <v>@radiosardar</v>
      </c>
      <c r="C1260" s="6" t="s">
        <v>4628</v>
      </c>
      <c r="D1260" s="5" t="s">
        <v>4627</v>
      </c>
      <c r="E1260" s="9" t="str">
        <f>HYPERLINK("https://twitter.com/radiosardar/status/1045292490411200522","1045292490411200522")</f>
        <v>1045292490411200522</v>
      </c>
      <c r="F1260" s="4"/>
      <c r="G1260" s="4"/>
      <c r="H1260" s="4"/>
      <c r="I1260" s="10" t="str">
        <f>HYPERLINK("http://twitter.com/download/android","Twitter for Android")</f>
        <v>Twitter for Android</v>
      </c>
      <c r="J1260" s="2">
        <v>1818</v>
      </c>
      <c r="K1260" s="2">
        <v>1626</v>
      </c>
      <c r="L1260" s="2">
        <v>30</v>
      </c>
      <c r="M1260" s="2"/>
      <c r="N1260" s="8">
        <v>40710.969282407408</v>
      </c>
      <c r="O1260" s="4" t="s">
        <v>4626</v>
      </c>
      <c r="P1260" s="3" t="s">
        <v>4625</v>
      </c>
      <c r="Q1260" s="10" t="s">
        <v>4624</v>
      </c>
      <c r="R1260" s="4"/>
      <c r="S1260" s="9" t="str">
        <f>HYPERLINK("https://pbs.twimg.com/profile_images/1032317074008367111/BjFuVqO5.jpg","View")</f>
        <v>View</v>
      </c>
    </row>
    <row r="1261" spans="1:19" ht="50">
      <c r="A1261" s="8">
        <v>43370.674745370372</v>
      </c>
      <c r="B1261" s="11" t="str">
        <f>HYPERLINK("https://twitter.com/AliGhayed","@AliGhayed")</f>
        <v>@AliGhayed</v>
      </c>
      <c r="C1261" s="6" t="s">
        <v>4623</v>
      </c>
      <c r="D1261" s="5" t="s">
        <v>4622</v>
      </c>
      <c r="E1261" s="9" t="str">
        <f>HYPERLINK("https://twitter.com/AliGhayed/status/1045292379689889793","1045292379689889793")</f>
        <v>1045292379689889793</v>
      </c>
      <c r="F1261" s="4"/>
      <c r="G1261" s="4"/>
      <c r="H1261" s="4"/>
      <c r="I1261" s="10" t="str">
        <f>HYPERLINK("http://twitter.com/download/iphone","Twitter for iPhone")</f>
        <v>Twitter for iPhone</v>
      </c>
      <c r="J1261" s="2">
        <v>408</v>
      </c>
      <c r="K1261" s="2">
        <v>1449</v>
      </c>
      <c r="L1261" s="2">
        <v>1</v>
      </c>
      <c r="M1261" s="2"/>
      <c r="N1261" s="8">
        <v>40597.963726851856</v>
      </c>
      <c r="O1261" s="4" t="s">
        <v>4621</v>
      </c>
      <c r="P1261" s="3" t="s">
        <v>4620</v>
      </c>
      <c r="Q1261" s="10" t="s">
        <v>4619</v>
      </c>
      <c r="R1261" s="4"/>
      <c r="S1261" s="9" t="str">
        <f>HYPERLINK("https://pbs.twimg.com/profile_images/980231026445254662/54-bCNdZ.jpg","View")</f>
        <v>View</v>
      </c>
    </row>
    <row r="1262" spans="1:19" ht="20">
      <c r="A1262" s="8">
        <v>43370.67460648148</v>
      </c>
      <c r="B1262" s="11" t="str">
        <f>HYPERLINK("https://twitter.com/abomahmod_ir","@abomahmod_ir")</f>
        <v>@abomahmod_ir</v>
      </c>
      <c r="C1262" s="6" t="s">
        <v>4618</v>
      </c>
      <c r="D1262" s="5" t="s">
        <v>4617</v>
      </c>
      <c r="E1262" s="9" t="str">
        <f>HYPERLINK("https://twitter.com/abomahmod_ir/status/1045292327399567360","1045292327399567360")</f>
        <v>1045292327399567360</v>
      </c>
      <c r="F1262" s="4"/>
      <c r="G1262" s="4"/>
      <c r="H1262" s="4"/>
      <c r="I1262" s="10" t="str">
        <f>HYPERLINK("http://twitter.com/download/android","Twitter for Android")</f>
        <v>Twitter for Android</v>
      </c>
      <c r="J1262" s="2">
        <v>696</v>
      </c>
      <c r="K1262" s="2">
        <v>94</v>
      </c>
      <c r="L1262" s="2">
        <v>3</v>
      </c>
      <c r="M1262" s="2"/>
      <c r="N1262" s="8">
        <v>43254.629976851851</v>
      </c>
      <c r="O1262" s="4" t="s">
        <v>62</v>
      </c>
      <c r="P1262" s="3" t="s">
        <v>4616</v>
      </c>
      <c r="Q1262" s="4"/>
      <c r="R1262" s="4"/>
      <c r="S1262" s="9" t="str">
        <f>HYPERLINK("https://pbs.twimg.com/profile_images/1035205316131127296/OTo1IEfK.jpg","View")</f>
        <v>View</v>
      </c>
    </row>
    <row r="1263" spans="1:19" ht="20">
      <c r="A1263" s="8">
        <v>43370.674537037034</v>
      </c>
      <c r="B1263" s="11" t="str">
        <f>HYPERLINK("https://twitter.com/saeidk222","@saeidk222")</f>
        <v>@saeidk222</v>
      </c>
      <c r="C1263" s="6" t="s">
        <v>4615</v>
      </c>
      <c r="D1263" s="5" t="s">
        <v>4614</v>
      </c>
      <c r="E1263" s="9" t="str">
        <f>HYPERLINK("https://twitter.com/saeidk222/status/1045292303684972544","1045292303684972544")</f>
        <v>1045292303684972544</v>
      </c>
      <c r="F1263" s="4"/>
      <c r="G1263" s="4"/>
      <c r="H1263" s="4"/>
      <c r="I1263" s="10" t="str">
        <f>HYPERLINK("http://twitter.com/download/android","Twitter for Android")</f>
        <v>Twitter for Android</v>
      </c>
      <c r="J1263" s="2">
        <v>644</v>
      </c>
      <c r="K1263" s="2">
        <v>614</v>
      </c>
      <c r="L1263" s="2">
        <v>0</v>
      </c>
      <c r="M1263" s="2"/>
      <c r="N1263" s="8">
        <v>42821.603009259255</v>
      </c>
      <c r="O1263" s="4" t="s">
        <v>4613</v>
      </c>
      <c r="P1263" s="3" t="s">
        <v>4612</v>
      </c>
      <c r="Q1263" s="4"/>
      <c r="R1263" s="4"/>
      <c r="S1263" s="9" t="str">
        <f>HYPERLINK("https://pbs.twimg.com/profile_images/1044306247875407872/AS-3BEoz.jpg","View")</f>
        <v>View</v>
      </c>
    </row>
    <row r="1264" spans="1:19" ht="40">
      <c r="A1264" s="8">
        <v>43370.674386574072</v>
      </c>
      <c r="B1264" s="11" t="str">
        <f>HYPERLINK("https://twitter.com/sin_kh","@sin_kh")</f>
        <v>@sin_kh</v>
      </c>
      <c r="C1264" s="6" t="s">
        <v>4611</v>
      </c>
      <c r="D1264" s="5" t="s">
        <v>4610</v>
      </c>
      <c r="E1264" s="9" t="str">
        <f>HYPERLINK("https://twitter.com/sin_kh/status/1045292248177487874","1045292248177487874")</f>
        <v>1045292248177487874</v>
      </c>
      <c r="F1264" s="4"/>
      <c r="G1264" s="4"/>
      <c r="H1264" s="4"/>
      <c r="I1264" s="10" t="str">
        <f>HYPERLINK("http://twitter.com/download/iphone","Twitter for iPhone")</f>
        <v>Twitter for iPhone</v>
      </c>
      <c r="J1264" s="2">
        <v>66</v>
      </c>
      <c r="K1264" s="2">
        <v>108</v>
      </c>
      <c r="L1264" s="2">
        <v>0</v>
      </c>
      <c r="M1264" s="2"/>
      <c r="N1264" s="8">
        <v>40603.05164351852</v>
      </c>
      <c r="O1264" s="4" t="s">
        <v>4609</v>
      </c>
      <c r="P1264" s="3" t="s">
        <v>4608</v>
      </c>
      <c r="Q1264" s="10" t="s">
        <v>4607</v>
      </c>
      <c r="R1264" s="4"/>
      <c r="S1264" s="9" t="str">
        <f>HYPERLINK("https://pbs.twimg.com/profile_images/844509410600849408/CKXxYVms.jpg","View")</f>
        <v>View</v>
      </c>
    </row>
    <row r="1265" spans="1:19" ht="12.5">
      <c r="A1265" s="8">
        <v>43370.67423611111</v>
      </c>
      <c r="B1265" s="11" t="str">
        <f>HYPERLINK("https://twitter.com/MojtabaEbrahimi","@MojtabaEbrahimi")</f>
        <v>@MojtabaEbrahimi</v>
      </c>
      <c r="C1265" s="6" t="s">
        <v>4606</v>
      </c>
      <c r="D1265" s="5" t="s">
        <v>4605</v>
      </c>
      <c r="E1265" s="9" t="str">
        <f>HYPERLINK("https://twitter.com/MojtabaEbrahimi/status/1045292194175864832","1045292194175864832")</f>
        <v>1045292194175864832</v>
      </c>
      <c r="F1265" s="4"/>
      <c r="G1265" s="4"/>
      <c r="H1265" s="4"/>
      <c r="I1265" s="10" t="str">
        <f>HYPERLINK("http://twitter.com","Twitter Web Client")</f>
        <v>Twitter Web Client</v>
      </c>
      <c r="J1265" s="2">
        <v>415</v>
      </c>
      <c r="K1265" s="2">
        <v>102</v>
      </c>
      <c r="L1265" s="2">
        <v>2</v>
      </c>
      <c r="M1265" s="2"/>
      <c r="N1265" s="8">
        <v>40030.320277777777</v>
      </c>
      <c r="O1265" s="4" t="s">
        <v>4604</v>
      </c>
      <c r="P1265" s="3" t="s">
        <v>4603</v>
      </c>
      <c r="Q1265" s="10" t="s">
        <v>4602</v>
      </c>
      <c r="R1265" s="4"/>
      <c r="S1265" s="9" t="str">
        <f>HYPERLINK("https://pbs.twimg.com/profile_images/949519611694743552/RFYdw3n2.jpg","View")</f>
        <v>View</v>
      </c>
    </row>
    <row r="1266" spans="1:19" ht="40">
      <c r="A1266" s="8">
        <v>43370.673831018517</v>
      </c>
      <c r="B1266" s="11" t="str">
        <f>HYPERLINK("https://twitter.com/ehsanaghajani97","@ehsanaghajani97")</f>
        <v>@ehsanaghajani97</v>
      </c>
      <c r="C1266" s="6" t="s">
        <v>4601</v>
      </c>
      <c r="D1266" s="5" t="s">
        <v>4600</v>
      </c>
      <c r="E1266" s="9" t="str">
        <f>HYPERLINK("https://twitter.com/ehsanaghajani97/status/1045292046393790464","1045292046393790464")</f>
        <v>1045292046393790464</v>
      </c>
      <c r="F1266" s="4"/>
      <c r="G1266" s="4"/>
      <c r="H1266" s="4"/>
      <c r="I1266" s="10" t="str">
        <f>HYPERLINK("http://twitter.com/download/iphone","Twitter for iPhone")</f>
        <v>Twitter for iPhone</v>
      </c>
      <c r="J1266" s="2">
        <v>60</v>
      </c>
      <c r="K1266" s="2">
        <v>193</v>
      </c>
      <c r="L1266" s="2">
        <v>0</v>
      </c>
      <c r="M1266" s="2"/>
      <c r="N1266" s="8">
        <v>43319.524421296301</v>
      </c>
      <c r="O1266" s="4" t="s">
        <v>200</v>
      </c>
      <c r="P1266" s="3" t="s">
        <v>4599</v>
      </c>
      <c r="Q1266" s="4"/>
      <c r="R1266" s="4"/>
      <c r="S1266" s="9" t="str">
        <f>HYPERLINK("https://pbs.twimg.com/profile_images/1026742738316877824/4Y6o54yW.jpg","View")</f>
        <v>View</v>
      </c>
    </row>
    <row r="1267" spans="1:19" ht="30">
      <c r="A1267" s="8">
        <v>43370.673090277778</v>
      </c>
      <c r="B1267" s="11" t="str">
        <f>HYPERLINK("https://twitter.com/dokhtare_heydar","@dokhtare_heydar")</f>
        <v>@dokhtare_heydar</v>
      </c>
      <c r="C1267" s="6" t="s">
        <v>4543</v>
      </c>
      <c r="D1267" s="5" t="s">
        <v>4598</v>
      </c>
      <c r="E1267" s="9" t="str">
        <f>HYPERLINK("https://twitter.com/dokhtare_heydar/status/1045291779036196864","1045291779036196864")</f>
        <v>1045291779036196864</v>
      </c>
      <c r="F1267" s="4"/>
      <c r="G1267" s="4"/>
      <c r="H1267" s="4"/>
      <c r="I1267" s="10" t="str">
        <f>HYPERLINK("http://twitter.com/download/android","Twitter for Android")</f>
        <v>Twitter for Android</v>
      </c>
      <c r="J1267" s="2">
        <v>1194</v>
      </c>
      <c r="K1267" s="2">
        <v>1403</v>
      </c>
      <c r="L1267" s="2">
        <v>1</v>
      </c>
      <c r="M1267" s="2"/>
      <c r="N1267" s="8">
        <v>43206.951238425929</v>
      </c>
      <c r="O1267" s="4" t="s">
        <v>4541</v>
      </c>
      <c r="P1267" s="3" t="s">
        <v>4540</v>
      </c>
      <c r="Q1267" s="4"/>
      <c r="R1267" s="4"/>
      <c r="S1267" s="9" t="str">
        <f>HYPERLINK("https://pbs.twimg.com/profile_images/1044556510490226688/_-bNzfQx.jpg","View")</f>
        <v>View</v>
      </c>
    </row>
    <row r="1268" spans="1:19" ht="30">
      <c r="A1268" s="8">
        <v>43370.672951388886</v>
      </c>
      <c r="B1268" s="11" t="str">
        <f>HYPERLINK("https://twitter.com/MR___RANGER","@MR___RANGER")</f>
        <v>@MR___RANGER</v>
      </c>
      <c r="C1268" s="6" t="s">
        <v>3483</v>
      </c>
      <c r="D1268" s="5" t="s">
        <v>4597</v>
      </c>
      <c r="E1268" s="9" t="str">
        <f>HYPERLINK("https://twitter.com/MR___RANGER/status/1045291728612327426","1045291728612327426")</f>
        <v>1045291728612327426</v>
      </c>
      <c r="F1268" s="4"/>
      <c r="G1268" s="4"/>
      <c r="H1268" s="4"/>
      <c r="I1268" s="10" t="str">
        <f>HYPERLINK("http://twitter.com/download/iphone","Twitter for iPhone")</f>
        <v>Twitter for iPhone</v>
      </c>
      <c r="J1268" s="2">
        <v>4099</v>
      </c>
      <c r="K1268" s="2">
        <v>3648</v>
      </c>
      <c r="L1268" s="2">
        <v>6</v>
      </c>
      <c r="M1268" s="2"/>
      <c r="N1268" s="8">
        <v>43172.038958333331</v>
      </c>
      <c r="O1268" s="4" t="s">
        <v>10</v>
      </c>
      <c r="P1268" s="3" t="s">
        <v>3481</v>
      </c>
      <c r="Q1268" s="10" t="s">
        <v>3480</v>
      </c>
      <c r="R1268" s="4"/>
      <c r="S1268" s="9" t="str">
        <f>HYPERLINK("https://pbs.twimg.com/profile_images/1041042026513477632/AsaFgAay.jpg","View")</f>
        <v>View</v>
      </c>
    </row>
    <row r="1269" spans="1:19" ht="20">
      <c r="A1269" s="8">
        <v>43370.672835648147</v>
      </c>
      <c r="B1269" s="11" t="str">
        <f>HYPERLINK("https://twitter.com/hosseinpmd97","@hosseinpmd97")</f>
        <v>@hosseinpmd97</v>
      </c>
      <c r="C1269" s="6" t="s">
        <v>4596</v>
      </c>
      <c r="D1269" s="5" t="s">
        <v>4595</v>
      </c>
      <c r="E1269" s="9" t="str">
        <f>HYPERLINK("https://twitter.com/hosseinpmd97/status/1045291688615432192","1045291688615432192")</f>
        <v>1045291688615432192</v>
      </c>
      <c r="F1269" s="4"/>
      <c r="G1269" s="4"/>
      <c r="H1269" s="4"/>
      <c r="I1269" s="10" t="str">
        <f>HYPERLINK("http://twitter.com/download/android","Twitter for Android")</f>
        <v>Twitter for Android</v>
      </c>
      <c r="J1269" s="2">
        <v>195</v>
      </c>
      <c r="K1269" s="2">
        <v>219</v>
      </c>
      <c r="L1269" s="2">
        <v>0</v>
      </c>
      <c r="M1269" s="2"/>
      <c r="N1269" s="8">
        <v>43320.98918981482</v>
      </c>
      <c r="O1269" s="4" t="s">
        <v>200</v>
      </c>
      <c r="P1269" s="3" t="s">
        <v>4594</v>
      </c>
      <c r="Q1269" s="4"/>
      <c r="R1269" s="4"/>
      <c r="S1269" s="9" t="str">
        <f>HYPERLINK("https://pbs.twimg.com/profile_images/1036595531827564545/X-USPggz.jpg","View")</f>
        <v>View</v>
      </c>
    </row>
    <row r="1270" spans="1:19" ht="12.5">
      <c r="A1270" s="8">
        <v>43370.672696759255</v>
      </c>
      <c r="B1270" s="11" t="str">
        <f>HYPERLINK("https://twitter.com/frankk_ga","@frankk_ga")</f>
        <v>@frankk_ga</v>
      </c>
      <c r="C1270" s="6" t="s">
        <v>4593</v>
      </c>
      <c r="D1270" s="5" t="s">
        <v>4592</v>
      </c>
      <c r="E1270" s="9" t="str">
        <f>HYPERLINK("https://twitter.com/frankk_ga/status/1045291635742056448","1045291635742056448")</f>
        <v>1045291635742056448</v>
      </c>
      <c r="F1270" s="4"/>
      <c r="G1270" s="10" t="s">
        <v>4591</v>
      </c>
      <c r="H1270" s="4"/>
      <c r="I1270" s="10" t="str">
        <f>HYPERLINK("http://twitter.com/download/android","Twitter for Android")</f>
        <v>Twitter for Android</v>
      </c>
      <c r="J1270" s="2">
        <v>898</v>
      </c>
      <c r="K1270" s="2">
        <v>1951</v>
      </c>
      <c r="L1270" s="2">
        <v>1</v>
      </c>
      <c r="M1270" s="2"/>
      <c r="N1270" s="8">
        <v>42477.106944444444</v>
      </c>
      <c r="O1270" s="4" t="s">
        <v>4590</v>
      </c>
      <c r="P1270" s="3" t="s">
        <v>4589</v>
      </c>
      <c r="Q1270" s="10" t="s">
        <v>4588</v>
      </c>
      <c r="R1270" s="4"/>
      <c r="S1270" s="9" t="str">
        <f>HYPERLINK("https://pbs.twimg.com/profile_images/1039959697133121545/8dcyV4oj.jpg","View")</f>
        <v>View</v>
      </c>
    </row>
    <row r="1271" spans="1:19" ht="20">
      <c r="A1271" s="8">
        <v>43370.672627314816</v>
      </c>
      <c r="B1271" s="11" t="str">
        <f>HYPERLINK("https://twitter.com/kamareii","@kamareii")</f>
        <v>@kamareii</v>
      </c>
      <c r="C1271" s="6" t="s">
        <v>4587</v>
      </c>
      <c r="D1271" s="5" t="s">
        <v>4586</v>
      </c>
      <c r="E1271" s="9" t="str">
        <f>HYPERLINK("https://twitter.com/kamareii/status/1045291611641597953","1045291611641597953")</f>
        <v>1045291611641597953</v>
      </c>
      <c r="F1271" s="4"/>
      <c r="G1271" s="4"/>
      <c r="H1271" s="4"/>
      <c r="I1271" s="10" t="str">
        <f>HYPERLINK("https://mobile.twitter.com","Twitter Lite")</f>
        <v>Twitter Lite</v>
      </c>
      <c r="J1271" s="2">
        <v>591</v>
      </c>
      <c r="K1271" s="2">
        <v>585</v>
      </c>
      <c r="L1271" s="2">
        <v>0</v>
      </c>
      <c r="M1271" s="2"/>
      <c r="N1271" s="8">
        <v>43096.840983796297</v>
      </c>
      <c r="O1271" s="4" t="s">
        <v>1650</v>
      </c>
      <c r="P1271" s="3" t="s">
        <v>4585</v>
      </c>
      <c r="Q1271" s="10" t="s">
        <v>4584</v>
      </c>
      <c r="R1271" s="4"/>
      <c r="S1271" s="9" t="str">
        <f>HYPERLINK("https://pbs.twimg.com/profile_images/1018236606187278336/U13b0tf4.jpg","View")</f>
        <v>View</v>
      </c>
    </row>
    <row r="1272" spans="1:19" ht="12.5">
      <c r="A1272" s="8">
        <v>43370.672534722224</v>
      </c>
      <c r="B1272" s="11" t="str">
        <f>HYPERLINK("https://twitter.com/ehsanam13_79","@ehsanam13_79")</f>
        <v>@ehsanam13_79</v>
      </c>
      <c r="C1272" s="6" t="s">
        <v>4583</v>
      </c>
      <c r="D1272" s="5" t="s">
        <v>4582</v>
      </c>
      <c r="E1272" s="9" t="str">
        <f>HYPERLINK("https://twitter.com/ehsanam13_79/status/1045291577936097280","1045291577936097280")</f>
        <v>1045291577936097280</v>
      </c>
      <c r="F1272" s="4"/>
      <c r="G1272" s="4"/>
      <c r="H1272" s="4"/>
      <c r="I1272" s="10" t="str">
        <f>HYPERLINK("http://twitter.com/download/android","Twitter for Android")</f>
        <v>Twitter for Android</v>
      </c>
      <c r="J1272" s="2">
        <v>155</v>
      </c>
      <c r="K1272" s="2">
        <v>266</v>
      </c>
      <c r="L1272" s="2">
        <v>2</v>
      </c>
      <c r="M1272" s="2"/>
      <c r="N1272" s="8">
        <v>43328.510439814811</v>
      </c>
      <c r="O1272" s="4" t="s">
        <v>4581</v>
      </c>
      <c r="P1272" s="3" t="s">
        <v>4580</v>
      </c>
      <c r="Q1272" s="4"/>
      <c r="R1272" s="4"/>
      <c r="S1272" s="9" t="str">
        <f>HYPERLINK("https://pbs.twimg.com/profile_images/1039862986620461058/wE1agDcg.jpg","View")</f>
        <v>View</v>
      </c>
    </row>
    <row r="1273" spans="1:19" ht="20">
      <c r="A1273" s="8">
        <v>43370.672395833331</v>
      </c>
      <c r="B1273" s="11" t="str">
        <f>HYPERLINK("https://twitter.com/mohammadpaki5","@mohammadpaki5")</f>
        <v>@mohammadpaki5</v>
      </c>
      <c r="C1273" s="6" t="s">
        <v>3811</v>
      </c>
      <c r="D1273" s="5" t="s">
        <v>4579</v>
      </c>
      <c r="E1273" s="9" t="str">
        <f>HYPERLINK("https://twitter.com/mohammadpaki5/status/1045291528673996800","1045291528673996800")</f>
        <v>1045291528673996800</v>
      </c>
      <c r="F1273" s="4"/>
      <c r="G1273" s="4"/>
      <c r="H1273" s="4"/>
      <c r="I1273" s="10" t="str">
        <f>HYPERLINK("http://twitter.com/download/android","Twitter for Android")</f>
        <v>Twitter for Android</v>
      </c>
      <c r="J1273" s="2">
        <v>440</v>
      </c>
      <c r="K1273" s="2">
        <v>277</v>
      </c>
      <c r="L1273" s="2">
        <v>4</v>
      </c>
      <c r="M1273" s="2"/>
      <c r="N1273" s="8">
        <v>42777.990254629629</v>
      </c>
      <c r="O1273" s="4" t="s">
        <v>10</v>
      </c>
      <c r="P1273" s="3" t="s">
        <v>4578</v>
      </c>
      <c r="Q1273" s="4"/>
      <c r="R1273" s="4"/>
      <c r="S1273" s="9" t="str">
        <f>HYPERLINK("https://pbs.twimg.com/profile_images/1038805828453773317/69Fxpd2j.jpg","View")</f>
        <v>View</v>
      </c>
    </row>
    <row r="1274" spans="1:19" ht="20">
      <c r="A1274" s="8">
        <v>43370.672256944439</v>
      </c>
      <c r="B1274" s="11" t="str">
        <f>HYPERLINK("https://twitter.com/zaboonafahm","@zaboonafahm")</f>
        <v>@zaboonafahm</v>
      </c>
      <c r="C1274" s="6" t="s">
        <v>4577</v>
      </c>
      <c r="D1274" s="5" t="s">
        <v>4576</v>
      </c>
      <c r="E1274" s="9" t="str">
        <f>HYPERLINK("https://twitter.com/zaboonafahm/status/1045291479357214720","1045291479357214720")</f>
        <v>1045291479357214720</v>
      </c>
      <c r="F1274" s="4"/>
      <c r="G1274" s="4"/>
      <c r="H1274" s="4"/>
      <c r="I1274" s="10" t="str">
        <f>HYPERLINK("http://twitter.com/download/android","Twitter for Android")</f>
        <v>Twitter for Android</v>
      </c>
      <c r="J1274" s="2">
        <v>141</v>
      </c>
      <c r="K1274" s="2">
        <v>775</v>
      </c>
      <c r="L1274" s="2">
        <v>0</v>
      </c>
      <c r="M1274" s="2"/>
      <c r="N1274" s="8">
        <v>41683.993402777778</v>
      </c>
      <c r="O1274" s="4" t="s">
        <v>4575</v>
      </c>
      <c r="P1274" s="3"/>
      <c r="Q1274" s="4"/>
      <c r="R1274" s="4"/>
      <c r="S1274" s="9" t="str">
        <f>HYPERLINK("https://pbs.twimg.com/profile_images/920936549826441217/bl2P8naI.jpg","View")</f>
        <v>View</v>
      </c>
    </row>
    <row r="1275" spans="1:19" ht="20">
      <c r="A1275" s="8">
        <v>43370.672222222223</v>
      </c>
      <c r="B1275" s="11" t="str">
        <f>HYPERLINK("https://twitter.com/Saeid_SOKNA","@Saeid_SOKNA")</f>
        <v>@Saeid_SOKNA</v>
      </c>
      <c r="C1275" s="6" t="s">
        <v>4574</v>
      </c>
      <c r="D1275" s="5" t="s">
        <v>4573</v>
      </c>
      <c r="E1275" s="9" t="str">
        <f>HYPERLINK("https://twitter.com/Saeid_SOKNA/status/1045291464790605824","1045291464790605824")</f>
        <v>1045291464790605824</v>
      </c>
      <c r="F1275" s="4"/>
      <c r="G1275" s="4"/>
      <c r="H1275" s="4"/>
      <c r="I1275" s="10" t="str">
        <f>HYPERLINK("http://twitter.com/download/android","Twitter for Android")</f>
        <v>Twitter for Android</v>
      </c>
      <c r="J1275" s="2">
        <v>74</v>
      </c>
      <c r="K1275" s="2">
        <v>177</v>
      </c>
      <c r="L1275" s="2">
        <v>0</v>
      </c>
      <c r="M1275" s="2"/>
      <c r="N1275" s="8">
        <v>42555.794270833328</v>
      </c>
      <c r="O1275" s="4" t="s">
        <v>72</v>
      </c>
      <c r="P1275" s="3" t="s">
        <v>4572</v>
      </c>
      <c r="Q1275" s="4"/>
      <c r="R1275" s="4"/>
      <c r="S1275" s="9" t="str">
        <f>HYPERLINK("https://pbs.twimg.com/profile_images/1001392889879040001/qnLcccLi.jpg","View")</f>
        <v>View</v>
      </c>
    </row>
    <row r="1276" spans="1:19" ht="20">
      <c r="A1276" s="8">
        <v>43370.671990740739</v>
      </c>
      <c r="B1276" s="11" t="str">
        <f>HYPERLINK("https://twitter.com/jalalaminrezaee","@jalalaminrezaee")</f>
        <v>@jalalaminrezaee</v>
      </c>
      <c r="C1276" s="6" t="s">
        <v>4571</v>
      </c>
      <c r="D1276" s="5" t="s">
        <v>4570</v>
      </c>
      <c r="E1276" s="9" t="str">
        <f>HYPERLINK("https://twitter.com/jalalaminrezaee/status/1045291381428809730","1045291381428809730")</f>
        <v>1045291381428809730</v>
      </c>
      <c r="F1276" s="4"/>
      <c r="G1276" s="4"/>
      <c r="H1276" s="4"/>
      <c r="I1276" s="10" t="str">
        <f>HYPERLINK("http://twitter.com/download/iphone","Twitter for iPhone")</f>
        <v>Twitter for iPhone</v>
      </c>
      <c r="J1276" s="2">
        <v>157</v>
      </c>
      <c r="K1276" s="2">
        <v>249</v>
      </c>
      <c r="L1276" s="2">
        <v>0</v>
      </c>
      <c r="M1276" s="2"/>
      <c r="N1276" s="8">
        <v>43299.6090625</v>
      </c>
      <c r="O1276" s="4" t="s">
        <v>200</v>
      </c>
      <c r="P1276" s="3" t="s">
        <v>4569</v>
      </c>
      <c r="Q1276" s="4"/>
      <c r="R1276" s="4"/>
      <c r="S1276" s="9" t="str">
        <f>HYPERLINK("https://pbs.twimg.com/profile_images/1030194557336657922/y73cc4nb.jpg","View")</f>
        <v>View</v>
      </c>
    </row>
    <row r="1277" spans="1:19" ht="12.5">
      <c r="A1277" s="8">
        <v>43370.671840277777</v>
      </c>
      <c r="B1277" s="11" t="str">
        <f>HYPERLINK("https://twitter.com/far_zad_","@far_zad_")</f>
        <v>@far_zad_</v>
      </c>
      <c r="C1277" s="6" t="s">
        <v>994</v>
      </c>
      <c r="D1277" s="5" t="s">
        <v>4568</v>
      </c>
      <c r="E1277" s="9" t="str">
        <f>HYPERLINK("https://twitter.com/far_zad_/status/1045291325313232896","1045291325313232896")</f>
        <v>1045291325313232896</v>
      </c>
      <c r="F1277" s="4"/>
      <c r="G1277" s="4"/>
      <c r="H1277" s="4"/>
      <c r="I1277" s="10" t="str">
        <f>HYPERLINK("http://twitter.com/download/android","Twitter for Android")</f>
        <v>Twitter for Android</v>
      </c>
      <c r="J1277" s="2">
        <v>130</v>
      </c>
      <c r="K1277" s="2">
        <v>166</v>
      </c>
      <c r="L1277" s="2">
        <v>0</v>
      </c>
      <c r="M1277" s="2"/>
      <c r="N1277" s="8">
        <v>43106.154733796298</v>
      </c>
      <c r="O1277" s="4" t="s">
        <v>992</v>
      </c>
      <c r="P1277" s="3"/>
      <c r="Q1277" s="4"/>
      <c r="R1277" s="4"/>
      <c r="S1277" s="9" t="str">
        <f>HYPERLINK("https://pbs.twimg.com/profile_images/1043045462012395520/TUyNvS9k.jpg","View")</f>
        <v>View</v>
      </c>
    </row>
    <row r="1278" spans="1:19" ht="40">
      <c r="A1278" s="8">
        <v>43370.671805555554</v>
      </c>
      <c r="B1278" s="11" t="str">
        <f>HYPERLINK("https://twitter.com/saryra12","@saryra12")</f>
        <v>@saryra12</v>
      </c>
      <c r="C1278" s="6" t="s">
        <v>4567</v>
      </c>
      <c r="D1278" s="5" t="s">
        <v>4566</v>
      </c>
      <c r="E1278" s="9" t="str">
        <f>HYPERLINK("https://twitter.com/saryra12/status/1045291312415739905","1045291312415739905")</f>
        <v>1045291312415739905</v>
      </c>
      <c r="F1278" s="4"/>
      <c r="G1278" s="10" t="s">
        <v>4565</v>
      </c>
      <c r="H1278" s="4"/>
      <c r="I1278" s="10" t="str">
        <f>HYPERLINK("http://twitter.com/download/android","Twitter for Android")</f>
        <v>Twitter for Android</v>
      </c>
      <c r="J1278" s="2">
        <v>1134</v>
      </c>
      <c r="K1278" s="2">
        <v>598</v>
      </c>
      <c r="L1278" s="2">
        <v>0</v>
      </c>
      <c r="M1278" s="2"/>
      <c r="N1278" s="8">
        <v>42939.141400462962</v>
      </c>
      <c r="O1278" s="4"/>
      <c r="P1278" s="3" t="s">
        <v>4564</v>
      </c>
      <c r="Q1278" s="10" t="s">
        <v>4563</v>
      </c>
      <c r="R1278" s="4"/>
      <c r="S1278" s="9" t="str">
        <f>HYPERLINK("https://pbs.twimg.com/profile_images/1040431432664006657/-_g7CxQ0.jpg","View")</f>
        <v>View</v>
      </c>
    </row>
    <row r="1279" spans="1:19" ht="12.5">
      <c r="A1279" s="8">
        <v>43370.671111111107</v>
      </c>
      <c r="B1279" s="11" t="str">
        <f>HYPERLINK("https://twitter.com/EsteghlalTehFC","@EsteghlalTehFC")</f>
        <v>@EsteghlalTehFC</v>
      </c>
      <c r="C1279" s="6" t="s">
        <v>3043</v>
      </c>
      <c r="D1279" s="5" t="s">
        <v>4562</v>
      </c>
      <c r="E1279" s="9" t="str">
        <f>HYPERLINK("https://twitter.com/EsteghlalTehFC/status/1045291064259743746","1045291064259743746")</f>
        <v>1045291064259743746</v>
      </c>
      <c r="F1279" s="4"/>
      <c r="G1279" s="10" t="s">
        <v>4561</v>
      </c>
      <c r="H1279" s="4"/>
      <c r="I1279" s="10" t="str">
        <f>HYPERLINK("https://about.twitter.com/products/tweetdeck","TweetDeck")</f>
        <v>TweetDeck</v>
      </c>
      <c r="J1279" s="2">
        <v>10979</v>
      </c>
      <c r="K1279" s="2">
        <v>16</v>
      </c>
      <c r="L1279" s="2">
        <v>35</v>
      </c>
      <c r="M1279" s="2"/>
      <c r="N1279" s="8">
        <v>41016.844317129631</v>
      </c>
      <c r="O1279" s="4" t="s">
        <v>2944</v>
      </c>
      <c r="P1279" s="3" t="s">
        <v>3041</v>
      </c>
      <c r="Q1279" s="10" t="s">
        <v>2577</v>
      </c>
      <c r="R1279" s="4"/>
      <c r="S1279" s="9" t="str">
        <f>HYPERLINK("https://pbs.twimg.com/profile_images/1018931327599628288/EP7JzcFn.jpg","View")</f>
        <v>View</v>
      </c>
    </row>
    <row r="1280" spans="1:19" ht="30">
      <c r="A1280" s="8">
        <v>43370.671076388884</v>
      </c>
      <c r="B1280" s="11" t="str">
        <f>HYPERLINK("https://twitter.com/F_pour_Farshad","@F_pour_Farshad")</f>
        <v>@F_pour_Farshad</v>
      </c>
      <c r="C1280" s="6" t="s">
        <v>4464</v>
      </c>
      <c r="D1280" s="5" t="s">
        <v>4560</v>
      </c>
      <c r="E1280" s="9" t="str">
        <f>HYPERLINK("https://twitter.com/F_pour_Farshad/status/1045291051416776704","1045291051416776704")</f>
        <v>1045291051416776704</v>
      </c>
      <c r="F1280" s="10" t="s">
        <v>4559</v>
      </c>
      <c r="G1280" s="4"/>
      <c r="H1280" s="4"/>
      <c r="I1280" s="10" t="str">
        <f>HYPERLINK("http://twitter.com/download/android","Twitter for Android")</f>
        <v>Twitter for Android</v>
      </c>
      <c r="J1280" s="2">
        <v>308</v>
      </c>
      <c r="K1280" s="2">
        <v>284</v>
      </c>
      <c r="L1280" s="2">
        <v>0</v>
      </c>
      <c r="M1280" s="2"/>
      <c r="N1280" s="8">
        <v>43113.480949074074</v>
      </c>
      <c r="O1280" s="4" t="s">
        <v>4461</v>
      </c>
      <c r="P1280" s="3" t="s">
        <v>4460</v>
      </c>
      <c r="Q1280" s="4"/>
      <c r="R1280" s="4"/>
      <c r="S1280" s="9" t="str">
        <f>HYPERLINK("https://pbs.twimg.com/profile_images/1031431848705122304/CGEJvKUp.jpg","View")</f>
        <v>View</v>
      </c>
    </row>
    <row r="1281" spans="1:19" ht="40">
      <c r="A1281" s="8">
        <v>43370.670787037037</v>
      </c>
      <c r="B1281" s="11" t="str">
        <f>HYPERLINK("https://twitter.com/Zeinal_Bandari","@Zeinal_Bandari")</f>
        <v>@Zeinal_Bandari</v>
      </c>
      <c r="C1281" s="6" t="s">
        <v>4494</v>
      </c>
      <c r="D1281" s="5" t="s">
        <v>4558</v>
      </c>
      <c r="E1281" s="9" t="str">
        <f>HYPERLINK("https://twitter.com/Zeinal_Bandari/status/1045290944306860032","1045290944306860032")</f>
        <v>1045290944306860032</v>
      </c>
      <c r="F1281" s="4"/>
      <c r="G1281" s="4"/>
      <c r="H1281" s="4"/>
      <c r="I1281" s="10" t="str">
        <f>HYPERLINK("http://twitter.com/download/android","Twitter for Android")</f>
        <v>Twitter for Android</v>
      </c>
      <c r="J1281" s="2">
        <v>0</v>
      </c>
      <c r="K1281" s="2">
        <v>0</v>
      </c>
      <c r="L1281" s="2">
        <v>0</v>
      </c>
      <c r="M1281" s="2"/>
      <c r="N1281" s="8">
        <v>43115.110613425924</v>
      </c>
      <c r="O1281" s="4"/>
      <c r="P1281" s="3"/>
      <c r="Q1281" s="4"/>
      <c r="R1281" s="4"/>
      <c r="S1281" s="9" t="str">
        <f>HYPERLINK("https://pbs.twimg.com/profile_images/952689365452500993/sjL6sH-z.jpg","View")</f>
        <v>View</v>
      </c>
    </row>
    <row r="1282" spans="1:19" ht="30">
      <c r="A1282" s="8">
        <v>43370.670706018514</v>
      </c>
      <c r="B1282" s="11" t="str">
        <f>HYPERLINK("https://twitter.com/homopersicus","@homopersicus")</f>
        <v>@homopersicus</v>
      </c>
      <c r="C1282" s="6" t="s">
        <v>4557</v>
      </c>
      <c r="D1282" s="5" t="s">
        <v>4556</v>
      </c>
      <c r="E1282" s="9" t="str">
        <f>HYPERLINK("https://twitter.com/homopersicus/status/1045290914430816256","1045290914430816256")</f>
        <v>1045290914430816256</v>
      </c>
      <c r="F1282" s="4"/>
      <c r="G1282" s="4"/>
      <c r="H1282" s="4"/>
      <c r="I1282" s="10" t="str">
        <f>HYPERLINK("http://twitter.com/download/android","Twitter for Android")</f>
        <v>Twitter for Android</v>
      </c>
      <c r="J1282" s="2">
        <v>243</v>
      </c>
      <c r="K1282" s="2">
        <v>781</v>
      </c>
      <c r="L1282" s="2">
        <v>0</v>
      </c>
      <c r="M1282" s="2"/>
      <c r="N1282" s="8">
        <v>41266.986909722225</v>
      </c>
      <c r="O1282" s="4" t="s">
        <v>4555</v>
      </c>
      <c r="P1282" s="3" t="s">
        <v>4554</v>
      </c>
      <c r="Q1282" s="4"/>
      <c r="R1282" s="4"/>
      <c r="S1282" s="9" t="str">
        <f>HYPERLINK("https://pbs.twimg.com/profile_images/3453062285/bf88f17a0f4cb5d6f62f39e666892c87.jpeg","View")</f>
        <v>View</v>
      </c>
    </row>
    <row r="1283" spans="1:19" ht="40">
      <c r="A1283" s="8">
        <v>43370.670277777783</v>
      </c>
      <c r="B1283" s="11" t="str">
        <f>HYPERLINK("https://twitter.com/hajibutterfly","@hajibutterfly")</f>
        <v>@hajibutterfly</v>
      </c>
      <c r="C1283" s="6" t="s">
        <v>4553</v>
      </c>
      <c r="D1283" s="5" t="s">
        <v>4552</v>
      </c>
      <c r="E1283" s="9" t="str">
        <f>HYPERLINK("https://twitter.com/hajibutterfly/status/1045290760516653059","1045290760516653059")</f>
        <v>1045290760516653059</v>
      </c>
      <c r="F1283" s="4"/>
      <c r="G1283" s="4"/>
      <c r="H1283" s="4"/>
      <c r="I1283" s="10" t="str">
        <f>HYPERLINK("http://twitter.com/download/android","Twitter for Android")</f>
        <v>Twitter for Android</v>
      </c>
      <c r="J1283" s="2">
        <v>514</v>
      </c>
      <c r="K1283" s="2">
        <v>436</v>
      </c>
      <c r="L1283" s="2">
        <v>2</v>
      </c>
      <c r="M1283" s="2"/>
      <c r="N1283" s="8">
        <v>43101.510254629626</v>
      </c>
      <c r="O1283" s="4" t="s">
        <v>4551</v>
      </c>
      <c r="P1283" s="3" t="s">
        <v>4550</v>
      </c>
      <c r="Q1283" s="4"/>
      <c r="R1283" s="4"/>
      <c r="S1283" s="9" t="str">
        <f>HYPERLINK("https://pbs.twimg.com/profile_images/1038734568935841794/gz7-QqHD.jpg","View")</f>
        <v>View</v>
      </c>
    </row>
    <row r="1284" spans="1:19" ht="40">
      <c r="A1284" s="8">
        <v>43370.670057870375</v>
      </c>
      <c r="B1284" s="11" t="str">
        <f>HYPERLINK("https://twitter.com/siamak087","@siamak087")</f>
        <v>@siamak087</v>
      </c>
      <c r="C1284" s="6" t="s">
        <v>4549</v>
      </c>
      <c r="D1284" s="5" t="s">
        <v>4548</v>
      </c>
      <c r="E1284" s="9" t="str">
        <f>HYPERLINK("https://twitter.com/siamak087/status/1045290681156214784","1045290681156214784")</f>
        <v>1045290681156214784</v>
      </c>
      <c r="F1284" s="4"/>
      <c r="G1284" s="10" t="s">
        <v>4547</v>
      </c>
      <c r="H1284" s="4"/>
      <c r="I1284" s="10" t="str">
        <f>HYPERLINK("http://twitter.com/download/android","Twitter for Android")</f>
        <v>Twitter for Android</v>
      </c>
      <c r="J1284" s="2">
        <v>1349</v>
      </c>
      <c r="K1284" s="2">
        <v>1348</v>
      </c>
      <c r="L1284" s="2">
        <v>1</v>
      </c>
      <c r="M1284" s="2"/>
      <c r="N1284" s="8">
        <v>43104.948321759264</v>
      </c>
      <c r="O1284" s="4"/>
      <c r="P1284" s="3" t="s">
        <v>4546</v>
      </c>
      <c r="Q1284" s="4"/>
      <c r="R1284" s="4"/>
      <c r="S1284" s="9" t="str">
        <f>HYPERLINK("https://pbs.twimg.com/profile_images/1019576662428700673/ZoVeWo8o.jpg","View")</f>
        <v>View</v>
      </c>
    </row>
    <row r="1285" spans="1:19" ht="20">
      <c r="A1285" s="8">
        <v>43370.669907407406</v>
      </c>
      <c r="B1285" s="11" t="str">
        <f>HYPERLINK("https://twitter.com/Mohamma07259867","@Mohamma07259867")</f>
        <v>@Mohamma07259867</v>
      </c>
      <c r="C1285" s="6" t="s">
        <v>4545</v>
      </c>
      <c r="D1285" s="5" t="s">
        <v>4544</v>
      </c>
      <c r="E1285" s="9" t="str">
        <f>HYPERLINK("https://twitter.com/Mohamma07259867/status/1045290625690685441","1045290625690685441")</f>
        <v>1045290625690685441</v>
      </c>
      <c r="F1285" s="4"/>
      <c r="G1285" s="4"/>
      <c r="H1285" s="4"/>
      <c r="I1285" s="10" t="str">
        <f>HYPERLINK("http://twitter.com/download/android","Twitter for Android")</f>
        <v>Twitter for Android</v>
      </c>
      <c r="J1285" s="2">
        <v>70</v>
      </c>
      <c r="K1285" s="2">
        <v>101</v>
      </c>
      <c r="L1285" s="2">
        <v>0</v>
      </c>
      <c r="M1285" s="2"/>
      <c r="N1285" s="8">
        <v>43192.983935185184</v>
      </c>
      <c r="O1285" s="4"/>
      <c r="P1285" s="3"/>
      <c r="Q1285" s="4"/>
      <c r="R1285" s="4"/>
      <c r="S1285" s="9" t="str">
        <f>HYPERLINK("https://pbs.twimg.com/profile_images/1034185393040760833/JsMo9BD9.jpg","View")</f>
        <v>View</v>
      </c>
    </row>
    <row r="1286" spans="1:19" ht="30">
      <c r="A1286" s="8">
        <v>43370.669675925921</v>
      </c>
      <c r="B1286" s="11" t="str">
        <f>HYPERLINK("https://twitter.com/dokhtare_heydar","@dokhtare_heydar")</f>
        <v>@dokhtare_heydar</v>
      </c>
      <c r="C1286" s="6" t="s">
        <v>4543</v>
      </c>
      <c r="D1286" s="5" t="s">
        <v>4542</v>
      </c>
      <c r="E1286" s="9" t="str">
        <f>HYPERLINK("https://twitter.com/dokhtare_heydar/status/1045290542882574336","1045290542882574336")</f>
        <v>1045290542882574336</v>
      </c>
      <c r="F1286" s="4"/>
      <c r="G1286" s="4"/>
      <c r="H1286" s="4"/>
      <c r="I1286" s="10" t="str">
        <f>HYPERLINK("http://twitter.com/download/android","Twitter for Android")</f>
        <v>Twitter for Android</v>
      </c>
      <c r="J1286" s="2">
        <v>1194</v>
      </c>
      <c r="K1286" s="2">
        <v>1403</v>
      </c>
      <c r="L1286" s="2">
        <v>1</v>
      </c>
      <c r="M1286" s="2"/>
      <c r="N1286" s="8">
        <v>43206.951238425929</v>
      </c>
      <c r="O1286" s="4" t="s">
        <v>4541</v>
      </c>
      <c r="P1286" s="3" t="s">
        <v>4540</v>
      </c>
      <c r="Q1286" s="4"/>
      <c r="R1286" s="4"/>
      <c r="S1286" s="9" t="str">
        <f>HYPERLINK("https://pbs.twimg.com/profile_images/1044556510490226688/_-bNzfQx.jpg","View")</f>
        <v>View</v>
      </c>
    </row>
    <row r="1287" spans="1:19" ht="20">
      <c r="A1287" s="8">
        <v>43370.66920138889</v>
      </c>
      <c r="B1287" s="11" t="str">
        <f>HYPERLINK("https://twitter.com/MoHAMAD2258","@MoHAMAD2258")</f>
        <v>@MoHAMAD2258</v>
      </c>
      <c r="C1287" s="6" t="s">
        <v>2618</v>
      </c>
      <c r="D1287" s="5" t="s">
        <v>4539</v>
      </c>
      <c r="E1287" s="9" t="str">
        <f>HYPERLINK("https://twitter.com/MoHAMAD2258/status/1045290371612315649","1045290371612315649")</f>
        <v>1045290371612315649</v>
      </c>
      <c r="F1287" s="4"/>
      <c r="G1287" s="10" t="s">
        <v>4538</v>
      </c>
      <c r="H1287" s="4"/>
      <c r="I1287" s="10" t="str">
        <f>HYPERLINK("http://twitter.com/download/android","Twitter for Android")</f>
        <v>Twitter for Android</v>
      </c>
      <c r="J1287" s="2">
        <v>2232</v>
      </c>
      <c r="K1287" s="2">
        <v>3134</v>
      </c>
      <c r="L1287" s="2">
        <v>4</v>
      </c>
      <c r="M1287" s="2"/>
      <c r="N1287" s="8">
        <v>43166.441747685181</v>
      </c>
      <c r="O1287" s="4" t="s">
        <v>200</v>
      </c>
      <c r="P1287" s="3" t="s">
        <v>2615</v>
      </c>
      <c r="Q1287" s="4"/>
      <c r="R1287" s="4"/>
      <c r="S1287" s="9" t="str">
        <f>HYPERLINK("https://pbs.twimg.com/profile_images/1039547145156734976/srNAozaB.jpg","View")</f>
        <v>View</v>
      </c>
    </row>
    <row r="1288" spans="1:19" ht="20">
      <c r="A1288" s="8">
        <v>43370.669050925921</v>
      </c>
      <c r="B1288" s="11" t="str">
        <f>HYPERLINK("https://twitter.com/AlirezaToraby","@AlirezaToraby")</f>
        <v>@AlirezaToraby</v>
      </c>
      <c r="C1288" s="6" t="s">
        <v>4537</v>
      </c>
      <c r="D1288" s="5" t="s">
        <v>4536</v>
      </c>
      <c r="E1288" s="9" t="str">
        <f>HYPERLINK("https://twitter.com/AlirezaToraby/status/1045290317468053504","1045290317468053504")</f>
        <v>1045290317468053504</v>
      </c>
      <c r="F1288" s="4"/>
      <c r="G1288" s="4"/>
      <c r="H1288" s="4"/>
      <c r="I1288" s="10" t="str">
        <f>HYPERLINK("http://twitter.com/download/android","Twitter for Android")</f>
        <v>Twitter for Android</v>
      </c>
      <c r="J1288" s="2">
        <v>5</v>
      </c>
      <c r="K1288" s="2">
        <v>17</v>
      </c>
      <c r="L1288" s="2">
        <v>0</v>
      </c>
      <c r="M1288" s="2"/>
      <c r="N1288" s="8">
        <v>43345.888958333337</v>
      </c>
      <c r="O1288" s="4" t="s">
        <v>4535</v>
      </c>
      <c r="P1288" s="3" t="s">
        <v>4534</v>
      </c>
      <c r="Q1288" s="4"/>
      <c r="R1288" s="4"/>
      <c r="S1288" s="9" t="str">
        <f>HYPERLINK("https://pbs.twimg.com/profile_images/1036298114704068615/tdIKSibV.jpg","View")</f>
        <v>View</v>
      </c>
    </row>
    <row r="1289" spans="1:19" ht="12.5">
      <c r="A1289" s="8">
        <v>43370.668958333335</v>
      </c>
      <c r="B1289" s="11" t="str">
        <f>HYPERLINK("https://twitter.com/adelramezanii","@adelramezanii")</f>
        <v>@adelramezanii</v>
      </c>
      <c r="C1289" s="6" t="s">
        <v>4533</v>
      </c>
      <c r="D1289" s="5" t="s">
        <v>4532</v>
      </c>
      <c r="E1289" s="9" t="str">
        <f>HYPERLINK("https://twitter.com/adelramezanii/status/1045290280159760384","1045290280159760384")</f>
        <v>1045290280159760384</v>
      </c>
      <c r="F1289" s="4"/>
      <c r="G1289" s="4"/>
      <c r="H1289" s="4"/>
      <c r="I1289" s="10" t="str">
        <f>HYPERLINK("http://twitter.com/download/android","Twitter for Android")</f>
        <v>Twitter for Android</v>
      </c>
      <c r="J1289" s="2">
        <v>30</v>
      </c>
      <c r="K1289" s="2">
        <v>21</v>
      </c>
      <c r="L1289" s="2">
        <v>0</v>
      </c>
      <c r="M1289" s="2"/>
      <c r="N1289" s="8">
        <v>43341.932326388887</v>
      </c>
      <c r="O1289" s="4" t="s">
        <v>4531</v>
      </c>
      <c r="P1289" s="3" t="s">
        <v>4530</v>
      </c>
      <c r="Q1289" s="4"/>
      <c r="R1289" s="4"/>
      <c r="S1289" s="9" t="str">
        <f>HYPERLINK("https://pbs.twimg.com/profile_images/1039207206476898304/d99n0nJ4.jpg","View")</f>
        <v>View</v>
      </c>
    </row>
    <row r="1290" spans="1:19" ht="30">
      <c r="A1290" s="8">
        <v>43370.668935185182</v>
      </c>
      <c r="B1290" s="11" t="str">
        <f>HYPERLINK("https://twitter.com/Hessam_nik","@Hessam_nik")</f>
        <v>@Hessam_nik</v>
      </c>
      <c r="C1290" s="6" t="s">
        <v>1341</v>
      </c>
      <c r="D1290" s="5" t="s">
        <v>4529</v>
      </c>
      <c r="E1290" s="9" t="str">
        <f>HYPERLINK("https://twitter.com/Hessam_nik/status/1045290272966549510","1045290272966549510")</f>
        <v>1045290272966549510</v>
      </c>
      <c r="F1290" s="4"/>
      <c r="G1290" s="4"/>
      <c r="H1290" s="4"/>
      <c r="I1290" s="10" t="str">
        <f>HYPERLINK("http://twitter.com/download/android","Twitter for Android")</f>
        <v>Twitter for Android</v>
      </c>
      <c r="J1290" s="2">
        <v>26</v>
      </c>
      <c r="K1290" s="2">
        <v>107</v>
      </c>
      <c r="L1290" s="2">
        <v>0</v>
      </c>
      <c r="M1290" s="2"/>
      <c r="N1290" s="8">
        <v>41491.445173611108</v>
      </c>
      <c r="O1290" s="4"/>
      <c r="P1290" s="3"/>
      <c r="Q1290" s="4"/>
      <c r="R1290" s="4"/>
      <c r="S1290" s="9" t="str">
        <f>HYPERLINK("https://pbs.twimg.com/profile_images/1034379198754942976/XaJHNZaz.jpg","View")</f>
        <v>View</v>
      </c>
    </row>
    <row r="1291" spans="1:19" ht="50">
      <c r="A1291" s="8">
        <v>43370.66851851852</v>
      </c>
      <c r="B1291" s="11" t="str">
        <f>HYPERLINK("https://twitter.com/iranteammelli","@iranteammelli")</f>
        <v>@iranteammelli</v>
      </c>
      <c r="C1291" s="6" t="s">
        <v>1044</v>
      </c>
      <c r="D1291" s="5" t="s">
        <v>4528</v>
      </c>
      <c r="E1291" s="9" t="str">
        <f>HYPERLINK("https://twitter.com/iranteammelli/status/1045290124047785984","1045290124047785984")</f>
        <v>1045290124047785984</v>
      </c>
      <c r="F1291" s="4"/>
      <c r="G1291" s="10" t="s">
        <v>4527</v>
      </c>
      <c r="H1291" s="4"/>
      <c r="I1291" s="10" t="str">
        <f>HYPERLINK("http://twitter.com","Twitter Web Client")</f>
        <v>Twitter Web Client</v>
      </c>
      <c r="J1291" s="2">
        <v>1083</v>
      </c>
      <c r="K1291" s="2">
        <v>375</v>
      </c>
      <c r="L1291" s="2">
        <v>67</v>
      </c>
      <c r="M1291" s="2"/>
      <c r="N1291" s="8">
        <v>41797.646249999998</v>
      </c>
      <c r="O1291" s="4" t="s">
        <v>62</v>
      </c>
      <c r="P1291" s="3" t="s">
        <v>1041</v>
      </c>
      <c r="Q1291" s="10" t="s">
        <v>1040</v>
      </c>
      <c r="R1291" s="4"/>
      <c r="S1291" s="9" t="str">
        <f>HYPERLINK("https://pbs.twimg.com/profile_images/757538975724761088/D2_y6aCK.jpg","View")</f>
        <v>View</v>
      </c>
    </row>
    <row r="1292" spans="1:19" ht="12.5">
      <c r="A1292" s="8">
        <v>43370.668414351851</v>
      </c>
      <c r="B1292" s="11" t="str">
        <f>HYPERLINK("https://twitter.com/derakoola2","@derakoola2")</f>
        <v>@derakoola2</v>
      </c>
      <c r="C1292" s="6" t="s">
        <v>4291</v>
      </c>
      <c r="D1292" s="5" t="s">
        <v>4526</v>
      </c>
      <c r="E1292" s="9" t="str">
        <f>HYPERLINK("https://twitter.com/derakoola2/status/1045290085258854400","1045290085258854400")</f>
        <v>1045290085258854400</v>
      </c>
      <c r="F1292" s="4"/>
      <c r="G1292" s="4"/>
      <c r="H1292" s="4"/>
      <c r="I1292" s="10" t="str">
        <f>HYPERLINK("http://twitter.com/download/iphone","Twitter for iPhone")</f>
        <v>Twitter for iPhone</v>
      </c>
      <c r="J1292" s="2">
        <v>1677</v>
      </c>
      <c r="K1292" s="2">
        <v>3031</v>
      </c>
      <c r="L1292" s="2">
        <v>1</v>
      </c>
      <c r="M1292" s="2"/>
      <c r="N1292" s="8">
        <v>43357.898518518516</v>
      </c>
      <c r="O1292" s="4"/>
      <c r="P1292" s="3" t="s">
        <v>4289</v>
      </c>
      <c r="Q1292" s="4"/>
      <c r="R1292" s="4"/>
      <c r="S1292" s="9" t="str">
        <f>HYPERLINK("https://pbs.twimg.com/profile_images/1040910425234329600/kvCE-7MK.jpg","View")</f>
        <v>View</v>
      </c>
    </row>
    <row r="1293" spans="1:19" ht="40">
      <c r="A1293" s="8">
        <v>43370.668414351851</v>
      </c>
      <c r="B1293" s="11" t="str">
        <f>HYPERLINK("https://twitter.com/Zeinal_Bandari","@Zeinal_Bandari")</f>
        <v>@Zeinal_Bandari</v>
      </c>
      <c r="C1293" s="6" t="s">
        <v>4494</v>
      </c>
      <c r="D1293" s="5" t="s">
        <v>4493</v>
      </c>
      <c r="E1293" s="9" t="str">
        <f>HYPERLINK("https://twitter.com/Zeinal_Bandari/status/1045290083170086915","1045290083170086915")</f>
        <v>1045290083170086915</v>
      </c>
      <c r="F1293" s="4"/>
      <c r="G1293" s="4"/>
      <c r="H1293" s="4"/>
      <c r="I1293" s="10" t="str">
        <f>HYPERLINK("http://twitter.com/download/android","Twitter for Android")</f>
        <v>Twitter for Android</v>
      </c>
      <c r="J1293" s="2">
        <v>0</v>
      </c>
      <c r="K1293" s="2">
        <v>0</v>
      </c>
      <c r="L1293" s="2">
        <v>0</v>
      </c>
      <c r="M1293" s="2"/>
      <c r="N1293" s="8">
        <v>43115.110613425924</v>
      </c>
      <c r="O1293" s="4"/>
      <c r="P1293" s="3"/>
      <c r="Q1293" s="4"/>
      <c r="R1293" s="4"/>
      <c r="S1293" s="9" t="str">
        <f>HYPERLINK("https://pbs.twimg.com/profile_images/952689365452500993/sjL6sH-z.jpg","View")</f>
        <v>View</v>
      </c>
    </row>
    <row r="1294" spans="1:19" ht="20">
      <c r="A1294" s="8">
        <v>43370.668032407411</v>
      </c>
      <c r="B1294" s="11" t="str">
        <f>HYPERLINK("https://twitter.com/Mohammad_tba","@Mohammad_tba")</f>
        <v>@Mohammad_tba</v>
      </c>
      <c r="C1294" s="6" t="s">
        <v>4525</v>
      </c>
      <c r="D1294" s="5" t="s">
        <v>4524</v>
      </c>
      <c r="E1294" s="9" t="str">
        <f>HYPERLINK("https://twitter.com/Mohammad_tba/status/1045289947123666944","1045289947123666944")</f>
        <v>1045289947123666944</v>
      </c>
      <c r="F1294" s="4"/>
      <c r="G1294" s="4"/>
      <c r="H1294" s="4"/>
      <c r="I1294" s="10" t="str">
        <f>HYPERLINK("http://twitter.com/download/android","Twitter for Android")</f>
        <v>Twitter for Android</v>
      </c>
      <c r="J1294" s="2">
        <v>402</v>
      </c>
      <c r="K1294" s="2">
        <v>302</v>
      </c>
      <c r="L1294" s="2">
        <v>2</v>
      </c>
      <c r="M1294" s="2"/>
      <c r="N1294" s="8">
        <v>42751.096678240741</v>
      </c>
      <c r="O1294" s="4" t="s">
        <v>200</v>
      </c>
      <c r="P1294" s="3" t="s">
        <v>4523</v>
      </c>
      <c r="Q1294" s="4"/>
      <c r="R1294" s="4"/>
      <c r="S1294" s="9" t="str">
        <f>HYPERLINK("https://pbs.twimg.com/profile_images/979975441472778241/jXLXSsy0.jpg","View")</f>
        <v>View</v>
      </c>
    </row>
    <row r="1295" spans="1:19" ht="40">
      <c r="A1295" s="8">
        <v>43370.667916666665</v>
      </c>
      <c r="B1295" s="11" t="str">
        <f>HYPERLINK("https://twitter.com/monamoafi","@monamoafi")</f>
        <v>@monamoafi</v>
      </c>
      <c r="C1295" s="6" t="s">
        <v>4522</v>
      </c>
      <c r="D1295" s="5" t="s">
        <v>4521</v>
      </c>
      <c r="E1295" s="9" t="str">
        <f>HYPERLINK("https://twitter.com/monamoafi/status/1045289904324923392","1045289904324923392")</f>
        <v>1045289904324923392</v>
      </c>
      <c r="F1295" s="4"/>
      <c r="G1295" s="10" t="s">
        <v>4520</v>
      </c>
      <c r="H1295" s="4"/>
      <c r="I1295" s="10" t="str">
        <f>HYPERLINK("http://twitter.com/download/android","Twitter for Android")</f>
        <v>Twitter for Android</v>
      </c>
      <c r="J1295" s="2">
        <v>280</v>
      </c>
      <c r="K1295" s="2">
        <v>289</v>
      </c>
      <c r="L1295" s="2">
        <v>2</v>
      </c>
      <c r="M1295" s="2"/>
      <c r="N1295" s="8">
        <v>42168.739062499997</v>
      </c>
      <c r="O1295" s="4" t="s">
        <v>72</v>
      </c>
      <c r="P1295" s="3" t="s">
        <v>4519</v>
      </c>
      <c r="Q1295" s="4"/>
      <c r="R1295" s="4"/>
      <c r="S1295" s="9" t="str">
        <f>HYPERLINK("https://pbs.twimg.com/profile_images/993867350058438656/N-FP7us6.jpg","View")</f>
        <v>View</v>
      </c>
    </row>
    <row r="1296" spans="1:19" ht="30">
      <c r="A1296" s="8">
        <v>43370.666759259257</v>
      </c>
      <c r="B1296" s="11" t="str">
        <f>HYPERLINK("https://twitter.com/Im_alik","@Im_alik")</f>
        <v>@Im_alik</v>
      </c>
      <c r="C1296" s="6" t="s">
        <v>119</v>
      </c>
      <c r="D1296" s="5" t="s">
        <v>4518</v>
      </c>
      <c r="E1296" s="9" t="str">
        <f>HYPERLINK("https://twitter.com/Im_alik/status/1045289487306240000","1045289487306240000")</f>
        <v>1045289487306240000</v>
      </c>
      <c r="F1296" s="4"/>
      <c r="G1296" s="4"/>
      <c r="H1296" s="4"/>
      <c r="I1296" s="10" t="str">
        <f>HYPERLINK("http://twitter.com/download/android","Twitter for Android")</f>
        <v>Twitter for Android</v>
      </c>
      <c r="J1296" s="2">
        <v>789</v>
      </c>
      <c r="K1296" s="2">
        <v>509</v>
      </c>
      <c r="L1296" s="2">
        <v>4</v>
      </c>
      <c r="M1296" s="2"/>
      <c r="N1296" s="8">
        <v>42844.685277777782</v>
      </c>
      <c r="O1296" s="4" t="s">
        <v>117</v>
      </c>
      <c r="P1296" s="3" t="s">
        <v>116</v>
      </c>
      <c r="Q1296" s="10" t="s">
        <v>115</v>
      </c>
      <c r="R1296" s="4"/>
      <c r="S1296" s="9" t="str">
        <f>HYPERLINK("https://pbs.twimg.com/profile_images/1042797478586851329/2-hQQ6uZ.jpg","View")</f>
        <v>View</v>
      </c>
    </row>
    <row r="1297" spans="1:19" ht="30">
      <c r="A1297" s="8">
        <v>43370.666759259257</v>
      </c>
      <c r="B1297" s="11" t="str">
        <f>HYPERLINK("https://twitter.com/bbcpersiansport","@bbcpersiansport")</f>
        <v>@bbcpersiansport</v>
      </c>
      <c r="C1297" s="6" t="s">
        <v>4220</v>
      </c>
      <c r="D1297" s="5" t="s">
        <v>4517</v>
      </c>
      <c r="E1297" s="9" t="str">
        <f>HYPERLINK("https://twitter.com/bbcpersiansport/status/1045289483472695296","1045289483472695296")</f>
        <v>1045289483472695296</v>
      </c>
      <c r="F1297" s="4"/>
      <c r="G1297" s="10" t="s">
        <v>4516</v>
      </c>
      <c r="H1297" s="4"/>
      <c r="I1297" s="10" t="str">
        <f>HYPERLINK("http://twitter.com/download/iphone","Twitter for iPhone")</f>
        <v>Twitter for iPhone</v>
      </c>
      <c r="J1297" s="2">
        <v>228714</v>
      </c>
      <c r="K1297" s="2">
        <v>152</v>
      </c>
      <c r="L1297" s="2">
        <v>310</v>
      </c>
      <c r="M1297" s="2" t="s">
        <v>1701</v>
      </c>
      <c r="N1297" s="8">
        <v>40318.713576388887</v>
      </c>
      <c r="O1297" s="4"/>
      <c r="P1297" s="3"/>
      <c r="Q1297" s="10" t="s">
        <v>4217</v>
      </c>
      <c r="R1297" s="4"/>
      <c r="S1297" s="9" t="str">
        <f>HYPERLINK("https://pbs.twimg.com/profile_images/586219124562460672/qrgu5k3O.jpg","View")</f>
        <v>View</v>
      </c>
    </row>
    <row r="1298" spans="1:19" ht="20">
      <c r="A1298" s="8">
        <v>43370.666666666672</v>
      </c>
      <c r="B1298" s="11" t="str">
        <f>HYPERLINK("https://twitter.com/jesuismasoud","@jesuismasoud")</f>
        <v>@jesuismasoud</v>
      </c>
      <c r="C1298" s="6" t="s">
        <v>3064</v>
      </c>
      <c r="D1298" s="5" t="s">
        <v>4515</v>
      </c>
      <c r="E1298" s="9" t="str">
        <f>HYPERLINK("https://twitter.com/jesuismasoud/status/1045289453248491520","1045289453248491520")</f>
        <v>1045289453248491520</v>
      </c>
      <c r="F1298" s="4"/>
      <c r="G1298" s="4"/>
      <c r="H1298" s="4"/>
      <c r="I1298" s="10" t="str">
        <f>HYPERLINK("https://mobile.twitter.com","Twitter Lite")</f>
        <v>Twitter Lite</v>
      </c>
      <c r="J1298" s="2">
        <v>1367</v>
      </c>
      <c r="K1298" s="2">
        <v>189</v>
      </c>
      <c r="L1298" s="2">
        <v>90</v>
      </c>
      <c r="M1298" s="2"/>
      <c r="N1298" s="8">
        <v>41426.520324074074</v>
      </c>
      <c r="O1298" s="4" t="s">
        <v>10</v>
      </c>
      <c r="P1298" s="3" t="s">
        <v>4514</v>
      </c>
      <c r="Q1298" s="10" t="s">
        <v>4513</v>
      </c>
      <c r="R1298" s="4"/>
      <c r="S1298" s="9" t="str">
        <f>HYPERLINK("https://pbs.twimg.com/profile_images/1043147699678339074/00d4NAXO.jpg","View")</f>
        <v>View</v>
      </c>
    </row>
    <row r="1299" spans="1:19" ht="12.5">
      <c r="A1299" s="8">
        <v>43370.666655092587</v>
      </c>
      <c r="B1299" s="11" t="str">
        <f>HYPERLINK("https://twitter.com/JalalSala2","@JalalSala2")</f>
        <v>@JalalSala2</v>
      </c>
      <c r="C1299" s="6" t="s">
        <v>1553</v>
      </c>
      <c r="D1299" s="5" t="s">
        <v>4512</v>
      </c>
      <c r="E1299" s="9" t="str">
        <f>HYPERLINK("https://twitter.com/JalalSala2/status/1045289449112973313","1045289449112973313")</f>
        <v>1045289449112973313</v>
      </c>
      <c r="F1299" s="4"/>
      <c r="G1299" s="10" t="s">
        <v>4511</v>
      </c>
      <c r="H1299" s="4"/>
      <c r="I1299" s="10" t="str">
        <f>HYPERLINK("http://twitter.com/download/android","Twitter for Android")</f>
        <v>Twitter for Android</v>
      </c>
      <c r="J1299" s="2">
        <v>22</v>
      </c>
      <c r="K1299" s="2">
        <v>112</v>
      </c>
      <c r="L1299" s="2">
        <v>0</v>
      </c>
      <c r="M1299" s="2"/>
      <c r="N1299" s="8">
        <v>43361.945092592592</v>
      </c>
      <c r="O1299" s="4" t="s">
        <v>55</v>
      </c>
      <c r="P1299" s="3" t="s">
        <v>1551</v>
      </c>
      <c r="Q1299" s="4"/>
      <c r="R1299" s="4"/>
      <c r="S1299" s="9" t="str">
        <f>HYPERLINK("https://pbs.twimg.com/profile_images/1042120977784729600/Wrg-Ukd1.jpg","View")</f>
        <v>View</v>
      </c>
    </row>
    <row r="1300" spans="1:19" ht="40">
      <c r="A1300" s="8">
        <v>43370.666631944448</v>
      </c>
      <c r="B1300" s="11" t="str">
        <f>HYPERLINK("https://twitter.com/yjcagency","@yjcagency")</f>
        <v>@yjcagency</v>
      </c>
      <c r="C1300" s="6" t="s">
        <v>88</v>
      </c>
      <c r="D1300" s="5" t="s">
        <v>4510</v>
      </c>
      <c r="E1300" s="9" t="str">
        <f>HYPERLINK("https://twitter.com/yjcagency/status/1045289437729607680","1045289437729607680")</f>
        <v>1045289437729607680</v>
      </c>
      <c r="F1300" s="4"/>
      <c r="G1300" s="4"/>
      <c r="H1300" s="4"/>
      <c r="I1300" s="10" t="str">
        <f>HYPERLINK("http://twitter.com/download/android","Twitter for Android")</f>
        <v>Twitter for Android</v>
      </c>
      <c r="J1300" s="2">
        <v>11385</v>
      </c>
      <c r="K1300" s="2">
        <v>3</v>
      </c>
      <c r="L1300" s="2">
        <v>63</v>
      </c>
      <c r="M1300" s="2"/>
      <c r="N1300" s="8">
        <v>42691.645821759259</v>
      </c>
      <c r="O1300" s="4" t="s">
        <v>85</v>
      </c>
      <c r="P1300" s="3" t="s">
        <v>84</v>
      </c>
      <c r="Q1300" s="10" t="s">
        <v>83</v>
      </c>
      <c r="R1300" s="4"/>
      <c r="S1300" s="9" t="str">
        <f>HYPERLINK("https://pbs.twimg.com/profile_images/1039447384940531714/s7Ntm7-U.jpg","View")</f>
        <v>View</v>
      </c>
    </row>
    <row r="1301" spans="1:19" ht="12.5">
      <c r="A1301" s="8">
        <v>43370.666504629626</v>
      </c>
      <c r="B1301" s="11" t="str">
        <f>HYPERLINK("https://twitter.com/mehrgan1414","@mehrgan1414")</f>
        <v>@mehrgan1414</v>
      </c>
      <c r="C1301" s="6" t="s">
        <v>4509</v>
      </c>
      <c r="D1301" s="5" t="s">
        <v>4508</v>
      </c>
      <c r="E1301" s="9" t="str">
        <f>HYPERLINK("https://twitter.com/mehrgan1414/status/1045289393341313025","1045289393341313025")</f>
        <v>1045289393341313025</v>
      </c>
      <c r="F1301" s="4"/>
      <c r="G1301" s="4"/>
      <c r="H1301" s="4"/>
      <c r="I1301" s="10" t="str">
        <f>HYPERLINK("http://twitter.com/download/android","Twitter for Android")</f>
        <v>Twitter for Android</v>
      </c>
      <c r="J1301" s="2">
        <v>146</v>
      </c>
      <c r="K1301" s="2">
        <v>248</v>
      </c>
      <c r="L1301" s="2">
        <v>0</v>
      </c>
      <c r="M1301" s="2"/>
      <c r="N1301" s="8">
        <v>40863.284502314811</v>
      </c>
      <c r="O1301" s="4"/>
      <c r="P1301" s="3"/>
      <c r="Q1301" s="4"/>
      <c r="R1301" s="4"/>
      <c r="S1301" s="9" t="str">
        <f>HYPERLINK("https://pbs.twimg.com/profile_images/1024355135336718336/n8VSKpL9.jpg","View")</f>
        <v>View</v>
      </c>
    </row>
    <row r="1302" spans="1:19" ht="20">
      <c r="A1302" s="8">
        <v>43370.666458333333</v>
      </c>
      <c r="B1302" s="11" t="str">
        <f>HYPERLINK("https://twitter.com/Manamhamintor3","@Manamhamintor3")</f>
        <v>@Manamhamintor3</v>
      </c>
      <c r="C1302" s="6" t="s">
        <v>4507</v>
      </c>
      <c r="D1302" s="5" t="s">
        <v>4506</v>
      </c>
      <c r="E1302" s="9" t="str">
        <f>HYPERLINK("https://twitter.com/Manamhamintor3/status/1045289375712628736","1045289375712628736")</f>
        <v>1045289375712628736</v>
      </c>
      <c r="F1302" s="4"/>
      <c r="G1302" s="4"/>
      <c r="H1302" s="4"/>
      <c r="I1302" s="10" t="str">
        <f>HYPERLINK("http://twitter.com/download/android","Twitter for Android")</f>
        <v>Twitter for Android</v>
      </c>
      <c r="J1302" s="2">
        <v>51</v>
      </c>
      <c r="K1302" s="2">
        <v>184</v>
      </c>
      <c r="L1302" s="2">
        <v>0</v>
      </c>
      <c r="M1302" s="2"/>
      <c r="N1302" s="8">
        <v>43357.01635416667</v>
      </c>
      <c r="O1302" s="4"/>
      <c r="P1302" s="3" t="s">
        <v>4505</v>
      </c>
      <c r="Q1302" s="4"/>
      <c r="R1302" s="4"/>
      <c r="S1302" s="9" t="str">
        <f>HYPERLINK("https://pbs.twimg.com/profile_images/1040328684283027458/7qRTS7Rc.jpg","View")</f>
        <v>View</v>
      </c>
    </row>
    <row r="1303" spans="1:19" ht="20">
      <c r="A1303" s="8">
        <v>43370.666273148148</v>
      </c>
      <c r="B1303" s="11" t="str">
        <f>HYPERLINK("https://twitter.com/SaeidB11","@SaeidB11")</f>
        <v>@SaeidB11</v>
      </c>
      <c r="C1303" s="6" t="s">
        <v>4504</v>
      </c>
      <c r="D1303" s="5" t="s">
        <v>4503</v>
      </c>
      <c r="E1303" s="9" t="str">
        <f>HYPERLINK("https://twitter.com/SaeidB11/status/1045289309828521986","1045289309828521986")</f>
        <v>1045289309828521986</v>
      </c>
      <c r="F1303" s="4"/>
      <c r="G1303" s="4"/>
      <c r="H1303" s="4"/>
      <c r="I1303" s="10" t="str">
        <f>HYPERLINK("http://twitter.com/download/android","Twitter for Android")</f>
        <v>Twitter for Android</v>
      </c>
      <c r="J1303" s="2">
        <v>820</v>
      </c>
      <c r="K1303" s="2">
        <v>842</v>
      </c>
      <c r="L1303" s="2">
        <v>6</v>
      </c>
      <c r="M1303" s="2"/>
      <c r="N1303" s="8">
        <v>42520.906203703707</v>
      </c>
      <c r="O1303" s="4"/>
      <c r="P1303" s="3" t="s">
        <v>4502</v>
      </c>
      <c r="Q1303" s="4"/>
      <c r="R1303" s="4"/>
      <c r="S1303" s="9" t="str">
        <f>HYPERLINK("https://pbs.twimg.com/profile_images/921110595767865344/YVUsO40f.jpg","View")</f>
        <v>View</v>
      </c>
    </row>
    <row r="1304" spans="1:19" ht="30">
      <c r="A1304" s="8">
        <v>43370.666215277779</v>
      </c>
      <c r="B1304" s="11" t="str">
        <f>HYPERLINK("https://twitter.com/MostafaHdr","@MostafaHdr")</f>
        <v>@MostafaHdr</v>
      </c>
      <c r="C1304" s="6" t="s">
        <v>4458</v>
      </c>
      <c r="D1304" s="5" t="s">
        <v>4501</v>
      </c>
      <c r="E1304" s="9" t="str">
        <f>HYPERLINK("https://twitter.com/MostafaHdr/status/1045289286445273089","1045289286445273089")</f>
        <v>1045289286445273089</v>
      </c>
      <c r="F1304" s="4"/>
      <c r="G1304" s="4"/>
      <c r="H1304" s="4"/>
      <c r="I1304" s="10" t="str">
        <f>HYPERLINK("http://twitter.com/download/android","Twitter for Android")</f>
        <v>Twitter for Android</v>
      </c>
      <c r="J1304" s="2">
        <v>4605</v>
      </c>
      <c r="K1304" s="2">
        <v>4539</v>
      </c>
      <c r="L1304" s="2">
        <v>9</v>
      </c>
      <c r="M1304" s="2"/>
      <c r="N1304" s="8">
        <v>40604.155439814815</v>
      </c>
      <c r="O1304" s="4"/>
      <c r="P1304" s="3" t="s">
        <v>4500</v>
      </c>
      <c r="Q1304" s="4"/>
      <c r="R1304" s="4"/>
      <c r="S1304" s="9" t="str">
        <f>HYPERLINK("https://pbs.twimg.com/profile_images/1021505430617579520/Ml-_x-y7.jpg","View")</f>
        <v>View</v>
      </c>
    </row>
    <row r="1305" spans="1:19" ht="40">
      <c r="A1305" s="8">
        <v>43370.666180555556</v>
      </c>
      <c r="B1305" s="11" t="str">
        <f>HYPERLINK("https://twitter.com/yjcagency","@yjcagency")</f>
        <v>@yjcagency</v>
      </c>
      <c r="C1305" s="6" t="s">
        <v>88</v>
      </c>
      <c r="D1305" s="5" t="s">
        <v>4499</v>
      </c>
      <c r="E1305" s="9" t="str">
        <f>HYPERLINK("https://twitter.com/yjcagency/status/1045289273925271552","1045289273925271552")</f>
        <v>1045289273925271552</v>
      </c>
      <c r="F1305" s="4"/>
      <c r="G1305" s="4"/>
      <c r="H1305" s="4"/>
      <c r="I1305" s="10" t="str">
        <f>HYPERLINK("http://twitter.com/download/android","Twitter for Android")</f>
        <v>Twitter for Android</v>
      </c>
      <c r="J1305" s="2">
        <v>11385</v>
      </c>
      <c r="K1305" s="2">
        <v>3</v>
      </c>
      <c r="L1305" s="2">
        <v>63</v>
      </c>
      <c r="M1305" s="2"/>
      <c r="N1305" s="8">
        <v>42691.645821759259</v>
      </c>
      <c r="O1305" s="4" t="s">
        <v>85</v>
      </c>
      <c r="P1305" s="3" t="s">
        <v>84</v>
      </c>
      <c r="Q1305" s="10" t="s">
        <v>83</v>
      </c>
      <c r="R1305" s="4"/>
      <c r="S1305" s="9" t="str">
        <f>HYPERLINK("https://pbs.twimg.com/profile_images/1039447384940531714/s7Ntm7-U.jpg","View")</f>
        <v>View</v>
      </c>
    </row>
    <row r="1306" spans="1:19" ht="30">
      <c r="A1306" s="8">
        <v>43370.66611111111</v>
      </c>
      <c r="B1306" s="11" t="str">
        <f>HYPERLINK("https://twitter.com/MHemmatiBo","@MHemmatiBo")</f>
        <v>@MHemmatiBo</v>
      </c>
      <c r="C1306" s="6" t="s">
        <v>3108</v>
      </c>
      <c r="D1306" s="5" t="s">
        <v>4498</v>
      </c>
      <c r="E1306" s="9" t="str">
        <f>HYPERLINK("https://twitter.com/MHemmatiBo/status/1045289251980660737","1045289251980660737")</f>
        <v>1045289251980660737</v>
      </c>
      <c r="F1306" s="4"/>
      <c r="G1306" s="4"/>
      <c r="H1306" s="4"/>
      <c r="I1306" s="10" t="str">
        <f>HYPERLINK("http://twitter.com","Twitter Web Client")</f>
        <v>Twitter Web Client</v>
      </c>
      <c r="J1306" s="2">
        <v>156</v>
      </c>
      <c r="K1306" s="2">
        <v>132</v>
      </c>
      <c r="L1306" s="2">
        <v>0</v>
      </c>
      <c r="M1306" s="2"/>
      <c r="N1306" s="8">
        <v>43336.599722222221</v>
      </c>
      <c r="O1306" s="4"/>
      <c r="P1306" s="3" t="s">
        <v>3106</v>
      </c>
      <c r="Q1306" s="10" t="s">
        <v>3105</v>
      </c>
      <c r="R1306" s="4"/>
      <c r="S1306" s="9" t="str">
        <f>HYPERLINK("https://pbs.twimg.com/profile_images/1032930469460017157/-Mbl4urY.jpg","View")</f>
        <v>View</v>
      </c>
    </row>
    <row r="1307" spans="1:19" ht="40">
      <c r="A1307" s="8">
        <v>43370.665833333333</v>
      </c>
      <c r="B1307" s="11" t="str">
        <f>HYPERLINK("https://twitter.com/amir_shaah","@amir_shaah")</f>
        <v>@amir_shaah</v>
      </c>
      <c r="C1307" s="6" t="s">
        <v>747</v>
      </c>
      <c r="D1307" s="5" t="s">
        <v>4497</v>
      </c>
      <c r="E1307" s="9" t="str">
        <f>HYPERLINK("https://twitter.com/amir_shaah/status/1045289150096838656","1045289150096838656")</f>
        <v>1045289150096838656</v>
      </c>
      <c r="F1307" s="4"/>
      <c r="G1307" s="4"/>
      <c r="H1307" s="4"/>
      <c r="I1307" s="10" t="str">
        <f>HYPERLINK("https://mobile.twitter.com","Twitter Lite")</f>
        <v>Twitter Lite</v>
      </c>
      <c r="J1307" s="2">
        <v>60</v>
      </c>
      <c r="K1307" s="2">
        <v>127</v>
      </c>
      <c r="L1307" s="2">
        <v>0</v>
      </c>
      <c r="M1307" s="2"/>
      <c r="N1307" s="8">
        <v>42879.12195601852</v>
      </c>
      <c r="O1307" s="4" t="s">
        <v>745</v>
      </c>
      <c r="P1307" s="3" t="s">
        <v>744</v>
      </c>
      <c r="Q1307" s="4"/>
      <c r="R1307" s="4"/>
      <c r="S1307" s="9" t="str">
        <f>HYPERLINK("https://pbs.twimg.com/profile_images/1006223193131151360/CDrlymJW.jpg","View")</f>
        <v>View</v>
      </c>
    </row>
    <row r="1308" spans="1:19" ht="20">
      <c r="A1308" s="8">
        <v>43370.665810185186</v>
      </c>
      <c r="B1308" s="11" t="str">
        <f>HYPERLINK("https://twitter.com/eebrahimie","@eebrahimie")</f>
        <v>@eebrahimie</v>
      </c>
      <c r="C1308" s="6" t="s">
        <v>4496</v>
      </c>
      <c r="D1308" s="5" t="s">
        <v>4495</v>
      </c>
      <c r="E1308" s="9" t="str">
        <f>HYPERLINK("https://twitter.com/eebrahimie/status/1045289140370251777","1045289140370251777")</f>
        <v>1045289140370251777</v>
      </c>
      <c r="F1308" s="4"/>
      <c r="G1308" s="4"/>
      <c r="H1308" s="4"/>
      <c r="I1308" s="10" t="str">
        <f>HYPERLINK("http://twitter.com/download/iphone","Twitter for iPhone")</f>
        <v>Twitter for iPhone</v>
      </c>
      <c r="J1308" s="2">
        <v>224</v>
      </c>
      <c r="K1308" s="2">
        <v>292</v>
      </c>
      <c r="L1308" s="2">
        <v>1</v>
      </c>
      <c r="M1308" s="2"/>
      <c r="N1308" s="8">
        <v>41801.631851851853</v>
      </c>
      <c r="O1308" s="4"/>
      <c r="P1308" s="3"/>
      <c r="Q1308" s="4"/>
      <c r="R1308" s="4"/>
      <c r="S1308" s="9" t="str">
        <f>HYPERLINK("https://pbs.twimg.com/profile_images/1030406244824231936/p5qTBx43.jpg","View")</f>
        <v>View</v>
      </c>
    </row>
    <row r="1309" spans="1:19" ht="40">
      <c r="A1309" s="8">
        <v>43370.665659722217</v>
      </c>
      <c r="B1309" s="11" t="str">
        <f>HYPERLINK("https://twitter.com/Zeinal_Bandari","@Zeinal_Bandari")</f>
        <v>@Zeinal_Bandari</v>
      </c>
      <c r="C1309" s="6" t="s">
        <v>4494</v>
      </c>
      <c r="D1309" s="5" t="s">
        <v>4493</v>
      </c>
      <c r="E1309" s="9" t="str">
        <f>HYPERLINK("https://twitter.com/Zeinal_Bandari/status/1045289088872525824","1045289088872525824")</f>
        <v>1045289088872525824</v>
      </c>
      <c r="F1309" s="4"/>
      <c r="G1309" s="4"/>
      <c r="H1309" s="4"/>
      <c r="I1309" s="10" t="str">
        <f>HYPERLINK("http://twitter.com/download/android","Twitter for Android")</f>
        <v>Twitter for Android</v>
      </c>
      <c r="J1309" s="2">
        <v>0</v>
      </c>
      <c r="K1309" s="2">
        <v>0</v>
      </c>
      <c r="L1309" s="2">
        <v>0</v>
      </c>
      <c r="M1309" s="2"/>
      <c r="N1309" s="8">
        <v>43115.110613425924</v>
      </c>
      <c r="O1309" s="4"/>
      <c r="P1309" s="3"/>
      <c r="Q1309" s="4"/>
      <c r="R1309" s="4"/>
      <c r="S1309" s="9" t="str">
        <f>HYPERLINK("https://pbs.twimg.com/profile_images/952689365452500993/sjL6sH-z.jpg","View")</f>
        <v>View</v>
      </c>
    </row>
    <row r="1310" spans="1:19" ht="12.5">
      <c r="A1310" s="8">
        <v>43370.665613425925</v>
      </c>
      <c r="B1310" s="11" t="str">
        <f>HYPERLINK("https://twitter.com/Sz_Sicily","@Sz_Sicily")</f>
        <v>@Sz_Sicily</v>
      </c>
      <c r="C1310" s="6" t="s">
        <v>4492</v>
      </c>
      <c r="D1310" s="5" t="s">
        <v>4491</v>
      </c>
      <c r="E1310" s="9" t="str">
        <f>HYPERLINK("https://twitter.com/Sz_Sicily/status/1045289070639951872","1045289070639951872")</f>
        <v>1045289070639951872</v>
      </c>
      <c r="F1310" s="4"/>
      <c r="G1310" s="4"/>
      <c r="H1310" s="4"/>
      <c r="I1310" s="10" t="str">
        <f>HYPERLINK("http://twitter.com/download/android","Twitter for Android")</f>
        <v>Twitter for Android</v>
      </c>
      <c r="J1310" s="2">
        <v>1004</v>
      </c>
      <c r="K1310" s="2">
        <v>156</v>
      </c>
      <c r="L1310" s="2">
        <v>6</v>
      </c>
      <c r="M1310" s="2"/>
      <c r="N1310" s="8">
        <v>41551.67796296296</v>
      </c>
      <c r="O1310" s="4" t="s">
        <v>4490</v>
      </c>
      <c r="P1310" s="3" t="s">
        <v>4489</v>
      </c>
      <c r="Q1310" s="4"/>
      <c r="R1310" s="4"/>
      <c r="S1310" s="9" t="str">
        <f>HYPERLINK("https://pbs.twimg.com/profile_images/1044541175804440576/M7IAsvI6.jpg","View")</f>
        <v>View</v>
      </c>
    </row>
    <row r="1311" spans="1:19" ht="30">
      <c r="A1311" s="8">
        <v>43370.665104166663</v>
      </c>
      <c r="B1311" s="11" t="str">
        <f>HYPERLINK("https://twitter.com/mani_ghaderi","@mani_ghaderi")</f>
        <v>@mani_ghaderi</v>
      </c>
      <c r="C1311" s="6" t="s">
        <v>4488</v>
      </c>
      <c r="D1311" s="5" t="s">
        <v>4487</v>
      </c>
      <c r="E1311" s="9" t="str">
        <f>HYPERLINK("https://twitter.com/mani_ghaderi/status/1045288887189409792","1045288887189409792")</f>
        <v>1045288887189409792</v>
      </c>
      <c r="F1311" s="4"/>
      <c r="G1311" s="4"/>
      <c r="H1311" s="4"/>
      <c r="I1311" s="10" t="str">
        <f>HYPERLINK("http://twitter.com/download/iphone","Twitter for iPhone")</f>
        <v>Twitter for iPhone</v>
      </c>
      <c r="J1311" s="2">
        <v>432</v>
      </c>
      <c r="K1311" s="2">
        <v>429</v>
      </c>
      <c r="L1311" s="2">
        <v>0</v>
      </c>
      <c r="M1311" s="2"/>
      <c r="N1311" s="8">
        <v>42956.654293981483</v>
      </c>
      <c r="O1311" s="4"/>
      <c r="P1311" s="3" t="s">
        <v>4486</v>
      </c>
      <c r="Q1311" s="4"/>
      <c r="R1311" s="4"/>
      <c r="S1311" s="9" t="str">
        <f>HYPERLINK("https://pbs.twimg.com/profile_images/1030324244243271680/ftVC_sUi.jpg","View")</f>
        <v>View</v>
      </c>
    </row>
    <row r="1312" spans="1:19" ht="30">
      <c r="A1312" s="8">
        <v>43370.664907407408</v>
      </c>
      <c r="B1312" s="11" t="str">
        <f>HYPERLINK("https://twitter.com/paeezan96","@paeezan96")</f>
        <v>@paeezan96</v>
      </c>
      <c r="C1312" s="6" t="s">
        <v>4485</v>
      </c>
      <c r="D1312" s="5" t="s">
        <v>4484</v>
      </c>
      <c r="E1312" s="9" t="str">
        <f>HYPERLINK("https://twitter.com/paeezan96/status/1045288816045707264","1045288816045707264")</f>
        <v>1045288816045707264</v>
      </c>
      <c r="F1312" s="4"/>
      <c r="G1312" s="4"/>
      <c r="H1312" s="4"/>
      <c r="I1312" s="10" t="str">
        <f>HYPERLINK("http://twitter.com/download/android","Twitter for Android")</f>
        <v>Twitter for Android</v>
      </c>
      <c r="J1312" s="2">
        <v>676</v>
      </c>
      <c r="K1312" s="2">
        <v>865</v>
      </c>
      <c r="L1312" s="2">
        <v>0</v>
      </c>
      <c r="M1312" s="2"/>
      <c r="N1312" s="8">
        <v>42916.07304398148</v>
      </c>
      <c r="O1312" s="4" t="s">
        <v>72</v>
      </c>
      <c r="P1312" s="3" t="s">
        <v>4483</v>
      </c>
      <c r="Q1312" s="4"/>
      <c r="R1312" s="4"/>
      <c r="S1312" s="9" t="str">
        <f>HYPERLINK("https://pbs.twimg.com/profile_images/880536527100678144/mx4oLFhb.jpg","View")</f>
        <v>View</v>
      </c>
    </row>
    <row r="1313" spans="1:19" ht="20">
      <c r="A1313" s="8">
        <v>43370.664907407408</v>
      </c>
      <c r="B1313" s="11" t="str">
        <f>HYPERLINK("https://twitter.com/hamohos","@hamohos")</f>
        <v>@hamohos</v>
      </c>
      <c r="C1313" s="6" t="s">
        <v>4482</v>
      </c>
      <c r="D1313" s="5" t="s">
        <v>4481</v>
      </c>
      <c r="E1313" s="9" t="str">
        <f>HYPERLINK("https://twitter.com/hamohos/status/1045288815055826946","1045288815055826946")</f>
        <v>1045288815055826946</v>
      </c>
      <c r="F1313" s="4"/>
      <c r="G1313" s="4"/>
      <c r="H1313" s="4"/>
      <c r="I1313" s="10" t="str">
        <f>HYPERLINK("http://twitter.com/download/android","Twitter for Android")</f>
        <v>Twitter for Android</v>
      </c>
      <c r="J1313" s="2">
        <v>852</v>
      </c>
      <c r="K1313" s="2">
        <v>363</v>
      </c>
      <c r="L1313" s="2">
        <v>4</v>
      </c>
      <c r="M1313" s="2"/>
      <c r="N1313" s="8">
        <v>42546.527777777781</v>
      </c>
      <c r="O1313" s="4" t="s">
        <v>4480</v>
      </c>
      <c r="P1313" s="3" t="s">
        <v>4479</v>
      </c>
      <c r="Q1313" s="10" t="s">
        <v>4478</v>
      </c>
      <c r="R1313" s="4"/>
      <c r="S1313" s="9" t="str">
        <f>HYPERLINK("https://pbs.twimg.com/profile_images/1040312267433238528/ufiXcHPN.jpg","View")</f>
        <v>View</v>
      </c>
    </row>
    <row r="1314" spans="1:19" ht="20">
      <c r="A1314" s="8">
        <v>43370.664849537032</v>
      </c>
      <c r="B1314" s="11" t="str">
        <f>HYPERLINK("https://twitter.com/musafa_sh","@musafa_sh")</f>
        <v>@musafa_sh</v>
      </c>
      <c r="C1314" s="6" t="s">
        <v>4477</v>
      </c>
      <c r="D1314" s="5" t="s">
        <v>4476</v>
      </c>
      <c r="E1314" s="9" t="str">
        <f>HYPERLINK("https://twitter.com/musafa_sh/status/1045288792658247680","1045288792658247680")</f>
        <v>1045288792658247680</v>
      </c>
      <c r="F1314" s="4"/>
      <c r="G1314" s="4"/>
      <c r="H1314" s="4"/>
      <c r="I1314" s="10" t="str">
        <f>HYPERLINK("http://twitter.com/download/android","Twitter for Android")</f>
        <v>Twitter for Android</v>
      </c>
      <c r="J1314" s="2">
        <v>3365</v>
      </c>
      <c r="K1314" s="2">
        <v>3338</v>
      </c>
      <c r="L1314" s="2">
        <v>0</v>
      </c>
      <c r="M1314" s="2"/>
      <c r="N1314" s="8">
        <v>42195.07534722222</v>
      </c>
      <c r="O1314" s="4" t="s">
        <v>547</v>
      </c>
      <c r="P1314" s="3" t="s">
        <v>4475</v>
      </c>
      <c r="Q1314" s="4"/>
      <c r="R1314" s="4"/>
      <c r="S1314" s="9" t="str">
        <f>HYPERLINK("https://pbs.twimg.com/profile_images/1032605004153085953/CNJSTShk.jpg","View")</f>
        <v>View</v>
      </c>
    </row>
    <row r="1315" spans="1:19" ht="30">
      <c r="A1315" s="8">
        <v>43370.664780092593</v>
      </c>
      <c r="B1315" s="11" t="str">
        <f>HYPERLINK("https://twitter.com/armincher","@armincher")</f>
        <v>@armincher</v>
      </c>
      <c r="C1315" s="6" t="s">
        <v>4474</v>
      </c>
      <c r="D1315" s="5" t="s">
        <v>4473</v>
      </c>
      <c r="E1315" s="9" t="str">
        <f>HYPERLINK("https://twitter.com/armincher/status/1045288768066981889","1045288768066981889")</f>
        <v>1045288768066981889</v>
      </c>
      <c r="F1315" s="4"/>
      <c r="G1315" s="4"/>
      <c r="H1315" s="4"/>
      <c r="I1315" s="10" t="str">
        <f>HYPERLINK("http://twitter.com/download/android","Twitter for Android")</f>
        <v>Twitter for Android</v>
      </c>
      <c r="J1315" s="2">
        <v>1804</v>
      </c>
      <c r="K1315" s="2">
        <v>242</v>
      </c>
      <c r="L1315" s="2">
        <v>0</v>
      </c>
      <c r="M1315" s="2"/>
      <c r="N1315" s="8">
        <v>42758.953842592593</v>
      </c>
      <c r="O1315" s="4"/>
      <c r="P1315" s="3" t="s">
        <v>4472</v>
      </c>
      <c r="Q1315" s="4"/>
      <c r="R1315" s="4"/>
      <c r="S1315" s="9" t="str">
        <f>HYPERLINK("https://pbs.twimg.com/profile_images/1003935958339932160/uuRtUBrO.jpg","View")</f>
        <v>View</v>
      </c>
    </row>
    <row r="1316" spans="1:19" ht="12.5">
      <c r="A1316" s="8">
        <v>43370.664386574077</v>
      </c>
      <c r="B1316" s="11" t="str">
        <f>HYPERLINK("https://twitter.com/mohamadhamidi2","@mohamadhamidi2")</f>
        <v>@mohamadhamidi2</v>
      </c>
      <c r="C1316" s="6" t="s">
        <v>4471</v>
      </c>
      <c r="D1316" s="5" t="s">
        <v>4470</v>
      </c>
      <c r="E1316" s="9" t="str">
        <f>HYPERLINK("https://twitter.com/mohamadhamidi2/status/1045288623858479104","1045288623858479104")</f>
        <v>1045288623858479104</v>
      </c>
      <c r="F1316" s="4"/>
      <c r="G1316" s="4"/>
      <c r="H1316" s="4"/>
      <c r="I1316" s="10" t="str">
        <f>HYPERLINK("http://twitter.com","Twitter Web Client")</f>
        <v>Twitter Web Client</v>
      </c>
      <c r="J1316" s="2">
        <v>325</v>
      </c>
      <c r="K1316" s="2">
        <v>806</v>
      </c>
      <c r="L1316" s="2">
        <v>2</v>
      </c>
      <c r="M1316" s="2"/>
      <c r="N1316" s="8">
        <v>41252.836516203708</v>
      </c>
      <c r="O1316" s="4"/>
      <c r="P1316" s="3"/>
      <c r="Q1316" s="10" t="s">
        <v>4469</v>
      </c>
      <c r="R1316" s="4"/>
      <c r="S1316" s="9" t="str">
        <f>HYPERLINK("https://pbs.twimg.com/profile_images/873834206358417409/88vDyOhN.jpg","View")</f>
        <v>View</v>
      </c>
    </row>
    <row r="1317" spans="1:19" ht="30">
      <c r="A1317" s="8">
        <v>43370.664293981477</v>
      </c>
      <c r="B1317" s="11" t="str">
        <f>HYPERLINK("https://twitter.com/hamed_sa","@hamed_sa")</f>
        <v>@hamed_sa</v>
      </c>
      <c r="C1317" s="6" t="s">
        <v>4468</v>
      </c>
      <c r="D1317" s="5" t="s">
        <v>4467</v>
      </c>
      <c r="E1317" s="9" t="str">
        <f>HYPERLINK("https://twitter.com/hamed_sa/status/1045288593739186178","1045288593739186178")</f>
        <v>1045288593739186178</v>
      </c>
      <c r="F1317" s="4"/>
      <c r="G1317" s="4"/>
      <c r="H1317" s="4"/>
      <c r="I1317" s="10" t="str">
        <f>HYPERLINK("http://twitter.com/download/android","Twitter for Android")</f>
        <v>Twitter for Android</v>
      </c>
      <c r="J1317" s="2">
        <v>2299</v>
      </c>
      <c r="K1317" s="2">
        <v>1450</v>
      </c>
      <c r="L1317" s="2">
        <v>8</v>
      </c>
      <c r="M1317" s="2"/>
      <c r="N1317" s="8">
        <v>40969.092974537038</v>
      </c>
      <c r="O1317" s="4" t="s">
        <v>1183</v>
      </c>
      <c r="P1317" s="3" t="s">
        <v>4466</v>
      </c>
      <c r="Q1317" s="10" t="s">
        <v>4465</v>
      </c>
      <c r="R1317" s="4"/>
      <c r="S1317" s="9" t="str">
        <f>HYPERLINK("https://pbs.twimg.com/profile_images/1020815372918960130/y2BGV_03.jpg","View")</f>
        <v>View</v>
      </c>
    </row>
    <row r="1318" spans="1:19" ht="20">
      <c r="A1318" s="8">
        <v>43370.66407407407</v>
      </c>
      <c r="B1318" s="11" t="str">
        <f>HYPERLINK("https://twitter.com/F_pour_Farshad","@F_pour_Farshad")</f>
        <v>@F_pour_Farshad</v>
      </c>
      <c r="C1318" s="6" t="s">
        <v>4464</v>
      </c>
      <c r="D1318" s="5" t="s">
        <v>4463</v>
      </c>
      <c r="E1318" s="9" t="str">
        <f>HYPERLINK("https://twitter.com/F_pour_Farshad/status/1045288510293528577","1045288510293528577")</f>
        <v>1045288510293528577</v>
      </c>
      <c r="F1318" s="4"/>
      <c r="G1318" s="10" t="s">
        <v>4462</v>
      </c>
      <c r="H1318" s="4"/>
      <c r="I1318" s="10" t="str">
        <f>HYPERLINK("http://twitter.com/download/android","Twitter for Android")</f>
        <v>Twitter for Android</v>
      </c>
      <c r="J1318" s="2">
        <v>308</v>
      </c>
      <c r="K1318" s="2">
        <v>284</v>
      </c>
      <c r="L1318" s="2">
        <v>0</v>
      </c>
      <c r="M1318" s="2"/>
      <c r="N1318" s="8">
        <v>43113.480949074074</v>
      </c>
      <c r="O1318" s="4" t="s">
        <v>4461</v>
      </c>
      <c r="P1318" s="3" t="s">
        <v>4460</v>
      </c>
      <c r="Q1318" s="4"/>
      <c r="R1318" s="4"/>
      <c r="S1318" s="9" t="str">
        <f>HYPERLINK("https://pbs.twimg.com/profile_images/1031431848705122304/CGEJvKUp.jpg","View")</f>
        <v>View</v>
      </c>
    </row>
    <row r="1319" spans="1:19" ht="30">
      <c r="A1319" s="8">
        <v>43370.66342592593</v>
      </c>
      <c r="B1319" s="11" t="str">
        <f>HYPERLINK("https://twitter.com/FRuholla","@FRuholla")</f>
        <v>@FRuholla</v>
      </c>
      <c r="C1319" s="6" t="s">
        <v>1189</v>
      </c>
      <c r="D1319" s="5" t="s">
        <v>4459</v>
      </c>
      <c r="E1319" s="9" t="str">
        <f>HYPERLINK("https://twitter.com/FRuholla/status/1045288278847614976","1045288278847614976")</f>
        <v>1045288278847614976</v>
      </c>
      <c r="F1319" s="4"/>
      <c r="G1319" s="4"/>
      <c r="H1319" s="4"/>
      <c r="I1319" s="10" t="str">
        <f>HYPERLINK("http://twitter.com/download/android","Twitter for Android")</f>
        <v>Twitter for Android</v>
      </c>
      <c r="J1319" s="2">
        <v>528</v>
      </c>
      <c r="K1319" s="2">
        <v>735</v>
      </c>
      <c r="L1319" s="2">
        <v>1</v>
      </c>
      <c r="M1319" s="2"/>
      <c r="N1319" s="8">
        <v>41432.558483796296</v>
      </c>
      <c r="O1319" s="4" t="s">
        <v>1188</v>
      </c>
      <c r="P1319" s="3" t="s">
        <v>1187</v>
      </c>
      <c r="Q1319" s="4"/>
      <c r="R1319" s="4"/>
      <c r="S1319" s="9" t="str">
        <f>HYPERLINK("https://pbs.twimg.com/profile_images/1042450323925815301/2BCXUyIx.jpg","View")</f>
        <v>View</v>
      </c>
    </row>
    <row r="1320" spans="1:19" ht="20">
      <c r="A1320" s="8">
        <v>43370.663344907407</v>
      </c>
      <c r="B1320" s="11" t="str">
        <f>HYPERLINK("https://twitter.com/Mostafa61687937","@Mostafa61687937")</f>
        <v>@Mostafa61687937</v>
      </c>
      <c r="C1320" s="6" t="s">
        <v>4458</v>
      </c>
      <c r="D1320" s="5" t="s">
        <v>4457</v>
      </c>
      <c r="E1320" s="9" t="str">
        <f>HYPERLINK("https://twitter.com/Mostafa61687937/status/1045288250020188160","1045288250020188160")</f>
        <v>1045288250020188160</v>
      </c>
      <c r="F1320" s="4"/>
      <c r="G1320" s="4"/>
      <c r="H1320" s="4"/>
      <c r="I1320" s="10" t="str">
        <f>HYPERLINK("http://twitter.com/download/android","Twitter for Android")</f>
        <v>Twitter for Android</v>
      </c>
      <c r="J1320" s="2">
        <v>1072</v>
      </c>
      <c r="K1320" s="2">
        <v>1137</v>
      </c>
      <c r="L1320" s="2">
        <v>2</v>
      </c>
      <c r="M1320" s="2"/>
      <c r="N1320" s="8">
        <v>43102.609120370369</v>
      </c>
      <c r="O1320" s="4"/>
      <c r="P1320" s="3" t="s">
        <v>4456</v>
      </c>
      <c r="Q1320" s="4"/>
      <c r="R1320" s="4"/>
      <c r="S1320" s="9" t="str">
        <f>HYPERLINK("https://pbs.twimg.com/profile_images/1031908631346900993/jLdLxxYc.jpg","View")</f>
        <v>View</v>
      </c>
    </row>
    <row r="1321" spans="1:19" ht="12.5">
      <c r="A1321" s="8">
        <v>43370.66333333333</v>
      </c>
      <c r="B1321" s="11" t="str">
        <f>HYPERLINK("https://twitter.com/ABandeloo","@ABandeloo")</f>
        <v>@ABandeloo</v>
      </c>
      <c r="C1321" s="6" t="s">
        <v>2213</v>
      </c>
      <c r="D1321" s="5" t="s">
        <v>4455</v>
      </c>
      <c r="E1321" s="9" t="str">
        <f>HYPERLINK("https://twitter.com/ABandeloo/status/1045288242592051201","1045288242592051201")</f>
        <v>1045288242592051201</v>
      </c>
      <c r="F1321" s="4"/>
      <c r="G1321" s="4"/>
      <c r="H1321" s="4"/>
      <c r="I1321" s="10" t="str">
        <f>HYPERLINK("http://twitter.com/download/iphone","Twitter for iPhone")</f>
        <v>Twitter for iPhone</v>
      </c>
      <c r="J1321" s="2">
        <v>152</v>
      </c>
      <c r="K1321" s="2">
        <v>89</v>
      </c>
      <c r="L1321" s="2">
        <v>1</v>
      </c>
      <c r="M1321" s="2"/>
      <c r="N1321" s="8">
        <v>43313.125393518523</v>
      </c>
      <c r="O1321" s="4" t="s">
        <v>2211</v>
      </c>
      <c r="P1321" s="3" t="s">
        <v>2210</v>
      </c>
      <c r="Q1321" s="4"/>
      <c r="R1321" s="4"/>
      <c r="S1321" s="9" t="str">
        <f>HYPERLINK("https://pbs.twimg.com/profile_images/1029551004998610944/AsB4SHD9.jpg","View")</f>
        <v>View</v>
      </c>
    </row>
    <row r="1322" spans="1:19" ht="20">
      <c r="A1322" s="8">
        <v>43370.663020833337</v>
      </c>
      <c r="B1322" s="11" t="str">
        <f>HYPERLINK("https://twitter.com/fereshtevpt","@fereshtevpt")</f>
        <v>@fereshtevpt</v>
      </c>
      <c r="C1322" s="6" t="s">
        <v>331</v>
      </c>
      <c r="D1322" s="5" t="s">
        <v>4454</v>
      </c>
      <c r="E1322" s="9" t="str">
        <f>HYPERLINK("https://twitter.com/fereshtevpt/status/1045288131216510976","1045288131216510976")</f>
        <v>1045288131216510976</v>
      </c>
      <c r="F1322" s="4"/>
      <c r="G1322" s="10" t="s">
        <v>4453</v>
      </c>
      <c r="H1322" s="4"/>
      <c r="I1322" s="10" t="str">
        <f>HYPERLINK("http://twitter.com/download/iphone","Twitter for iPhone")</f>
        <v>Twitter for iPhone</v>
      </c>
      <c r="J1322" s="2">
        <v>2492</v>
      </c>
      <c r="K1322" s="2">
        <v>2147</v>
      </c>
      <c r="L1322" s="2">
        <v>6</v>
      </c>
      <c r="M1322" s="2"/>
      <c r="N1322" s="8">
        <v>43106.721226851849</v>
      </c>
      <c r="O1322" s="4"/>
      <c r="P1322" s="3" t="s">
        <v>329</v>
      </c>
      <c r="Q1322" s="4"/>
      <c r="R1322" s="4"/>
      <c r="S1322" s="9" t="str">
        <f>HYPERLINK("https://pbs.twimg.com/profile_images/1037751959716016135/k__ynAL7.jpg","View")</f>
        <v>View</v>
      </c>
    </row>
    <row r="1323" spans="1:19" ht="12.5">
      <c r="A1323" s="8">
        <v>43370.662962962961</v>
      </c>
      <c r="B1323" s="11" t="str">
        <f>HYPERLINK("https://twitter.com/fereydoonfar62","@fereydoonfar62")</f>
        <v>@fereydoonfar62</v>
      </c>
      <c r="C1323" s="6" t="s">
        <v>4452</v>
      </c>
      <c r="D1323" s="5" t="s">
        <v>4451</v>
      </c>
      <c r="E1323" s="9" t="str">
        <f>HYPERLINK("https://twitter.com/fereydoonfar62/status/1045288107661295616","1045288107661295616")</f>
        <v>1045288107661295616</v>
      </c>
      <c r="F1323" s="4"/>
      <c r="G1323" s="10" t="s">
        <v>4450</v>
      </c>
      <c r="H1323" s="4"/>
      <c r="I1323" s="10" t="str">
        <f>HYPERLINK("http://twitter.com/download/android","Twitter for Android")</f>
        <v>Twitter for Android</v>
      </c>
      <c r="J1323" s="2">
        <v>412</v>
      </c>
      <c r="K1323" s="2">
        <v>1129</v>
      </c>
      <c r="L1323" s="2">
        <v>0</v>
      </c>
      <c r="M1323" s="2"/>
      <c r="N1323" s="8">
        <v>43369.486793981487</v>
      </c>
      <c r="O1323" s="4"/>
      <c r="P1323" s="3" t="s">
        <v>4449</v>
      </c>
      <c r="Q1323" s="4"/>
      <c r="R1323" s="4"/>
      <c r="S1323" s="9" t="str">
        <f>HYPERLINK("https://pbs.twimg.com/profile_images/1044885620206776320/Ui9lqAtO.jpg","View")</f>
        <v>View</v>
      </c>
    </row>
    <row r="1324" spans="1:19" ht="12.5">
      <c r="A1324" s="8">
        <v>43370.66270833333</v>
      </c>
      <c r="B1324" s="11" t="str">
        <f>HYPERLINK("https://twitter.com/mehr__shad","@mehr__shad")</f>
        <v>@mehr__shad</v>
      </c>
      <c r="C1324" s="6" t="s">
        <v>4448</v>
      </c>
      <c r="D1324" s="5" t="s">
        <v>4447</v>
      </c>
      <c r="E1324" s="9" t="str">
        <f>HYPERLINK("https://twitter.com/mehr__shad/status/1045288018037415936","1045288018037415936")</f>
        <v>1045288018037415936</v>
      </c>
      <c r="F1324" s="4"/>
      <c r="G1324" s="10" t="s">
        <v>4446</v>
      </c>
      <c r="H1324" s="4"/>
      <c r="I1324" s="10" t="str">
        <f>HYPERLINK("http://twitter.com/download/iphone","Twitter for iPhone")</f>
        <v>Twitter for iPhone</v>
      </c>
      <c r="J1324" s="2">
        <v>8</v>
      </c>
      <c r="K1324" s="2">
        <v>58</v>
      </c>
      <c r="L1324" s="2">
        <v>0</v>
      </c>
      <c r="M1324" s="2"/>
      <c r="N1324" s="8">
        <v>43362.740312499998</v>
      </c>
      <c r="O1324" s="4" t="s">
        <v>4445</v>
      </c>
      <c r="P1324" s="3" t="s">
        <v>4444</v>
      </c>
      <c r="Q1324" s="4"/>
      <c r="R1324" s="4"/>
      <c r="S1324" s="9" t="str">
        <f>HYPERLINK("https://pbs.twimg.com/profile_images/1043096592868417536/Ves0rOhZ.jpg","View")</f>
        <v>View</v>
      </c>
    </row>
    <row r="1325" spans="1:19" ht="12.5">
      <c r="A1325" s="8">
        <v>43370.662557870368</v>
      </c>
      <c r="B1325" s="11" t="str">
        <f>HYPERLINK("https://twitter.com/aghaye_noon_mim","@aghaye_noon_mim")</f>
        <v>@aghaye_noon_mim</v>
      </c>
      <c r="C1325" s="6" t="s">
        <v>4443</v>
      </c>
      <c r="D1325" s="5" t="s">
        <v>4442</v>
      </c>
      <c r="E1325" s="9" t="str">
        <f>HYPERLINK("https://twitter.com/aghaye_noon_mim/status/1045287963465314304","1045287963465314304")</f>
        <v>1045287963465314304</v>
      </c>
      <c r="F1325" s="4"/>
      <c r="G1325" s="10" t="s">
        <v>4441</v>
      </c>
      <c r="H1325" s="4"/>
      <c r="I1325" s="10" t="str">
        <f>HYPERLINK("http://twitter.com/download/iphone","Twitter for iPhone")</f>
        <v>Twitter for iPhone</v>
      </c>
      <c r="J1325" s="2">
        <v>20</v>
      </c>
      <c r="K1325" s="2">
        <v>5</v>
      </c>
      <c r="L1325" s="2">
        <v>0</v>
      </c>
      <c r="M1325" s="2"/>
      <c r="N1325" s="8">
        <v>42867.899675925924</v>
      </c>
      <c r="O1325" s="4"/>
      <c r="P1325" s="3"/>
      <c r="Q1325" s="4"/>
      <c r="R1325" s="4"/>
      <c r="S1325" s="9" t="str">
        <f>HYPERLINK("https://pbs.twimg.com/profile_images/1023841115928231936/e5SzoFM6.jpg","View")</f>
        <v>View</v>
      </c>
    </row>
    <row r="1326" spans="1:19" ht="20">
      <c r="A1326" s="8">
        <v>43370.662233796298</v>
      </c>
      <c r="B1326" s="11" t="str">
        <f>HYPERLINK("https://twitter.com/SinaHG9","@SinaHG9")</f>
        <v>@SinaHG9</v>
      </c>
      <c r="C1326" s="6" t="s">
        <v>4440</v>
      </c>
      <c r="D1326" s="5" t="s">
        <v>4439</v>
      </c>
      <c r="E1326" s="9" t="str">
        <f>HYPERLINK("https://twitter.com/SinaHG9/status/1045287844389023744","1045287844389023744")</f>
        <v>1045287844389023744</v>
      </c>
      <c r="F1326" s="4"/>
      <c r="G1326" s="4"/>
      <c r="H1326" s="4"/>
      <c r="I1326" s="10" t="str">
        <f>HYPERLINK("http://twitter.com/download/android","Twitter for Android")</f>
        <v>Twitter for Android</v>
      </c>
      <c r="J1326" s="2">
        <v>2325</v>
      </c>
      <c r="K1326" s="2">
        <v>585</v>
      </c>
      <c r="L1326" s="2">
        <v>10</v>
      </c>
      <c r="M1326" s="2"/>
      <c r="N1326" s="8">
        <v>41351.099293981482</v>
      </c>
      <c r="O1326" s="4" t="s">
        <v>4438</v>
      </c>
      <c r="P1326" s="3" t="s">
        <v>4437</v>
      </c>
      <c r="Q1326" s="10" t="s">
        <v>4436</v>
      </c>
      <c r="R1326" s="4"/>
      <c r="S1326" s="9" t="str">
        <f>HYPERLINK("https://pbs.twimg.com/profile_images/875882801605816325/5HRWHkTU.jpg","View")</f>
        <v>View</v>
      </c>
    </row>
    <row r="1327" spans="1:19" ht="20">
      <c r="A1327" s="8">
        <v>43370.662199074075</v>
      </c>
      <c r="B1327" s="11" t="str">
        <f>HYPERLINK("https://twitter.com/Meysam_sz","@Meysam_sz")</f>
        <v>@Meysam_sz</v>
      </c>
      <c r="C1327" s="6" t="s">
        <v>4435</v>
      </c>
      <c r="D1327" s="5" t="s">
        <v>4434</v>
      </c>
      <c r="E1327" s="9" t="str">
        <f>HYPERLINK("https://twitter.com/Meysam_sz/status/1045287834310123522","1045287834310123522")</f>
        <v>1045287834310123522</v>
      </c>
      <c r="F1327" s="4"/>
      <c r="G1327" s="4"/>
      <c r="H1327" s="4"/>
      <c r="I1327" s="10" t="str">
        <f>HYPERLINK("http://twitter.com/download/android","Twitter for Android")</f>
        <v>Twitter for Android</v>
      </c>
      <c r="J1327" s="2">
        <v>3635</v>
      </c>
      <c r="K1327" s="2">
        <v>3942</v>
      </c>
      <c r="L1327" s="2">
        <v>3</v>
      </c>
      <c r="M1327" s="2"/>
      <c r="N1327" s="8">
        <v>41329.741435185184</v>
      </c>
      <c r="O1327" s="4" t="s">
        <v>72</v>
      </c>
      <c r="P1327" s="3" t="s">
        <v>4433</v>
      </c>
      <c r="Q1327" s="4"/>
      <c r="R1327" s="4"/>
      <c r="S1327" s="9" t="str">
        <f>HYPERLINK("https://pbs.twimg.com/profile_images/1039530908200710144/RcyXepMR.jpg","View")</f>
        <v>View</v>
      </c>
    </row>
    <row r="1328" spans="1:19" ht="20">
      <c r="A1328" s="8">
        <v>43370.661597222221</v>
      </c>
      <c r="B1328" s="11" t="str">
        <f>HYPERLINK("https://twitter.com/yaghob_saffari","@yaghob_saffari")</f>
        <v>@yaghob_saffari</v>
      </c>
      <c r="C1328" s="6" t="s">
        <v>2043</v>
      </c>
      <c r="D1328" s="5" t="s">
        <v>4432</v>
      </c>
      <c r="E1328" s="9" t="str">
        <f>HYPERLINK("https://twitter.com/yaghob_saffari/status/1045287613912043521","1045287613912043521")</f>
        <v>1045287613912043521</v>
      </c>
      <c r="F1328" s="4"/>
      <c r="G1328" s="10" t="s">
        <v>4431</v>
      </c>
      <c r="H1328" s="4"/>
      <c r="I1328" s="10" t="str">
        <f>HYPERLINK("http://twitter.com/#!/download/ipad","Twitter for iPad")</f>
        <v>Twitter for iPad</v>
      </c>
      <c r="J1328" s="2">
        <v>1543</v>
      </c>
      <c r="K1328" s="2">
        <v>871</v>
      </c>
      <c r="L1328" s="2">
        <v>5</v>
      </c>
      <c r="M1328" s="2"/>
      <c r="N1328" s="8">
        <v>43140.915925925925</v>
      </c>
      <c r="O1328" s="4"/>
      <c r="P1328" s="3" t="s">
        <v>2041</v>
      </c>
      <c r="Q1328" s="4"/>
      <c r="R1328" s="4"/>
      <c r="S1328" s="9" t="str">
        <f>HYPERLINK("https://pbs.twimg.com/profile_images/989926881909661696/nMhQqsnN.jpg","View")</f>
        <v>View</v>
      </c>
    </row>
    <row r="1329" spans="1:19" ht="20">
      <c r="A1329" s="8">
        <v>43370.660717592589</v>
      </c>
      <c r="B1329" s="11" t="str">
        <f>HYPERLINK("https://twitter.com/milad_99","@milad_99")</f>
        <v>@milad_99</v>
      </c>
      <c r="C1329" s="6" t="s">
        <v>4430</v>
      </c>
      <c r="D1329" s="5" t="s">
        <v>4429</v>
      </c>
      <c r="E1329" s="9" t="str">
        <f>HYPERLINK("https://twitter.com/milad_99/status/1045287296688418816","1045287296688418816")</f>
        <v>1045287296688418816</v>
      </c>
      <c r="F1329" s="4"/>
      <c r="G1329" s="4"/>
      <c r="H1329" s="4"/>
      <c r="I1329" s="10" t="str">
        <f>HYPERLINK("http://twitter.com/download/android","Twitter for Android")</f>
        <v>Twitter for Android</v>
      </c>
      <c r="J1329" s="2">
        <v>232</v>
      </c>
      <c r="K1329" s="2">
        <v>152</v>
      </c>
      <c r="L1329" s="2">
        <v>2</v>
      </c>
      <c r="M1329" s="2"/>
      <c r="N1329" s="8">
        <v>42711.827604166669</v>
      </c>
      <c r="O1329" s="4" t="s">
        <v>4428</v>
      </c>
      <c r="P1329" s="3" t="s">
        <v>4427</v>
      </c>
      <c r="Q1329" s="4"/>
      <c r="R1329" s="4"/>
      <c r="S1329" s="9" t="str">
        <f>HYPERLINK("https://pbs.twimg.com/profile_images/1040254721615974406/6ScSzf12.jpg","View")</f>
        <v>View</v>
      </c>
    </row>
    <row r="1330" spans="1:19" ht="20">
      <c r="A1330" s="8">
        <v>43370.66070601852</v>
      </c>
      <c r="B1330" s="11" t="str">
        <f>HYPERLINK("https://twitter.com/Elsaaad2","@Elsaaad2")</f>
        <v>@Elsaaad2</v>
      </c>
      <c r="C1330" s="6" t="s">
        <v>4426</v>
      </c>
      <c r="D1330" s="5" t="s">
        <v>4425</v>
      </c>
      <c r="E1330" s="9" t="str">
        <f>HYPERLINK("https://twitter.com/Elsaaad2/status/1045287290770280450","1045287290770280450")</f>
        <v>1045287290770280450</v>
      </c>
      <c r="F1330" s="4"/>
      <c r="G1330" s="4"/>
      <c r="H1330" s="4"/>
      <c r="I1330" s="10" t="str">
        <f>HYPERLINK("http://twitter.com/download/android","Twitter for Android")</f>
        <v>Twitter for Android</v>
      </c>
      <c r="J1330" s="2">
        <v>72</v>
      </c>
      <c r="K1330" s="2">
        <v>106</v>
      </c>
      <c r="L1330" s="2">
        <v>0</v>
      </c>
      <c r="M1330" s="2"/>
      <c r="N1330" s="8">
        <v>43353.843692129631</v>
      </c>
      <c r="O1330" s="4" t="s">
        <v>523</v>
      </c>
      <c r="P1330" s="3" t="s">
        <v>4424</v>
      </c>
      <c r="Q1330" s="4"/>
      <c r="R1330" s="4"/>
      <c r="S1330" s="9" t="str">
        <f>HYPERLINK("https://pbs.twimg.com/profile_images/1043851773939732480/dyn9ad4Z.jpg","View")</f>
        <v>View</v>
      </c>
    </row>
    <row r="1331" spans="1:19" ht="20">
      <c r="A1331" s="8">
        <v>43370.660613425927</v>
      </c>
      <c r="B1331" s="11" t="str">
        <f>HYPERLINK("https://twitter.com/samirnaserey","@samirnaserey")</f>
        <v>@samirnaserey</v>
      </c>
      <c r="C1331" s="6" t="s">
        <v>4423</v>
      </c>
      <c r="D1331" s="5" t="s">
        <v>4422</v>
      </c>
      <c r="E1331" s="9" t="str">
        <f>HYPERLINK("https://twitter.com/samirnaserey/status/1045287256578088966","1045287256578088966")</f>
        <v>1045287256578088966</v>
      </c>
      <c r="F1331" s="4"/>
      <c r="G1331" s="4"/>
      <c r="H1331" s="4"/>
      <c r="I1331" s="10" t="str">
        <f>HYPERLINK("http://twitter.com/download/android","Twitter for Android")</f>
        <v>Twitter for Android</v>
      </c>
      <c r="J1331" s="2">
        <v>0</v>
      </c>
      <c r="K1331" s="2">
        <v>3</v>
      </c>
      <c r="L1331" s="2">
        <v>0</v>
      </c>
      <c r="M1331" s="2"/>
      <c r="N1331" s="8">
        <v>43370.595694444448</v>
      </c>
      <c r="O1331" s="4"/>
      <c r="P1331" s="3"/>
      <c r="Q1331" s="4"/>
      <c r="R1331" s="4"/>
      <c r="S1331" s="9" t="str">
        <f>HYPERLINK("https://pbs.twimg.com/profile_images/1045264707597336576/o_rFHXmX.jpg","View")</f>
        <v>View</v>
      </c>
    </row>
    <row r="1332" spans="1:19" ht="30">
      <c r="A1332" s="8">
        <v>43370.660578703704</v>
      </c>
      <c r="B1332" s="11" t="str">
        <f>HYPERLINK("https://twitter.com/mohamad6990","@mohamad6990")</f>
        <v>@mohamad6990</v>
      </c>
      <c r="C1332" s="6" t="s">
        <v>4421</v>
      </c>
      <c r="D1332" s="5" t="s">
        <v>4420</v>
      </c>
      <c r="E1332" s="9" t="str">
        <f>HYPERLINK("https://twitter.com/mohamad6990/status/1045287246100910080","1045287246100910080")</f>
        <v>1045287246100910080</v>
      </c>
      <c r="F1332" s="4"/>
      <c r="G1332" s="4"/>
      <c r="H1332" s="4"/>
      <c r="I1332" s="10" t="str">
        <f>HYPERLINK("http://twitter.com/download/iphone","Twitter for iPhone")</f>
        <v>Twitter for iPhone</v>
      </c>
      <c r="J1332" s="2">
        <v>171</v>
      </c>
      <c r="K1332" s="2">
        <v>190</v>
      </c>
      <c r="L1332" s="2">
        <v>0</v>
      </c>
      <c r="M1332" s="2"/>
      <c r="N1332" s="8">
        <v>42951.11010416667</v>
      </c>
      <c r="O1332" s="4"/>
      <c r="P1332" s="3" t="s">
        <v>4419</v>
      </c>
      <c r="Q1332" s="4"/>
      <c r="R1332" s="4"/>
      <c r="S1332" s="9" t="str">
        <f>HYPERLINK("https://pbs.twimg.com/profile_images/1043822874354700288/YcuwsyWc.jpg","View")</f>
        <v>View</v>
      </c>
    </row>
    <row r="1333" spans="1:19" ht="40">
      <c r="A1333" s="8">
        <v>43370.660150462965</v>
      </c>
      <c r="B1333" s="11" t="str">
        <f>HYPERLINK("https://twitter.com/majid16108895","@majid16108895")</f>
        <v>@majid16108895</v>
      </c>
      <c r="C1333" s="6" t="s">
        <v>4418</v>
      </c>
      <c r="D1333" s="5" t="s">
        <v>4417</v>
      </c>
      <c r="E1333" s="9" t="str">
        <f>HYPERLINK("https://twitter.com/majid16108895/status/1045287091515600897","1045287091515600897")</f>
        <v>1045287091515600897</v>
      </c>
      <c r="F1333" s="4"/>
      <c r="G1333" s="10" t="s">
        <v>4416</v>
      </c>
      <c r="H1333" s="4"/>
      <c r="I1333" s="10" t="str">
        <f>HYPERLINK("http://twitter.com/download/android","Twitter for Android")</f>
        <v>Twitter for Android</v>
      </c>
      <c r="J1333" s="2">
        <v>954</v>
      </c>
      <c r="K1333" s="2">
        <v>343</v>
      </c>
      <c r="L1333" s="2">
        <v>0</v>
      </c>
      <c r="M1333" s="2"/>
      <c r="N1333" s="8">
        <v>43185.973298611112</v>
      </c>
      <c r="O1333" s="4"/>
      <c r="P1333" s="3" t="s">
        <v>4415</v>
      </c>
      <c r="Q1333" s="4"/>
      <c r="R1333" s="4"/>
      <c r="S1333" s="9" t="str">
        <f>HYPERLINK("https://pbs.twimg.com/profile_images/978346573645180929/Dc0PPDom.jpg","View")</f>
        <v>View</v>
      </c>
    </row>
    <row r="1334" spans="1:19" ht="40">
      <c r="A1334" s="8">
        <v>43370.660127314812</v>
      </c>
      <c r="B1334" s="11" t="str">
        <f>HYPERLINK("https://twitter.com/DrHadiyazdani","@DrHadiyazdani")</f>
        <v>@DrHadiyazdani</v>
      </c>
      <c r="C1334" s="6" t="s">
        <v>4414</v>
      </c>
      <c r="D1334" s="5" t="s">
        <v>4413</v>
      </c>
      <c r="E1334" s="9" t="str">
        <f>HYPERLINK("https://twitter.com/DrHadiyazdani/status/1045287083613581313","1045287083613581313")</f>
        <v>1045287083613581313</v>
      </c>
      <c r="F1334" s="4"/>
      <c r="G1334" s="4"/>
      <c r="H1334" s="4"/>
      <c r="I1334" s="10" t="str">
        <f>HYPERLINK("http://twitter.com/download/android","Twitter for Android")</f>
        <v>Twitter for Android</v>
      </c>
      <c r="J1334" s="2">
        <v>244</v>
      </c>
      <c r="K1334" s="2">
        <v>289</v>
      </c>
      <c r="L1334" s="2">
        <v>3</v>
      </c>
      <c r="M1334" s="2"/>
      <c r="N1334" s="8">
        <v>43184.688634259262</v>
      </c>
      <c r="O1334" s="4" t="s">
        <v>200</v>
      </c>
      <c r="P1334" s="3" t="s">
        <v>4412</v>
      </c>
      <c r="Q1334" s="10" t="s">
        <v>4411</v>
      </c>
      <c r="R1334" s="4"/>
      <c r="S1334" s="9" t="str">
        <f>HYPERLINK("https://pbs.twimg.com/profile_images/1038924168954294273/EQBABZ59.jpg","View")</f>
        <v>View</v>
      </c>
    </row>
    <row r="1335" spans="1:19" ht="30">
      <c r="A1335" s="8">
        <v>43370.66002314815</v>
      </c>
      <c r="B1335" s="11" t="str">
        <f>HYPERLINK("https://twitter.com/mr_LutherKing","@mr_LutherKing")</f>
        <v>@mr_LutherKing</v>
      </c>
      <c r="C1335" s="6" t="s">
        <v>4410</v>
      </c>
      <c r="D1335" s="5" t="s">
        <v>4409</v>
      </c>
      <c r="E1335" s="9" t="str">
        <f>HYPERLINK("https://twitter.com/mr_LutherKing/status/1045287042857545728","1045287042857545728")</f>
        <v>1045287042857545728</v>
      </c>
      <c r="F1335" s="4"/>
      <c r="G1335" s="4"/>
      <c r="H1335" s="4"/>
      <c r="I1335" s="10" t="str">
        <f>HYPERLINK("http://twitter.com/download/iphone","Twitter for iPhone")</f>
        <v>Twitter for iPhone</v>
      </c>
      <c r="J1335" s="2">
        <v>242</v>
      </c>
      <c r="K1335" s="2">
        <v>288</v>
      </c>
      <c r="L1335" s="2">
        <v>0</v>
      </c>
      <c r="M1335" s="2"/>
      <c r="N1335" s="8">
        <v>41191.844363425924</v>
      </c>
      <c r="O1335" s="4" t="s">
        <v>62</v>
      </c>
      <c r="P1335" s="3" t="s">
        <v>4408</v>
      </c>
      <c r="Q1335" s="10" t="s">
        <v>4407</v>
      </c>
      <c r="R1335" s="4"/>
      <c r="S1335" s="9" t="str">
        <f>HYPERLINK("https://pbs.twimg.com/profile_images/1027338864766136320/n3jjADXS.jpg","View")</f>
        <v>View</v>
      </c>
    </row>
    <row r="1336" spans="1:19" ht="20">
      <c r="A1336" s="8">
        <v>43370.66</v>
      </c>
      <c r="B1336" s="11" t="str">
        <f>HYPERLINK("https://twitter.com/sarch24","@sarch24")</f>
        <v>@sarch24</v>
      </c>
      <c r="C1336" s="6" t="s">
        <v>4406</v>
      </c>
      <c r="D1336" s="5" t="s">
        <v>4405</v>
      </c>
      <c r="E1336" s="9" t="str">
        <f>HYPERLINK("https://twitter.com/sarch24/status/1045287034468945920","1045287034468945920")</f>
        <v>1045287034468945920</v>
      </c>
      <c r="F1336" s="4"/>
      <c r="G1336" s="4"/>
      <c r="H1336" s="4"/>
      <c r="I1336" s="10" t="str">
        <f>HYPERLINK("http://twitter.com/download/android","Twitter for Android")</f>
        <v>Twitter for Android</v>
      </c>
      <c r="J1336" s="2">
        <v>388</v>
      </c>
      <c r="K1336" s="2">
        <v>525</v>
      </c>
      <c r="L1336" s="2">
        <v>0</v>
      </c>
      <c r="M1336" s="2"/>
      <c r="N1336" s="8">
        <v>42907.126701388886</v>
      </c>
      <c r="O1336" s="4" t="s">
        <v>4404</v>
      </c>
      <c r="P1336" s="3" t="s">
        <v>4403</v>
      </c>
      <c r="Q1336" s="4"/>
      <c r="R1336" s="4"/>
      <c r="S1336" s="9" t="str">
        <f>HYPERLINK("https://pbs.twimg.com/profile_images/994305637193535488/EUxGDSsQ.jpg","View")</f>
        <v>View</v>
      </c>
    </row>
    <row r="1337" spans="1:19" ht="20">
      <c r="A1337" s="8">
        <v>43370.659791666665</v>
      </c>
      <c r="B1337" s="11" t="str">
        <f>HYPERLINK("https://twitter.com/amir_eti","@amir_eti")</f>
        <v>@amir_eti</v>
      </c>
      <c r="C1337" s="6" t="s">
        <v>4402</v>
      </c>
      <c r="D1337" s="5" t="s">
        <v>4401</v>
      </c>
      <c r="E1337" s="9" t="str">
        <f>HYPERLINK("https://twitter.com/amir_eti/status/1045286962196811777","1045286962196811777")</f>
        <v>1045286962196811777</v>
      </c>
      <c r="F1337" s="4"/>
      <c r="G1337" s="10" t="s">
        <v>4400</v>
      </c>
      <c r="H1337" s="4"/>
      <c r="I1337" s="10" t="str">
        <f>HYPERLINK("http://twitter.com/download/android","Twitter for Android")</f>
        <v>Twitter for Android</v>
      </c>
      <c r="J1337" s="2">
        <v>259</v>
      </c>
      <c r="K1337" s="2">
        <v>267</v>
      </c>
      <c r="L1337" s="2">
        <v>1</v>
      </c>
      <c r="M1337" s="2"/>
      <c r="N1337" s="8">
        <v>41703.608506944445</v>
      </c>
      <c r="O1337" s="4" t="s">
        <v>4399</v>
      </c>
      <c r="P1337" s="3" t="s">
        <v>4398</v>
      </c>
      <c r="Q1337" s="10" t="s">
        <v>4397</v>
      </c>
      <c r="R1337" s="4"/>
      <c r="S1337" s="9" t="str">
        <f>HYPERLINK("https://pbs.twimg.com/profile_images/1034535187055562753/9CMYbLfz.jpg","View")</f>
        <v>View</v>
      </c>
    </row>
    <row r="1338" spans="1:19" ht="40">
      <c r="A1338" s="8">
        <v>43370.637928240743</v>
      </c>
      <c r="B1338" s="11" t="str">
        <f>HYPERLINK("https://twitter.com/NarimanGharib","@NarimanGharib")</f>
        <v>@NarimanGharib</v>
      </c>
      <c r="C1338" s="6" t="s">
        <v>4396</v>
      </c>
      <c r="D1338" s="5" t="s">
        <v>4395</v>
      </c>
      <c r="E1338" s="9" t="str">
        <f>HYPERLINK("https://twitter.com/NarimanGharib/status/1045279038774956032","1045279038774956032")</f>
        <v>1045279038774956032</v>
      </c>
      <c r="F1338" s="4"/>
      <c r="G1338" s="4"/>
      <c r="H1338" s="4"/>
      <c r="I1338" s="10" t="str">
        <f>HYPERLINK("http://twitter.com","Twitter Web Client")</f>
        <v>Twitter Web Client</v>
      </c>
      <c r="J1338" s="2">
        <v>37965</v>
      </c>
      <c r="K1338" s="2">
        <v>3140</v>
      </c>
      <c r="L1338" s="2">
        <v>262</v>
      </c>
      <c r="M1338" s="2" t="s">
        <v>1701</v>
      </c>
      <c r="N1338" s="8">
        <v>39940.465868055559</v>
      </c>
      <c r="O1338" s="4" t="s">
        <v>4394</v>
      </c>
      <c r="P1338" s="3" t="s">
        <v>4393</v>
      </c>
      <c r="Q1338" s="10" t="s">
        <v>4392</v>
      </c>
      <c r="R1338" s="4"/>
      <c r="S1338" s="9" t="str">
        <f>HYPERLINK("https://pbs.twimg.com/profile_images/961356245620985859/g0pIYLPz.jpg","View")</f>
        <v>View</v>
      </c>
    </row>
    <row r="1339" spans="1:19" ht="20">
      <c r="A1339" s="8">
        <v>43370.63790509259</v>
      </c>
      <c r="B1339" s="11" t="str">
        <f>HYPERLINK("https://twitter.com/RehanhTaha","@RehanhTaha")</f>
        <v>@RehanhTaha</v>
      </c>
      <c r="C1339" s="6" t="s">
        <v>4391</v>
      </c>
      <c r="D1339" s="5" t="s">
        <v>4390</v>
      </c>
      <c r="E1339" s="9" t="str">
        <f>HYPERLINK("https://twitter.com/RehanhTaha/status/1045279027664232449","1045279027664232449")</f>
        <v>1045279027664232449</v>
      </c>
      <c r="F1339" s="10" t="s">
        <v>4389</v>
      </c>
      <c r="G1339" s="10" t="s">
        <v>4388</v>
      </c>
      <c r="H1339" s="4"/>
      <c r="I1339" s="10" t="str">
        <f>HYPERLINK("http://twitter.com/download/android","Twitter for Android")</f>
        <v>Twitter for Android</v>
      </c>
      <c r="J1339" s="2">
        <v>295</v>
      </c>
      <c r="K1339" s="2">
        <v>598</v>
      </c>
      <c r="L1339" s="2">
        <v>1</v>
      </c>
      <c r="M1339" s="2"/>
      <c r="N1339" s="8">
        <v>43331.656678240739</v>
      </c>
      <c r="O1339" s="4" t="s">
        <v>4387</v>
      </c>
      <c r="P1339" s="3" t="s">
        <v>4386</v>
      </c>
      <c r="Q1339" s="4"/>
      <c r="R1339" s="4"/>
      <c r="S1339" s="9" t="str">
        <f>HYPERLINK("https://pbs.twimg.com/profile_images/1033317315989958656/DYFTng3R.jpg","View")</f>
        <v>View</v>
      </c>
    </row>
    <row r="1340" spans="1:19" ht="12.5">
      <c r="A1340" s="8">
        <v>43370.637870370367</v>
      </c>
      <c r="B1340" s="11" t="str">
        <f>HYPERLINK("https://twitter.com/Ehsan_k93_","@Ehsan_k93_")</f>
        <v>@Ehsan_k93_</v>
      </c>
      <c r="C1340" s="6" t="s">
        <v>1621</v>
      </c>
      <c r="D1340" s="5" t="s">
        <v>4385</v>
      </c>
      <c r="E1340" s="9" t="str">
        <f>HYPERLINK("https://twitter.com/Ehsan_k93_/status/1045279014561214464","1045279014561214464")</f>
        <v>1045279014561214464</v>
      </c>
      <c r="F1340" s="4"/>
      <c r="G1340" s="4"/>
      <c r="H1340" s="4"/>
      <c r="I1340" s="10" t="str">
        <f>HYPERLINK("http://twitter.com/download/iphone","Twitter for iPhone")</f>
        <v>Twitter for iPhone</v>
      </c>
      <c r="J1340" s="2">
        <v>1087</v>
      </c>
      <c r="K1340" s="2">
        <v>1060</v>
      </c>
      <c r="L1340" s="2">
        <v>1</v>
      </c>
      <c r="M1340" s="2"/>
      <c r="N1340" s="8">
        <v>41594.939363425925</v>
      </c>
      <c r="O1340" s="4"/>
      <c r="P1340" s="3" t="s">
        <v>1618</v>
      </c>
      <c r="Q1340" s="4"/>
      <c r="R1340" s="4"/>
      <c r="S1340" s="9" t="str">
        <f>HYPERLINK("https://pbs.twimg.com/profile_images/1043237114400395265/DR2rmh3I.jpg","View")</f>
        <v>View</v>
      </c>
    </row>
    <row r="1341" spans="1:19" ht="20">
      <c r="A1341" s="8">
        <v>43370.637708333335</v>
      </c>
      <c r="B1341" s="11" t="str">
        <f>HYPERLINK("https://twitter.com/majideh5","@majideh5")</f>
        <v>@majideh5</v>
      </c>
      <c r="C1341" s="6" t="s">
        <v>4384</v>
      </c>
      <c r="D1341" s="5" t="s">
        <v>4383</v>
      </c>
      <c r="E1341" s="9" t="str">
        <f>HYPERLINK("https://twitter.com/majideh5/status/1045278957959098368","1045278957959098368")</f>
        <v>1045278957959098368</v>
      </c>
      <c r="F1341" s="4"/>
      <c r="G1341" s="4"/>
      <c r="H1341" s="4"/>
      <c r="I1341" s="10" t="str">
        <f>HYPERLINK("http://twitter.com/download/iphone","Twitter for iPhone")</f>
        <v>Twitter for iPhone</v>
      </c>
      <c r="J1341" s="2">
        <v>5079</v>
      </c>
      <c r="K1341" s="2">
        <v>4301</v>
      </c>
      <c r="L1341" s="2">
        <v>6</v>
      </c>
      <c r="M1341" s="2"/>
      <c r="N1341" s="8">
        <v>43112.484143518523</v>
      </c>
      <c r="O1341" s="4" t="s">
        <v>4382</v>
      </c>
      <c r="P1341" s="3" t="s">
        <v>4381</v>
      </c>
      <c r="Q1341" s="4"/>
      <c r="R1341" s="4"/>
      <c r="S1341" s="9" t="str">
        <f>HYPERLINK("https://pbs.twimg.com/profile_images/1039816142192353281/On2pCMw3.jpg","View")</f>
        <v>View</v>
      </c>
    </row>
    <row r="1342" spans="1:19" ht="12.5">
      <c r="A1342" s="8">
        <v>43370.637638888889</v>
      </c>
      <c r="B1342" s="11" t="str">
        <f>HYPERLINK("https://twitter.com/maralkiyani","@maralkiyani")</f>
        <v>@maralkiyani</v>
      </c>
      <c r="C1342" s="6" t="s">
        <v>4380</v>
      </c>
      <c r="D1342" s="5" t="s">
        <v>4379</v>
      </c>
      <c r="E1342" s="9" t="str">
        <f>HYPERLINK("https://twitter.com/maralkiyani/status/1045278933950902273","1045278933950902273")</f>
        <v>1045278933950902273</v>
      </c>
      <c r="F1342" s="4"/>
      <c r="G1342" s="4"/>
      <c r="H1342" s="4"/>
      <c r="I1342" s="10" t="str">
        <f>HYPERLINK("http://twitter.com/download/iphone","Twitter for iPhone")</f>
        <v>Twitter for iPhone</v>
      </c>
      <c r="J1342" s="2">
        <v>453</v>
      </c>
      <c r="K1342" s="2">
        <v>461</v>
      </c>
      <c r="L1342" s="2">
        <v>0</v>
      </c>
      <c r="M1342" s="2"/>
      <c r="N1342" s="8">
        <v>42839.012592592597</v>
      </c>
      <c r="O1342" s="4"/>
      <c r="P1342" s="3"/>
      <c r="Q1342" s="4"/>
      <c r="R1342" s="4"/>
      <c r="S1342" s="9" t="str">
        <f>HYPERLINK("https://pbs.twimg.com/profile_images/991280528627249157/DxkonTZs.jpg","View")</f>
        <v>View</v>
      </c>
    </row>
    <row r="1343" spans="1:19" ht="20">
      <c r="A1343" s="8">
        <v>43370.637361111112</v>
      </c>
      <c r="B1343" s="11" t="str">
        <f>HYPERLINK("https://twitter.com/Mokhtar40709428","@Mokhtar40709428")</f>
        <v>@Mokhtar40709428</v>
      </c>
      <c r="C1343" s="6" t="s">
        <v>4378</v>
      </c>
      <c r="D1343" s="5" t="s">
        <v>4377</v>
      </c>
      <c r="E1343" s="9" t="str">
        <f>HYPERLINK("https://twitter.com/Mokhtar40709428/status/1045278832146755585","1045278832146755585")</f>
        <v>1045278832146755585</v>
      </c>
      <c r="F1343" s="4"/>
      <c r="G1343" s="4"/>
      <c r="H1343" s="4"/>
      <c r="I1343" s="10" t="str">
        <f>HYPERLINK("https://mobile.twitter.com","Twitter Lite")</f>
        <v>Twitter Lite</v>
      </c>
      <c r="J1343" s="2">
        <v>0</v>
      </c>
      <c r="K1343" s="2">
        <v>0</v>
      </c>
      <c r="L1343" s="2">
        <v>0</v>
      </c>
      <c r="M1343" s="2"/>
      <c r="N1343" s="8">
        <v>43352.321863425925</v>
      </c>
      <c r="O1343" s="4"/>
      <c r="P1343" s="3"/>
      <c r="Q1343" s="4"/>
      <c r="R1343" s="4"/>
      <c r="S1343" s="2" t="s">
        <v>259</v>
      </c>
    </row>
    <row r="1344" spans="1:19" ht="20">
      <c r="A1344" s="8">
        <v>43370.637233796297</v>
      </c>
      <c r="B1344" s="11" t="str">
        <f>HYPERLINK("https://twitter.com/ali_moradi_71","@ali_moradi_71")</f>
        <v>@ali_moradi_71</v>
      </c>
      <c r="C1344" s="6" t="s">
        <v>4376</v>
      </c>
      <c r="D1344" s="5" t="s">
        <v>4375</v>
      </c>
      <c r="E1344" s="9" t="str">
        <f>HYPERLINK("https://twitter.com/ali_moradi_71/status/1045278785816416257","1045278785816416257")</f>
        <v>1045278785816416257</v>
      </c>
      <c r="F1344" s="4"/>
      <c r="G1344" s="4"/>
      <c r="H1344" s="4"/>
      <c r="I1344" s="10" t="str">
        <f>HYPERLINK("http://twitter.com/download/android","Twitter for Android")</f>
        <v>Twitter for Android</v>
      </c>
      <c r="J1344" s="2">
        <v>67</v>
      </c>
      <c r="K1344" s="2">
        <v>86</v>
      </c>
      <c r="L1344" s="2">
        <v>0</v>
      </c>
      <c r="M1344" s="2"/>
      <c r="N1344" s="8">
        <v>43073.632511574076</v>
      </c>
      <c r="O1344" s="4" t="s">
        <v>62</v>
      </c>
      <c r="P1344" s="3" t="s">
        <v>4374</v>
      </c>
      <c r="Q1344" s="4"/>
      <c r="R1344" s="4"/>
      <c r="S1344" s="9" t="str">
        <f>HYPERLINK("https://pbs.twimg.com/profile_images/1043505998244315137/iDWYUJVK.jpg","View")</f>
        <v>View</v>
      </c>
    </row>
    <row r="1345" spans="1:19" ht="12.5">
      <c r="A1345" s="8">
        <v>43370.637199074074</v>
      </c>
      <c r="B1345" s="11" t="str">
        <f>HYPERLINK("https://twitter.com/reza_khanaki","@reza_khanaki")</f>
        <v>@reza_khanaki</v>
      </c>
      <c r="C1345" s="6" t="s">
        <v>4373</v>
      </c>
      <c r="D1345" s="5" t="s">
        <v>4372</v>
      </c>
      <c r="E1345" s="9" t="str">
        <f>HYPERLINK("https://twitter.com/reza_khanaki/status/1045278773715894274","1045278773715894274")</f>
        <v>1045278773715894274</v>
      </c>
      <c r="F1345" s="4"/>
      <c r="G1345" s="4"/>
      <c r="H1345" s="4"/>
      <c r="I1345" s="10" t="str">
        <f>HYPERLINK("http://twitter.com/download/iphone","Twitter for iPhone")</f>
        <v>Twitter for iPhone</v>
      </c>
      <c r="J1345" s="2">
        <v>1069</v>
      </c>
      <c r="K1345" s="2">
        <v>164</v>
      </c>
      <c r="L1345" s="2">
        <v>14</v>
      </c>
      <c r="M1345" s="2"/>
      <c r="N1345" s="8">
        <v>42019.020925925928</v>
      </c>
      <c r="O1345" s="4" t="s">
        <v>10</v>
      </c>
      <c r="P1345" s="3" t="s">
        <v>4371</v>
      </c>
      <c r="Q1345" s="4"/>
      <c r="R1345" s="4"/>
      <c r="S1345" s="9" t="str">
        <f>HYPERLINK("https://pbs.twimg.com/profile_images/951873911003734016/Y2kskDJj.jpg","View")</f>
        <v>View</v>
      </c>
    </row>
    <row r="1346" spans="1:19" ht="20">
      <c r="A1346" s="8">
        <v>43370.636423611111</v>
      </c>
      <c r="B1346" s="11" t="str">
        <f>HYPERLINK("https://twitter.com/Saiid_Ri","@Saiid_Ri")</f>
        <v>@Saiid_Ri</v>
      </c>
      <c r="C1346" s="6" t="s">
        <v>4370</v>
      </c>
      <c r="D1346" s="5" t="s">
        <v>4369</v>
      </c>
      <c r="E1346" s="9" t="str">
        <f>HYPERLINK("https://twitter.com/Saiid_Ri/status/1045278490000596992","1045278490000596992")</f>
        <v>1045278490000596992</v>
      </c>
      <c r="F1346" s="4"/>
      <c r="G1346" s="4"/>
      <c r="H1346" s="4"/>
      <c r="I1346" s="10" t="str">
        <f>HYPERLINK("http://twitter.com/download/android","Twitter for Android")</f>
        <v>Twitter for Android</v>
      </c>
      <c r="J1346" s="2">
        <v>2419</v>
      </c>
      <c r="K1346" s="2">
        <v>1602</v>
      </c>
      <c r="L1346" s="2">
        <v>5</v>
      </c>
      <c r="M1346" s="2"/>
      <c r="N1346" s="8">
        <v>42670.120439814811</v>
      </c>
      <c r="O1346" s="4"/>
      <c r="P1346" s="3" t="s">
        <v>4368</v>
      </c>
      <c r="Q1346" s="4"/>
      <c r="R1346" s="4"/>
      <c r="S1346" s="9" t="str">
        <f>HYPERLINK("https://pbs.twimg.com/profile_images/1044155281356320768/Dr7AXAkl.jpg","View")</f>
        <v>View</v>
      </c>
    </row>
    <row r="1347" spans="1:19" ht="40">
      <c r="A1347" s="8">
        <v>43370.636018518519</v>
      </c>
      <c r="B1347" s="11" t="str">
        <f>HYPERLINK("https://twitter.com/hra_news","@hra_news")</f>
        <v>@hra_news</v>
      </c>
      <c r="C1347" s="6" t="s">
        <v>4367</v>
      </c>
      <c r="D1347" s="5" t="s">
        <v>4366</v>
      </c>
      <c r="E1347" s="9" t="str">
        <f>HYPERLINK("https://twitter.com/hra_news/status/1045278344282099713","1045278344282099713")</f>
        <v>1045278344282099713</v>
      </c>
      <c r="F1347" s="4"/>
      <c r="G1347" s="10" t="s">
        <v>4365</v>
      </c>
      <c r="H1347" s="4"/>
      <c r="I1347" s="10" t="str">
        <f>HYPERLINK("http://twitter.com","Twitter Web Client")</f>
        <v>Twitter Web Client</v>
      </c>
      <c r="J1347" s="2">
        <v>5950</v>
      </c>
      <c r="K1347" s="2">
        <v>25</v>
      </c>
      <c r="L1347" s="2">
        <v>135</v>
      </c>
      <c r="M1347" s="2" t="s">
        <v>1701</v>
      </c>
      <c r="N1347" s="8">
        <v>40166.766736111109</v>
      </c>
      <c r="O1347" s="4" t="s">
        <v>55</v>
      </c>
      <c r="P1347" s="3" t="s">
        <v>4364</v>
      </c>
      <c r="Q1347" s="10" t="s">
        <v>4363</v>
      </c>
      <c r="R1347" s="4"/>
      <c r="S1347" s="9" t="str">
        <f>HYPERLINK("https://pbs.twimg.com/profile_images/1020299248456253441/3S_8IvTU.jpg","View")</f>
        <v>View</v>
      </c>
    </row>
    <row r="1348" spans="1:19" ht="30">
      <c r="A1348" s="8">
        <v>43370.635312500002</v>
      </c>
      <c r="B1348" s="11" t="str">
        <f>HYPERLINK("https://twitter.com/iranamendment","@iranamendment")</f>
        <v>@iranamendment</v>
      </c>
      <c r="C1348" s="6" t="s">
        <v>4362</v>
      </c>
      <c r="D1348" s="5" t="s">
        <v>4361</v>
      </c>
      <c r="E1348" s="9" t="str">
        <f>HYPERLINK("https://twitter.com/iranamendment/status/1045278088895098880","1045278088895098880")</f>
        <v>1045278088895098880</v>
      </c>
      <c r="F1348" s="4"/>
      <c r="G1348" s="4"/>
      <c r="H1348" s="4"/>
      <c r="I1348" s="10" t="str">
        <f>HYPERLINK("http://twitter.com/download/android","Twitter for Android")</f>
        <v>Twitter for Android</v>
      </c>
      <c r="J1348" s="2">
        <v>1</v>
      </c>
      <c r="K1348" s="2">
        <v>0</v>
      </c>
      <c r="L1348" s="2">
        <v>0</v>
      </c>
      <c r="M1348" s="2"/>
      <c r="N1348" s="8">
        <v>43141.614745370374</v>
      </c>
      <c r="O1348" s="4"/>
      <c r="P1348" s="3" t="s">
        <v>4360</v>
      </c>
      <c r="Q1348" s="4"/>
      <c r="R1348" s="4"/>
      <c r="S1348" s="9" t="str">
        <f>HYPERLINK("https://pbs.twimg.com/profile_images/1039098994587316224/P-R7WXnk.jpg","View")</f>
        <v>View</v>
      </c>
    </row>
    <row r="1349" spans="1:19" ht="12.5">
      <c r="A1349" s="8">
        <v>43370.635266203702</v>
      </c>
      <c r="B1349" s="11" t="str">
        <f>HYPERLINK("https://twitter.com/disfoon","@disfoon")</f>
        <v>@disfoon</v>
      </c>
      <c r="C1349" s="6" t="s">
        <v>4359</v>
      </c>
      <c r="D1349" s="5" t="s">
        <v>4358</v>
      </c>
      <c r="E1349" s="9" t="str">
        <f>HYPERLINK("https://twitter.com/disfoon/status/1045278071585198080","1045278071585198080")</f>
        <v>1045278071585198080</v>
      </c>
      <c r="F1349" s="4"/>
      <c r="G1349" s="4"/>
      <c r="H1349" s="4"/>
      <c r="I1349" s="10" t="str">
        <f>HYPERLINK("http://twitter.com/download/android","Twitter for Android")</f>
        <v>Twitter for Android</v>
      </c>
      <c r="J1349" s="2">
        <v>477</v>
      </c>
      <c r="K1349" s="2">
        <v>52</v>
      </c>
      <c r="L1349" s="2">
        <v>4</v>
      </c>
      <c r="M1349" s="2"/>
      <c r="N1349" s="8">
        <v>42131.985775462963</v>
      </c>
      <c r="O1349" s="4" t="s">
        <v>4357</v>
      </c>
      <c r="P1349" s="3" t="s">
        <v>4356</v>
      </c>
      <c r="Q1349" s="4"/>
      <c r="R1349" s="4"/>
      <c r="S1349" s="9" t="str">
        <f>HYPERLINK("https://pbs.twimg.com/profile_images/1041121640288071681/GHykqmib.jpg","View")</f>
        <v>View</v>
      </c>
    </row>
    <row r="1350" spans="1:19" ht="20">
      <c r="A1350" s="8">
        <v>43370.634710648148</v>
      </c>
      <c r="B1350" s="11" t="str">
        <f>HYPERLINK("https://twitter.com/ir_khosrozade","@ir_khosrozade")</f>
        <v>@ir_khosrozade</v>
      </c>
      <c r="C1350" s="6" t="s">
        <v>4355</v>
      </c>
      <c r="D1350" s="5" t="s">
        <v>4354</v>
      </c>
      <c r="E1350" s="9" t="str">
        <f>HYPERLINK("https://twitter.com/ir_khosrozade/status/1045277870568984577","1045277870568984577")</f>
        <v>1045277870568984577</v>
      </c>
      <c r="F1350" s="4"/>
      <c r="G1350" s="4"/>
      <c r="H1350" s="4"/>
      <c r="I1350" s="10" t="str">
        <f>HYPERLINK("http://twitter.com/download/iphone","Twitter for iPhone")</f>
        <v>Twitter for iPhone</v>
      </c>
      <c r="J1350" s="2">
        <v>1392</v>
      </c>
      <c r="K1350" s="2">
        <v>2400</v>
      </c>
      <c r="L1350" s="2">
        <v>0</v>
      </c>
      <c r="M1350" s="2"/>
      <c r="N1350" s="8">
        <v>42658.987719907411</v>
      </c>
      <c r="O1350" s="4" t="s">
        <v>62</v>
      </c>
      <c r="P1350" s="3" t="s">
        <v>4353</v>
      </c>
      <c r="Q1350" s="4"/>
      <c r="R1350" s="4"/>
      <c r="S1350" s="9" t="str">
        <f>HYPERLINK("https://pbs.twimg.com/profile_images/1042342028753948672/FPsBgTl1.jpg","View")</f>
        <v>View</v>
      </c>
    </row>
    <row r="1351" spans="1:19" ht="20">
      <c r="A1351" s="8">
        <v>43370.634479166663</v>
      </c>
      <c r="B1351" s="11" t="str">
        <f>HYPERLINK("https://twitter.com/Mahanmehrabi1","@Mahanmehrabi1")</f>
        <v>@Mahanmehrabi1</v>
      </c>
      <c r="C1351" s="6" t="s">
        <v>3415</v>
      </c>
      <c r="D1351" s="5" t="s">
        <v>4352</v>
      </c>
      <c r="E1351" s="9" t="str">
        <f>HYPERLINK("https://twitter.com/Mahanmehrabi1/status/1045277788557791232","1045277788557791232")</f>
        <v>1045277788557791232</v>
      </c>
      <c r="F1351" s="4"/>
      <c r="G1351" s="4"/>
      <c r="H1351" s="4"/>
      <c r="I1351" s="10" t="str">
        <f>HYPERLINK("http://twitter.com/download/android","Twitter for Android")</f>
        <v>Twitter for Android</v>
      </c>
      <c r="J1351" s="2">
        <v>1253</v>
      </c>
      <c r="K1351" s="2">
        <v>1299</v>
      </c>
      <c r="L1351" s="2">
        <v>1</v>
      </c>
      <c r="M1351" s="2"/>
      <c r="N1351" s="8">
        <v>43263.517557870371</v>
      </c>
      <c r="O1351" s="4"/>
      <c r="P1351" s="3" t="s">
        <v>3412</v>
      </c>
      <c r="Q1351" s="4"/>
      <c r="R1351" s="4"/>
      <c r="S1351" s="9" t="str">
        <f>HYPERLINK("https://pbs.twimg.com/profile_images/1006446723202469888/vzEqzQDE.jpg","View")</f>
        <v>View</v>
      </c>
    </row>
    <row r="1352" spans="1:19" ht="12.5">
      <c r="A1352" s="8">
        <v>43370.634039351848</v>
      </c>
      <c r="B1352" s="11" t="str">
        <f>HYPERLINK("https://twitter.com/Siaviciii","@Siaviciii")</f>
        <v>@Siaviciii</v>
      </c>
      <c r="C1352" s="6" t="s">
        <v>4351</v>
      </c>
      <c r="D1352" s="5" t="s">
        <v>4350</v>
      </c>
      <c r="E1352" s="9" t="str">
        <f>HYPERLINK("https://twitter.com/Siaviciii/status/1045277629170032640","1045277629170032640")</f>
        <v>1045277629170032640</v>
      </c>
      <c r="F1352" s="4"/>
      <c r="G1352" s="4"/>
      <c r="H1352" s="4"/>
      <c r="I1352" s="10" t="str">
        <f>HYPERLINK("http://twitter.com/download/iphone","Twitter for iPhone")</f>
        <v>Twitter for iPhone</v>
      </c>
      <c r="J1352" s="2">
        <v>25</v>
      </c>
      <c r="K1352" s="2">
        <v>52</v>
      </c>
      <c r="L1352" s="2">
        <v>0</v>
      </c>
      <c r="M1352" s="2"/>
      <c r="N1352" s="8">
        <v>41589.880486111113</v>
      </c>
      <c r="O1352" s="4" t="s">
        <v>4349</v>
      </c>
      <c r="P1352" s="3" t="s">
        <v>4348</v>
      </c>
      <c r="Q1352" s="4"/>
      <c r="R1352" s="4"/>
      <c r="S1352" s="9" t="str">
        <f>HYPERLINK("https://pbs.twimg.com/profile_images/1040989712100544512/q52uhQan.jpg","View")</f>
        <v>View</v>
      </c>
    </row>
    <row r="1353" spans="1:19" ht="30">
      <c r="A1353" s="8">
        <v>43370.633842592593</v>
      </c>
      <c r="B1353" s="11" t="str">
        <f>HYPERLINK("https://twitter.com/micromaghz","@micromaghz")</f>
        <v>@micromaghz</v>
      </c>
      <c r="C1353" s="6" t="s">
        <v>4347</v>
      </c>
      <c r="D1353" s="5" t="s">
        <v>4346</v>
      </c>
      <c r="E1353" s="9" t="str">
        <f>HYPERLINK("https://twitter.com/micromaghz/status/1045277558466650112","1045277558466650112")</f>
        <v>1045277558466650112</v>
      </c>
      <c r="F1353" s="4"/>
      <c r="G1353" s="4"/>
      <c r="H1353" s="4"/>
      <c r="I1353" s="10" t="str">
        <f>HYPERLINK("http://twitter.com/download/android","Twitter for Android")</f>
        <v>Twitter for Android</v>
      </c>
      <c r="J1353" s="2">
        <v>285</v>
      </c>
      <c r="K1353" s="2">
        <v>1123</v>
      </c>
      <c r="L1353" s="2">
        <v>0</v>
      </c>
      <c r="M1353" s="2"/>
      <c r="N1353" s="8">
        <v>43365.071759259255</v>
      </c>
      <c r="O1353" s="4"/>
      <c r="P1353" s="3" t="s">
        <v>4345</v>
      </c>
      <c r="Q1353" s="4"/>
      <c r="R1353" s="4"/>
      <c r="S1353" s="9" t="str">
        <f>HYPERLINK("https://pbs.twimg.com/profile_images/1045236959743016960/uCnofpAG.jpg","View")</f>
        <v>View</v>
      </c>
    </row>
    <row r="1354" spans="1:19" ht="12.5">
      <c r="A1354" s="8">
        <v>43370.633692129632</v>
      </c>
      <c r="B1354" s="11" t="str">
        <f>HYPERLINK("https://twitter.com/mr__shiny","@mr__shiny")</f>
        <v>@mr__shiny</v>
      </c>
      <c r="C1354" s="6" t="s">
        <v>4344</v>
      </c>
      <c r="D1354" s="5" t="s">
        <v>4343</v>
      </c>
      <c r="E1354" s="9" t="str">
        <f>HYPERLINK("https://twitter.com/mr__shiny/status/1045277503437393920","1045277503437393920")</f>
        <v>1045277503437393920</v>
      </c>
      <c r="F1354" s="4"/>
      <c r="G1354" s="4"/>
      <c r="H1354" s="4"/>
      <c r="I1354" s="10" t="str">
        <f>HYPERLINK("http://twitter.com/download/android","Twitter for Android")</f>
        <v>Twitter for Android</v>
      </c>
      <c r="J1354" s="2">
        <v>342</v>
      </c>
      <c r="K1354" s="2">
        <v>332</v>
      </c>
      <c r="L1354" s="2">
        <v>1</v>
      </c>
      <c r="M1354" s="2"/>
      <c r="N1354" s="8">
        <v>39817.524768518517</v>
      </c>
      <c r="O1354" s="4"/>
      <c r="P1354" s="3" t="s">
        <v>4342</v>
      </c>
      <c r="Q1354" s="4"/>
      <c r="R1354" s="4"/>
      <c r="S1354" s="9" t="str">
        <f>HYPERLINK("https://pbs.twimg.com/profile_images/1012085813524549638/ex8J8vfW.jpg","View")</f>
        <v>View</v>
      </c>
    </row>
    <row r="1355" spans="1:19" ht="20">
      <c r="A1355" s="8">
        <v>43370.633425925931</v>
      </c>
      <c r="B1355" s="11" t="str">
        <f>HYPERLINK("https://twitter.com/Mandu53111704","@Mandu53111704")</f>
        <v>@Mandu53111704</v>
      </c>
      <c r="C1355" s="6" t="s">
        <v>4341</v>
      </c>
      <c r="D1355" s="5" t="s">
        <v>4340</v>
      </c>
      <c r="E1355" s="9" t="str">
        <f>HYPERLINK("https://twitter.com/Mandu53111704/status/1045277404825030657","1045277404825030657")</f>
        <v>1045277404825030657</v>
      </c>
      <c r="F1355" s="4"/>
      <c r="G1355" s="4"/>
      <c r="H1355" s="4"/>
      <c r="I1355" s="10" t="str">
        <f>HYPERLINK("http://twitter.com/download/android","Twitter for Android")</f>
        <v>Twitter for Android</v>
      </c>
      <c r="J1355" s="2">
        <v>4</v>
      </c>
      <c r="K1355" s="2">
        <v>54</v>
      </c>
      <c r="L1355" s="2">
        <v>0</v>
      </c>
      <c r="M1355" s="2"/>
      <c r="N1355" s="8">
        <v>43369.886886574073</v>
      </c>
      <c r="O1355" s="4" t="s">
        <v>4339</v>
      </c>
      <c r="P1355" s="3" t="s">
        <v>4338</v>
      </c>
      <c r="Q1355" s="4"/>
      <c r="R1355" s="4"/>
      <c r="S1355" s="9" t="str">
        <f>HYPERLINK("https://pbs.twimg.com/profile_images/1045013575415328769/rLqyhgXR.jpg","View")</f>
        <v>View</v>
      </c>
    </row>
    <row r="1356" spans="1:19" ht="40">
      <c r="A1356" s="8">
        <v>43370.633344907408</v>
      </c>
      <c r="B1356" s="11" t="str">
        <f>HYPERLINK("https://twitter.com/SiasatZadegan","@SiasatZadegan")</f>
        <v>@SiasatZadegan</v>
      </c>
      <c r="C1356" s="6" t="s">
        <v>4337</v>
      </c>
      <c r="D1356" s="5" t="s">
        <v>4336</v>
      </c>
      <c r="E1356" s="9" t="str">
        <f>HYPERLINK("https://twitter.com/SiasatZadegan/status/1045277376723255296","1045277376723255296")</f>
        <v>1045277376723255296</v>
      </c>
      <c r="F1356" s="4"/>
      <c r="G1356" s="4"/>
      <c r="H1356" s="4"/>
      <c r="I1356" s="10" t="str">
        <f>HYPERLINK("http://twitter.com","Twitter Web Client")</f>
        <v>Twitter Web Client</v>
      </c>
      <c r="J1356" s="2">
        <v>1703</v>
      </c>
      <c r="K1356" s="2">
        <v>1199</v>
      </c>
      <c r="L1356" s="2">
        <v>5</v>
      </c>
      <c r="M1356" s="2"/>
      <c r="N1356" s="8">
        <v>40878.299791666665</v>
      </c>
      <c r="O1356" s="4" t="s">
        <v>1650</v>
      </c>
      <c r="P1356" s="3" t="s">
        <v>4335</v>
      </c>
      <c r="Q1356" s="10" t="s">
        <v>4334</v>
      </c>
      <c r="R1356" s="4"/>
      <c r="S1356" s="9" t="str">
        <f>HYPERLINK("https://pbs.twimg.com/profile_images/1011245422688526337/0J6hVbZu.jpg","View")</f>
        <v>View</v>
      </c>
    </row>
    <row r="1357" spans="1:19" ht="20">
      <c r="A1357" s="8">
        <v>43370.632361111115</v>
      </c>
      <c r="B1357" s="11" t="str">
        <f>HYPERLINK("https://twitter.com/mahdi_azi9","@mahdi_azi9")</f>
        <v>@mahdi_azi9</v>
      </c>
      <c r="C1357" s="6" t="s">
        <v>4333</v>
      </c>
      <c r="D1357" s="5" t="s">
        <v>4332</v>
      </c>
      <c r="E1357" s="9" t="str">
        <f>HYPERLINK("https://twitter.com/mahdi_azi9/status/1045277019653767170","1045277019653767170")</f>
        <v>1045277019653767170</v>
      </c>
      <c r="F1357" s="4"/>
      <c r="G1357" s="10" t="s">
        <v>4331</v>
      </c>
      <c r="H1357" s="4"/>
      <c r="I1357" s="10" t="str">
        <f>HYPERLINK("http://twitter.com/download/android","Twitter for Android")</f>
        <v>Twitter for Android</v>
      </c>
      <c r="J1357" s="2">
        <v>113</v>
      </c>
      <c r="K1357" s="2">
        <v>255</v>
      </c>
      <c r="L1357" s="2">
        <v>0</v>
      </c>
      <c r="M1357" s="2"/>
      <c r="N1357" s="8">
        <v>43338.801782407405</v>
      </c>
      <c r="O1357" s="4" t="s">
        <v>4330</v>
      </c>
      <c r="P1357" s="3" t="s">
        <v>4329</v>
      </c>
      <c r="Q1357" s="4"/>
      <c r="R1357" s="4"/>
      <c r="S1357" s="9" t="str">
        <f>HYPERLINK("https://pbs.twimg.com/profile_images/1044732506820489217/yXb3q-ci.jpg","View")</f>
        <v>View</v>
      </c>
    </row>
    <row r="1358" spans="1:19" ht="40">
      <c r="A1358" s="8">
        <v>43370.631967592592</v>
      </c>
      <c r="B1358" s="11" t="str">
        <f>HYPERLINK("https://twitter.com/sabergrz","@sabergrz")</f>
        <v>@sabergrz</v>
      </c>
      <c r="C1358" s="6" t="s">
        <v>4328</v>
      </c>
      <c r="D1358" s="5" t="s">
        <v>4327</v>
      </c>
      <c r="E1358" s="9" t="str">
        <f>HYPERLINK("https://twitter.com/sabergrz/status/1045276877978574849","1045276877978574849")</f>
        <v>1045276877978574849</v>
      </c>
      <c r="F1358" s="4"/>
      <c r="G1358" s="4"/>
      <c r="H1358" s="4"/>
      <c r="I1358" s="10" t="str">
        <f>HYPERLINK("http://twitter.com/download/iphone","Twitter for iPhone")</f>
        <v>Twitter for iPhone</v>
      </c>
      <c r="J1358" s="2">
        <v>531</v>
      </c>
      <c r="K1358" s="2">
        <v>204</v>
      </c>
      <c r="L1358" s="2">
        <v>2</v>
      </c>
      <c r="M1358" s="2"/>
      <c r="N1358" s="8">
        <v>42671.62100694445</v>
      </c>
      <c r="O1358" s="4"/>
      <c r="P1358" s="3"/>
      <c r="Q1358" s="4"/>
      <c r="R1358" s="4"/>
      <c r="S1358" s="9" t="str">
        <f>HYPERLINK("https://pbs.twimg.com/profile_images/1005121982856343552/RCtau00-.jpg","View")</f>
        <v>View</v>
      </c>
    </row>
    <row r="1359" spans="1:19" ht="30">
      <c r="A1359" s="8">
        <v>43370.631770833337</v>
      </c>
      <c r="B1359" s="11" t="str">
        <f>HYPERLINK("https://twitter.com/Rasoulshahriar","@Rasoulshahriar")</f>
        <v>@Rasoulshahriar</v>
      </c>
      <c r="C1359" s="6" t="s">
        <v>4326</v>
      </c>
      <c r="D1359" s="5" t="s">
        <v>4325</v>
      </c>
      <c r="E1359" s="9" t="str">
        <f>HYPERLINK("https://twitter.com/Rasoulshahriar/status/1045276804418863104","1045276804418863104")</f>
        <v>1045276804418863104</v>
      </c>
      <c r="F1359" s="4"/>
      <c r="G1359" s="4"/>
      <c r="H1359" s="4"/>
      <c r="I1359" s="10" t="str">
        <f>HYPERLINK("http://twitter.com/download/android","Twitter for Android")</f>
        <v>Twitter for Android</v>
      </c>
      <c r="J1359" s="2">
        <v>1714</v>
      </c>
      <c r="K1359" s="2">
        <v>2378</v>
      </c>
      <c r="L1359" s="2">
        <v>1</v>
      </c>
      <c r="M1359" s="2"/>
      <c r="N1359" s="8">
        <v>41814.875763888893</v>
      </c>
      <c r="O1359" s="4" t="s">
        <v>200</v>
      </c>
      <c r="P1359" s="3" t="s">
        <v>4324</v>
      </c>
      <c r="Q1359" s="10" t="s">
        <v>4323</v>
      </c>
      <c r="R1359" s="4"/>
      <c r="S1359" s="9" t="str">
        <f>HYPERLINK("https://pbs.twimg.com/profile_images/1038848872544718855/Id8cSd0K.jpg","View")</f>
        <v>View</v>
      </c>
    </row>
    <row r="1360" spans="1:19" ht="12.5">
      <c r="A1360" s="8">
        <v>43370.631469907406</v>
      </c>
      <c r="B1360" s="11" t="str">
        <f>HYPERLINK("https://twitter.com/amiralifallah","@amiralifallah")</f>
        <v>@amiralifallah</v>
      </c>
      <c r="C1360" s="6" t="s">
        <v>4322</v>
      </c>
      <c r="D1360" s="5" t="s">
        <v>4321</v>
      </c>
      <c r="E1360" s="9" t="str">
        <f>HYPERLINK("https://twitter.com/amiralifallah/status/1045276695069175808","1045276695069175808")</f>
        <v>1045276695069175808</v>
      </c>
      <c r="F1360" s="4"/>
      <c r="G1360" s="4"/>
      <c r="H1360" s="4"/>
      <c r="I1360" s="10" t="str">
        <f>HYPERLINK("http://twitter.com/download/android","Twitter for Android")</f>
        <v>Twitter for Android</v>
      </c>
      <c r="J1360" s="2">
        <v>380</v>
      </c>
      <c r="K1360" s="2">
        <v>994</v>
      </c>
      <c r="L1360" s="2">
        <v>1</v>
      </c>
      <c r="M1360" s="2"/>
      <c r="N1360" s="8">
        <v>42590.978645833333</v>
      </c>
      <c r="O1360" s="4" t="s">
        <v>4320</v>
      </c>
      <c r="P1360" s="3" t="s">
        <v>4319</v>
      </c>
      <c r="Q1360" s="4"/>
      <c r="R1360" s="4"/>
      <c r="S1360" s="9" t="str">
        <f>HYPERLINK("https://pbs.twimg.com/profile_images/1039760052842844160/0McyJrOJ.jpg","View")</f>
        <v>View</v>
      </c>
    </row>
    <row r="1361" spans="1:19" ht="20">
      <c r="A1361" s="8">
        <v>43370.630902777775</v>
      </c>
      <c r="B1361" s="11" t="str">
        <f>HYPERLINK("https://twitter.com/8paaa","@8paaa")</f>
        <v>@8paaa</v>
      </c>
      <c r="C1361" s="6" t="s">
        <v>4318</v>
      </c>
      <c r="D1361" s="5" t="s">
        <v>4317</v>
      </c>
      <c r="E1361" s="9" t="str">
        <f>HYPERLINK("https://twitter.com/8paaa/status/1045276491762872321","1045276491762872321")</f>
        <v>1045276491762872321</v>
      </c>
      <c r="F1361" s="4"/>
      <c r="G1361" s="4"/>
      <c r="H1361" s="4"/>
      <c r="I1361" s="10" t="str">
        <f>HYPERLINK("http://twitter.com/download/android","Twitter for Android")</f>
        <v>Twitter for Android</v>
      </c>
      <c r="J1361" s="2">
        <v>1293</v>
      </c>
      <c r="K1361" s="2">
        <v>1366</v>
      </c>
      <c r="L1361" s="2">
        <v>5</v>
      </c>
      <c r="M1361" s="2"/>
      <c r="N1361" s="8">
        <v>40519.082569444443</v>
      </c>
      <c r="O1361" s="4"/>
      <c r="P1361" s="3" t="s">
        <v>4316</v>
      </c>
      <c r="Q1361" s="4"/>
      <c r="R1361" s="4"/>
      <c r="S1361" s="9" t="str">
        <f>HYPERLINK("https://pbs.twimg.com/profile_images/1026065059498401792/aqGSrtX7.jpg","View")</f>
        <v>View</v>
      </c>
    </row>
    <row r="1362" spans="1:19" ht="20">
      <c r="A1362" s="8">
        <v>43370.630891203706</v>
      </c>
      <c r="B1362" s="11" t="str">
        <f>HYPERLINK("https://twitter.com/mohamma41337687","@mohamma41337687")</f>
        <v>@mohamma41337687</v>
      </c>
      <c r="C1362" s="6" t="s">
        <v>4315</v>
      </c>
      <c r="D1362" s="5" t="s">
        <v>4314</v>
      </c>
      <c r="E1362" s="9" t="str">
        <f>HYPERLINK("https://twitter.com/mohamma41337687/status/1045276487220375554","1045276487220375554")</f>
        <v>1045276487220375554</v>
      </c>
      <c r="F1362" s="4"/>
      <c r="G1362" s="4"/>
      <c r="H1362" s="4"/>
      <c r="I1362" s="10" t="str">
        <f>HYPERLINK("http://twitter.com/download/iphone","Twitter for iPhone")</f>
        <v>Twitter for iPhone</v>
      </c>
      <c r="J1362" s="2">
        <v>17</v>
      </c>
      <c r="K1362" s="2">
        <v>55</v>
      </c>
      <c r="L1362" s="2">
        <v>0</v>
      </c>
      <c r="M1362" s="2"/>
      <c r="N1362" s="8">
        <v>43146.804652777777</v>
      </c>
      <c r="O1362" s="4" t="s">
        <v>4313</v>
      </c>
      <c r="P1362" s="3" t="s">
        <v>4312</v>
      </c>
      <c r="Q1362" s="4"/>
      <c r="R1362" s="4"/>
      <c r="S1362" s="9" t="str">
        <f>HYPERLINK("https://pbs.twimg.com/profile_images/964165565823758336/IrMeryeu.jpg","View")</f>
        <v>View</v>
      </c>
    </row>
    <row r="1363" spans="1:19" ht="40">
      <c r="A1363" s="8">
        <v>43370.630486111113</v>
      </c>
      <c r="B1363" s="11" t="str">
        <f>HYPERLINK("https://twitter.com/HMirghasemi","@HMirghasemi")</f>
        <v>@HMirghasemi</v>
      </c>
      <c r="C1363" s="6" t="s">
        <v>520</v>
      </c>
      <c r="D1363" s="5" t="s">
        <v>3850</v>
      </c>
      <c r="E1363" s="9" t="str">
        <f>HYPERLINK("https://twitter.com/HMirghasemi/status/1045276341145403393","1045276341145403393")</f>
        <v>1045276341145403393</v>
      </c>
      <c r="F1363" s="4"/>
      <c r="G1363" s="10" t="s">
        <v>4311</v>
      </c>
      <c r="H1363" s="4"/>
      <c r="I1363" s="10" t="str">
        <f>HYPERLINK("http://twitter.com/download/iphone","Twitter for iPhone")</f>
        <v>Twitter for iPhone</v>
      </c>
      <c r="J1363" s="2">
        <v>14</v>
      </c>
      <c r="K1363" s="2">
        <v>115</v>
      </c>
      <c r="L1363" s="2">
        <v>0</v>
      </c>
      <c r="M1363" s="2"/>
      <c r="N1363" s="8">
        <v>43064.736840277779</v>
      </c>
      <c r="O1363" s="4"/>
      <c r="P1363" s="3" t="s">
        <v>518</v>
      </c>
      <c r="Q1363" s="10" t="s">
        <v>517</v>
      </c>
      <c r="R1363" s="4"/>
      <c r="S1363" s="9" t="str">
        <f>HYPERLINK("https://pbs.twimg.com/profile_images/985604059850838016/XkfT_10B.jpg","View")</f>
        <v>View</v>
      </c>
    </row>
    <row r="1364" spans="1:19" ht="20">
      <c r="A1364" s="8">
        <v>43370.630462962959</v>
      </c>
      <c r="B1364" s="11" t="str">
        <f>HYPERLINK("https://twitter.com/asdola_mirza","@asdola_mirza")</f>
        <v>@asdola_mirza</v>
      </c>
      <c r="C1364" s="6" t="s">
        <v>4310</v>
      </c>
      <c r="D1364" s="5" t="s">
        <v>4309</v>
      </c>
      <c r="E1364" s="9" t="str">
        <f>HYPERLINK("https://twitter.com/asdola_mirza/status/1045276332500889603","1045276332500889603")</f>
        <v>1045276332500889603</v>
      </c>
      <c r="F1364" s="4"/>
      <c r="G1364" s="4"/>
      <c r="H1364" s="4"/>
      <c r="I1364" s="10" t="str">
        <f>HYPERLINK("http://twitter.com","Twitter Web Client")</f>
        <v>Twitter Web Client</v>
      </c>
      <c r="J1364" s="2">
        <v>1621</v>
      </c>
      <c r="K1364" s="2">
        <v>2486</v>
      </c>
      <c r="L1364" s="2">
        <v>0</v>
      </c>
      <c r="M1364" s="2"/>
      <c r="N1364" s="8">
        <v>39977.88899305556</v>
      </c>
      <c r="O1364" s="4" t="s">
        <v>414</v>
      </c>
      <c r="P1364" s="3" t="s">
        <v>4308</v>
      </c>
      <c r="Q1364" s="4"/>
      <c r="R1364" s="4"/>
      <c r="S1364" s="9" t="str">
        <f>HYPERLINK("https://pbs.twimg.com/profile_images/965154724235436032/lB53uPUT.jpg","View")</f>
        <v>View</v>
      </c>
    </row>
    <row r="1365" spans="1:19" ht="12.5">
      <c r="A1365" s="8">
        <v>43370.630231481482</v>
      </c>
      <c r="B1365" s="11" t="str">
        <f>HYPERLINK("https://twitter.com/mrschmidt8","@mrschmidt8")</f>
        <v>@mrschmidt8</v>
      </c>
      <c r="C1365" s="6" t="s">
        <v>4307</v>
      </c>
      <c r="D1365" s="5" t="s">
        <v>4306</v>
      </c>
      <c r="E1365" s="9" t="str">
        <f>HYPERLINK("https://twitter.com/mrschmidt8/status/1045276247776014336","1045276247776014336")</f>
        <v>1045276247776014336</v>
      </c>
      <c r="F1365" s="4"/>
      <c r="G1365" s="4"/>
      <c r="H1365" s="4"/>
      <c r="I1365" s="10" t="str">
        <f>HYPERLINK("http://twitter.com/download/android","Twitter for Android")</f>
        <v>Twitter for Android</v>
      </c>
      <c r="J1365" s="2">
        <v>182</v>
      </c>
      <c r="K1365" s="2">
        <v>165</v>
      </c>
      <c r="L1365" s="2">
        <v>0</v>
      </c>
      <c r="M1365" s="2"/>
      <c r="N1365" s="8">
        <v>43314.920335648145</v>
      </c>
      <c r="O1365" s="4"/>
      <c r="P1365" s="3" t="s">
        <v>4305</v>
      </c>
      <c r="Q1365" s="4"/>
      <c r="R1365" s="4"/>
      <c r="S1365" s="9" t="str">
        <f>HYPERLINK("https://pbs.twimg.com/profile_images/1029453444434849792/PkuwL7IR.jpg","View")</f>
        <v>View</v>
      </c>
    </row>
    <row r="1366" spans="1:19" ht="20">
      <c r="A1366" s="8">
        <v>43370.629537037035</v>
      </c>
      <c r="B1366" s="11" t="str">
        <f>HYPERLINK("https://twitter.com/Melikabekloo","@Melikabekloo")</f>
        <v>@Melikabekloo</v>
      </c>
      <c r="C1366" s="6" t="s">
        <v>4304</v>
      </c>
      <c r="D1366" s="5" t="s">
        <v>4303</v>
      </c>
      <c r="E1366" s="9" t="str">
        <f>HYPERLINK("https://twitter.com/Melikabekloo/status/1045275997581574144","1045275997581574144")</f>
        <v>1045275997581574144</v>
      </c>
      <c r="F1366" s="4"/>
      <c r="G1366" s="4"/>
      <c r="H1366" s="4"/>
      <c r="I1366" s="10" t="str">
        <f>HYPERLINK("http://twitter.com/download/android","Twitter for Android")</f>
        <v>Twitter for Android</v>
      </c>
      <c r="J1366" s="2">
        <v>60</v>
      </c>
      <c r="K1366" s="2">
        <v>260</v>
      </c>
      <c r="L1366" s="2">
        <v>0</v>
      </c>
      <c r="M1366" s="2"/>
      <c r="N1366" s="8">
        <v>42992.091643518521</v>
      </c>
      <c r="O1366" s="4" t="s">
        <v>10</v>
      </c>
      <c r="P1366" s="3" t="s">
        <v>4302</v>
      </c>
      <c r="Q1366" s="4"/>
      <c r="R1366" s="4"/>
      <c r="S1366" s="9" t="str">
        <f>HYPERLINK("https://pbs.twimg.com/profile_images/1009549848767590401/G9DFy6Gg.jpg","View")</f>
        <v>View</v>
      </c>
    </row>
    <row r="1367" spans="1:19" ht="12.5">
      <c r="A1367" s="8">
        <v>43370.62908564815</v>
      </c>
      <c r="B1367" s="11" t="str">
        <f>HYPERLINK("https://twitter.com/iranpayande2213","@iranpayande2213")</f>
        <v>@iranpayande2213</v>
      </c>
      <c r="C1367" s="6" t="s">
        <v>739</v>
      </c>
      <c r="D1367" s="5" t="s">
        <v>4301</v>
      </c>
      <c r="E1367" s="9" t="str">
        <f>HYPERLINK("https://twitter.com/iranpayande2213/status/1045275831625555968","1045275831625555968")</f>
        <v>1045275831625555968</v>
      </c>
      <c r="F1367" s="4"/>
      <c r="G1367" s="10" t="s">
        <v>4300</v>
      </c>
      <c r="H1367" s="4"/>
      <c r="I1367" s="10" t="str">
        <f>HYPERLINK("http://twitter.com/download/iphone","Twitter for iPhone")</f>
        <v>Twitter for iPhone</v>
      </c>
      <c r="J1367" s="2">
        <v>5137</v>
      </c>
      <c r="K1367" s="2">
        <v>4566</v>
      </c>
      <c r="L1367" s="2">
        <v>6</v>
      </c>
      <c r="M1367" s="2"/>
      <c r="N1367" s="8">
        <v>43001.501828703702</v>
      </c>
      <c r="O1367" s="4" t="s">
        <v>72</v>
      </c>
      <c r="P1367" s="3" t="s">
        <v>738</v>
      </c>
      <c r="Q1367" s="4"/>
      <c r="R1367" s="4"/>
      <c r="S1367" s="9" t="str">
        <f>HYPERLINK("https://pbs.twimg.com/profile_images/1043035224198676487/uGnsQISu.jpg","View")</f>
        <v>View</v>
      </c>
    </row>
    <row r="1368" spans="1:19" ht="12.5">
      <c r="A1368" s="8">
        <v>43370.628981481481</v>
      </c>
      <c r="B1368" s="11" t="str">
        <f>HYPERLINK("https://twitter.com/AmeerTaghavi","@AmeerTaghavi")</f>
        <v>@AmeerTaghavi</v>
      </c>
      <c r="C1368" s="6" t="s">
        <v>4299</v>
      </c>
      <c r="D1368" s="5" t="s">
        <v>4298</v>
      </c>
      <c r="E1368" s="9" t="str">
        <f>HYPERLINK("https://twitter.com/AmeerTaghavi/status/1045275796611497984","1045275796611497984")</f>
        <v>1045275796611497984</v>
      </c>
      <c r="F1368" s="4"/>
      <c r="G1368" s="4"/>
      <c r="H1368" s="4"/>
      <c r="I1368" s="10" t="str">
        <f>HYPERLINK("http://twitter.com/download/iphone","Twitter for iPhone")</f>
        <v>Twitter for iPhone</v>
      </c>
      <c r="J1368" s="2">
        <v>256</v>
      </c>
      <c r="K1368" s="2">
        <v>405</v>
      </c>
      <c r="L1368" s="2">
        <v>20</v>
      </c>
      <c r="M1368" s="2"/>
      <c r="N1368" s="8">
        <v>40399.620983796296</v>
      </c>
      <c r="O1368" s="4" t="s">
        <v>4297</v>
      </c>
      <c r="P1368" s="3" t="s">
        <v>4296</v>
      </c>
      <c r="Q1368" s="10" t="s">
        <v>4295</v>
      </c>
      <c r="R1368" s="4"/>
      <c r="S1368" s="9" t="str">
        <f>HYPERLINK("https://pbs.twimg.com/profile_images/1030884390644146176/-R2CNi5W.jpg","View")</f>
        <v>View</v>
      </c>
    </row>
    <row r="1369" spans="1:19" ht="12.5">
      <c r="A1369" s="8">
        <v>43370.628182870365</v>
      </c>
      <c r="B1369" s="11" t="str">
        <f>HYPERLINK("https://twitter.com/jodiabotirani","@jodiabotirani")</f>
        <v>@jodiabotirani</v>
      </c>
      <c r="C1369" s="6" t="s">
        <v>4294</v>
      </c>
      <c r="D1369" s="5" t="s">
        <v>4293</v>
      </c>
      <c r="E1369" s="9" t="str">
        <f>HYPERLINK("https://twitter.com/jodiabotirani/status/1045275505635856384","1045275505635856384")</f>
        <v>1045275505635856384</v>
      </c>
      <c r="F1369" s="4"/>
      <c r="G1369" s="4"/>
      <c r="H1369" s="4"/>
      <c r="I1369" s="10" t="str">
        <f>HYPERLINK("http://twitter.com/download/android","Twitter for Android")</f>
        <v>Twitter for Android</v>
      </c>
      <c r="J1369" s="2">
        <v>620</v>
      </c>
      <c r="K1369" s="2">
        <v>611</v>
      </c>
      <c r="L1369" s="2">
        <v>2</v>
      </c>
      <c r="M1369" s="2"/>
      <c r="N1369" s="8">
        <v>43219.571967592594</v>
      </c>
      <c r="O1369" s="4" t="s">
        <v>414</v>
      </c>
      <c r="P1369" s="3" t="s">
        <v>4292</v>
      </c>
      <c r="Q1369" s="4"/>
      <c r="R1369" s="4"/>
      <c r="S1369" s="9" t="str">
        <f>HYPERLINK("https://pbs.twimg.com/profile_images/1015576592565796864/OEwGJ6mw.jpg","View")</f>
        <v>View</v>
      </c>
    </row>
    <row r="1370" spans="1:19" ht="12.5">
      <c r="A1370" s="8">
        <v>43370.627766203703</v>
      </c>
      <c r="B1370" s="11" t="str">
        <f>HYPERLINK("https://twitter.com/derakoola2","@derakoola2")</f>
        <v>@derakoola2</v>
      </c>
      <c r="C1370" s="6" t="s">
        <v>4291</v>
      </c>
      <c r="D1370" s="5" t="s">
        <v>4290</v>
      </c>
      <c r="E1370" s="9" t="str">
        <f>HYPERLINK("https://twitter.com/derakoola2/status/1045275356461244416","1045275356461244416")</f>
        <v>1045275356461244416</v>
      </c>
      <c r="F1370" s="4"/>
      <c r="G1370" s="4"/>
      <c r="H1370" s="4"/>
      <c r="I1370" s="10" t="str">
        <f>HYPERLINK("http://twitter.com/download/iphone","Twitter for iPhone")</f>
        <v>Twitter for iPhone</v>
      </c>
      <c r="J1370" s="2">
        <v>1675</v>
      </c>
      <c r="K1370" s="2">
        <v>3031</v>
      </c>
      <c r="L1370" s="2">
        <v>1</v>
      </c>
      <c r="M1370" s="2"/>
      <c r="N1370" s="8">
        <v>43357.898518518516</v>
      </c>
      <c r="O1370" s="4"/>
      <c r="P1370" s="3" t="s">
        <v>4289</v>
      </c>
      <c r="Q1370" s="4"/>
      <c r="R1370" s="4"/>
      <c r="S1370" s="9" t="str">
        <f>HYPERLINK("https://pbs.twimg.com/profile_images/1040910425234329600/kvCE-7MK.jpg","View")</f>
        <v>View</v>
      </c>
    </row>
    <row r="1371" spans="1:19" ht="20">
      <c r="A1371" s="8">
        <v>43370.626597222217</v>
      </c>
      <c r="B1371" s="11" t="str">
        <f>HYPERLINK("https://twitter.com/ilkbaharkiz","@ilkbaharkiz")</f>
        <v>@ilkbaharkiz</v>
      </c>
      <c r="C1371" s="6" t="s">
        <v>4288</v>
      </c>
      <c r="D1371" s="5" t="s">
        <v>4287</v>
      </c>
      <c r="E1371" s="9" t="str">
        <f>HYPERLINK("https://twitter.com/ilkbaharkiz/status/1045274932295471104","1045274932295471104")</f>
        <v>1045274932295471104</v>
      </c>
      <c r="F1371" s="4"/>
      <c r="G1371" s="4"/>
      <c r="H1371" s="4"/>
      <c r="I1371" s="10" t="str">
        <f>HYPERLINK("https://mobile.twitter.com","Twitter Lite")</f>
        <v>Twitter Lite</v>
      </c>
      <c r="J1371" s="2">
        <v>277</v>
      </c>
      <c r="K1371" s="2">
        <v>169</v>
      </c>
      <c r="L1371" s="2">
        <v>0</v>
      </c>
      <c r="M1371" s="2"/>
      <c r="N1371" s="8">
        <v>42695.065706018519</v>
      </c>
      <c r="O1371" s="4"/>
      <c r="P1371" s="3" t="s">
        <v>4286</v>
      </c>
      <c r="Q1371" s="4"/>
      <c r="R1371" s="4"/>
      <c r="S1371" s="9" t="str">
        <f>HYPERLINK("https://pbs.twimg.com/profile_images/1030488650704932864/yY_-sekz.jpg","View")</f>
        <v>View</v>
      </c>
    </row>
    <row r="1372" spans="1:19" ht="20">
      <c r="A1372" s="8">
        <v>43370.626469907409</v>
      </c>
      <c r="B1372" s="11" t="str">
        <f>HYPERLINK("https://twitter.com/abarashi1404","@abarashi1404")</f>
        <v>@abarashi1404</v>
      </c>
      <c r="C1372" s="6" t="s">
        <v>4285</v>
      </c>
      <c r="D1372" s="5" t="s">
        <v>4284</v>
      </c>
      <c r="E1372" s="9" t="str">
        <f>HYPERLINK("https://twitter.com/abarashi1404/status/1045274882894950400","1045274882894950400")</f>
        <v>1045274882894950400</v>
      </c>
      <c r="F1372" s="4"/>
      <c r="G1372" s="10" t="s">
        <v>4283</v>
      </c>
      <c r="H1372" s="4"/>
      <c r="I1372" s="10" t="str">
        <f>HYPERLINK("http://twitter.com/download/android","Twitter for Android")</f>
        <v>Twitter for Android</v>
      </c>
      <c r="J1372" s="2">
        <v>2</v>
      </c>
      <c r="K1372" s="2">
        <v>22</v>
      </c>
      <c r="L1372" s="2">
        <v>0</v>
      </c>
      <c r="M1372" s="2"/>
      <c r="N1372" s="8">
        <v>43368.474085648151</v>
      </c>
      <c r="O1372" s="4"/>
      <c r="P1372" s="3"/>
      <c r="Q1372" s="4"/>
      <c r="R1372" s="4"/>
      <c r="S1372" s="9" t="str">
        <f>HYPERLINK("https://pbs.twimg.com/profile_images/1044588902407901184/N6HC78he.jpg","View")</f>
        <v>View</v>
      </c>
    </row>
    <row r="1373" spans="1:19" ht="20">
      <c r="A1373" s="8">
        <v>43370.626296296294</v>
      </c>
      <c r="B1373" s="11" t="str">
        <f>HYPERLINK("https://twitter.com/dadaesf","@dadaesf")</f>
        <v>@dadaesf</v>
      </c>
      <c r="C1373" s="6" t="s">
        <v>4282</v>
      </c>
      <c r="D1373" s="5" t="s">
        <v>4281</v>
      </c>
      <c r="E1373" s="9" t="str">
        <f>HYPERLINK("https://twitter.com/dadaesf/status/1045274822509514752","1045274822509514752")</f>
        <v>1045274822509514752</v>
      </c>
      <c r="F1373" s="4"/>
      <c r="G1373" s="4"/>
      <c r="H1373" s="4"/>
      <c r="I1373" s="10" t="str">
        <f>HYPERLINK("http://twitter.com/download/android","Twitter for Android")</f>
        <v>Twitter for Android</v>
      </c>
      <c r="J1373" s="2">
        <v>53</v>
      </c>
      <c r="K1373" s="2">
        <v>399</v>
      </c>
      <c r="L1373" s="2">
        <v>0</v>
      </c>
      <c r="M1373" s="2"/>
      <c r="N1373" s="8">
        <v>43369.016250000001</v>
      </c>
      <c r="O1373" s="4" t="s">
        <v>4280</v>
      </c>
      <c r="P1373" s="3" t="s">
        <v>4279</v>
      </c>
      <c r="Q1373" s="4"/>
      <c r="R1373" s="4"/>
      <c r="S1373" s="9" t="str">
        <f>HYPERLINK("https://pbs.twimg.com/profile_images/1045247761887711232/tzbt3Bqs.jpg","View")</f>
        <v>View</v>
      </c>
    </row>
    <row r="1374" spans="1:19" ht="12.5">
      <c r="A1374" s="8">
        <v>43370.626122685186</v>
      </c>
      <c r="B1374" s="11" t="str">
        <f>HYPERLINK("https://twitter.com/PMR0731","@PMR0731")</f>
        <v>@PMR0731</v>
      </c>
      <c r="C1374" s="6" t="s">
        <v>423</v>
      </c>
      <c r="D1374" s="5" t="s">
        <v>4278</v>
      </c>
      <c r="E1374" s="9" t="str">
        <f>HYPERLINK("https://twitter.com/PMR0731/status/1045274760064700416","1045274760064700416")</f>
        <v>1045274760064700416</v>
      </c>
      <c r="F1374" s="4"/>
      <c r="G1374" s="10" t="s">
        <v>4277</v>
      </c>
      <c r="H1374" s="4"/>
      <c r="I1374" s="10" t="str">
        <f>HYPERLINK("http://twitter.com","Twitter Web Client")</f>
        <v>Twitter Web Client</v>
      </c>
      <c r="J1374" s="2">
        <v>797</v>
      </c>
      <c r="K1374" s="2">
        <v>191</v>
      </c>
      <c r="L1374" s="2">
        <v>6</v>
      </c>
      <c r="M1374" s="2"/>
      <c r="N1374" s="8">
        <v>42590.050578703704</v>
      </c>
      <c r="O1374" s="4" t="s">
        <v>420</v>
      </c>
      <c r="P1374" s="3" t="s">
        <v>419</v>
      </c>
      <c r="Q1374" s="4"/>
      <c r="R1374" s="4"/>
      <c r="S1374" s="9" t="str">
        <f>HYPERLINK("https://pbs.twimg.com/profile_images/1030356397630926848/x8SmplII.jpg","View")</f>
        <v>View</v>
      </c>
    </row>
    <row r="1375" spans="1:19" ht="40">
      <c r="A1375" s="8">
        <v>43370.625960648147</v>
      </c>
      <c r="B1375" s="11" t="str">
        <f>HYPERLINK("https://twitter.com/adib_foroutan","@adib_foroutan")</f>
        <v>@adib_foroutan</v>
      </c>
      <c r="C1375" s="6" t="s">
        <v>4129</v>
      </c>
      <c r="D1375" s="5" t="s">
        <v>4276</v>
      </c>
      <c r="E1375" s="9" t="str">
        <f>HYPERLINK("https://twitter.com/adib_foroutan/status/1045274700480487425","1045274700480487425")</f>
        <v>1045274700480487425</v>
      </c>
      <c r="F1375" s="4"/>
      <c r="G1375" s="4"/>
      <c r="H1375" s="4"/>
      <c r="I1375" s="10" t="str">
        <f>HYPERLINK("http://twitter.com/download/iphone","Twitter for iPhone")</f>
        <v>Twitter for iPhone</v>
      </c>
      <c r="J1375" s="2">
        <v>97</v>
      </c>
      <c r="K1375" s="2">
        <v>225</v>
      </c>
      <c r="L1375" s="2">
        <v>0</v>
      </c>
      <c r="M1375" s="2"/>
      <c r="N1375" s="8">
        <v>43304.068148148144</v>
      </c>
      <c r="O1375" s="4" t="s">
        <v>200</v>
      </c>
      <c r="P1375" s="3" t="s">
        <v>4127</v>
      </c>
      <c r="Q1375" s="4"/>
      <c r="R1375" s="4"/>
      <c r="S1375" s="9" t="str">
        <f>HYPERLINK("https://pbs.twimg.com/profile_images/1025466303669317632/gw3GdO1B.jpg","View")</f>
        <v>View</v>
      </c>
    </row>
    <row r="1376" spans="1:19" ht="20">
      <c r="A1376" s="8">
        <v>43370.625925925924</v>
      </c>
      <c r="B1376" s="11" t="str">
        <f>HYPERLINK("https://twitter.com/BHZ1353","@BHZ1353")</f>
        <v>@BHZ1353</v>
      </c>
      <c r="C1376" s="6" t="s">
        <v>4275</v>
      </c>
      <c r="D1376" s="5" t="s">
        <v>4274</v>
      </c>
      <c r="E1376" s="9" t="str">
        <f>HYPERLINK("https://twitter.com/BHZ1353/status/1045274686664445952","1045274686664445952")</f>
        <v>1045274686664445952</v>
      </c>
      <c r="F1376" s="4"/>
      <c r="G1376" s="4"/>
      <c r="H1376" s="4"/>
      <c r="I1376" s="10" t="str">
        <f>HYPERLINK("http://twitter.com/download/android","Twitter for Android")</f>
        <v>Twitter for Android</v>
      </c>
      <c r="J1376" s="2">
        <v>248</v>
      </c>
      <c r="K1376" s="2">
        <v>329</v>
      </c>
      <c r="L1376" s="2">
        <v>0</v>
      </c>
      <c r="M1376" s="2"/>
      <c r="N1376" s="8">
        <v>42917.578310185185</v>
      </c>
      <c r="O1376" s="4" t="s">
        <v>200</v>
      </c>
      <c r="P1376" s="3" t="s">
        <v>4273</v>
      </c>
      <c r="Q1376" s="4"/>
      <c r="R1376" s="4"/>
      <c r="S1376" s="9" t="str">
        <f>HYPERLINK("https://pbs.twimg.com/profile_images/1016532563509305344/YJ0u0bsm.jpg","View")</f>
        <v>View</v>
      </c>
    </row>
    <row r="1377" spans="1:19" ht="20">
      <c r="A1377" s="8">
        <v>43370.625868055555</v>
      </c>
      <c r="B1377" s="11" t="str">
        <f>HYPERLINK("https://twitter.com/12121979manager","@12121979manager")</f>
        <v>@12121979manager</v>
      </c>
      <c r="C1377" s="6" t="s">
        <v>4272</v>
      </c>
      <c r="D1377" s="5" t="s">
        <v>4271</v>
      </c>
      <c r="E1377" s="9" t="str">
        <f>HYPERLINK("https://twitter.com/12121979manager/status/1045274666074624000","1045274666074624000")</f>
        <v>1045274666074624000</v>
      </c>
      <c r="F1377" s="4"/>
      <c r="G1377" s="10" t="s">
        <v>4270</v>
      </c>
      <c r="H1377" s="4"/>
      <c r="I1377" s="10" t="str">
        <f>HYPERLINK("http://twitter.com/download/android","Twitter for Android")</f>
        <v>Twitter for Android</v>
      </c>
      <c r="J1377" s="2">
        <v>1485</v>
      </c>
      <c r="K1377" s="2">
        <v>2662</v>
      </c>
      <c r="L1377" s="2">
        <v>4</v>
      </c>
      <c r="M1377" s="2"/>
      <c r="N1377" s="8">
        <v>43110.947442129633</v>
      </c>
      <c r="O1377" s="4" t="s">
        <v>59</v>
      </c>
      <c r="P1377" s="3" t="s">
        <v>4269</v>
      </c>
      <c r="Q1377" s="4"/>
      <c r="R1377" s="4"/>
      <c r="S1377" s="9" t="str">
        <f>HYPERLINK("https://pbs.twimg.com/profile_images/963512943613706241/ysNX-RRz.jpg","View")</f>
        <v>View</v>
      </c>
    </row>
    <row r="1378" spans="1:19" ht="12.5">
      <c r="A1378" s="8">
        <v>43370.625810185185</v>
      </c>
      <c r="B1378" s="11" t="str">
        <f>HYPERLINK("https://twitter.com/a_pouraskari","@a_pouraskari")</f>
        <v>@a_pouraskari</v>
      </c>
      <c r="C1378" s="6" t="s">
        <v>4268</v>
      </c>
      <c r="D1378" s="5" t="s">
        <v>4267</v>
      </c>
      <c r="E1378" s="9" t="str">
        <f>HYPERLINK("https://twitter.com/a_pouraskari/status/1045274647346974720","1045274647346974720")</f>
        <v>1045274647346974720</v>
      </c>
      <c r="F1378" s="4"/>
      <c r="G1378" s="10" t="s">
        <v>4266</v>
      </c>
      <c r="H1378" s="4"/>
      <c r="I1378" s="10" t="str">
        <f>HYPERLINK("http://twitter.com/download/android","Twitter for Android")</f>
        <v>Twitter for Android</v>
      </c>
      <c r="J1378" s="2">
        <v>1223</v>
      </c>
      <c r="K1378" s="2">
        <v>1311</v>
      </c>
      <c r="L1378" s="2">
        <v>4</v>
      </c>
      <c r="M1378" s="2"/>
      <c r="N1378" s="8">
        <v>42914.762071759258</v>
      </c>
      <c r="O1378" s="4" t="s">
        <v>4265</v>
      </c>
      <c r="P1378" s="3" t="s">
        <v>4264</v>
      </c>
      <c r="Q1378" s="10" t="s">
        <v>4263</v>
      </c>
      <c r="R1378" s="4"/>
      <c r="S1378" s="9" t="str">
        <f>HYPERLINK("https://pbs.twimg.com/profile_images/1043684418571960322/4WdMhVpB.jpg","View")</f>
        <v>View</v>
      </c>
    </row>
    <row r="1379" spans="1:19" ht="12.5">
      <c r="A1379" s="8">
        <v>43370.625590277778</v>
      </c>
      <c r="B1379" s="11" t="str">
        <f>HYPERLINK("https://twitter.com/aliresa_dorri","@aliresa_dorri")</f>
        <v>@aliresa_dorri</v>
      </c>
      <c r="C1379" s="6" t="s">
        <v>4262</v>
      </c>
      <c r="D1379" s="5" t="s">
        <v>4261</v>
      </c>
      <c r="E1379" s="9" t="str">
        <f>HYPERLINK("https://twitter.com/aliresa_dorri/status/1045274566329806848","1045274566329806848")</f>
        <v>1045274566329806848</v>
      </c>
      <c r="F1379" s="4"/>
      <c r="G1379" s="4"/>
      <c r="H1379" s="4"/>
      <c r="I1379" s="10" t="str">
        <f>HYPERLINK("http://twitter.com/download/iphone","Twitter for iPhone")</f>
        <v>Twitter for iPhone</v>
      </c>
      <c r="J1379" s="2">
        <v>10</v>
      </c>
      <c r="K1379" s="2">
        <v>45</v>
      </c>
      <c r="L1379" s="2">
        <v>0</v>
      </c>
      <c r="M1379" s="2"/>
      <c r="N1379" s="8">
        <v>42842.570196759261</v>
      </c>
      <c r="O1379" s="4" t="s">
        <v>4260</v>
      </c>
      <c r="P1379" s="3"/>
      <c r="Q1379" s="4"/>
      <c r="R1379" s="4"/>
      <c r="S1379" s="9" t="str">
        <f>HYPERLINK("https://pbs.twimg.com/profile_images/853899654781702144/ChxJQOcT.jpg","View")</f>
        <v>View</v>
      </c>
    </row>
    <row r="1380" spans="1:19" ht="12.5">
      <c r="A1380" s="8">
        <v>43370.625405092593</v>
      </c>
      <c r="B1380" s="11" t="str">
        <f>HYPERLINK("https://twitter.com/ATeeFee","@ATeeFee")</f>
        <v>@ATeeFee</v>
      </c>
      <c r="C1380" s="6" t="s">
        <v>4259</v>
      </c>
      <c r="D1380" s="5" t="s">
        <v>4258</v>
      </c>
      <c r="E1380" s="9" t="str">
        <f>HYPERLINK("https://twitter.com/ATeeFee/status/1045274499061616640","1045274499061616640")</f>
        <v>1045274499061616640</v>
      </c>
      <c r="F1380" s="4"/>
      <c r="G1380" s="10" t="s">
        <v>4257</v>
      </c>
      <c r="H1380" s="4"/>
      <c r="I1380" s="10" t="str">
        <f>HYPERLINK("http://twitter.com/download/android","Twitter for Android")</f>
        <v>Twitter for Android</v>
      </c>
      <c r="J1380" s="2">
        <v>482</v>
      </c>
      <c r="K1380" s="2">
        <v>273</v>
      </c>
      <c r="L1380" s="2">
        <v>0</v>
      </c>
      <c r="M1380" s="2"/>
      <c r="N1380" s="8">
        <v>41195.94258101852</v>
      </c>
      <c r="O1380" s="4" t="s">
        <v>10</v>
      </c>
      <c r="P1380" s="3" t="s">
        <v>4256</v>
      </c>
      <c r="Q1380" s="4"/>
      <c r="R1380" s="4"/>
      <c r="S1380" s="9" t="str">
        <f>HYPERLINK("https://pbs.twimg.com/profile_images/1039819812917014528/_MruqcQM.jpg","View")</f>
        <v>View</v>
      </c>
    </row>
    <row r="1381" spans="1:19" ht="20">
      <c r="A1381" s="8">
        <v>43370.625162037039</v>
      </c>
      <c r="B1381" s="11" t="str">
        <f>HYPERLINK("https://twitter.com/sadfatdragonnn","@sadfatdragonnn")</f>
        <v>@sadfatdragonnn</v>
      </c>
      <c r="C1381" s="6" t="s">
        <v>4255</v>
      </c>
      <c r="D1381" s="5" t="s">
        <v>4254</v>
      </c>
      <c r="E1381" s="9" t="str">
        <f>HYPERLINK("https://twitter.com/sadfatdragonnn/status/1045274411111272456","1045274411111272456")</f>
        <v>1045274411111272456</v>
      </c>
      <c r="F1381" s="4"/>
      <c r="G1381" s="4"/>
      <c r="H1381" s="4"/>
      <c r="I1381" s="10" t="str">
        <f>HYPERLINK("http://twitter.com/download/iphone","Twitter for iPhone")</f>
        <v>Twitter for iPhone</v>
      </c>
      <c r="J1381" s="2">
        <v>0</v>
      </c>
      <c r="K1381" s="2">
        <v>0</v>
      </c>
      <c r="L1381" s="2">
        <v>0</v>
      </c>
      <c r="M1381" s="2"/>
      <c r="N1381" s="8">
        <v>43370.622708333336</v>
      </c>
      <c r="O1381" s="4"/>
      <c r="P1381" s="3"/>
      <c r="Q1381" s="4"/>
      <c r="R1381" s="4"/>
      <c r="S1381" s="2" t="s">
        <v>259</v>
      </c>
    </row>
    <row r="1382" spans="1:19" ht="20">
      <c r="A1382" s="8">
        <v>43370.624456018515</v>
      </c>
      <c r="B1382" s="11" t="str">
        <f>HYPERLINK("https://twitter.com/niki_arman","@niki_arman")</f>
        <v>@niki_arman</v>
      </c>
      <c r="C1382" s="6" t="s">
        <v>4253</v>
      </c>
      <c r="D1382" s="5" t="s">
        <v>4252</v>
      </c>
      <c r="E1382" s="9" t="str">
        <f>HYPERLINK("https://twitter.com/niki_arman/status/1045274155334213633","1045274155334213633")</f>
        <v>1045274155334213633</v>
      </c>
      <c r="F1382" s="4"/>
      <c r="G1382" s="4"/>
      <c r="H1382" s="4"/>
      <c r="I1382" s="10" t="str">
        <f>HYPERLINK("http://twitter.com/download/android","Twitter for Android")</f>
        <v>Twitter for Android</v>
      </c>
      <c r="J1382" s="2">
        <v>1625</v>
      </c>
      <c r="K1382" s="2">
        <v>1371</v>
      </c>
      <c r="L1382" s="2">
        <v>7</v>
      </c>
      <c r="M1382" s="2"/>
      <c r="N1382" s="8">
        <v>42861.020960648151</v>
      </c>
      <c r="O1382" s="4"/>
      <c r="P1382" s="3" t="s">
        <v>4251</v>
      </c>
      <c r="Q1382" s="4"/>
      <c r="R1382" s="4"/>
      <c r="S1382" s="9" t="str">
        <f>HYPERLINK("https://pbs.twimg.com/profile_images/1040127967345696768/HDvIgp9t.jpg","View")</f>
        <v>View</v>
      </c>
    </row>
    <row r="1383" spans="1:19" ht="20">
      <c r="A1383" s="8">
        <v>43370.624259259261</v>
      </c>
      <c r="B1383" s="11" t="str">
        <f>HYPERLINK("https://twitter.com/Sabaa47m","@Sabaa47m")</f>
        <v>@Sabaa47m</v>
      </c>
      <c r="C1383" s="6" t="s">
        <v>4250</v>
      </c>
      <c r="D1383" s="5" t="s">
        <v>4249</v>
      </c>
      <c r="E1383" s="9" t="str">
        <f>HYPERLINK("https://twitter.com/Sabaa47m/status/1045274084987346944","1045274084987346944")</f>
        <v>1045274084987346944</v>
      </c>
      <c r="F1383" s="4"/>
      <c r="G1383" s="4"/>
      <c r="H1383" s="4"/>
      <c r="I1383" s="10" t="str">
        <f>HYPERLINK("http://twitter.com/download/android","Twitter for Android")</f>
        <v>Twitter for Android</v>
      </c>
      <c r="J1383" s="2">
        <v>69</v>
      </c>
      <c r="K1383" s="2">
        <v>57</v>
      </c>
      <c r="L1383" s="2">
        <v>0</v>
      </c>
      <c r="M1383" s="2"/>
      <c r="N1383" s="8">
        <v>43137.902349537035</v>
      </c>
      <c r="O1383" s="4" t="s">
        <v>10</v>
      </c>
      <c r="P1383" s="3" t="s">
        <v>4248</v>
      </c>
      <c r="Q1383" s="4"/>
      <c r="R1383" s="4"/>
      <c r="S1383" s="9" t="str">
        <f>HYPERLINK("https://pbs.twimg.com/profile_images/1043553943639547904/e1vVTpNU.jpg","View")</f>
        <v>View</v>
      </c>
    </row>
    <row r="1384" spans="1:19" ht="20">
      <c r="A1384" s="8">
        <v>43370.624212962968</v>
      </c>
      <c r="B1384" s="11" t="str">
        <f>HYPERLINK("https://twitter.com/Roozbeh_rm","@Roozbeh_rm")</f>
        <v>@Roozbeh_rm</v>
      </c>
      <c r="C1384" s="6" t="s">
        <v>3511</v>
      </c>
      <c r="D1384" s="5" t="s">
        <v>4247</v>
      </c>
      <c r="E1384" s="9" t="str">
        <f>HYPERLINK("https://twitter.com/Roozbeh_rm/status/1045274068700860417","1045274068700860417")</f>
        <v>1045274068700860417</v>
      </c>
      <c r="F1384" s="4"/>
      <c r="G1384" s="4"/>
      <c r="H1384" s="4"/>
      <c r="I1384" s="10" t="str">
        <f>HYPERLINK("http://twitter.com/download/android","Twitter for Android")</f>
        <v>Twitter for Android</v>
      </c>
      <c r="J1384" s="2">
        <v>217</v>
      </c>
      <c r="K1384" s="2">
        <v>273</v>
      </c>
      <c r="L1384" s="2">
        <v>1</v>
      </c>
      <c r="M1384" s="2"/>
      <c r="N1384" s="8">
        <v>43262.722303240742</v>
      </c>
      <c r="O1384" s="4" t="s">
        <v>3509</v>
      </c>
      <c r="P1384" s="3" t="s">
        <v>3508</v>
      </c>
      <c r="Q1384" s="4"/>
      <c r="R1384" s="4"/>
      <c r="S1384" s="9" t="str">
        <f>HYPERLINK("https://pbs.twimg.com/profile_images/1045274471865700358/8Gz2R_CO.jpg","View")</f>
        <v>View</v>
      </c>
    </row>
    <row r="1385" spans="1:19" ht="30">
      <c r="A1385" s="8">
        <v>43370.624155092592</v>
      </c>
      <c r="B1385" s="11" t="str">
        <f>HYPERLINK("https://twitter.com/m_rst1","@m_rst1")</f>
        <v>@m_rst1</v>
      </c>
      <c r="C1385" s="6" t="s">
        <v>4246</v>
      </c>
      <c r="D1385" s="5" t="s">
        <v>4245</v>
      </c>
      <c r="E1385" s="9" t="str">
        <f>HYPERLINK("https://twitter.com/m_rst1/status/1045274045137195015","1045274045137195015")</f>
        <v>1045274045137195015</v>
      </c>
      <c r="F1385" s="4"/>
      <c r="G1385" s="10" t="s">
        <v>4244</v>
      </c>
      <c r="H1385" s="4"/>
      <c r="I1385" s="10" t="str">
        <f>HYPERLINK("http://twitter.com/download/android","Twitter for Android")</f>
        <v>Twitter for Android</v>
      </c>
      <c r="J1385" s="2">
        <v>1961</v>
      </c>
      <c r="K1385" s="2">
        <v>1832</v>
      </c>
      <c r="L1385" s="2">
        <v>4</v>
      </c>
      <c r="M1385" s="2"/>
      <c r="N1385" s="8">
        <v>43135.742141203707</v>
      </c>
      <c r="O1385" s="4" t="s">
        <v>4243</v>
      </c>
      <c r="P1385" s="3" t="s">
        <v>4242</v>
      </c>
      <c r="Q1385" s="4"/>
      <c r="R1385" s="4"/>
      <c r="S1385" s="9" t="str">
        <f>HYPERLINK("https://pbs.twimg.com/profile_images/1043405867004162053/6LHF-_0J.jpg","View")</f>
        <v>View</v>
      </c>
    </row>
    <row r="1386" spans="1:19" ht="20">
      <c r="A1386" s="8">
        <v>43370.624050925922</v>
      </c>
      <c r="B1386" s="11" t="str">
        <f>HYPERLINK("https://twitter.com/Am12Sara","@Am12Sara")</f>
        <v>@Am12Sara</v>
      </c>
      <c r="C1386" s="6" t="s">
        <v>4241</v>
      </c>
      <c r="D1386" s="5" t="s">
        <v>4240</v>
      </c>
      <c r="E1386" s="9" t="str">
        <f>HYPERLINK("https://twitter.com/Am12Sara/status/1045274010152562690","1045274010152562690")</f>
        <v>1045274010152562690</v>
      </c>
      <c r="F1386" s="4"/>
      <c r="G1386" s="4"/>
      <c r="H1386" s="4"/>
      <c r="I1386" s="10" t="str">
        <f>HYPERLINK("http://twitter.com/download/iphone","Twitter for iPhone")</f>
        <v>Twitter for iPhone</v>
      </c>
      <c r="J1386" s="2">
        <v>16</v>
      </c>
      <c r="K1386" s="2">
        <v>25</v>
      </c>
      <c r="L1386" s="2">
        <v>0</v>
      </c>
      <c r="M1386" s="2"/>
      <c r="N1386" s="8">
        <v>43368.760682870372</v>
      </c>
      <c r="O1386" s="4" t="s">
        <v>4239</v>
      </c>
      <c r="P1386" s="3" t="s">
        <v>4238</v>
      </c>
      <c r="Q1386" s="4"/>
      <c r="R1386" s="4"/>
      <c r="S1386" s="9" t="str">
        <f>HYPERLINK("https://pbs.twimg.com/profile_images/1044938981962592256/ETyRBRuu.jpg","View")</f>
        <v>View</v>
      </c>
    </row>
    <row r="1387" spans="1:19" ht="30">
      <c r="A1387" s="8">
        <v>43370.623773148152</v>
      </c>
      <c r="B1387" s="11" t="str">
        <f>HYPERLINK("https://twitter.com/saras27772","@saras27772")</f>
        <v>@saras27772</v>
      </c>
      <c r="C1387" s="6" t="s">
        <v>458</v>
      </c>
      <c r="D1387" s="5" t="s">
        <v>4237</v>
      </c>
      <c r="E1387" s="9" t="str">
        <f>HYPERLINK("https://twitter.com/saras27772/status/1045273906796527616","1045273906796527616")</f>
        <v>1045273906796527616</v>
      </c>
      <c r="F1387" s="4"/>
      <c r="G1387" s="10" t="s">
        <v>4236</v>
      </c>
      <c r="H1387" s="4"/>
      <c r="I1387" s="10" t="str">
        <f>HYPERLINK("http://twitter.com/download/android","Twitter for Android")</f>
        <v>Twitter for Android</v>
      </c>
      <c r="J1387" s="2">
        <v>840</v>
      </c>
      <c r="K1387" s="2">
        <v>472</v>
      </c>
      <c r="L1387" s="2">
        <v>3</v>
      </c>
      <c r="M1387" s="2"/>
      <c r="N1387" s="8">
        <v>43231.791319444441</v>
      </c>
      <c r="O1387" s="4" t="s">
        <v>457</v>
      </c>
      <c r="P1387" s="3" t="s">
        <v>1868</v>
      </c>
      <c r="Q1387" s="10" t="s">
        <v>455</v>
      </c>
      <c r="R1387" s="4"/>
      <c r="S1387" s="9" t="str">
        <f>HYPERLINK("https://pbs.twimg.com/profile_images/1045024954469818368/cEFqCpwb.jpg","View")</f>
        <v>View</v>
      </c>
    </row>
    <row r="1388" spans="1:19" ht="30">
      <c r="A1388" s="8">
        <v>43370.623703703706</v>
      </c>
      <c r="B1388" s="11" t="str">
        <f>HYPERLINK("https://twitter.com/ho3inshah13","@ho3inshah13")</f>
        <v>@ho3inshah13</v>
      </c>
      <c r="C1388" s="6" t="s">
        <v>4235</v>
      </c>
      <c r="D1388" s="5" t="s">
        <v>4234</v>
      </c>
      <c r="E1388" s="9" t="str">
        <f>HYPERLINK("https://twitter.com/ho3inshah13/status/1045273883165839361","1045273883165839361")</f>
        <v>1045273883165839361</v>
      </c>
      <c r="F1388" s="4"/>
      <c r="G1388" s="4"/>
      <c r="H1388" s="4"/>
      <c r="I1388" s="10" t="str">
        <f>HYPERLINK("http://twitter.com/download/iphone","Twitter for iPhone")</f>
        <v>Twitter for iPhone</v>
      </c>
      <c r="J1388" s="2">
        <v>135</v>
      </c>
      <c r="K1388" s="2">
        <v>140</v>
      </c>
      <c r="L1388" s="2">
        <v>0</v>
      </c>
      <c r="M1388" s="2"/>
      <c r="N1388" s="8">
        <v>42904.682071759264</v>
      </c>
      <c r="O1388" s="4"/>
      <c r="P1388" s="3" t="s">
        <v>4233</v>
      </c>
      <c r="Q1388" s="4"/>
      <c r="R1388" s="4"/>
      <c r="S1388" s="9" t="str">
        <f>HYPERLINK("https://pbs.twimg.com/profile_images/995383805933506566/MmkB-qZF.jpg","View")</f>
        <v>View</v>
      </c>
    </row>
    <row r="1389" spans="1:19" ht="30">
      <c r="A1389" s="8">
        <v>43370.623541666668</v>
      </c>
      <c r="B1389" s="11" t="str">
        <f>HYPERLINK("https://twitter.com/mehdiroozkhosh","@mehdiroozkhosh")</f>
        <v>@mehdiroozkhosh</v>
      </c>
      <c r="C1389" s="6" t="s">
        <v>4232</v>
      </c>
      <c r="D1389" s="5" t="s">
        <v>4231</v>
      </c>
      <c r="E1389" s="9" t="str">
        <f>HYPERLINK("https://twitter.com/mehdiroozkhosh/status/1045273824240037888","1045273824240037888")</f>
        <v>1045273824240037888</v>
      </c>
      <c r="F1389" s="4"/>
      <c r="G1389" s="10" t="s">
        <v>4230</v>
      </c>
      <c r="H1389" s="4"/>
      <c r="I1389" s="10" t="str">
        <f>HYPERLINK("http://twitter.com/download/iphone","Twitter for iPhone")</f>
        <v>Twitter for iPhone</v>
      </c>
      <c r="J1389" s="2">
        <v>969</v>
      </c>
      <c r="K1389" s="2">
        <v>531</v>
      </c>
      <c r="L1389" s="2">
        <v>5</v>
      </c>
      <c r="M1389" s="2"/>
      <c r="N1389" s="8">
        <v>42557.650474537033</v>
      </c>
      <c r="O1389" s="4" t="s">
        <v>10</v>
      </c>
      <c r="P1389" s="3" t="s">
        <v>4229</v>
      </c>
      <c r="Q1389" s="10" t="s">
        <v>4228</v>
      </c>
      <c r="R1389" s="4"/>
      <c r="S1389" s="9" t="str">
        <f>HYPERLINK("https://pbs.twimg.com/profile_images/1044640161986957313/c2sBRJBj.jpg","View")</f>
        <v>View</v>
      </c>
    </row>
    <row r="1390" spans="1:19" ht="20">
      <c r="A1390" s="8">
        <v>43370.623472222222</v>
      </c>
      <c r="B1390" s="11" t="str">
        <f>HYPERLINK("https://twitter.com/meysametammar","@meysametammar")</f>
        <v>@meysametammar</v>
      </c>
      <c r="C1390" s="6" t="s">
        <v>3049</v>
      </c>
      <c r="D1390" s="5" t="s">
        <v>4227</v>
      </c>
      <c r="E1390" s="9" t="str">
        <f>HYPERLINK("https://twitter.com/meysametammar/status/1045273799179096065","1045273799179096065")</f>
        <v>1045273799179096065</v>
      </c>
      <c r="F1390" s="4"/>
      <c r="G1390" s="4"/>
      <c r="H1390" s="4"/>
      <c r="I1390" s="10" t="str">
        <f>HYPERLINK("http://twitter.com/download/android","Twitter for Android")</f>
        <v>Twitter for Android</v>
      </c>
      <c r="J1390" s="2">
        <v>4884</v>
      </c>
      <c r="K1390" s="2">
        <v>5155</v>
      </c>
      <c r="L1390" s="2">
        <v>13</v>
      </c>
      <c r="M1390" s="2"/>
      <c r="N1390" s="8">
        <v>43152.743263888886</v>
      </c>
      <c r="O1390" s="4" t="s">
        <v>62</v>
      </c>
      <c r="P1390" s="3" t="s">
        <v>3047</v>
      </c>
      <c r="Q1390" s="4"/>
      <c r="R1390" s="4"/>
      <c r="S1390" s="9" t="str">
        <f>HYPERLINK("https://pbs.twimg.com/profile_images/1010595828493365256/LlIOiiCI.jpg","View")</f>
        <v>View</v>
      </c>
    </row>
    <row r="1391" spans="1:19" ht="12.5">
      <c r="A1391" s="8">
        <v>43370.623159722221</v>
      </c>
      <c r="B1391" s="11" t="str">
        <f>HYPERLINK("https://twitter.com/Yaacc2","@Yaacc2")</f>
        <v>@Yaacc2</v>
      </c>
      <c r="C1391" s="6" t="s">
        <v>4226</v>
      </c>
      <c r="D1391" s="5" t="s">
        <v>4225</v>
      </c>
      <c r="E1391" s="9" t="str">
        <f>HYPERLINK("https://twitter.com/Yaacc2/status/1045273685463117824","1045273685463117824")</f>
        <v>1045273685463117824</v>
      </c>
      <c r="F1391" s="4"/>
      <c r="G1391" s="4"/>
      <c r="H1391" s="4"/>
      <c r="I1391" s="10" t="str">
        <f>HYPERLINK("http://twitter.com/download/android","Twitter for Android")</f>
        <v>Twitter for Android</v>
      </c>
      <c r="J1391" s="2">
        <v>346</v>
      </c>
      <c r="K1391" s="2">
        <v>352</v>
      </c>
      <c r="L1391" s="2">
        <v>0</v>
      </c>
      <c r="M1391" s="2"/>
      <c r="N1391" s="8">
        <v>43346.105578703704</v>
      </c>
      <c r="O1391" s="4"/>
      <c r="P1391" s="3" t="s">
        <v>4224</v>
      </c>
      <c r="Q1391" s="4"/>
      <c r="R1391" s="4"/>
      <c r="S1391" s="9" t="str">
        <f>HYPERLINK("https://pbs.twimg.com/profile_images/1044116786659172352/ZH2iZz0i.jpg","View")</f>
        <v>View</v>
      </c>
    </row>
    <row r="1392" spans="1:19" ht="20">
      <c r="A1392" s="8">
        <v>43370.623020833329</v>
      </c>
      <c r="B1392" s="11" t="str">
        <f>HYPERLINK("https://twitter.com/Aramcrazy1","@Aramcrazy1")</f>
        <v>@Aramcrazy1</v>
      </c>
      <c r="C1392" s="6" t="s">
        <v>4223</v>
      </c>
      <c r="D1392" s="5" t="s">
        <v>4222</v>
      </c>
      <c r="E1392" s="9" t="str">
        <f>HYPERLINK("https://twitter.com/Aramcrazy1/status/1045273635265687552","1045273635265687552")</f>
        <v>1045273635265687552</v>
      </c>
      <c r="F1392" s="4"/>
      <c r="G1392" s="4"/>
      <c r="H1392" s="4"/>
      <c r="I1392" s="10" t="str">
        <f>HYPERLINK("http://twitter.com/download/android","Twitter for Android")</f>
        <v>Twitter for Android</v>
      </c>
      <c r="J1392" s="2">
        <v>425</v>
      </c>
      <c r="K1392" s="2">
        <v>619</v>
      </c>
      <c r="L1392" s="2">
        <v>1</v>
      </c>
      <c r="M1392" s="2"/>
      <c r="N1392" s="8">
        <v>43218.460046296299</v>
      </c>
      <c r="O1392" s="4"/>
      <c r="P1392" s="3" t="s">
        <v>4221</v>
      </c>
      <c r="Q1392" s="4"/>
      <c r="R1392" s="4"/>
      <c r="S1392" s="9" t="str">
        <f>HYPERLINK("https://pbs.twimg.com/profile_images/1034846603914498048/vH0MnjzI.jpg","View")</f>
        <v>View</v>
      </c>
    </row>
    <row r="1393" spans="1:19" ht="40">
      <c r="A1393" s="8">
        <v>43370.622789351852</v>
      </c>
      <c r="B1393" s="11" t="str">
        <f>HYPERLINK("https://twitter.com/bbcpersiansport","@bbcpersiansport")</f>
        <v>@bbcpersiansport</v>
      </c>
      <c r="C1393" s="6" t="s">
        <v>4220</v>
      </c>
      <c r="D1393" s="5" t="s">
        <v>4219</v>
      </c>
      <c r="E1393" s="9" t="str">
        <f>HYPERLINK("https://twitter.com/bbcpersiansport/status/1045273552835031040","1045273552835031040")</f>
        <v>1045273552835031040</v>
      </c>
      <c r="F1393" s="4"/>
      <c r="G1393" s="10" t="s">
        <v>4218</v>
      </c>
      <c r="H1393" s="4"/>
      <c r="I1393" s="10" t="str">
        <f>HYPERLINK("http://twitter.com/download/iphone","Twitter for iPhone")</f>
        <v>Twitter for iPhone</v>
      </c>
      <c r="J1393" s="2">
        <v>228708</v>
      </c>
      <c r="K1393" s="2">
        <v>152</v>
      </c>
      <c r="L1393" s="2">
        <v>310</v>
      </c>
      <c r="M1393" s="2" t="s">
        <v>1701</v>
      </c>
      <c r="N1393" s="8">
        <v>40318.713576388887</v>
      </c>
      <c r="O1393" s="4"/>
      <c r="P1393" s="3"/>
      <c r="Q1393" s="10" t="s">
        <v>4217</v>
      </c>
      <c r="R1393" s="4"/>
      <c r="S1393" s="9" t="str">
        <f>HYPERLINK("https://pbs.twimg.com/profile_images/586219124562460672/qrgu5k3O.jpg","View")</f>
        <v>View</v>
      </c>
    </row>
    <row r="1394" spans="1:19" ht="20">
      <c r="A1394" s="8">
        <v>43370.622743055559</v>
      </c>
      <c r="B1394" s="11" t="str">
        <f>HYPERLINK("https://twitter.com/sinajanati","@sinajanati")</f>
        <v>@sinajanati</v>
      </c>
      <c r="C1394" s="6" t="s">
        <v>4216</v>
      </c>
      <c r="D1394" s="5" t="s">
        <v>4215</v>
      </c>
      <c r="E1394" s="9" t="str">
        <f>HYPERLINK("https://twitter.com/sinajanati/status/1045273535524962304","1045273535524962304")</f>
        <v>1045273535524962304</v>
      </c>
      <c r="F1394" s="4"/>
      <c r="G1394" s="4"/>
      <c r="H1394" s="4"/>
      <c r="I1394" s="10" t="str">
        <f>HYPERLINK("http://twitter.com/download/android","Twitter for Android")</f>
        <v>Twitter for Android</v>
      </c>
      <c r="J1394" s="2">
        <v>15</v>
      </c>
      <c r="K1394" s="2">
        <v>25</v>
      </c>
      <c r="L1394" s="2">
        <v>0</v>
      </c>
      <c r="M1394" s="2"/>
      <c r="N1394" s="8">
        <v>43352.607777777783</v>
      </c>
      <c r="O1394" s="4" t="s">
        <v>72</v>
      </c>
      <c r="P1394" s="3" t="s">
        <v>4214</v>
      </c>
      <c r="Q1394" s="4"/>
      <c r="R1394" s="4"/>
      <c r="S1394" s="9" t="str">
        <f>HYPERLINK("https://pbs.twimg.com/profile_images/1039090336310542336/yzJUb-i4.jpg","View")</f>
        <v>View</v>
      </c>
    </row>
    <row r="1395" spans="1:19" ht="30">
      <c r="A1395" s="8">
        <v>43370.622442129628</v>
      </c>
      <c r="B1395" s="11" t="str">
        <f>HYPERLINK("https://twitter.com/tallghadboland","@tallghadboland")</f>
        <v>@tallghadboland</v>
      </c>
      <c r="C1395" s="6" t="s">
        <v>887</v>
      </c>
      <c r="D1395" s="5" t="s">
        <v>4213</v>
      </c>
      <c r="E1395" s="9" t="str">
        <f>HYPERLINK("https://twitter.com/tallghadboland/status/1045273423839211520","1045273423839211520")</f>
        <v>1045273423839211520</v>
      </c>
      <c r="F1395" s="4"/>
      <c r="G1395" s="4"/>
      <c r="H1395" s="4"/>
      <c r="I1395" s="10" t="str">
        <f>HYPERLINK("http://twitter.com/download/android","Twitter for Android")</f>
        <v>Twitter for Android</v>
      </c>
      <c r="J1395" s="2">
        <v>1209</v>
      </c>
      <c r="K1395" s="2">
        <v>987</v>
      </c>
      <c r="L1395" s="2">
        <v>3</v>
      </c>
      <c r="M1395" s="2"/>
      <c r="N1395" s="8">
        <v>42764.624525462961</v>
      </c>
      <c r="O1395" s="4"/>
      <c r="P1395" s="3" t="s">
        <v>885</v>
      </c>
      <c r="Q1395" s="4"/>
      <c r="R1395" s="4"/>
      <c r="S1395" s="9" t="str">
        <f>HYPERLINK("https://pbs.twimg.com/profile_images/1014500545594314752/RT_jkDgg.jpg","View")</f>
        <v>View</v>
      </c>
    </row>
    <row r="1396" spans="1:19" ht="30">
      <c r="A1396" s="8">
        <v>43370.622071759259</v>
      </c>
      <c r="B1396" s="11" t="str">
        <f>HYPERLINK("https://twitter.com/alajoie8","@alajoie8")</f>
        <v>@alajoie8</v>
      </c>
      <c r="C1396" s="6" t="s">
        <v>4212</v>
      </c>
      <c r="D1396" s="5" t="s">
        <v>4211</v>
      </c>
      <c r="E1396" s="9" t="str">
        <f>HYPERLINK("https://twitter.com/alajoie8/status/1045273292825858050","1045273292825858050")</f>
        <v>1045273292825858050</v>
      </c>
      <c r="F1396" s="4"/>
      <c r="G1396" s="4"/>
      <c r="H1396" s="4"/>
      <c r="I1396" s="10" t="str">
        <f>HYPERLINK("https://mobile.twitter.com","Twitter Lite")</f>
        <v>Twitter Lite</v>
      </c>
      <c r="J1396" s="2">
        <v>697</v>
      </c>
      <c r="K1396" s="2">
        <v>698</v>
      </c>
      <c r="L1396" s="2">
        <v>0</v>
      </c>
      <c r="M1396" s="2"/>
      <c r="N1396" s="8">
        <v>43009.683611111112</v>
      </c>
      <c r="O1396" s="4" t="s">
        <v>4210</v>
      </c>
      <c r="P1396" s="3" t="s">
        <v>4209</v>
      </c>
      <c r="Q1396" s="4"/>
      <c r="R1396" s="4"/>
      <c r="S1396" s="9" t="str">
        <f>HYPERLINK("https://pbs.twimg.com/profile_images/1039539745993498625/D_9iRB5p.jpg","View")</f>
        <v>View</v>
      </c>
    </row>
    <row r="1397" spans="1:19" ht="20">
      <c r="A1397" s="8">
        <v>43370.621828703705</v>
      </c>
      <c r="B1397" s="11" t="str">
        <f>HYPERLINK("https://twitter.com/Bahar84977527","@Bahar84977527")</f>
        <v>@Bahar84977527</v>
      </c>
      <c r="C1397" s="6" t="s">
        <v>4208</v>
      </c>
      <c r="D1397" s="5" t="s">
        <v>4207</v>
      </c>
      <c r="E1397" s="9" t="str">
        <f>HYPERLINK("https://twitter.com/Bahar84977527/status/1045273203080404993","1045273203080404993")</f>
        <v>1045273203080404993</v>
      </c>
      <c r="F1397" s="4"/>
      <c r="G1397" s="4"/>
      <c r="H1397" s="4"/>
      <c r="I1397" s="10" t="str">
        <f>HYPERLINK("http://twitter.com/download/android","Twitter for Android")</f>
        <v>Twitter for Android</v>
      </c>
      <c r="J1397" s="2">
        <v>25</v>
      </c>
      <c r="K1397" s="2">
        <v>41</v>
      </c>
      <c r="L1397" s="2">
        <v>0</v>
      </c>
      <c r="M1397" s="2"/>
      <c r="N1397" s="8">
        <v>43347.497418981482</v>
      </c>
      <c r="O1397" s="4" t="s">
        <v>170</v>
      </c>
      <c r="P1397" s="3" t="s">
        <v>4206</v>
      </c>
      <c r="Q1397" s="4"/>
      <c r="R1397" s="4"/>
      <c r="S1397" s="9" t="str">
        <f>HYPERLINK("https://pbs.twimg.com/profile_images/1043450848947462144/P4RJqURF.jpg","View")</f>
        <v>View</v>
      </c>
    </row>
    <row r="1398" spans="1:19" ht="30">
      <c r="A1398" s="8">
        <v>43370.621782407412</v>
      </c>
      <c r="B1398" s="11" t="str">
        <f>HYPERLINK("https://twitter.com/s_sooly","@s_sooly")</f>
        <v>@s_sooly</v>
      </c>
      <c r="C1398" s="6" t="s">
        <v>4205</v>
      </c>
      <c r="D1398" s="5" t="s">
        <v>4204</v>
      </c>
      <c r="E1398" s="9" t="str">
        <f>HYPERLINK("https://twitter.com/s_sooly/status/1045273185942466560","1045273185942466560")</f>
        <v>1045273185942466560</v>
      </c>
      <c r="F1398" s="4"/>
      <c r="G1398" s="4"/>
      <c r="H1398" s="4"/>
      <c r="I1398" s="10" t="str">
        <f>HYPERLINK("http://twitter.com/download/android","Twitter for Android")</f>
        <v>Twitter for Android</v>
      </c>
      <c r="J1398" s="2">
        <v>1506</v>
      </c>
      <c r="K1398" s="2">
        <v>662</v>
      </c>
      <c r="L1398" s="2">
        <v>9</v>
      </c>
      <c r="M1398" s="2"/>
      <c r="N1398" s="8">
        <v>40930.014513888891</v>
      </c>
      <c r="O1398" s="4"/>
      <c r="P1398" s="3" t="s">
        <v>4203</v>
      </c>
      <c r="Q1398" s="4"/>
      <c r="R1398" s="4"/>
      <c r="S1398" s="9" t="str">
        <f>HYPERLINK("https://pbs.twimg.com/profile_images/1044191945541775360/un2Ip9_K.jpg","View")</f>
        <v>View</v>
      </c>
    </row>
    <row r="1399" spans="1:19" ht="20">
      <c r="A1399" s="8">
        <v>43370.621377314819</v>
      </c>
      <c r="B1399" s="11" t="str">
        <f>HYPERLINK("https://twitter.com/Ttiamo24","@Ttiamo24")</f>
        <v>@Ttiamo24</v>
      </c>
      <c r="C1399" s="6" t="s">
        <v>4202</v>
      </c>
      <c r="D1399" s="5" t="s">
        <v>4201</v>
      </c>
      <c r="E1399" s="9" t="str">
        <f>HYPERLINK("https://twitter.com/Ttiamo24/status/1045273038474883074","1045273038474883074")</f>
        <v>1045273038474883074</v>
      </c>
      <c r="F1399" s="4"/>
      <c r="G1399" s="10" t="s">
        <v>4200</v>
      </c>
      <c r="H1399" s="4"/>
      <c r="I1399" s="10" t="str">
        <f>HYPERLINK("http://twitter.com/download/android","Twitter for Android")</f>
        <v>Twitter for Android</v>
      </c>
      <c r="J1399" s="2">
        <v>115</v>
      </c>
      <c r="K1399" s="2">
        <v>40</v>
      </c>
      <c r="L1399" s="2">
        <v>0</v>
      </c>
      <c r="M1399" s="2"/>
      <c r="N1399" s="8">
        <v>43257.554062499999</v>
      </c>
      <c r="O1399" s="4" t="s">
        <v>4199</v>
      </c>
      <c r="P1399" s="3" t="s">
        <v>4198</v>
      </c>
      <c r="Q1399" s="4"/>
      <c r="R1399" s="4"/>
      <c r="S1399" s="9" t="str">
        <f>HYPERLINK("https://pbs.twimg.com/profile_images/1023937609230368768/xwmFutDA.jpg","View")</f>
        <v>View</v>
      </c>
    </row>
    <row r="1400" spans="1:19" ht="20">
      <c r="A1400" s="8">
        <v>43370.621261574073</v>
      </c>
      <c r="B1400" s="11" t="str">
        <f>HYPERLINK("https://twitter.com/Paeizz","@Paeizz")</f>
        <v>@Paeizz</v>
      </c>
      <c r="C1400" s="6" t="s">
        <v>2372</v>
      </c>
      <c r="D1400" s="5" t="s">
        <v>4197</v>
      </c>
      <c r="E1400" s="9" t="str">
        <f>HYPERLINK("https://twitter.com/Paeizz/status/1045272995516882944","1045272995516882944")</f>
        <v>1045272995516882944</v>
      </c>
      <c r="F1400" s="4"/>
      <c r="G1400" s="4"/>
      <c r="H1400" s="4"/>
      <c r="I1400" s="10" t="str">
        <f>HYPERLINK("https://mobile.twitter.com","Twitter Lite")</f>
        <v>Twitter Lite</v>
      </c>
      <c r="J1400" s="2">
        <v>93</v>
      </c>
      <c r="K1400" s="2">
        <v>50</v>
      </c>
      <c r="L1400" s="2">
        <v>1</v>
      </c>
      <c r="M1400" s="2"/>
      <c r="N1400" s="8">
        <v>42766.975347222222</v>
      </c>
      <c r="O1400" s="4"/>
      <c r="P1400" s="3" t="s">
        <v>2370</v>
      </c>
      <c r="Q1400" s="4"/>
      <c r="R1400" s="4"/>
      <c r="S1400" s="9" t="str">
        <f>HYPERLINK("https://pbs.twimg.com/profile_images/1027690902209355778/oniKfdnz.jpg","View")</f>
        <v>View</v>
      </c>
    </row>
    <row r="1401" spans="1:19" ht="40">
      <c r="A1401" s="8">
        <v>43370.62100694445</v>
      </c>
      <c r="B1401" s="11" t="str">
        <f>HYPERLINK("https://twitter.com/HashemSoq","@HashemSoq")</f>
        <v>@HashemSoq</v>
      </c>
      <c r="C1401" s="6" t="s">
        <v>2158</v>
      </c>
      <c r="D1401" s="5" t="s">
        <v>4196</v>
      </c>
      <c r="E1401" s="9" t="str">
        <f>HYPERLINK("https://twitter.com/HashemSoq/status/1045272905179901952","1045272905179901952")</f>
        <v>1045272905179901952</v>
      </c>
      <c r="F1401" s="4"/>
      <c r="G1401" s="4"/>
      <c r="H1401" s="4"/>
      <c r="I1401" s="10" t="str">
        <f>HYPERLINK("http://twitter.com/download/android","Twitter for Android")</f>
        <v>Twitter for Android</v>
      </c>
      <c r="J1401" s="2">
        <v>684</v>
      </c>
      <c r="K1401" s="2">
        <v>743</v>
      </c>
      <c r="L1401" s="2">
        <v>0</v>
      </c>
      <c r="M1401" s="2"/>
      <c r="N1401" s="8">
        <v>42903.004594907412</v>
      </c>
      <c r="O1401" s="4" t="s">
        <v>10</v>
      </c>
      <c r="P1401" s="3" t="s">
        <v>2156</v>
      </c>
      <c r="Q1401" s="4"/>
      <c r="R1401" s="4"/>
      <c r="S1401" s="9" t="str">
        <f>HYPERLINK("https://pbs.twimg.com/profile_images/1041822995080273920/kUhwc-rl.jpg","View")</f>
        <v>View</v>
      </c>
    </row>
    <row r="1402" spans="1:19" ht="40">
      <c r="A1402" s="8">
        <v>43370.620925925927</v>
      </c>
      <c r="B1402" s="11" t="str">
        <f>HYPERLINK("https://twitter.com/soheilazimii","@soheilazimii")</f>
        <v>@soheilazimii</v>
      </c>
      <c r="C1402" s="6" t="s">
        <v>4195</v>
      </c>
      <c r="D1402" s="5" t="s">
        <v>4194</v>
      </c>
      <c r="E1402" s="9" t="str">
        <f>HYPERLINK("https://twitter.com/soheilazimii/status/1045272874616070144","1045272874616070144")</f>
        <v>1045272874616070144</v>
      </c>
      <c r="F1402" s="4"/>
      <c r="G1402" s="4"/>
      <c r="H1402" s="4"/>
      <c r="I1402" s="10" t="str">
        <f>HYPERLINK("http://twitter.com/download/android","Twitter for Android")</f>
        <v>Twitter for Android</v>
      </c>
      <c r="J1402" s="2">
        <v>2635</v>
      </c>
      <c r="K1402" s="2">
        <v>4987</v>
      </c>
      <c r="L1402" s="2">
        <v>4</v>
      </c>
      <c r="M1402" s="2"/>
      <c r="N1402" s="8">
        <v>42745.424745370372</v>
      </c>
      <c r="O1402" s="4" t="s">
        <v>4193</v>
      </c>
      <c r="P1402" s="3" t="s">
        <v>4192</v>
      </c>
      <c r="Q1402" s="10" t="s">
        <v>4191</v>
      </c>
      <c r="R1402" s="4"/>
      <c r="S1402" s="9" t="str">
        <f>HYPERLINK("https://pbs.twimg.com/profile_images/1042339374011240448/oXXNpcJR.jpg","View")</f>
        <v>View</v>
      </c>
    </row>
    <row r="1403" spans="1:19" ht="20">
      <c r="A1403" s="8">
        <v>43370.620509259257</v>
      </c>
      <c r="B1403" s="11" t="str">
        <f>HYPERLINK("https://twitter.com/hawar_sly","@hawar_sly")</f>
        <v>@hawar_sly</v>
      </c>
      <c r="C1403" s="6" t="s">
        <v>4190</v>
      </c>
      <c r="D1403" s="5" t="s">
        <v>4189</v>
      </c>
      <c r="E1403" s="9" t="str">
        <f>HYPERLINK("https://twitter.com/hawar_sly/status/1045272726838157312","1045272726838157312")</f>
        <v>1045272726838157312</v>
      </c>
      <c r="F1403" s="4"/>
      <c r="G1403" s="4"/>
      <c r="H1403" s="4"/>
      <c r="I1403" s="10" t="str">
        <f>HYPERLINK("http://twitter.com/download/android","Twitter for Android")</f>
        <v>Twitter for Android</v>
      </c>
      <c r="J1403" s="2">
        <v>1145</v>
      </c>
      <c r="K1403" s="2">
        <v>1193</v>
      </c>
      <c r="L1403" s="2">
        <v>3</v>
      </c>
      <c r="M1403" s="2"/>
      <c r="N1403" s="8">
        <v>42680.832719907412</v>
      </c>
      <c r="O1403" s="4"/>
      <c r="P1403" s="3" t="s">
        <v>4188</v>
      </c>
      <c r="Q1403" s="4"/>
      <c r="R1403" s="4"/>
      <c r="S1403" s="9" t="str">
        <f>HYPERLINK("https://pbs.twimg.com/profile_images/1044870638538829826/hUIBmC_9.jpg","View")</f>
        <v>View</v>
      </c>
    </row>
    <row r="1404" spans="1:19" ht="20">
      <c r="A1404" s="8">
        <v>43370.620405092588</v>
      </c>
      <c r="B1404" s="11" t="str">
        <f>HYPERLINK("https://twitter.com/amirfs","@amirfs")</f>
        <v>@amirfs</v>
      </c>
      <c r="C1404" s="6" t="s">
        <v>2186</v>
      </c>
      <c r="D1404" s="5" t="s">
        <v>4187</v>
      </c>
      <c r="E1404" s="9" t="str">
        <f>HYPERLINK("https://twitter.com/amirfs/status/1045272687558447104","1045272687558447104")</f>
        <v>1045272687558447104</v>
      </c>
      <c r="F1404" s="4"/>
      <c r="G1404" s="4"/>
      <c r="H1404" s="4"/>
      <c r="I1404" s="10" t="str">
        <f>HYPERLINK("http://twitter.com/download/android","Twitter for Android")</f>
        <v>Twitter for Android</v>
      </c>
      <c r="J1404" s="2">
        <v>251</v>
      </c>
      <c r="K1404" s="2">
        <v>330</v>
      </c>
      <c r="L1404" s="2">
        <v>2</v>
      </c>
      <c r="M1404" s="2"/>
      <c r="N1404" s="8">
        <v>39937.545104166667</v>
      </c>
      <c r="O1404" s="4" t="s">
        <v>200</v>
      </c>
      <c r="P1404" s="3" t="s">
        <v>4186</v>
      </c>
      <c r="Q1404" s="4"/>
      <c r="R1404" s="4"/>
      <c r="S1404" s="9" t="str">
        <f>HYPERLINK("https://pbs.twimg.com/profile_images/851124110050471937/Pd9enGq-.jpg","View")</f>
        <v>View</v>
      </c>
    </row>
    <row r="1405" spans="1:19" ht="12.5">
      <c r="A1405" s="8">
        <v>43370.61986111111</v>
      </c>
      <c r="B1405" s="11" t="str">
        <f>HYPERLINK("https://twitter.com/meysametammar","@meysametammar")</f>
        <v>@meysametammar</v>
      </c>
      <c r="C1405" s="6" t="s">
        <v>3049</v>
      </c>
      <c r="D1405" s="5" t="s">
        <v>4185</v>
      </c>
      <c r="E1405" s="9" t="str">
        <f>HYPERLINK("https://twitter.com/meysametammar/status/1045272491994820609","1045272491994820609")</f>
        <v>1045272491994820609</v>
      </c>
      <c r="F1405" s="4"/>
      <c r="G1405" s="4"/>
      <c r="H1405" s="4"/>
      <c r="I1405" s="10" t="str">
        <f>HYPERLINK("http://twitter.com/download/android","Twitter for Android")</f>
        <v>Twitter for Android</v>
      </c>
      <c r="J1405" s="2">
        <v>4884</v>
      </c>
      <c r="K1405" s="2">
        <v>5155</v>
      </c>
      <c r="L1405" s="2">
        <v>13</v>
      </c>
      <c r="M1405" s="2"/>
      <c r="N1405" s="8">
        <v>43152.743263888886</v>
      </c>
      <c r="O1405" s="4" t="s">
        <v>62</v>
      </c>
      <c r="P1405" s="3" t="s">
        <v>3047</v>
      </c>
      <c r="Q1405" s="4"/>
      <c r="R1405" s="4"/>
      <c r="S1405" s="9" t="str">
        <f>HYPERLINK("https://pbs.twimg.com/profile_images/1010595828493365256/LlIOiiCI.jpg","View")</f>
        <v>View</v>
      </c>
    </row>
    <row r="1406" spans="1:19" ht="12.5">
      <c r="A1406" s="8">
        <v>43370.619398148148</v>
      </c>
      <c r="B1406" s="11" t="str">
        <f>HYPERLINK("https://twitter.com/rezaesmaeli1","@rezaesmaeli1")</f>
        <v>@rezaesmaeli1</v>
      </c>
      <c r="C1406" s="6" t="s">
        <v>4184</v>
      </c>
      <c r="D1406" s="5" t="s">
        <v>4183</v>
      </c>
      <c r="E1406" s="9" t="str">
        <f>HYPERLINK("https://twitter.com/rezaesmaeli1/status/1045272321769000960","1045272321769000960")</f>
        <v>1045272321769000960</v>
      </c>
      <c r="F1406" s="4"/>
      <c r="G1406" s="10" t="s">
        <v>4182</v>
      </c>
      <c r="H1406" s="4"/>
      <c r="I1406" s="10" t="str">
        <f>HYPERLINK("http://twitter.com/download/android","Twitter for Android")</f>
        <v>Twitter for Android</v>
      </c>
      <c r="J1406" s="2">
        <v>127</v>
      </c>
      <c r="K1406" s="2">
        <v>116</v>
      </c>
      <c r="L1406" s="2">
        <v>0</v>
      </c>
      <c r="M1406" s="2"/>
      <c r="N1406" s="8">
        <v>42769.584386574075</v>
      </c>
      <c r="O1406" s="4"/>
      <c r="P1406" s="3" t="s">
        <v>4181</v>
      </c>
      <c r="Q1406" s="4"/>
      <c r="R1406" s="4"/>
      <c r="S1406" s="9" t="str">
        <f>HYPERLINK("https://pbs.twimg.com/profile_images/1043361761456472065/80cknJ7l.jpg","View")</f>
        <v>View</v>
      </c>
    </row>
    <row r="1407" spans="1:19" ht="20">
      <c r="A1407" s="8">
        <v>43370.619224537033</v>
      </c>
      <c r="B1407" s="11" t="str">
        <f>HYPERLINK("https://twitter.com/bigham_2","@bigham_2")</f>
        <v>@bigham_2</v>
      </c>
      <c r="C1407" s="6" t="s">
        <v>4180</v>
      </c>
      <c r="D1407" s="5" t="s">
        <v>4179</v>
      </c>
      <c r="E1407" s="9" t="str">
        <f>HYPERLINK("https://twitter.com/bigham_2/status/1045272258384723968","1045272258384723968")</f>
        <v>1045272258384723968</v>
      </c>
      <c r="F1407" s="4"/>
      <c r="G1407" s="4"/>
      <c r="H1407" s="4"/>
      <c r="I1407" s="10" t="str">
        <f>HYPERLINK("http://twitter.com/download/android","Twitter for Android")</f>
        <v>Twitter for Android</v>
      </c>
      <c r="J1407" s="2">
        <v>867</v>
      </c>
      <c r="K1407" s="2">
        <v>637</v>
      </c>
      <c r="L1407" s="2">
        <v>4</v>
      </c>
      <c r="M1407" s="2"/>
      <c r="N1407" s="8">
        <v>42918.015694444446</v>
      </c>
      <c r="O1407" s="4"/>
      <c r="P1407" s="3"/>
      <c r="Q1407" s="4"/>
      <c r="R1407" s="4"/>
      <c r="S1407" s="9" t="str">
        <f>HYPERLINK("https://pbs.twimg.com/profile_images/935630476705923072/5xWnKk9e.jpg","View")</f>
        <v>View</v>
      </c>
    </row>
    <row r="1408" spans="1:19" ht="30">
      <c r="A1408" s="8">
        <v>43370.618981481486</v>
      </c>
      <c r="B1408" s="11" t="str">
        <f>HYPERLINK("https://twitter.com/paradox2071","@paradox2071")</f>
        <v>@paradox2071</v>
      </c>
      <c r="C1408" s="6" t="s">
        <v>316</v>
      </c>
      <c r="D1408" s="5" t="s">
        <v>4178</v>
      </c>
      <c r="E1408" s="9" t="str">
        <f>HYPERLINK("https://twitter.com/paradox2071/status/1045272170094571520","1045272170094571520")</f>
        <v>1045272170094571520</v>
      </c>
      <c r="F1408" s="4"/>
      <c r="G1408" s="4"/>
      <c r="H1408" s="4"/>
      <c r="I1408" s="10" t="str">
        <f>HYPERLINK("http://twitter.com/download/android","Twitter for Android")</f>
        <v>Twitter for Android</v>
      </c>
      <c r="J1408" s="2">
        <v>1139</v>
      </c>
      <c r="K1408" s="2">
        <v>1135</v>
      </c>
      <c r="L1408" s="2">
        <v>1</v>
      </c>
      <c r="M1408" s="2"/>
      <c r="N1408" s="8">
        <v>43103.333877314813</v>
      </c>
      <c r="O1408" s="4" t="s">
        <v>315</v>
      </c>
      <c r="P1408" s="3"/>
      <c r="Q1408" s="4"/>
      <c r="R1408" s="4"/>
      <c r="S1408" s="9" t="str">
        <f>HYPERLINK("https://pbs.twimg.com/profile_images/1011158472279220225/aKPM8F0D.jpg","View")</f>
        <v>View</v>
      </c>
    </row>
    <row r="1409" spans="1:19" ht="20">
      <c r="A1409" s="8">
        <v>43370.618888888886</v>
      </c>
      <c r="B1409" s="11" t="str">
        <f>HYPERLINK("https://twitter.com/Towhid1375","@Towhid1375")</f>
        <v>@Towhid1375</v>
      </c>
      <c r="C1409" s="6" t="s">
        <v>4177</v>
      </c>
      <c r="D1409" s="5" t="s">
        <v>4176</v>
      </c>
      <c r="E1409" s="9" t="str">
        <f>HYPERLINK("https://twitter.com/Towhid1375/status/1045272138448613376","1045272138448613376")</f>
        <v>1045272138448613376</v>
      </c>
      <c r="F1409" s="4"/>
      <c r="G1409" s="4"/>
      <c r="H1409" s="4"/>
      <c r="I1409" s="10" t="str">
        <f>HYPERLINK("http://twitter.com/download/android","Twitter for Android")</f>
        <v>Twitter for Android</v>
      </c>
      <c r="J1409" s="2">
        <v>2141</v>
      </c>
      <c r="K1409" s="2">
        <v>779</v>
      </c>
      <c r="L1409" s="2">
        <v>3</v>
      </c>
      <c r="M1409" s="2"/>
      <c r="N1409" s="8">
        <v>42885.656747685185</v>
      </c>
      <c r="O1409" s="4" t="s">
        <v>414</v>
      </c>
      <c r="P1409" s="3" t="s">
        <v>4175</v>
      </c>
      <c r="Q1409" s="10" t="s">
        <v>4174</v>
      </c>
      <c r="R1409" s="4"/>
      <c r="S1409" s="9" t="str">
        <f>HYPERLINK("https://pbs.twimg.com/profile_images/1043788675350433792/CMd8Q7sW.jpg","View")</f>
        <v>View</v>
      </c>
    </row>
    <row r="1410" spans="1:19" ht="30">
      <c r="A1410" s="8">
        <v>43370.618680555555</v>
      </c>
      <c r="B1410" s="11" t="str">
        <f>HYPERLINK("https://twitter.com/Zoyash3","@Zoyash3")</f>
        <v>@Zoyash3</v>
      </c>
      <c r="C1410" s="6" t="s">
        <v>4173</v>
      </c>
      <c r="D1410" s="5" t="s">
        <v>4172</v>
      </c>
      <c r="E1410" s="9" t="str">
        <f>HYPERLINK("https://twitter.com/Zoyash3/status/1045272062602948608","1045272062602948608")</f>
        <v>1045272062602948608</v>
      </c>
      <c r="F1410" s="4"/>
      <c r="G1410" s="10" t="s">
        <v>4171</v>
      </c>
      <c r="H1410" s="4"/>
      <c r="I1410" s="10" t="str">
        <f>HYPERLINK("http://twitter.com/download/android","Twitter for Android")</f>
        <v>Twitter for Android</v>
      </c>
      <c r="J1410" s="2">
        <v>2235</v>
      </c>
      <c r="K1410" s="2">
        <v>321</v>
      </c>
      <c r="L1410" s="2">
        <v>11</v>
      </c>
      <c r="M1410" s="2"/>
      <c r="N1410" s="8">
        <v>42731.944849537038</v>
      </c>
      <c r="O1410" s="4"/>
      <c r="P1410" s="3" t="s">
        <v>4170</v>
      </c>
      <c r="Q1410" s="4"/>
      <c r="R1410" s="4"/>
      <c r="S1410" s="9" t="str">
        <f>HYPERLINK("https://pbs.twimg.com/profile_images/1023215589056303104/VEeyWF0X.jpg","View")</f>
        <v>View</v>
      </c>
    </row>
    <row r="1411" spans="1:19" ht="20">
      <c r="A1411" s="8">
        <v>43370.618611111116</v>
      </c>
      <c r="B1411" s="11" t="str">
        <f>HYPERLINK("https://twitter.com/Paeizz","@Paeizz")</f>
        <v>@Paeizz</v>
      </c>
      <c r="C1411" s="6" t="s">
        <v>2372</v>
      </c>
      <c r="D1411" s="5" t="s">
        <v>4169</v>
      </c>
      <c r="E1411" s="9" t="str">
        <f>HYPERLINK("https://twitter.com/Paeizz/status/1045272037009313792","1045272037009313792")</f>
        <v>1045272037009313792</v>
      </c>
      <c r="F1411" s="4"/>
      <c r="G1411" s="4"/>
      <c r="H1411" s="4"/>
      <c r="I1411" s="10" t="str">
        <f>HYPERLINK("https://mobile.twitter.com","Twitter Lite")</f>
        <v>Twitter Lite</v>
      </c>
      <c r="J1411" s="2">
        <v>93</v>
      </c>
      <c r="K1411" s="2">
        <v>50</v>
      </c>
      <c r="L1411" s="2">
        <v>1</v>
      </c>
      <c r="M1411" s="2"/>
      <c r="N1411" s="8">
        <v>42766.975347222222</v>
      </c>
      <c r="O1411" s="4"/>
      <c r="P1411" s="3" t="s">
        <v>2370</v>
      </c>
      <c r="Q1411" s="4"/>
      <c r="R1411" s="4"/>
      <c r="S1411" s="9" t="str">
        <f>HYPERLINK("https://pbs.twimg.com/profile_images/1027690902209355778/oniKfdnz.jpg","View")</f>
        <v>View</v>
      </c>
    </row>
    <row r="1412" spans="1:19" ht="12.5">
      <c r="A1412" s="8">
        <v>43370.617962962962</v>
      </c>
      <c r="B1412" s="11" t="str">
        <f>HYPERLINK("https://twitter.com/yaaahosein1","@yaaahosein1")</f>
        <v>@yaaahosein1</v>
      </c>
      <c r="C1412" s="6" t="s">
        <v>4168</v>
      </c>
      <c r="D1412" s="5" t="s">
        <v>4167</v>
      </c>
      <c r="E1412" s="9" t="str">
        <f>HYPERLINK("https://twitter.com/yaaahosein1/status/1045271800526057472","1045271800526057472")</f>
        <v>1045271800526057472</v>
      </c>
      <c r="F1412" s="4"/>
      <c r="G1412" s="4"/>
      <c r="H1412" s="4"/>
      <c r="I1412" s="10" t="str">
        <f>HYPERLINK("http://twitter.com/download/android","Twitter for Android")</f>
        <v>Twitter for Android</v>
      </c>
      <c r="J1412" s="2">
        <v>4312</v>
      </c>
      <c r="K1412" s="2">
        <v>3498</v>
      </c>
      <c r="L1412" s="2">
        <v>5</v>
      </c>
      <c r="M1412" s="2"/>
      <c r="N1412" s="8">
        <v>43035.676111111112</v>
      </c>
      <c r="O1412" s="4" t="s">
        <v>4166</v>
      </c>
      <c r="P1412" s="3" t="s">
        <v>4165</v>
      </c>
      <c r="Q1412" s="4"/>
      <c r="R1412" s="4"/>
      <c r="S1412" s="9" t="str">
        <f>HYPERLINK("https://pbs.twimg.com/profile_images/1045216533239287808/uf_fy-jM.jpg","View")</f>
        <v>View</v>
      </c>
    </row>
    <row r="1413" spans="1:19" ht="20">
      <c r="A1413" s="8">
        <v>43370.617465277777</v>
      </c>
      <c r="B1413" s="11" t="str">
        <f>HYPERLINK("https://twitter.com/Ghahhar","@Ghahhar")</f>
        <v>@Ghahhar</v>
      </c>
      <c r="C1413" s="6" t="s">
        <v>3667</v>
      </c>
      <c r="D1413" s="5" t="s">
        <v>4164</v>
      </c>
      <c r="E1413" s="9" t="str">
        <f>HYPERLINK("https://twitter.com/Ghahhar/status/1045271622901530624","1045271622901530624")</f>
        <v>1045271622901530624</v>
      </c>
      <c r="F1413" s="4"/>
      <c r="G1413" s="4"/>
      <c r="H1413" s="4"/>
      <c r="I1413" s="10" t="str">
        <f>HYPERLINK("http://twitter.com/download/iphone","Twitter for iPhone")</f>
        <v>Twitter for iPhone</v>
      </c>
      <c r="J1413" s="2">
        <v>3858</v>
      </c>
      <c r="K1413" s="2">
        <v>320</v>
      </c>
      <c r="L1413" s="2">
        <v>14</v>
      </c>
      <c r="M1413" s="2"/>
      <c r="N1413" s="8">
        <v>41135.69840277778</v>
      </c>
      <c r="O1413" s="4"/>
      <c r="P1413" s="3" t="s">
        <v>3664</v>
      </c>
      <c r="Q1413" s="10" t="s">
        <v>3663</v>
      </c>
      <c r="R1413" s="4"/>
      <c r="S1413" s="9" t="str">
        <f>HYPERLINK("https://pbs.twimg.com/profile_images/1044020442330222592/7KcT8ECd.jpg","View")</f>
        <v>View</v>
      </c>
    </row>
    <row r="1414" spans="1:19" ht="20">
      <c r="A1414" s="8">
        <v>43370.617418981477</v>
      </c>
      <c r="B1414" s="11" t="str">
        <f>HYPERLINK("https://twitter.com/Marzieh79113013","@Marzieh79113013")</f>
        <v>@Marzieh79113013</v>
      </c>
      <c r="C1414" s="6" t="s">
        <v>4163</v>
      </c>
      <c r="D1414" s="5" t="s">
        <v>4162</v>
      </c>
      <c r="E1414" s="9" t="str">
        <f>HYPERLINK("https://twitter.com/Marzieh79113013/status/1045271606417903616","1045271606417903616")</f>
        <v>1045271606417903616</v>
      </c>
      <c r="F1414" s="4"/>
      <c r="G1414" s="4"/>
      <c r="H1414" s="4"/>
      <c r="I1414" s="10" t="str">
        <f>HYPERLINK("http://twitter.com/download/android","Twitter for Android")</f>
        <v>Twitter for Android</v>
      </c>
      <c r="J1414" s="2">
        <v>150</v>
      </c>
      <c r="K1414" s="2">
        <v>377</v>
      </c>
      <c r="L1414" s="2">
        <v>0</v>
      </c>
      <c r="M1414" s="2"/>
      <c r="N1414" s="8">
        <v>43037.682037037041</v>
      </c>
      <c r="O1414" s="4"/>
      <c r="P1414" s="3" t="s">
        <v>4161</v>
      </c>
      <c r="Q1414" s="4"/>
      <c r="R1414" s="4"/>
      <c r="S1414" s="9" t="str">
        <f>HYPERLINK("https://pbs.twimg.com/profile_images/1035445242735026176/R2mPIKEB.jpg","View")</f>
        <v>View</v>
      </c>
    </row>
    <row r="1415" spans="1:19" ht="30">
      <c r="A1415" s="8">
        <v>43370.6169212963</v>
      </c>
      <c r="B1415" s="11" t="str">
        <f>HYPERLINK("https://twitter.com/_doci_","@_doci_")</f>
        <v>@_doci_</v>
      </c>
      <c r="C1415" s="6" t="s">
        <v>4160</v>
      </c>
      <c r="D1415" s="5" t="s">
        <v>4159</v>
      </c>
      <c r="E1415" s="9" t="str">
        <f>HYPERLINK("https://twitter.com/_doci_/status/1045271424926126080","1045271424926126080")</f>
        <v>1045271424926126080</v>
      </c>
      <c r="F1415" s="4"/>
      <c r="G1415" s="10" t="s">
        <v>4158</v>
      </c>
      <c r="H1415" s="4"/>
      <c r="I1415" s="10" t="str">
        <f>HYPERLINK("http://twitter.com/download/iphone","Twitter for iPhone")</f>
        <v>Twitter for iPhone</v>
      </c>
      <c r="J1415" s="2">
        <v>1353</v>
      </c>
      <c r="K1415" s="2">
        <v>535</v>
      </c>
      <c r="L1415" s="2">
        <v>2</v>
      </c>
      <c r="M1415" s="2"/>
      <c r="N1415" s="8">
        <v>42818.640844907408</v>
      </c>
      <c r="O1415" s="4" t="s">
        <v>4157</v>
      </c>
      <c r="P1415" s="3" t="s">
        <v>4156</v>
      </c>
      <c r="Q1415" s="4"/>
      <c r="R1415" s="4"/>
      <c r="S1415" s="9" t="str">
        <f>HYPERLINK("https://pbs.twimg.com/profile_images/1040168103722856448/8kdYcK--.jpg","View")</f>
        <v>View</v>
      </c>
    </row>
    <row r="1416" spans="1:19" ht="40">
      <c r="A1416" s="8">
        <v>43370.616712962961</v>
      </c>
      <c r="B1416" s="11" t="str">
        <f>HYPERLINK("https://twitter.com/AtomicBelonde","@AtomicBelonde")</f>
        <v>@AtomicBelonde</v>
      </c>
      <c r="C1416" s="6" t="s">
        <v>4155</v>
      </c>
      <c r="D1416" s="5" t="s">
        <v>4154</v>
      </c>
      <c r="E1416" s="9" t="str">
        <f>HYPERLINK("https://twitter.com/AtomicBelonde/status/1045271347541282816","1045271347541282816")</f>
        <v>1045271347541282816</v>
      </c>
      <c r="F1416" s="4"/>
      <c r="G1416" s="4"/>
      <c r="H1416" s="4"/>
      <c r="I1416" s="10" t="str">
        <f>HYPERLINK("http://twitter.com/download/iphone","Twitter for iPhone")</f>
        <v>Twitter for iPhone</v>
      </c>
      <c r="J1416" s="2">
        <v>1570</v>
      </c>
      <c r="K1416" s="2">
        <v>855</v>
      </c>
      <c r="L1416" s="2">
        <v>8</v>
      </c>
      <c r="M1416" s="2"/>
      <c r="N1416" s="8">
        <v>43282.61215277778</v>
      </c>
      <c r="O1416" s="4" t="s">
        <v>4153</v>
      </c>
      <c r="P1416" s="3" t="s">
        <v>4152</v>
      </c>
      <c r="Q1416" s="10" t="s">
        <v>4151</v>
      </c>
      <c r="R1416" s="4"/>
      <c r="S1416" s="9" t="str">
        <f>HYPERLINK("https://pbs.twimg.com/profile_images/1036532302774456320/ItuFYV4J.jpg","View")</f>
        <v>View</v>
      </c>
    </row>
    <row r="1417" spans="1:19" ht="20">
      <c r="A1417" s="8">
        <v>43370.616631944446</v>
      </c>
      <c r="B1417" s="11" t="str">
        <f>HYPERLINK("https://twitter.com/kose_khaaare_ss","@kose_khaaare_ss")</f>
        <v>@kose_khaaare_ss</v>
      </c>
      <c r="C1417" s="6" t="s">
        <v>4150</v>
      </c>
      <c r="D1417" s="5" t="s">
        <v>4149</v>
      </c>
      <c r="E1417" s="9" t="str">
        <f>HYPERLINK("https://twitter.com/kose_khaaare_ss/status/1045271321024884737","1045271321024884737")</f>
        <v>1045271321024884737</v>
      </c>
      <c r="F1417" s="4"/>
      <c r="G1417" s="4"/>
      <c r="H1417" s="4"/>
      <c r="I1417" s="10" t="str">
        <f>HYPERLINK("http://twitter.com/download/android","Twitter for Android")</f>
        <v>Twitter for Android</v>
      </c>
      <c r="J1417" s="2">
        <v>387</v>
      </c>
      <c r="K1417" s="2">
        <v>190</v>
      </c>
      <c r="L1417" s="2">
        <v>2</v>
      </c>
      <c r="M1417" s="2"/>
      <c r="N1417" s="8">
        <v>42972.263645833329</v>
      </c>
      <c r="O1417" s="4" t="s">
        <v>4148</v>
      </c>
      <c r="P1417" s="3" t="s">
        <v>4147</v>
      </c>
      <c r="Q1417" s="10" t="s">
        <v>4146</v>
      </c>
      <c r="R1417" s="4"/>
      <c r="S1417" s="9" t="str">
        <f>HYPERLINK("https://pbs.twimg.com/profile_images/1043542829526593539/jChHOraC.jpg","View")</f>
        <v>View</v>
      </c>
    </row>
    <row r="1418" spans="1:19" ht="20">
      <c r="A1418" s="8">
        <v>43370.616423611107</v>
      </c>
      <c r="B1418" s="11" t="str">
        <f>HYPERLINK("https://twitter.com/Paeizz","@Paeizz")</f>
        <v>@Paeizz</v>
      </c>
      <c r="C1418" s="6" t="s">
        <v>2372</v>
      </c>
      <c r="D1418" s="5" t="s">
        <v>4145</v>
      </c>
      <c r="E1418" s="9" t="str">
        <f>HYPERLINK("https://twitter.com/Paeizz/status/1045271243505700864","1045271243505700864")</f>
        <v>1045271243505700864</v>
      </c>
      <c r="F1418" s="4"/>
      <c r="G1418" s="4"/>
      <c r="H1418" s="4"/>
      <c r="I1418" s="10" t="str">
        <f>HYPERLINK("https://mobile.twitter.com","Twitter Lite")</f>
        <v>Twitter Lite</v>
      </c>
      <c r="J1418" s="2">
        <v>93</v>
      </c>
      <c r="K1418" s="2">
        <v>50</v>
      </c>
      <c r="L1418" s="2">
        <v>1</v>
      </c>
      <c r="M1418" s="2"/>
      <c r="N1418" s="8">
        <v>42766.975347222222</v>
      </c>
      <c r="O1418" s="4"/>
      <c r="P1418" s="3" t="s">
        <v>2370</v>
      </c>
      <c r="Q1418" s="4"/>
      <c r="R1418" s="4"/>
      <c r="S1418" s="9" t="str">
        <f>HYPERLINK("https://pbs.twimg.com/profile_images/1027690902209355778/oniKfdnz.jpg","View")</f>
        <v>View</v>
      </c>
    </row>
    <row r="1419" spans="1:19" ht="40">
      <c r="A1419" s="8">
        <v>43370.616400462968</v>
      </c>
      <c r="B1419" s="11" t="str">
        <f>HYPERLINK("https://twitter.com/FcEsteghlal","@FcEsteghlal")</f>
        <v>@FcEsteghlal</v>
      </c>
      <c r="C1419" s="6" t="s">
        <v>2582</v>
      </c>
      <c r="D1419" s="5" t="s">
        <v>4144</v>
      </c>
      <c r="E1419" s="9" t="str">
        <f>HYPERLINK("https://twitter.com/FcEsteghlal/status/1045271233871454210","1045271233871454210")</f>
        <v>1045271233871454210</v>
      </c>
      <c r="F1419" s="4"/>
      <c r="G1419" s="10" t="s">
        <v>4143</v>
      </c>
      <c r="H1419" s="4"/>
      <c r="I1419" s="10" t="str">
        <f>HYPERLINK("https://mobile.twitter.com","Twitter Lite")</f>
        <v>Twitter Lite</v>
      </c>
      <c r="J1419" s="2">
        <v>30049</v>
      </c>
      <c r="K1419" s="2">
        <v>20</v>
      </c>
      <c r="L1419" s="2">
        <v>94</v>
      </c>
      <c r="M1419" s="2"/>
      <c r="N1419" s="8">
        <v>40386.474282407406</v>
      </c>
      <c r="O1419" s="4" t="s">
        <v>2579</v>
      </c>
      <c r="P1419" s="3" t="s">
        <v>2578</v>
      </c>
      <c r="Q1419" s="10" t="s">
        <v>2577</v>
      </c>
      <c r="R1419" s="4"/>
      <c r="S1419" s="9" t="str">
        <f>HYPERLINK("https://pbs.twimg.com/profile_images/873957969242804224/bHd1FU0k.jpg","View")</f>
        <v>View</v>
      </c>
    </row>
    <row r="1420" spans="1:19" ht="30">
      <c r="A1420" s="8">
        <v>43370.615960648152</v>
      </c>
      <c r="B1420" s="11" t="str">
        <f>HYPERLINK("https://twitter.com/Ashiyaneh_It","@Ashiyaneh_It")</f>
        <v>@Ashiyaneh_It</v>
      </c>
      <c r="C1420" s="6" t="s">
        <v>4142</v>
      </c>
      <c r="D1420" s="5" t="s">
        <v>4141</v>
      </c>
      <c r="E1420" s="9" t="str">
        <f>HYPERLINK("https://twitter.com/Ashiyaneh_It/status/1045271076324937728","1045271076324937728")</f>
        <v>1045271076324937728</v>
      </c>
      <c r="F1420" s="4"/>
      <c r="G1420" s="10" t="s">
        <v>4140</v>
      </c>
      <c r="H1420" s="4"/>
      <c r="I1420" s="10" t="str">
        <f>HYPERLINK("http://twitter.com","Twitter Web Client")</f>
        <v>Twitter Web Client</v>
      </c>
      <c r="J1420" s="2">
        <v>3693</v>
      </c>
      <c r="K1420" s="2">
        <v>2716</v>
      </c>
      <c r="L1420" s="2">
        <v>8</v>
      </c>
      <c r="M1420" s="2"/>
      <c r="N1420" s="8">
        <v>42754.522476851853</v>
      </c>
      <c r="O1420" s="4" t="s">
        <v>200</v>
      </c>
      <c r="P1420" s="3" t="s">
        <v>4139</v>
      </c>
      <c r="Q1420" s="4"/>
      <c r="R1420" s="4"/>
      <c r="S1420" s="9" t="str">
        <f>HYPERLINK("https://pbs.twimg.com/profile_images/957195990364078080/5ibC7cAc.jpg","View")</f>
        <v>View</v>
      </c>
    </row>
    <row r="1421" spans="1:19" ht="20">
      <c r="A1421" s="8">
        <v>43370.615775462968</v>
      </c>
      <c r="B1421" s="11" t="str">
        <f>HYPERLINK("https://twitter.com/Im_alik","@Im_alik")</f>
        <v>@Im_alik</v>
      </c>
      <c r="C1421" s="6" t="s">
        <v>119</v>
      </c>
      <c r="D1421" s="5" t="s">
        <v>4138</v>
      </c>
      <c r="E1421" s="9" t="str">
        <f>HYPERLINK("https://twitter.com/Im_alik/status/1045271009849475072","1045271009849475072")</f>
        <v>1045271009849475072</v>
      </c>
      <c r="F1421" s="4"/>
      <c r="G1421" s="4"/>
      <c r="H1421" s="4"/>
      <c r="I1421" s="10" t="str">
        <f>HYPERLINK("http://twitter.com/download/android","Twitter for Android")</f>
        <v>Twitter for Android</v>
      </c>
      <c r="J1421" s="2">
        <v>788</v>
      </c>
      <c r="K1421" s="2">
        <v>508</v>
      </c>
      <c r="L1421" s="2">
        <v>4</v>
      </c>
      <c r="M1421" s="2"/>
      <c r="N1421" s="8">
        <v>42844.685277777782</v>
      </c>
      <c r="O1421" s="4" t="s">
        <v>117</v>
      </c>
      <c r="P1421" s="3" t="s">
        <v>116</v>
      </c>
      <c r="Q1421" s="10" t="s">
        <v>115</v>
      </c>
      <c r="R1421" s="4"/>
      <c r="S1421" s="9" t="str">
        <f>HYPERLINK("https://pbs.twimg.com/profile_images/1042797478586851329/2-hQQ6uZ.jpg","View")</f>
        <v>View</v>
      </c>
    </row>
    <row r="1422" spans="1:19" ht="20">
      <c r="A1422" s="8">
        <v>43370.614872685182</v>
      </c>
      <c r="B1422" s="11" t="str">
        <f>HYPERLINK("https://twitter.com/hamidkoper","@hamidkoper")</f>
        <v>@hamidkoper</v>
      </c>
      <c r="C1422" s="6" t="s">
        <v>2275</v>
      </c>
      <c r="D1422" s="5" t="s">
        <v>4137</v>
      </c>
      <c r="E1422" s="9" t="str">
        <f>HYPERLINK("https://twitter.com/hamidkoper/status/1045270683222257664","1045270683222257664")</f>
        <v>1045270683222257664</v>
      </c>
      <c r="F1422" s="4"/>
      <c r="G1422" s="4"/>
      <c r="H1422" s="4"/>
      <c r="I1422" s="10" t="str">
        <f>HYPERLINK("http://twitter.com","Twitter Web Client")</f>
        <v>Twitter Web Client</v>
      </c>
      <c r="J1422" s="2">
        <v>208</v>
      </c>
      <c r="K1422" s="2">
        <v>265</v>
      </c>
      <c r="L1422" s="2">
        <v>0</v>
      </c>
      <c r="M1422" s="2"/>
      <c r="N1422" s="8">
        <v>41670.175474537034</v>
      </c>
      <c r="O1422" s="4"/>
      <c r="P1422" s="3" t="s">
        <v>2272</v>
      </c>
      <c r="Q1422" s="4"/>
      <c r="R1422" s="4"/>
      <c r="S1422" s="2" t="s">
        <v>259</v>
      </c>
    </row>
    <row r="1423" spans="1:19" ht="40">
      <c r="A1423" s="8">
        <v>43370.614837962959</v>
      </c>
      <c r="B1423" s="11" t="str">
        <f>HYPERLINK("https://twitter.com/Arazinho1","@Arazinho1")</f>
        <v>@Arazinho1</v>
      </c>
      <c r="C1423" s="6" t="s">
        <v>4136</v>
      </c>
      <c r="D1423" s="5" t="s">
        <v>4135</v>
      </c>
      <c r="E1423" s="9" t="str">
        <f>HYPERLINK("https://twitter.com/Arazinho1/status/1045270669880111104","1045270669880111104")</f>
        <v>1045270669880111104</v>
      </c>
      <c r="F1423" s="4"/>
      <c r="G1423" s="4"/>
      <c r="H1423" s="4"/>
      <c r="I1423" s="10" t="str">
        <f>HYPERLINK("http://twitter.com/download/android","Twitter for Android")</f>
        <v>Twitter for Android</v>
      </c>
      <c r="J1423" s="2">
        <v>746</v>
      </c>
      <c r="K1423" s="2">
        <v>36</v>
      </c>
      <c r="L1423" s="2">
        <v>0</v>
      </c>
      <c r="M1423" s="2"/>
      <c r="N1423" s="8">
        <v>43262.514027777783</v>
      </c>
      <c r="O1423" s="4"/>
      <c r="P1423" s="3" t="s">
        <v>4134</v>
      </c>
      <c r="Q1423" s="4"/>
      <c r="R1423" s="4"/>
      <c r="S1423" s="9" t="str">
        <f>HYPERLINK("https://pbs.twimg.com/profile_images/1044002252279746560/wN9dvzyk.jpg","View")</f>
        <v>View</v>
      </c>
    </row>
    <row r="1424" spans="1:19" ht="40">
      <c r="A1424" s="8">
        <v>43370.614537037036</v>
      </c>
      <c r="B1424" s="11" t="str">
        <f>HYPERLINK("https://twitter.com/iranjaviidan","@iranjaviidan")</f>
        <v>@iranjaviidan</v>
      </c>
      <c r="C1424" s="6" t="s">
        <v>1350</v>
      </c>
      <c r="D1424" s="5" t="s">
        <v>4133</v>
      </c>
      <c r="E1424" s="9" t="str">
        <f>HYPERLINK("https://twitter.com/iranjaviidan/status/1045270560727617536","1045270560727617536")</f>
        <v>1045270560727617536</v>
      </c>
      <c r="F1424" s="4"/>
      <c r="G1424" s="4"/>
      <c r="H1424" s="4"/>
      <c r="I1424" s="10" t="str">
        <f>HYPERLINK("http://twitter.com/download/android","Twitter for Android")</f>
        <v>Twitter for Android</v>
      </c>
      <c r="J1424" s="2">
        <v>475</v>
      </c>
      <c r="K1424" s="2">
        <v>365</v>
      </c>
      <c r="L1424" s="2">
        <v>1</v>
      </c>
      <c r="M1424" s="2"/>
      <c r="N1424" s="8">
        <v>43127.93236111111</v>
      </c>
      <c r="O1424" s="4"/>
      <c r="P1424" s="3"/>
      <c r="Q1424" s="4"/>
      <c r="R1424" s="4"/>
      <c r="S1424" s="9" t="str">
        <f>HYPERLINK("https://pbs.twimg.com/profile_images/1037655912180137984/pM3teOOh.jpg","View")</f>
        <v>View</v>
      </c>
    </row>
    <row r="1425" spans="1:19" ht="20">
      <c r="A1425" s="8">
        <v>43370.614490740743</v>
      </c>
      <c r="B1425" s="11" t="str">
        <f>HYPERLINK("https://twitter.com/Nima_Yaghobi","@Nima_Yaghobi")</f>
        <v>@Nima_Yaghobi</v>
      </c>
      <c r="C1425" s="6" t="s">
        <v>4132</v>
      </c>
      <c r="D1425" s="5" t="s">
        <v>4131</v>
      </c>
      <c r="E1425" s="9" t="str">
        <f>HYPERLINK("https://twitter.com/Nima_Yaghobi/status/1045270544466276352","1045270544466276352")</f>
        <v>1045270544466276352</v>
      </c>
      <c r="F1425" s="4"/>
      <c r="G1425" s="4"/>
      <c r="H1425" s="4"/>
      <c r="I1425" s="10" t="str">
        <f>HYPERLINK("http://twitter.com/download/iphone","Twitter for iPhone")</f>
        <v>Twitter for iPhone</v>
      </c>
      <c r="J1425" s="2">
        <v>64</v>
      </c>
      <c r="K1425" s="2">
        <v>247</v>
      </c>
      <c r="L1425" s="2">
        <v>0</v>
      </c>
      <c r="M1425" s="2"/>
      <c r="N1425" s="8">
        <v>40413.728020833332</v>
      </c>
      <c r="O1425" s="4" t="s">
        <v>3308</v>
      </c>
      <c r="P1425" s="3" t="s">
        <v>4130</v>
      </c>
      <c r="Q1425" s="4"/>
      <c r="R1425" s="4"/>
      <c r="S1425" s="9" t="str">
        <f>HYPERLINK("https://pbs.twimg.com/profile_images/921041246793224193/84QjVGtX.jpg","View")</f>
        <v>View</v>
      </c>
    </row>
    <row r="1426" spans="1:19" ht="20">
      <c r="A1426" s="8">
        <v>43370.614062499997</v>
      </c>
      <c r="B1426" s="11" t="str">
        <f>HYPERLINK("https://twitter.com/adib_foroutan","@adib_foroutan")</f>
        <v>@adib_foroutan</v>
      </c>
      <c r="C1426" s="6" t="s">
        <v>4129</v>
      </c>
      <c r="D1426" s="5" t="s">
        <v>4128</v>
      </c>
      <c r="E1426" s="9" t="str">
        <f>HYPERLINK("https://twitter.com/adib_foroutan/status/1045270386932404224","1045270386932404224")</f>
        <v>1045270386932404224</v>
      </c>
      <c r="F1426" s="4"/>
      <c r="G1426" s="4"/>
      <c r="H1426" s="4"/>
      <c r="I1426" s="10" t="str">
        <f>HYPERLINK("http://twitter.com/download/iphone","Twitter for iPhone")</f>
        <v>Twitter for iPhone</v>
      </c>
      <c r="J1426" s="2">
        <v>97</v>
      </c>
      <c r="K1426" s="2">
        <v>225</v>
      </c>
      <c r="L1426" s="2">
        <v>0</v>
      </c>
      <c r="M1426" s="2"/>
      <c r="N1426" s="8">
        <v>43304.068148148144</v>
      </c>
      <c r="O1426" s="4" t="s">
        <v>200</v>
      </c>
      <c r="P1426" s="3" t="s">
        <v>4127</v>
      </c>
      <c r="Q1426" s="4"/>
      <c r="R1426" s="4"/>
      <c r="S1426" s="9" t="str">
        <f>HYPERLINK("https://pbs.twimg.com/profile_images/1025466303669317632/gw3GdO1B.jpg","View")</f>
        <v>View</v>
      </c>
    </row>
    <row r="1427" spans="1:19" ht="40">
      <c r="A1427" s="8">
        <v>43370.613564814819</v>
      </c>
      <c r="B1427" s="11" t="str">
        <f>HYPERLINK("https://twitter.com/IranVarzeshi","@IranVarzeshi")</f>
        <v>@IranVarzeshi</v>
      </c>
      <c r="C1427" s="6" t="s">
        <v>212</v>
      </c>
      <c r="D1427" s="5" t="s">
        <v>4126</v>
      </c>
      <c r="E1427" s="9" t="str">
        <f>HYPERLINK("https://twitter.com/IranVarzeshi/status/1045270210012487681","1045270210012487681")</f>
        <v>1045270210012487681</v>
      </c>
      <c r="F1427" s="4"/>
      <c r="G1427" s="4"/>
      <c r="H1427" s="4"/>
      <c r="I1427" s="10" t="str">
        <f>HYPERLINK("http://twitter.com/download/iphone","Twitter for iPhone")</f>
        <v>Twitter for iPhone</v>
      </c>
      <c r="J1427" s="2">
        <v>669</v>
      </c>
      <c r="K1427" s="2">
        <v>20</v>
      </c>
      <c r="L1427" s="2">
        <v>9</v>
      </c>
      <c r="M1427" s="2"/>
      <c r="N1427" s="8">
        <v>43233.76258101852</v>
      </c>
      <c r="O1427" s="4"/>
      <c r="P1427" s="3" t="s">
        <v>210</v>
      </c>
      <c r="Q1427" s="10" t="s">
        <v>209</v>
      </c>
      <c r="R1427" s="4"/>
      <c r="S1427" s="9" t="str">
        <f>HYPERLINK("https://pbs.twimg.com/profile_images/1001132674306670593/nV9S7juu.jpg","View")</f>
        <v>View</v>
      </c>
    </row>
    <row r="1428" spans="1:19" ht="20">
      <c r="A1428" s="8">
        <v>43370.613564814819</v>
      </c>
      <c r="B1428" s="11" t="str">
        <f>HYPERLINK("https://twitter.com/GiilBlaas","@GiilBlaas")</f>
        <v>@GiilBlaas</v>
      </c>
      <c r="C1428" s="6" t="s">
        <v>4125</v>
      </c>
      <c r="D1428" s="5" t="s">
        <v>4124</v>
      </c>
      <c r="E1428" s="9" t="str">
        <f>HYPERLINK("https://twitter.com/GiilBlaas/status/1045270208494153728","1045270208494153728")</f>
        <v>1045270208494153728</v>
      </c>
      <c r="F1428" s="4"/>
      <c r="G1428" s="4"/>
      <c r="H1428" s="4"/>
      <c r="I1428" s="10" t="str">
        <f>HYPERLINK("http://twitter.com/download/android","Twitter for Android")</f>
        <v>Twitter for Android</v>
      </c>
      <c r="J1428" s="2">
        <v>3207</v>
      </c>
      <c r="K1428" s="2">
        <v>3132</v>
      </c>
      <c r="L1428" s="2">
        <v>4</v>
      </c>
      <c r="M1428" s="2"/>
      <c r="N1428" s="8">
        <v>42951.45685185185</v>
      </c>
      <c r="O1428" s="4" t="s">
        <v>4123</v>
      </c>
      <c r="P1428" s="3" t="s">
        <v>4122</v>
      </c>
      <c r="Q1428" s="10" t="s">
        <v>4121</v>
      </c>
      <c r="R1428" s="4"/>
      <c r="S1428" s="9" t="str">
        <f>HYPERLINK("https://pbs.twimg.com/profile_images/1045174369591414784/ofD6pY4K.jpg","View")</f>
        <v>View</v>
      </c>
    </row>
    <row r="1429" spans="1:19" ht="12.5">
      <c r="A1429" s="8">
        <v>43370.613321759258</v>
      </c>
      <c r="B1429" s="11" t="str">
        <f>HYPERLINK("https://twitter.com/mt_mc_pt","@mt_mc_pt")</f>
        <v>@mt_mc_pt</v>
      </c>
      <c r="C1429" s="6" t="s">
        <v>4120</v>
      </c>
      <c r="D1429" s="5" t="s">
        <v>4119</v>
      </c>
      <c r="E1429" s="9" t="str">
        <f>HYPERLINK("https://twitter.com/mt_mc_pt/status/1045270119990140928","1045270119990140928")</f>
        <v>1045270119990140928</v>
      </c>
      <c r="F1429" s="4"/>
      <c r="G1429" s="4"/>
      <c r="H1429" s="4"/>
      <c r="I1429" s="10" t="str">
        <f>HYPERLINK("http://twitter.com/download/android","Twitter for Android")</f>
        <v>Twitter for Android</v>
      </c>
      <c r="J1429" s="2">
        <v>699</v>
      </c>
      <c r="K1429" s="2">
        <v>766</v>
      </c>
      <c r="L1429" s="2">
        <v>0</v>
      </c>
      <c r="M1429" s="2"/>
      <c r="N1429" s="8">
        <v>43056.925312499996</v>
      </c>
      <c r="O1429" s="4"/>
      <c r="P1429" s="3" t="s">
        <v>4118</v>
      </c>
      <c r="Q1429" s="4"/>
      <c r="R1429" s="4"/>
      <c r="S1429" s="9" t="str">
        <f>HYPERLINK("https://pbs.twimg.com/profile_images/1038834300261679111/uMPshFju.jpg","View")</f>
        <v>View</v>
      </c>
    </row>
    <row r="1430" spans="1:19" ht="70">
      <c r="A1430" s="8">
        <v>43370.613298611112</v>
      </c>
      <c r="B1430" s="11" t="str">
        <f>HYPERLINK("https://twitter.com/InnocentGuilty3","@InnocentGuilty3")</f>
        <v>@InnocentGuilty3</v>
      </c>
      <c r="C1430" s="6" t="s">
        <v>4117</v>
      </c>
      <c r="D1430" s="5" t="s">
        <v>4116</v>
      </c>
      <c r="E1430" s="9" t="str">
        <f>HYPERLINK("https://twitter.com/InnocentGuilty3/status/1045270113270857728","1045270113270857728")</f>
        <v>1045270113270857728</v>
      </c>
      <c r="F1430" s="10" t="s">
        <v>4115</v>
      </c>
      <c r="G1430" s="4"/>
      <c r="H1430" s="4"/>
      <c r="I1430" s="10" t="str">
        <f>HYPERLINK("http://twitter.com/download/android","Twitter for Android")</f>
        <v>Twitter for Android</v>
      </c>
      <c r="J1430" s="2">
        <v>1299</v>
      </c>
      <c r="K1430" s="2">
        <v>882</v>
      </c>
      <c r="L1430" s="2">
        <v>7</v>
      </c>
      <c r="M1430" s="2"/>
      <c r="N1430" s="8">
        <v>42793.594907407409</v>
      </c>
      <c r="O1430" s="4" t="s">
        <v>4114</v>
      </c>
      <c r="P1430" s="3" t="s">
        <v>4113</v>
      </c>
      <c r="Q1430" s="4"/>
      <c r="R1430" s="4"/>
      <c r="S1430" s="9" t="str">
        <f>HYPERLINK("https://pbs.twimg.com/profile_images/1045276009304641536/LIJElWTm.jpg","View")</f>
        <v>View</v>
      </c>
    </row>
    <row r="1431" spans="1:19" ht="12.5">
      <c r="A1431" s="8">
        <v>43370.61319444445</v>
      </c>
      <c r="B1431" s="11" t="str">
        <f>HYPERLINK("https://twitter.com/mohadese_ab","@mohadese_ab")</f>
        <v>@mohadese_ab</v>
      </c>
      <c r="C1431" s="6" t="s">
        <v>4112</v>
      </c>
      <c r="D1431" s="5" t="s">
        <v>4111</v>
      </c>
      <c r="E1431" s="9" t="str">
        <f>HYPERLINK("https://twitter.com/mohadese_ab/status/1045270074339348481","1045270074339348481")</f>
        <v>1045270074339348481</v>
      </c>
      <c r="F1431" s="4"/>
      <c r="G1431" s="4"/>
      <c r="H1431" s="4"/>
      <c r="I1431" s="10" t="str">
        <f>HYPERLINK("http://twitter.com/download/android","Twitter for Android")</f>
        <v>Twitter for Android</v>
      </c>
      <c r="J1431" s="2">
        <v>372</v>
      </c>
      <c r="K1431" s="2">
        <v>340</v>
      </c>
      <c r="L1431" s="2">
        <v>0</v>
      </c>
      <c r="M1431" s="2"/>
      <c r="N1431" s="8">
        <v>42909.957685185189</v>
      </c>
      <c r="O1431" s="4"/>
      <c r="P1431" s="3" t="s">
        <v>4110</v>
      </c>
      <c r="Q1431" s="4"/>
      <c r="R1431" s="4"/>
      <c r="S1431" s="9" t="str">
        <f>HYPERLINK("https://pbs.twimg.com/profile_images/1038149621229465603/sH5bje5G.jpg","View")</f>
        <v>View</v>
      </c>
    </row>
    <row r="1432" spans="1:19" ht="12.5">
      <c r="A1432" s="8">
        <v>43370.61314814815</v>
      </c>
      <c r="B1432" s="11" t="str">
        <f>HYPERLINK("https://twitter.com/meysametammar","@meysametammar")</f>
        <v>@meysametammar</v>
      </c>
      <c r="C1432" s="6" t="s">
        <v>3049</v>
      </c>
      <c r="D1432" s="5" t="s">
        <v>4109</v>
      </c>
      <c r="E1432" s="9" t="str">
        <f>HYPERLINK("https://twitter.com/meysametammar/status/1045270055624347648","1045270055624347648")</f>
        <v>1045270055624347648</v>
      </c>
      <c r="F1432" s="4"/>
      <c r="G1432" s="4"/>
      <c r="H1432" s="4"/>
      <c r="I1432" s="10" t="str">
        <f>HYPERLINK("http://twitter.com/download/android","Twitter for Android")</f>
        <v>Twitter for Android</v>
      </c>
      <c r="J1432" s="2">
        <v>4884</v>
      </c>
      <c r="K1432" s="2">
        <v>5155</v>
      </c>
      <c r="L1432" s="2">
        <v>13</v>
      </c>
      <c r="M1432" s="2"/>
      <c r="N1432" s="8">
        <v>43152.743263888886</v>
      </c>
      <c r="O1432" s="4" t="s">
        <v>62</v>
      </c>
      <c r="P1432" s="3" t="s">
        <v>3047</v>
      </c>
      <c r="Q1432" s="4"/>
      <c r="R1432" s="4"/>
      <c r="S1432" s="9" t="str">
        <f>HYPERLINK("https://pbs.twimg.com/profile_images/1010595828493365256/LlIOiiCI.jpg","View")</f>
        <v>View</v>
      </c>
    </row>
    <row r="1433" spans="1:19" ht="12.5">
      <c r="A1433" s="8">
        <v>43370.612326388888</v>
      </c>
      <c r="B1433" s="11" t="str">
        <f>HYPERLINK("https://twitter.com/iiam_nobody","@iiam_nobody")</f>
        <v>@iiam_nobody</v>
      </c>
      <c r="C1433" s="6" t="s">
        <v>4108</v>
      </c>
      <c r="D1433" s="5" t="s">
        <v>4107</v>
      </c>
      <c r="E1433" s="9" t="str">
        <f>HYPERLINK("https://twitter.com/iiam_nobody/status/1045269761549115393","1045269761549115393")</f>
        <v>1045269761549115393</v>
      </c>
      <c r="F1433" s="4"/>
      <c r="G1433" s="10" t="s">
        <v>4106</v>
      </c>
      <c r="H1433" s="4"/>
      <c r="I1433" s="10" t="str">
        <f>HYPERLINK("http://twitter.com/download/iphone","Twitter for iPhone")</f>
        <v>Twitter for iPhone</v>
      </c>
      <c r="J1433" s="2">
        <v>220</v>
      </c>
      <c r="K1433" s="2">
        <v>224</v>
      </c>
      <c r="L1433" s="2">
        <v>0</v>
      </c>
      <c r="M1433" s="2"/>
      <c r="N1433" s="8">
        <v>43325.10837962963</v>
      </c>
      <c r="O1433" s="4" t="s">
        <v>4105</v>
      </c>
      <c r="P1433" s="3"/>
      <c r="Q1433" s="4"/>
      <c r="R1433" s="4"/>
      <c r="S1433" s="9" t="str">
        <f>HYPERLINK("https://pbs.twimg.com/profile_images/1041767888397512709/ybxJVrO9.jpg","View")</f>
        <v>View</v>
      </c>
    </row>
    <row r="1434" spans="1:19" ht="40">
      <c r="A1434" s="8">
        <v>43370.612256944441</v>
      </c>
      <c r="B1434" s="11" t="str">
        <f>HYPERLINK("https://twitter.com/m_eghbal350","@m_eghbal350")</f>
        <v>@m_eghbal350</v>
      </c>
      <c r="C1434" s="6" t="s">
        <v>1442</v>
      </c>
      <c r="D1434" s="5" t="s">
        <v>4104</v>
      </c>
      <c r="E1434" s="9" t="str">
        <f>HYPERLINK("https://twitter.com/m_eghbal350/status/1045269735741493248","1045269735741493248")</f>
        <v>1045269735741493248</v>
      </c>
      <c r="F1434" s="4"/>
      <c r="G1434" s="4"/>
      <c r="H1434" s="4"/>
      <c r="I1434" s="10" t="str">
        <f>HYPERLINK("http://twitter.com/download/android","Twitter for Android")</f>
        <v>Twitter for Android</v>
      </c>
      <c r="J1434" s="2">
        <v>646</v>
      </c>
      <c r="K1434" s="2">
        <v>301</v>
      </c>
      <c r="L1434" s="2">
        <v>3</v>
      </c>
      <c r="M1434" s="2"/>
      <c r="N1434" s="8">
        <v>42915.736921296295</v>
      </c>
      <c r="O1434" s="4"/>
      <c r="P1434" s="3" t="s">
        <v>1440</v>
      </c>
      <c r="Q1434" s="4"/>
      <c r="R1434" s="4"/>
      <c r="S1434" s="9" t="str">
        <f>HYPERLINK("https://pbs.twimg.com/profile_images/1028642286404550656/VEZFV5RW.jpg","View")</f>
        <v>View</v>
      </c>
    </row>
    <row r="1435" spans="1:19" ht="12.5">
      <c r="A1435" s="8">
        <v>43370.611770833333</v>
      </c>
      <c r="B1435" s="11" t="str">
        <f>HYPERLINK("https://twitter.com/Mhnds_87","@Mhnds_87")</f>
        <v>@Mhnds_87</v>
      </c>
      <c r="C1435" s="6" t="s">
        <v>4103</v>
      </c>
      <c r="D1435" s="5" t="s">
        <v>4102</v>
      </c>
      <c r="E1435" s="9" t="str">
        <f>HYPERLINK("https://twitter.com/Mhnds_87/status/1045269557189988352","1045269557189988352")</f>
        <v>1045269557189988352</v>
      </c>
      <c r="F1435" s="4"/>
      <c r="G1435" s="4"/>
      <c r="H1435" s="4"/>
      <c r="I1435" s="10" t="str">
        <f>HYPERLINK("http://twitter.com/download/android","Twitter for Android")</f>
        <v>Twitter for Android</v>
      </c>
      <c r="J1435" s="2">
        <v>210</v>
      </c>
      <c r="K1435" s="2">
        <v>307</v>
      </c>
      <c r="L1435" s="2">
        <v>2</v>
      </c>
      <c r="M1435" s="2"/>
      <c r="N1435" s="8">
        <v>40587.005601851852</v>
      </c>
      <c r="O1435" s="4" t="s">
        <v>1493</v>
      </c>
      <c r="P1435" s="3" t="s">
        <v>4101</v>
      </c>
      <c r="Q1435" s="4"/>
      <c r="R1435" s="4"/>
      <c r="S1435" s="9" t="str">
        <f>HYPERLINK("https://pbs.twimg.com/profile_images/1045039513716891648/jQELVFQM.jpg","View")</f>
        <v>View</v>
      </c>
    </row>
    <row r="1436" spans="1:19" ht="40">
      <c r="A1436" s="8">
        <v>43370.611574074079</v>
      </c>
      <c r="B1436" s="11" t="str">
        <f>HYPERLINK("https://twitter.com/DARAJEEEE","@DARAJEEEE")</f>
        <v>@DARAJEEEE</v>
      </c>
      <c r="C1436" s="6" t="s">
        <v>4100</v>
      </c>
      <c r="D1436" s="5" t="s">
        <v>4099</v>
      </c>
      <c r="E1436" s="9" t="str">
        <f>HYPERLINK("https://twitter.com/DARAJEEEE/status/1045269485211418624","1045269485211418624")</f>
        <v>1045269485211418624</v>
      </c>
      <c r="F1436" s="4"/>
      <c r="G1436" s="10" t="s">
        <v>4098</v>
      </c>
      <c r="H1436" s="4"/>
      <c r="I1436" s="10" t="str">
        <f>HYPERLINK("http://twitter.com","Twitter Web Client")</f>
        <v>Twitter Web Client</v>
      </c>
      <c r="J1436" s="2">
        <v>620</v>
      </c>
      <c r="K1436" s="2">
        <v>603</v>
      </c>
      <c r="L1436" s="2">
        <v>0</v>
      </c>
      <c r="M1436" s="2"/>
      <c r="N1436" s="8">
        <v>43321.798460648148</v>
      </c>
      <c r="O1436" s="4" t="s">
        <v>4097</v>
      </c>
      <c r="P1436" s="3" t="s">
        <v>4096</v>
      </c>
      <c r="Q1436" s="10" t="s">
        <v>4095</v>
      </c>
      <c r="R1436" s="4"/>
      <c r="S1436" s="9" t="str">
        <f>HYPERLINK("https://pbs.twimg.com/profile_images/1034943007806513154/3wxit0e-.jpg","View")</f>
        <v>View</v>
      </c>
    </row>
    <row r="1437" spans="1:19" ht="20">
      <c r="A1437" s="8">
        <v>43370.611331018517</v>
      </c>
      <c r="B1437" s="11" t="str">
        <f>HYPERLINK("https://twitter.com/sahaarnk","@sahaarnk")</f>
        <v>@sahaarnk</v>
      </c>
      <c r="C1437" s="6" t="s">
        <v>4094</v>
      </c>
      <c r="D1437" s="5" t="s">
        <v>4093</v>
      </c>
      <c r="E1437" s="9" t="str">
        <f>HYPERLINK("https://twitter.com/sahaarnk/status/1045269400776069120","1045269400776069120")</f>
        <v>1045269400776069120</v>
      </c>
      <c r="F1437" s="4"/>
      <c r="G1437" s="4"/>
      <c r="H1437" s="4"/>
      <c r="I1437" s="10" t="str">
        <f>HYPERLINK("http://twitter.com/download/iphone","Twitter for iPhone")</f>
        <v>Twitter for iPhone</v>
      </c>
      <c r="J1437" s="2">
        <v>156</v>
      </c>
      <c r="K1437" s="2">
        <v>155</v>
      </c>
      <c r="L1437" s="2">
        <v>0</v>
      </c>
      <c r="M1437" s="2"/>
      <c r="N1437" s="8">
        <v>42560.600115740745</v>
      </c>
      <c r="O1437" s="4" t="s">
        <v>1592</v>
      </c>
      <c r="P1437" s="3"/>
      <c r="Q1437" s="4"/>
      <c r="R1437" s="4"/>
      <c r="S1437" s="9" t="str">
        <f>HYPERLINK("https://pbs.twimg.com/profile_images/1032627671040184320/l_9okGBM.jpg","View")</f>
        <v>View</v>
      </c>
    </row>
    <row r="1438" spans="1:19" ht="20">
      <c r="A1438" s="8">
        <v>43370.596504629633</v>
      </c>
      <c r="B1438" s="11" t="str">
        <f>HYPERLINK("https://twitter.com/alirezagazi","@alirezagazi")</f>
        <v>@alirezagazi</v>
      </c>
      <c r="C1438" s="6" t="s">
        <v>4092</v>
      </c>
      <c r="D1438" s="5" t="s">
        <v>4091</v>
      </c>
      <c r="E1438" s="9" t="str">
        <f>HYPERLINK("https://twitter.com/alirezagazi/status/1045264026832445440","1045264026832445440")</f>
        <v>1045264026832445440</v>
      </c>
      <c r="F1438" s="4"/>
      <c r="G1438" s="4"/>
      <c r="H1438" s="4"/>
      <c r="I1438" s="10" t="str">
        <f>HYPERLINK("http://twitter.com/download/iphone","Twitter for iPhone")</f>
        <v>Twitter for iPhone</v>
      </c>
      <c r="J1438" s="2">
        <v>314</v>
      </c>
      <c r="K1438" s="2">
        <v>119</v>
      </c>
      <c r="L1438" s="2">
        <v>0</v>
      </c>
      <c r="M1438" s="2"/>
      <c r="N1438" s="8">
        <v>42272.883472222224</v>
      </c>
      <c r="O1438" s="4" t="s">
        <v>200</v>
      </c>
      <c r="P1438" s="3" t="s">
        <v>4090</v>
      </c>
      <c r="Q1438" s="10" t="s">
        <v>4089</v>
      </c>
      <c r="R1438" s="4"/>
      <c r="S1438" s="9" t="str">
        <f>HYPERLINK("https://pbs.twimg.com/profile_images/967835483987431426/ZPqaAhby.jpg","View")</f>
        <v>View</v>
      </c>
    </row>
    <row r="1439" spans="1:19" ht="20">
      <c r="A1439" s="8">
        <v>43370.596261574072</v>
      </c>
      <c r="B1439" s="11" t="str">
        <f>HYPERLINK("https://twitter.com/Milanak_blog","@Milanak_blog")</f>
        <v>@Milanak_blog</v>
      </c>
      <c r="C1439" s="6" t="s">
        <v>4088</v>
      </c>
      <c r="D1439" s="5" t="s">
        <v>4087</v>
      </c>
      <c r="E1439" s="9" t="str">
        <f>HYPERLINK("https://twitter.com/Milanak_blog/status/1045263936302587904","1045263936302587904")</f>
        <v>1045263936302587904</v>
      </c>
      <c r="F1439" s="4"/>
      <c r="G1439" s="4"/>
      <c r="H1439" s="4"/>
      <c r="I1439" s="10" t="str">
        <f>HYPERLINK("http://twitter.com/download/iphone","Twitter for iPhone")</f>
        <v>Twitter for iPhone</v>
      </c>
      <c r="J1439" s="2">
        <v>170</v>
      </c>
      <c r="K1439" s="2">
        <v>74</v>
      </c>
      <c r="L1439" s="2">
        <v>0</v>
      </c>
      <c r="M1439" s="2"/>
      <c r="N1439" s="8">
        <v>43300.04487268519</v>
      </c>
      <c r="O1439" s="4"/>
      <c r="P1439" s="3" t="s">
        <v>4086</v>
      </c>
      <c r="Q1439" s="10" t="s">
        <v>4085</v>
      </c>
      <c r="R1439" s="4"/>
      <c r="S1439" s="9" t="str">
        <f>HYPERLINK("https://pbs.twimg.com/profile_images/1042827208396558336/wHoKhLhl.jpg","View")</f>
        <v>View</v>
      </c>
    </row>
    <row r="1440" spans="1:19" ht="12.5">
      <c r="A1440" s="8">
        <v>43370.596250000002</v>
      </c>
      <c r="B1440" s="11" t="str">
        <f>HYPERLINK("https://twitter.com/fergieGGMU","@fergieGGMU")</f>
        <v>@fergieGGMU</v>
      </c>
      <c r="C1440" s="6" t="s">
        <v>4084</v>
      </c>
      <c r="D1440" s="5" t="s">
        <v>4083</v>
      </c>
      <c r="E1440" s="9" t="str">
        <f>HYPERLINK("https://twitter.com/fergieGGMU/status/1045263933626560512","1045263933626560512")</f>
        <v>1045263933626560512</v>
      </c>
      <c r="F1440" s="4"/>
      <c r="G1440" s="4"/>
      <c r="H1440" s="4"/>
      <c r="I1440" s="10" t="str">
        <f>HYPERLINK("http://twitter.com/download/android","Twitter for Android")</f>
        <v>Twitter for Android</v>
      </c>
      <c r="J1440" s="2">
        <v>0</v>
      </c>
      <c r="K1440" s="2">
        <v>0</v>
      </c>
      <c r="L1440" s="2">
        <v>0</v>
      </c>
      <c r="M1440" s="2"/>
      <c r="N1440" s="8">
        <v>43352.571145833332</v>
      </c>
      <c r="O1440" s="4" t="s">
        <v>200</v>
      </c>
      <c r="P1440" s="3"/>
      <c r="Q1440" s="4"/>
      <c r="R1440" s="4"/>
      <c r="S1440" s="9" t="str">
        <f>HYPERLINK("https://pbs.twimg.com/profile_images/1038721263475286016/MDk0sgXc.jpg","View")</f>
        <v>View</v>
      </c>
    </row>
    <row r="1441" spans="1:19" ht="20">
      <c r="A1441" s="8">
        <v>43370.596064814818</v>
      </c>
      <c r="B1441" s="11" t="str">
        <f>HYPERLINK("https://twitter.com/SinaHallajian","@SinaHallajian")</f>
        <v>@SinaHallajian</v>
      </c>
      <c r="C1441" s="6" t="s">
        <v>4082</v>
      </c>
      <c r="D1441" s="5" t="s">
        <v>4081</v>
      </c>
      <c r="E1441" s="9" t="str">
        <f>HYPERLINK("https://twitter.com/SinaHallajian/status/1045263866211586053","1045263866211586053")</f>
        <v>1045263866211586053</v>
      </c>
      <c r="F1441" s="4"/>
      <c r="G1441" s="10" t="s">
        <v>4080</v>
      </c>
      <c r="H1441" s="4"/>
      <c r="I1441" s="10" t="str">
        <f>HYPERLINK("http://twitter.com","Twitter Web Client")</f>
        <v>Twitter Web Client</v>
      </c>
      <c r="J1441" s="2">
        <v>325</v>
      </c>
      <c r="K1441" s="2">
        <v>126</v>
      </c>
      <c r="L1441" s="2">
        <v>2</v>
      </c>
      <c r="M1441" s="2"/>
      <c r="N1441" s="8">
        <v>41403.765347222223</v>
      </c>
      <c r="O1441" s="4" t="s">
        <v>10</v>
      </c>
      <c r="P1441" s="3" t="s">
        <v>4079</v>
      </c>
      <c r="Q1441" s="10" t="s">
        <v>4078</v>
      </c>
      <c r="R1441" s="4"/>
      <c r="S1441" s="9" t="str">
        <f>HYPERLINK("https://pbs.twimg.com/profile_images/847228116686692354/wquCShQq.jpg","View")</f>
        <v>View</v>
      </c>
    </row>
    <row r="1442" spans="1:19" ht="20">
      <c r="A1442" s="8">
        <v>43370.596018518518</v>
      </c>
      <c r="B1442" s="11" t="str">
        <f>HYPERLINK("https://twitter.com/hossein_2212","@hossein_2212")</f>
        <v>@hossein_2212</v>
      </c>
      <c r="C1442" s="6" t="s">
        <v>4033</v>
      </c>
      <c r="D1442" s="5" t="s">
        <v>4077</v>
      </c>
      <c r="E1442" s="9" t="str">
        <f>HYPERLINK("https://twitter.com/hossein_2212/status/1045263848322813952","1045263848322813952")</f>
        <v>1045263848322813952</v>
      </c>
      <c r="F1442" s="4"/>
      <c r="G1442" s="4"/>
      <c r="H1442" s="4"/>
      <c r="I1442" s="10" t="str">
        <f>HYPERLINK("http://twitter.com/download/android","Twitter for Android")</f>
        <v>Twitter for Android</v>
      </c>
      <c r="J1442" s="2">
        <v>426</v>
      </c>
      <c r="K1442" s="2">
        <v>1233</v>
      </c>
      <c r="L1442" s="2">
        <v>0</v>
      </c>
      <c r="M1442" s="2"/>
      <c r="N1442" s="8">
        <v>43073.786030092597</v>
      </c>
      <c r="O1442" s="4" t="s">
        <v>4031</v>
      </c>
      <c r="P1442" s="3" t="s">
        <v>4030</v>
      </c>
      <c r="Q1442" s="10" t="s">
        <v>4029</v>
      </c>
      <c r="R1442" s="4"/>
      <c r="S1442" s="9" t="str">
        <f>HYPERLINK("https://pbs.twimg.com/profile_images/1034799416635535360/BCesisGg.jpg","View")</f>
        <v>View</v>
      </c>
    </row>
    <row r="1443" spans="1:19" ht="20">
      <c r="A1443" s="8">
        <v>43370.595486111109</v>
      </c>
      <c r="B1443" s="11" t="str">
        <f>HYPERLINK("https://twitter.com/Zareb_XO","@Zareb_XO")</f>
        <v>@Zareb_XO</v>
      </c>
      <c r="C1443" s="6" t="s">
        <v>4076</v>
      </c>
      <c r="D1443" s="5" t="s">
        <v>4075</v>
      </c>
      <c r="E1443" s="9" t="str">
        <f>HYPERLINK("https://twitter.com/Zareb_XO/status/1045263658572550145","1045263658572550145")</f>
        <v>1045263658572550145</v>
      </c>
      <c r="F1443" s="4"/>
      <c r="G1443" s="10" t="s">
        <v>4074</v>
      </c>
      <c r="H1443" s="4"/>
      <c r="I1443" s="10" t="str">
        <f>HYPERLINK("http://twitter.com/download/android","Twitter for Android")</f>
        <v>Twitter for Android</v>
      </c>
      <c r="J1443" s="2">
        <v>328</v>
      </c>
      <c r="K1443" s="2">
        <v>334</v>
      </c>
      <c r="L1443" s="2">
        <v>0</v>
      </c>
      <c r="M1443" s="2"/>
      <c r="N1443" s="8">
        <v>43331.591192129628</v>
      </c>
      <c r="O1443" s="4" t="s">
        <v>4073</v>
      </c>
      <c r="P1443" s="3" t="s">
        <v>4072</v>
      </c>
      <c r="Q1443" s="4"/>
      <c r="R1443" s="4"/>
      <c r="S1443" s="9" t="str">
        <f>HYPERLINK("https://pbs.twimg.com/profile_images/1044990337679282176/uKjGKUAq.jpg","View")</f>
        <v>View</v>
      </c>
    </row>
    <row r="1444" spans="1:19" ht="40">
      <c r="A1444" s="8">
        <v>43370.595416666663</v>
      </c>
      <c r="B1444" s="11" t="str">
        <f>HYPERLINK("https://twitter.com/omid_seyfi","@omid_seyfi")</f>
        <v>@omid_seyfi</v>
      </c>
      <c r="C1444" s="6" t="s">
        <v>4071</v>
      </c>
      <c r="D1444" s="5" t="s">
        <v>4070</v>
      </c>
      <c r="E1444" s="9" t="str">
        <f>HYPERLINK("https://twitter.com/omid_seyfi/status/1045263630298742785","1045263630298742785")</f>
        <v>1045263630298742785</v>
      </c>
      <c r="F1444" s="4"/>
      <c r="G1444" s="10" t="s">
        <v>4069</v>
      </c>
      <c r="H1444" s="4"/>
      <c r="I1444" s="10" t="str">
        <f>HYPERLINK("https://mobile.twitter.com","Twitter Lite")</f>
        <v>Twitter Lite</v>
      </c>
      <c r="J1444" s="2">
        <v>11</v>
      </c>
      <c r="K1444" s="2">
        <v>27</v>
      </c>
      <c r="L1444" s="2">
        <v>0</v>
      </c>
      <c r="M1444" s="2"/>
      <c r="N1444" s="8">
        <v>42504.976388888885</v>
      </c>
      <c r="O1444" s="4" t="s">
        <v>72</v>
      </c>
      <c r="P1444" s="3" t="s">
        <v>4068</v>
      </c>
      <c r="Q1444" s="4"/>
      <c r="R1444" s="4"/>
      <c r="S1444" s="9" t="str">
        <f>HYPERLINK("https://pbs.twimg.com/profile_images/1030736320635842560/nBFjCu-F.jpg","View")</f>
        <v>View</v>
      </c>
    </row>
    <row r="1445" spans="1:19" ht="30">
      <c r="A1445" s="8">
        <v>43370.594930555555</v>
      </c>
      <c r="B1445" s="11" t="str">
        <f>HYPERLINK("https://twitter.com/hamedanian_133","@hamedanian_133")</f>
        <v>@hamedanian_133</v>
      </c>
      <c r="C1445" s="6" t="s">
        <v>4067</v>
      </c>
      <c r="D1445" s="5" t="s">
        <v>4066</v>
      </c>
      <c r="E1445" s="9" t="str">
        <f>HYPERLINK("https://twitter.com/hamedanian_133/status/1045263454502883328","1045263454502883328")</f>
        <v>1045263454502883328</v>
      </c>
      <c r="F1445" s="4"/>
      <c r="G1445" s="4"/>
      <c r="H1445" s="4"/>
      <c r="I1445" s="10" t="str">
        <f>HYPERLINK("http://twitter.com/download/android","Twitter for Android")</f>
        <v>Twitter for Android</v>
      </c>
      <c r="J1445" s="2">
        <v>2941</v>
      </c>
      <c r="K1445" s="2">
        <v>3309</v>
      </c>
      <c r="L1445" s="2">
        <v>6</v>
      </c>
      <c r="M1445" s="2"/>
      <c r="N1445" s="8">
        <v>43066.532997685186</v>
      </c>
      <c r="O1445" s="4" t="s">
        <v>4065</v>
      </c>
      <c r="P1445" s="3" t="s">
        <v>4064</v>
      </c>
      <c r="Q1445" s="4"/>
      <c r="R1445" s="4"/>
      <c r="S1445" s="9" t="str">
        <f>HYPERLINK("https://pbs.twimg.com/profile_images/1001034792861921280/tbJ37Laa.jpg","View")</f>
        <v>View</v>
      </c>
    </row>
    <row r="1446" spans="1:19" ht="12.5">
      <c r="A1446" s="8">
        <v>43370.594918981486</v>
      </c>
      <c r="B1446" s="11" t="str">
        <f>HYPERLINK("https://twitter.com/AlirezaSotakbar","@AlirezaSotakbar")</f>
        <v>@AlirezaSotakbar</v>
      </c>
      <c r="C1446" s="6" t="s">
        <v>3975</v>
      </c>
      <c r="D1446" s="5" t="s">
        <v>4063</v>
      </c>
      <c r="E1446" s="9" t="str">
        <f>HYPERLINK("https://twitter.com/AlirezaSotakbar/status/1045263451487178752","1045263451487178752")</f>
        <v>1045263451487178752</v>
      </c>
      <c r="F1446" s="4"/>
      <c r="G1446" s="4"/>
      <c r="H1446" s="4"/>
      <c r="I1446" s="10" t="str">
        <f>HYPERLINK("http://twitter.com/download/iphone","Twitter for iPhone")</f>
        <v>Twitter for iPhone</v>
      </c>
      <c r="J1446" s="2">
        <v>541</v>
      </c>
      <c r="K1446" s="2">
        <v>421</v>
      </c>
      <c r="L1446" s="2">
        <v>1</v>
      </c>
      <c r="M1446" s="2"/>
      <c r="N1446" s="8">
        <v>40163.523194444446</v>
      </c>
      <c r="O1446" s="4" t="s">
        <v>793</v>
      </c>
      <c r="P1446" s="3" t="s">
        <v>3973</v>
      </c>
      <c r="Q1446" s="4"/>
      <c r="R1446" s="4"/>
      <c r="S1446" s="9" t="str">
        <f>HYPERLINK("https://pbs.twimg.com/profile_images/926057523999903744/JYBqGX5C.jpg","View")</f>
        <v>View</v>
      </c>
    </row>
    <row r="1447" spans="1:19" ht="20">
      <c r="A1447" s="8">
        <v>43370.594791666663</v>
      </c>
      <c r="B1447" s="11" t="str">
        <f>HYPERLINK("https://twitter.com/jokeghermez","@jokeghermez")</f>
        <v>@jokeghermez</v>
      </c>
      <c r="C1447" s="6" t="s">
        <v>3999</v>
      </c>
      <c r="D1447" s="5" t="s">
        <v>4062</v>
      </c>
      <c r="E1447" s="9" t="str">
        <f>HYPERLINK("https://twitter.com/jokeghermez/status/1045263404846452736","1045263404846452736")</f>
        <v>1045263404846452736</v>
      </c>
      <c r="F1447" s="4"/>
      <c r="G1447" s="4"/>
      <c r="H1447" s="4"/>
      <c r="I1447" s="10" t="str">
        <f>HYPERLINK("http://twitter.com/download/android","Twitter for Android")</f>
        <v>Twitter for Android</v>
      </c>
      <c r="J1447" s="2">
        <v>664</v>
      </c>
      <c r="K1447" s="2">
        <v>44</v>
      </c>
      <c r="L1447" s="2">
        <v>2</v>
      </c>
      <c r="M1447" s="2"/>
      <c r="N1447" s="8">
        <v>43122.77789351852</v>
      </c>
      <c r="O1447" s="4" t="s">
        <v>3996</v>
      </c>
      <c r="P1447" s="3" t="s">
        <v>3995</v>
      </c>
      <c r="Q1447" s="4"/>
      <c r="R1447" s="4"/>
      <c r="S1447" s="9" t="str">
        <f>HYPERLINK("https://pbs.twimg.com/profile_images/1042754085861183489/rEE_VJDT.jpg","View")</f>
        <v>View</v>
      </c>
    </row>
    <row r="1448" spans="1:19" ht="20">
      <c r="A1448" s="8">
        <v>43370.594629629632</v>
      </c>
      <c r="B1448" s="11" t="str">
        <f>HYPERLINK("https://twitter.com/darklikeashadow","@darklikeashadow")</f>
        <v>@darklikeashadow</v>
      </c>
      <c r="C1448" s="6" t="s">
        <v>4061</v>
      </c>
      <c r="D1448" s="5" t="s">
        <v>4060</v>
      </c>
      <c r="E1448" s="9" t="str">
        <f>HYPERLINK("https://twitter.com/darklikeashadow/status/1045263347585884160","1045263347585884160")</f>
        <v>1045263347585884160</v>
      </c>
      <c r="F1448" s="4"/>
      <c r="G1448" s="10" t="s">
        <v>4059</v>
      </c>
      <c r="H1448" s="4"/>
      <c r="I1448" s="10" t="str">
        <f>HYPERLINK("http://twitter.com/download/iphone","Twitter for iPhone")</f>
        <v>Twitter for iPhone</v>
      </c>
      <c r="J1448" s="2">
        <v>199</v>
      </c>
      <c r="K1448" s="2">
        <v>268</v>
      </c>
      <c r="L1448" s="2">
        <v>1</v>
      </c>
      <c r="M1448" s="2"/>
      <c r="N1448" s="8">
        <v>43074.557719907403</v>
      </c>
      <c r="O1448" s="4" t="s">
        <v>2184</v>
      </c>
      <c r="P1448" s="3" t="s">
        <v>4058</v>
      </c>
      <c r="Q1448" s="4"/>
      <c r="R1448" s="4"/>
      <c r="S1448" s="9" t="str">
        <f>HYPERLINK("https://pbs.twimg.com/profile_images/1044690658496311297/yDBP_lAe.jpg","View")</f>
        <v>View</v>
      </c>
    </row>
    <row r="1449" spans="1:19" ht="30">
      <c r="A1449" s="8">
        <v>43370.594618055555</v>
      </c>
      <c r="B1449" s="11" t="str">
        <f>HYPERLINK("https://twitter.com/VornaSunyeari","@VornaSunyeari")</f>
        <v>@VornaSunyeari</v>
      </c>
      <c r="C1449" s="6" t="s">
        <v>4057</v>
      </c>
      <c r="D1449" s="5" t="s">
        <v>4056</v>
      </c>
      <c r="E1449" s="9" t="str">
        <f>HYPERLINK("https://twitter.com/VornaSunyeari/status/1045263342116450304","1045263342116450304")</f>
        <v>1045263342116450304</v>
      </c>
      <c r="F1449" s="4"/>
      <c r="G1449" s="4"/>
      <c r="H1449" s="4"/>
      <c r="I1449" s="10" t="str">
        <f>HYPERLINK("http://twitter.com/download/android","Twitter for Android")</f>
        <v>Twitter for Android</v>
      </c>
      <c r="J1449" s="2">
        <v>44</v>
      </c>
      <c r="K1449" s="2">
        <v>235</v>
      </c>
      <c r="L1449" s="2">
        <v>0</v>
      </c>
      <c r="M1449" s="2"/>
      <c r="N1449" s="8">
        <v>41821.739444444444</v>
      </c>
      <c r="O1449" s="4" t="s">
        <v>200</v>
      </c>
      <c r="P1449" s="3" t="s">
        <v>4055</v>
      </c>
      <c r="Q1449" s="10" t="s">
        <v>4054</v>
      </c>
      <c r="R1449" s="4"/>
      <c r="S1449" s="9" t="str">
        <f>HYPERLINK("https://pbs.twimg.com/profile_images/578539151873572864/nt5W0WR2.jpeg","View")</f>
        <v>View</v>
      </c>
    </row>
    <row r="1450" spans="1:19" ht="30">
      <c r="A1450" s="8">
        <v>43370.594201388885</v>
      </c>
      <c r="B1450" s="11" t="str">
        <f>HYPERLINK("https://twitter.com/Ali_Ali_eselty","@Ali_Ali_eselty")</f>
        <v>@Ali_Ali_eselty</v>
      </c>
      <c r="C1450" s="6" t="s">
        <v>3561</v>
      </c>
      <c r="D1450" s="5" t="s">
        <v>4053</v>
      </c>
      <c r="E1450" s="9" t="str">
        <f>HYPERLINK("https://twitter.com/Ali_Ali_eselty/status/1045263190161084416","1045263190161084416")</f>
        <v>1045263190161084416</v>
      </c>
      <c r="F1450" s="4"/>
      <c r="G1450" s="10" t="s">
        <v>4052</v>
      </c>
      <c r="H1450" s="4"/>
      <c r="I1450" s="10" t="str">
        <f>HYPERLINK("http://twitter.com/download/iphone","Twitter for iPhone")</f>
        <v>Twitter for iPhone</v>
      </c>
      <c r="J1450" s="2">
        <v>18</v>
      </c>
      <c r="K1450" s="2">
        <v>53</v>
      </c>
      <c r="L1450" s="2">
        <v>0</v>
      </c>
      <c r="M1450" s="2"/>
      <c r="N1450" s="8">
        <v>43221.979305555556</v>
      </c>
      <c r="O1450" s="4" t="s">
        <v>200</v>
      </c>
      <c r="P1450" s="3" t="s">
        <v>4051</v>
      </c>
      <c r="Q1450" s="4"/>
      <c r="R1450" s="4"/>
      <c r="S1450" s="9" t="str">
        <f>HYPERLINK("https://pbs.twimg.com/profile_images/1043411516635181061/tUjd2HCP.jpg","View")</f>
        <v>View</v>
      </c>
    </row>
    <row r="1451" spans="1:19" ht="12.5">
      <c r="A1451" s="8">
        <v>43370.59412037037</v>
      </c>
      <c r="B1451" s="11" t="str">
        <f>HYPERLINK("https://twitter.com/at_sh1997","@at_sh1997")</f>
        <v>@at_sh1997</v>
      </c>
      <c r="C1451" s="6" t="s">
        <v>4050</v>
      </c>
      <c r="D1451" s="5" t="s">
        <v>4049</v>
      </c>
      <c r="E1451" s="9" t="str">
        <f>HYPERLINK("https://twitter.com/at_sh1997/status/1045263163934027776","1045263163934027776")</f>
        <v>1045263163934027776</v>
      </c>
      <c r="F1451" s="4"/>
      <c r="G1451" s="10" t="s">
        <v>4048</v>
      </c>
      <c r="H1451" s="4"/>
      <c r="I1451" s="10" t="str">
        <f>HYPERLINK("http://twitter.com/download/android","Twitter for Android")</f>
        <v>Twitter for Android</v>
      </c>
      <c r="J1451" s="2">
        <v>84</v>
      </c>
      <c r="K1451" s="2">
        <v>96</v>
      </c>
      <c r="L1451" s="2">
        <v>0</v>
      </c>
      <c r="M1451" s="2"/>
      <c r="N1451" s="8">
        <v>42802.534884259258</v>
      </c>
      <c r="O1451" s="4" t="s">
        <v>4047</v>
      </c>
      <c r="P1451" s="3" t="s">
        <v>4046</v>
      </c>
      <c r="Q1451" s="4"/>
      <c r="R1451" s="4"/>
      <c r="S1451" s="9" t="str">
        <f>HYPERLINK("https://pbs.twimg.com/profile_images/1044560002785189888/47tK9x9Q.jpg","View")</f>
        <v>View</v>
      </c>
    </row>
    <row r="1452" spans="1:19" ht="12.5">
      <c r="A1452" s="8">
        <v>43370.593912037039</v>
      </c>
      <c r="B1452" s="11" t="str">
        <f>HYPERLINK("https://twitter.com/blue_jeanz","@blue_jeanz")</f>
        <v>@blue_jeanz</v>
      </c>
      <c r="C1452" s="6" t="s">
        <v>4045</v>
      </c>
      <c r="D1452" s="5" t="s">
        <v>4044</v>
      </c>
      <c r="E1452" s="9" t="str">
        <f>HYPERLINK("https://twitter.com/blue_jeanz/status/1045263084619812864","1045263084619812864")</f>
        <v>1045263084619812864</v>
      </c>
      <c r="F1452" s="4"/>
      <c r="G1452" s="4"/>
      <c r="H1452" s="4"/>
      <c r="I1452" s="10" t="str">
        <f>HYPERLINK("http://twitter.com/download/android","Twitter for Android")</f>
        <v>Twitter for Android</v>
      </c>
      <c r="J1452" s="2">
        <v>405</v>
      </c>
      <c r="K1452" s="2">
        <v>267</v>
      </c>
      <c r="L1452" s="2">
        <v>2</v>
      </c>
      <c r="M1452" s="2"/>
      <c r="N1452" s="8">
        <v>42694.871782407412</v>
      </c>
      <c r="O1452" s="4" t="s">
        <v>4043</v>
      </c>
      <c r="P1452" s="3" t="s">
        <v>4042</v>
      </c>
      <c r="Q1452" s="4"/>
      <c r="R1452" s="4"/>
      <c r="S1452" s="9" t="str">
        <f>HYPERLINK("https://pbs.twimg.com/profile_images/1019221682005868549/Pz22rD6R.jpg","View")</f>
        <v>View</v>
      </c>
    </row>
    <row r="1453" spans="1:19" ht="30">
      <c r="A1453" s="8">
        <v>43370.59373842593</v>
      </c>
      <c r="B1453" s="11" t="str">
        <f>HYPERLINK("https://twitter.com/TaherAgaei","@TaherAgaei")</f>
        <v>@TaherAgaei</v>
      </c>
      <c r="C1453" s="6" t="s">
        <v>4041</v>
      </c>
      <c r="D1453" s="5" t="s">
        <v>4040</v>
      </c>
      <c r="E1453" s="9" t="str">
        <f>HYPERLINK("https://twitter.com/TaherAgaei/status/1045263021805899776","1045263021805899776")</f>
        <v>1045263021805899776</v>
      </c>
      <c r="F1453" s="4"/>
      <c r="G1453" s="4"/>
      <c r="H1453" s="4"/>
      <c r="I1453" s="10" t="str">
        <f>HYPERLINK("https://mobile.twitter.com","Twitter Lite")</f>
        <v>Twitter Lite</v>
      </c>
      <c r="J1453" s="2">
        <v>11</v>
      </c>
      <c r="K1453" s="2">
        <v>24</v>
      </c>
      <c r="L1453" s="2">
        <v>0</v>
      </c>
      <c r="M1453" s="2"/>
      <c r="N1453" s="8">
        <v>42197.554398148146</v>
      </c>
      <c r="O1453" s="4" t="s">
        <v>289</v>
      </c>
      <c r="P1453" s="3"/>
      <c r="Q1453" s="4"/>
      <c r="R1453" s="4"/>
      <c r="S1453" s="9" t="str">
        <f>HYPERLINK("https://pbs.twimg.com/profile_images/1028227997323681792/Thc83Z7f.jpg","View")</f>
        <v>View</v>
      </c>
    </row>
    <row r="1454" spans="1:19" ht="30">
      <c r="A1454" s="8">
        <v>43370.593703703707</v>
      </c>
      <c r="B1454" s="11" t="str">
        <f>HYPERLINK("https://twitter.com/ravizh_","@ravizh_")</f>
        <v>@ravizh_</v>
      </c>
      <c r="C1454" s="6" t="s">
        <v>4039</v>
      </c>
      <c r="D1454" s="5" t="s">
        <v>4038</v>
      </c>
      <c r="E1454" s="9" t="str">
        <f>HYPERLINK("https://twitter.com/ravizh_/status/1045263009780834304","1045263009780834304")</f>
        <v>1045263009780834304</v>
      </c>
      <c r="F1454" s="4"/>
      <c r="G1454" s="4"/>
      <c r="H1454" s="4"/>
      <c r="I1454" s="10" t="str">
        <f>HYPERLINK("http://twitter.com","Twitter Web Client")</f>
        <v>Twitter Web Client</v>
      </c>
      <c r="J1454" s="2">
        <v>25</v>
      </c>
      <c r="K1454" s="2">
        <v>30</v>
      </c>
      <c r="L1454" s="2">
        <v>0</v>
      </c>
      <c r="M1454" s="2"/>
      <c r="N1454" s="8">
        <v>43343.715798611112</v>
      </c>
      <c r="O1454" s="4"/>
      <c r="P1454" s="3" t="s">
        <v>4037</v>
      </c>
      <c r="Q1454" s="4"/>
      <c r="R1454" s="4"/>
      <c r="S1454" s="9" t="str">
        <f>HYPERLINK("https://pbs.twimg.com/profile_images/1043860019882708992/K44L-yEC.jpg","View")</f>
        <v>View</v>
      </c>
    </row>
    <row r="1455" spans="1:19" ht="12.5">
      <c r="A1455" s="8">
        <v>43370.593657407408</v>
      </c>
      <c r="B1455" s="11" t="str">
        <f>HYPERLINK("https://twitter.com/jalilian_ho","@jalilian_ho")</f>
        <v>@jalilian_ho</v>
      </c>
      <c r="C1455" s="6" t="s">
        <v>4036</v>
      </c>
      <c r="D1455" s="5" t="s">
        <v>4035</v>
      </c>
      <c r="E1455" s="9" t="str">
        <f>HYPERLINK("https://twitter.com/jalilian_ho/status/1045262996128354304","1045262996128354304")</f>
        <v>1045262996128354304</v>
      </c>
      <c r="F1455" s="4"/>
      <c r="G1455" s="4"/>
      <c r="H1455" s="4"/>
      <c r="I1455" s="10" t="str">
        <f>HYPERLINK("http://twitter.com/download/android","Twitter for Android")</f>
        <v>Twitter for Android</v>
      </c>
      <c r="J1455" s="2">
        <v>2843</v>
      </c>
      <c r="K1455" s="2">
        <v>2435</v>
      </c>
      <c r="L1455" s="2">
        <v>1</v>
      </c>
      <c r="M1455" s="2"/>
      <c r="N1455" s="8">
        <v>42927.432083333333</v>
      </c>
      <c r="O1455" s="4" t="s">
        <v>4034</v>
      </c>
      <c r="P1455" s="3"/>
      <c r="Q1455" s="4"/>
      <c r="R1455" s="4"/>
      <c r="S1455" s="9" t="str">
        <f>HYPERLINK("https://pbs.twimg.com/profile_images/981422986593996803/6Wnp1lgW.jpg","View")</f>
        <v>View</v>
      </c>
    </row>
    <row r="1456" spans="1:19" ht="20">
      <c r="A1456" s="8">
        <v>43370.593576388885</v>
      </c>
      <c r="B1456" s="11" t="str">
        <f>HYPERLINK("https://twitter.com/hossein_2212","@hossein_2212")</f>
        <v>@hossein_2212</v>
      </c>
      <c r="C1456" s="6" t="s">
        <v>4033</v>
      </c>
      <c r="D1456" s="5" t="s">
        <v>4032</v>
      </c>
      <c r="E1456" s="9" t="str">
        <f>HYPERLINK("https://twitter.com/hossein_2212/status/1045262966550134784","1045262966550134784")</f>
        <v>1045262966550134784</v>
      </c>
      <c r="F1456" s="4"/>
      <c r="G1456" s="4"/>
      <c r="H1456" s="4"/>
      <c r="I1456" s="10" t="str">
        <f>HYPERLINK("http://twitter.com/download/android","Twitter for Android")</f>
        <v>Twitter for Android</v>
      </c>
      <c r="J1456" s="2">
        <v>426</v>
      </c>
      <c r="K1456" s="2">
        <v>1233</v>
      </c>
      <c r="L1456" s="2">
        <v>0</v>
      </c>
      <c r="M1456" s="2"/>
      <c r="N1456" s="8">
        <v>43073.786030092597</v>
      </c>
      <c r="O1456" s="4" t="s">
        <v>4031</v>
      </c>
      <c r="P1456" s="3" t="s">
        <v>4030</v>
      </c>
      <c r="Q1456" s="10" t="s">
        <v>4029</v>
      </c>
      <c r="R1456" s="4"/>
      <c r="S1456" s="9" t="str">
        <f>HYPERLINK("https://pbs.twimg.com/profile_images/1034799416635535360/BCesisGg.jpg","View")</f>
        <v>View</v>
      </c>
    </row>
    <row r="1457" spans="1:19" ht="20">
      <c r="A1457" s="8">
        <v>43370.593530092592</v>
      </c>
      <c r="B1457" s="11" t="str">
        <f>HYPERLINK("https://twitter.com/Amir_075","@Amir_075")</f>
        <v>@Amir_075</v>
      </c>
      <c r="C1457" s="6" t="s">
        <v>4028</v>
      </c>
      <c r="D1457" s="5" t="s">
        <v>4027</v>
      </c>
      <c r="E1457" s="9" t="str">
        <f>HYPERLINK("https://twitter.com/Amir_075/status/1045262948678193152","1045262948678193152")</f>
        <v>1045262948678193152</v>
      </c>
      <c r="F1457" s="4"/>
      <c r="G1457" s="4"/>
      <c r="H1457" s="4"/>
      <c r="I1457" s="10" t="str">
        <f>HYPERLINK("http://twitter.com/download/android","Twitter for Android")</f>
        <v>Twitter for Android</v>
      </c>
      <c r="J1457" s="2">
        <v>141</v>
      </c>
      <c r="K1457" s="2">
        <v>159</v>
      </c>
      <c r="L1457" s="2">
        <v>0</v>
      </c>
      <c r="M1457" s="2"/>
      <c r="N1457" s="8">
        <v>43165.530914351853</v>
      </c>
      <c r="O1457" s="4"/>
      <c r="P1457" s="3" t="s">
        <v>4026</v>
      </c>
      <c r="Q1457" s="4"/>
      <c r="R1457" s="4"/>
      <c r="S1457" s="9" t="str">
        <f>HYPERLINK("https://pbs.twimg.com/profile_images/1044332394822733825/eo8DT4Pw.jpg","View")</f>
        <v>View</v>
      </c>
    </row>
    <row r="1458" spans="1:19" ht="20">
      <c r="A1458" s="8">
        <v>43370.593321759261</v>
      </c>
      <c r="B1458" s="11" t="str">
        <f>HYPERLINK("https://twitter.com/judyy_abbott","@judyy_abbott")</f>
        <v>@judyy_abbott</v>
      </c>
      <c r="C1458" s="6" t="s">
        <v>4025</v>
      </c>
      <c r="D1458" s="5" t="s">
        <v>4024</v>
      </c>
      <c r="E1458" s="9" t="str">
        <f>HYPERLINK("https://twitter.com/judyy_abbott/status/1045262872975167488","1045262872975167488")</f>
        <v>1045262872975167488</v>
      </c>
      <c r="F1458" s="4"/>
      <c r="G1458" s="10" t="s">
        <v>4023</v>
      </c>
      <c r="H1458" s="4"/>
      <c r="I1458" s="10" t="str">
        <f>HYPERLINK("http://twitter.com/download/android","Twitter for Android")</f>
        <v>Twitter for Android</v>
      </c>
      <c r="J1458" s="2">
        <v>1064</v>
      </c>
      <c r="K1458" s="2">
        <v>549</v>
      </c>
      <c r="L1458" s="2">
        <v>5</v>
      </c>
      <c r="M1458" s="2"/>
      <c r="N1458" s="8">
        <v>42874.865243055552</v>
      </c>
      <c r="O1458" s="4" t="s">
        <v>4022</v>
      </c>
      <c r="P1458" s="3" t="s">
        <v>4021</v>
      </c>
      <c r="Q1458" s="10" t="s">
        <v>4020</v>
      </c>
      <c r="R1458" s="4"/>
      <c r="S1458" s="9" t="str">
        <f>HYPERLINK("https://pbs.twimg.com/profile_images/1040966321222115328/1vfxmXIM.jpg","View")</f>
        <v>View</v>
      </c>
    </row>
    <row r="1459" spans="1:19" ht="30">
      <c r="A1459" s="8">
        <v>43370.593090277776</v>
      </c>
      <c r="B1459" s="11" t="str">
        <f>HYPERLINK("https://twitter.com/lisa_Monaa_lisa","@lisa_Monaa_lisa")</f>
        <v>@lisa_Monaa_lisa</v>
      </c>
      <c r="C1459" s="6" t="s">
        <v>4019</v>
      </c>
      <c r="D1459" s="5" t="s">
        <v>4018</v>
      </c>
      <c r="E1459" s="9" t="str">
        <f>HYPERLINK("https://twitter.com/lisa_Monaa_lisa/status/1045262789130866688","1045262789130866688")</f>
        <v>1045262789130866688</v>
      </c>
      <c r="F1459" s="4"/>
      <c r="G1459" s="4"/>
      <c r="H1459" s="4"/>
      <c r="I1459" s="10" t="str">
        <f>HYPERLINK("http://twitter.com","Twitter Web Client")</f>
        <v>Twitter Web Client</v>
      </c>
      <c r="J1459" s="2">
        <v>9021</v>
      </c>
      <c r="K1459" s="2">
        <v>1009</v>
      </c>
      <c r="L1459" s="2">
        <v>15</v>
      </c>
      <c r="M1459" s="2"/>
      <c r="N1459" s="8">
        <v>41348.465833333335</v>
      </c>
      <c r="O1459" s="4"/>
      <c r="P1459" s="3"/>
      <c r="Q1459" s="10" t="s">
        <v>4017</v>
      </c>
      <c r="R1459" s="4"/>
      <c r="S1459" s="9" t="str">
        <f>HYPERLINK("https://pbs.twimg.com/profile_images/794304690137825280/uBwXV_3Y.jpg","View")</f>
        <v>View</v>
      </c>
    </row>
    <row r="1460" spans="1:19" ht="20">
      <c r="A1460" s="8">
        <v>43370.593078703707</v>
      </c>
      <c r="B1460" s="11" t="str">
        <f>HYPERLINK("https://twitter.com/MohammadiHsh301","@MohammadiHsh301")</f>
        <v>@MohammadiHsh301</v>
      </c>
      <c r="C1460" s="6" t="s">
        <v>4016</v>
      </c>
      <c r="D1460" s="5" t="s">
        <v>4015</v>
      </c>
      <c r="E1460" s="9" t="str">
        <f>HYPERLINK("https://twitter.com/MohammadiHsh301/status/1045262785339363328","1045262785339363328")</f>
        <v>1045262785339363328</v>
      </c>
      <c r="F1460" s="4"/>
      <c r="G1460" s="4"/>
      <c r="H1460" s="4"/>
      <c r="I1460" s="10" t="str">
        <f>HYPERLINK("http://twitter.com/download/iphone","Twitter for iPhone")</f>
        <v>Twitter for iPhone</v>
      </c>
      <c r="J1460" s="2">
        <v>33</v>
      </c>
      <c r="K1460" s="2">
        <v>111</v>
      </c>
      <c r="L1460" s="2">
        <v>0</v>
      </c>
      <c r="M1460" s="2"/>
      <c r="N1460" s="8">
        <v>41568.788437499999</v>
      </c>
      <c r="O1460" s="4"/>
      <c r="P1460" s="3" t="s">
        <v>4014</v>
      </c>
      <c r="Q1460" s="4"/>
      <c r="R1460" s="4"/>
      <c r="S1460" s="9" t="str">
        <f>HYPERLINK("https://pbs.twimg.com/profile_images/866234655200219136/F-LZkeET.jpg","View")</f>
        <v>View</v>
      </c>
    </row>
    <row r="1461" spans="1:19" ht="20">
      <c r="A1461" s="8">
        <v>43370.592974537038</v>
      </c>
      <c r="B1461" s="11" t="str">
        <f>HYPERLINK("https://twitter.com/samiioss","@samiioss")</f>
        <v>@samiioss</v>
      </c>
      <c r="C1461" s="6" t="s">
        <v>2830</v>
      </c>
      <c r="D1461" s="5" t="s">
        <v>4013</v>
      </c>
      <c r="E1461" s="9" t="str">
        <f>HYPERLINK("https://twitter.com/samiioss/status/1045262744637779968","1045262744637779968")</f>
        <v>1045262744637779968</v>
      </c>
      <c r="F1461" s="4"/>
      <c r="G1461" s="4"/>
      <c r="H1461" s="4"/>
      <c r="I1461" s="10" t="str">
        <f>HYPERLINK("http://twitter.com/download/iphone","Twitter for iPhone")</f>
        <v>Twitter for iPhone</v>
      </c>
      <c r="J1461" s="2">
        <v>452</v>
      </c>
      <c r="K1461" s="2">
        <v>583</v>
      </c>
      <c r="L1461" s="2">
        <v>2</v>
      </c>
      <c r="M1461" s="2"/>
      <c r="N1461" s="8">
        <v>40713.575046296297</v>
      </c>
      <c r="O1461" s="4" t="s">
        <v>31</v>
      </c>
      <c r="P1461" s="3" t="s">
        <v>2828</v>
      </c>
      <c r="Q1461" s="4"/>
      <c r="R1461" s="4"/>
      <c r="S1461" s="9" t="str">
        <f>HYPERLINK("https://pbs.twimg.com/profile_images/1012384722226274305/rV4IgGhD.jpg","View")</f>
        <v>View</v>
      </c>
    </row>
    <row r="1462" spans="1:19" ht="30">
      <c r="A1462" s="8">
        <v>43370.592719907407</v>
      </c>
      <c r="B1462" s="11" t="str">
        <f>HYPERLINK("https://twitter.com/sinshinalef","@sinshinalef")</f>
        <v>@sinshinalef</v>
      </c>
      <c r="C1462" s="6" t="s">
        <v>4012</v>
      </c>
      <c r="D1462" s="5" t="s">
        <v>4011</v>
      </c>
      <c r="E1462" s="9" t="str">
        <f>HYPERLINK("https://twitter.com/sinshinalef/status/1045262656247017472","1045262656247017472")</f>
        <v>1045262656247017472</v>
      </c>
      <c r="F1462" s="4"/>
      <c r="G1462" s="4"/>
      <c r="H1462" s="4"/>
      <c r="I1462" s="10" t="str">
        <f>HYPERLINK("http://twitter.com/download/android","Twitter for Android")</f>
        <v>Twitter for Android</v>
      </c>
      <c r="J1462" s="2">
        <v>363</v>
      </c>
      <c r="K1462" s="2">
        <v>63</v>
      </c>
      <c r="L1462" s="2">
        <v>1</v>
      </c>
      <c r="M1462" s="2"/>
      <c r="N1462" s="8">
        <v>42792.910590277781</v>
      </c>
      <c r="O1462" s="4"/>
      <c r="P1462" s="3" t="s">
        <v>4010</v>
      </c>
      <c r="Q1462" s="4"/>
      <c r="R1462" s="4"/>
      <c r="S1462" s="9" t="str">
        <f>HYPERLINK("https://pbs.twimg.com/profile_images/836277080052625409/Ti6lslcz.jpg","View")</f>
        <v>View</v>
      </c>
    </row>
    <row r="1463" spans="1:19" ht="20">
      <c r="A1463" s="8">
        <v>43370.592372685191</v>
      </c>
      <c r="B1463" s="11" t="str">
        <f>HYPERLINK("https://twitter.com/RealShahDulabi","@RealShahDulabi")</f>
        <v>@RealShahDulabi</v>
      </c>
      <c r="C1463" s="6" t="s">
        <v>4009</v>
      </c>
      <c r="D1463" s="5" t="s">
        <v>4008</v>
      </c>
      <c r="E1463" s="9" t="str">
        <f>HYPERLINK("https://twitter.com/RealShahDulabi/status/1045262529449136128","1045262529449136128")</f>
        <v>1045262529449136128</v>
      </c>
      <c r="F1463" s="4"/>
      <c r="G1463" s="4"/>
      <c r="H1463" s="4"/>
      <c r="I1463" s="10" t="str">
        <f>HYPERLINK("http://twitter.com","Twitter Web Client")</f>
        <v>Twitter Web Client</v>
      </c>
      <c r="J1463" s="2">
        <v>247</v>
      </c>
      <c r="K1463" s="2">
        <v>761</v>
      </c>
      <c r="L1463" s="2">
        <v>0</v>
      </c>
      <c r="M1463" s="2"/>
      <c r="N1463" s="8">
        <v>43345.300775462965</v>
      </c>
      <c r="O1463" s="4" t="s">
        <v>200</v>
      </c>
      <c r="P1463" s="3" t="s">
        <v>4007</v>
      </c>
      <c r="Q1463" s="4"/>
      <c r="R1463" s="4"/>
      <c r="S1463" s="9" t="str">
        <f>HYPERLINK("https://pbs.twimg.com/profile_images/1036223996948357120/HtrN11ZC.jpg","View")</f>
        <v>View</v>
      </c>
    </row>
    <row r="1464" spans="1:19" ht="20">
      <c r="A1464" s="8">
        <v>43370.592303240745</v>
      </c>
      <c r="B1464" s="11" t="str">
        <f>HYPERLINK("https://twitter.com/aghaeifard","@aghaeifard")</f>
        <v>@aghaeifard</v>
      </c>
      <c r="C1464" s="6" t="s">
        <v>4006</v>
      </c>
      <c r="D1464" s="5" t="s">
        <v>4005</v>
      </c>
      <c r="E1464" s="9" t="str">
        <f>HYPERLINK("https://twitter.com/aghaeifard/status/1045262504698544128","1045262504698544128")</f>
        <v>1045262504698544128</v>
      </c>
      <c r="F1464" s="4"/>
      <c r="G1464" s="10" t="s">
        <v>4004</v>
      </c>
      <c r="H1464" s="4"/>
      <c r="I1464" s="10" t="str">
        <f>HYPERLINK("http://twitter.com/download/iphone","Twitter for iPhone")</f>
        <v>Twitter for iPhone</v>
      </c>
      <c r="J1464" s="2">
        <v>571</v>
      </c>
      <c r="K1464" s="2">
        <v>79</v>
      </c>
      <c r="L1464" s="2">
        <v>7</v>
      </c>
      <c r="M1464" s="2"/>
      <c r="N1464" s="8">
        <v>42805.010740740741</v>
      </c>
      <c r="O1464" s="4" t="s">
        <v>200</v>
      </c>
      <c r="P1464" s="3" t="s">
        <v>4003</v>
      </c>
      <c r="Q1464" s="10" t="s">
        <v>4002</v>
      </c>
      <c r="R1464" s="4"/>
      <c r="S1464" s="9" t="str">
        <f>HYPERLINK("https://pbs.twimg.com/profile_images/995970388462129152/JXifpLyJ.jpg","View")</f>
        <v>View</v>
      </c>
    </row>
    <row r="1465" spans="1:19" ht="12.5">
      <c r="A1465" s="8">
        <v>43370.592233796298</v>
      </c>
      <c r="B1465" s="11" t="str">
        <f>HYPERLINK("https://twitter.com/misskhanooom","@misskhanooom")</f>
        <v>@misskhanooom</v>
      </c>
      <c r="C1465" s="6" t="s">
        <v>4001</v>
      </c>
      <c r="D1465" s="5" t="s">
        <v>4000</v>
      </c>
      <c r="E1465" s="9" t="str">
        <f>HYPERLINK("https://twitter.com/misskhanooom/status/1045262476990967808","1045262476990967808")</f>
        <v>1045262476990967808</v>
      </c>
      <c r="F1465" s="4"/>
      <c r="G1465" s="4"/>
      <c r="H1465" s="4"/>
      <c r="I1465" s="10" t="str">
        <f>HYPERLINK("http://twitter.com/download/android","Twitter for Android")</f>
        <v>Twitter for Android</v>
      </c>
      <c r="J1465" s="2">
        <v>612</v>
      </c>
      <c r="K1465" s="2">
        <v>701</v>
      </c>
      <c r="L1465" s="2">
        <v>1</v>
      </c>
      <c r="M1465" s="2"/>
      <c r="N1465" s="8">
        <v>43080.976145833338</v>
      </c>
      <c r="O1465" s="4"/>
      <c r="P1465" s="3"/>
      <c r="Q1465" s="4"/>
      <c r="R1465" s="4"/>
      <c r="S1465" s="9" t="str">
        <f>HYPERLINK("https://pbs.twimg.com/profile_images/1022474763963387904/A9G-my-8.jpg","View")</f>
        <v>View</v>
      </c>
    </row>
    <row r="1466" spans="1:19" ht="20">
      <c r="A1466" s="8">
        <v>43370.592164351852</v>
      </c>
      <c r="B1466" s="11" t="str">
        <f>HYPERLINK("https://twitter.com/jokeghermez","@jokeghermez")</f>
        <v>@jokeghermez</v>
      </c>
      <c r="C1466" s="6" t="s">
        <v>3999</v>
      </c>
      <c r="D1466" s="5" t="s">
        <v>3998</v>
      </c>
      <c r="E1466" s="9" t="str">
        <f>HYPERLINK("https://twitter.com/jokeghermez/status/1045262453666402304","1045262453666402304")</f>
        <v>1045262453666402304</v>
      </c>
      <c r="F1466" s="4"/>
      <c r="G1466" s="10" t="s">
        <v>3997</v>
      </c>
      <c r="H1466" s="4"/>
      <c r="I1466" s="10" t="str">
        <f>HYPERLINK("http://twitter.com/download/android","Twitter for Android")</f>
        <v>Twitter for Android</v>
      </c>
      <c r="J1466" s="2">
        <v>664</v>
      </c>
      <c r="K1466" s="2">
        <v>44</v>
      </c>
      <c r="L1466" s="2">
        <v>2</v>
      </c>
      <c r="M1466" s="2"/>
      <c r="N1466" s="8">
        <v>43122.77789351852</v>
      </c>
      <c r="O1466" s="4" t="s">
        <v>3996</v>
      </c>
      <c r="P1466" s="3" t="s">
        <v>3995</v>
      </c>
      <c r="Q1466" s="4"/>
      <c r="R1466" s="4"/>
      <c r="S1466" s="9" t="str">
        <f>HYPERLINK("https://pbs.twimg.com/profile_images/1042754085861183489/rEE_VJDT.jpg","View")</f>
        <v>View</v>
      </c>
    </row>
    <row r="1467" spans="1:19" ht="30">
      <c r="A1467" s="8">
        <v>43370.592141203699</v>
      </c>
      <c r="B1467" s="11" t="str">
        <f>HYPERLINK("https://twitter.com/radiozamaneh","@radiozamaneh")</f>
        <v>@radiozamaneh</v>
      </c>
      <c r="C1467" s="6" t="s">
        <v>3994</v>
      </c>
      <c r="D1467" s="5" t="s">
        <v>3993</v>
      </c>
      <c r="E1467" s="9" t="str">
        <f>HYPERLINK("https://twitter.com/radiozamaneh/status/1045262444229263361","1045262444229263361")</f>
        <v>1045262444229263361</v>
      </c>
      <c r="F1467" s="10" t="s">
        <v>3992</v>
      </c>
      <c r="G1467" s="10" t="s">
        <v>3991</v>
      </c>
      <c r="H1467" s="4"/>
      <c r="I1467" s="10" t="str">
        <f>HYPERLINK("https://www.radiozamaneh.com/","RZAutoPosting")</f>
        <v>RZAutoPosting</v>
      </c>
      <c r="J1467" s="2">
        <v>111939</v>
      </c>
      <c r="K1467" s="2">
        <v>844</v>
      </c>
      <c r="L1467" s="2">
        <v>391</v>
      </c>
      <c r="M1467" s="2" t="s">
        <v>1701</v>
      </c>
      <c r="N1467" s="8">
        <v>39573.255729166667</v>
      </c>
      <c r="O1467" s="4" t="s">
        <v>3990</v>
      </c>
      <c r="P1467" s="3" t="s">
        <v>3989</v>
      </c>
      <c r="Q1467" s="10" t="s">
        <v>3988</v>
      </c>
      <c r="R1467" s="4"/>
      <c r="S1467" s="9" t="str">
        <f>HYPERLINK("https://pbs.twimg.com/profile_images/990906227256328192/IYPsq9ai.jpg","View")</f>
        <v>View</v>
      </c>
    </row>
    <row r="1468" spans="1:19" ht="30">
      <c r="A1468" s="8">
        <v>43370.592048611114</v>
      </c>
      <c r="B1468" s="11" t="str">
        <f>HYPERLINK("https://twitter.com/mehdi_tfi","@mehdi_tfi")</f>
        <v>@mehdi_tfi</v>
      </c>
      <c r="C1468" s="6" t="s">
        <v>3987</v>
      </c>
      <c r="D1468" s="5" t="s">
        <v>3986</v>
      </c>
      <c r="E1468" s="9" t="str">
        <f>HYPERLINK("https://twitter.com/mehdi_tfi/status/1045262409928249345","1045262409928249345")</f>
        <v>1045262409928249345</v>
      </c>
      <c r="F1468" s="4"/>
      <c r="G1468" s="4"/>
      <c r="H1468" s="4"/>
      <c r="I1468" s="10" t="str">
        <f>HYPERLINK("http://twitter.com/download/android","Twitter for Android")</f>
        <v>Twitter for Android</v>
      </c>
      <c r="J1468" s="2">
        <v>1317</v>
      </c>
      <c r="K1468" s="2">
        <v>969</v>
      </c>
      <c r="L1468" s="2">
        <v>6</v>
      </c>
      <c r="M1468" s="2"/>
      <c r="N1468" s="8">
        <v>42754.574363425927</v>
      </c>
      <c r="O1468" s="4" t="s">
        <v>62</v>
      </c>
      <c r="P1468" s="3" t="s">
        <v>3985</v>
      </c>
      <c r="Q1468" s="4"/>
      <c r="R1468" s="4"/>
      <c r="S1468" s="9" t="str">
        <f>HYPERLINK("https://pbs.twimg.com/profile_images/1042057759833907201/q8G4dHEf.jpg","View")</f>
        <v>View</v>
      </c>
    </row>
    <row r="1469" spans="1:19" ht="40">
      <c r="A1469" s="8">
        <v>43370.591909722221</v>
      </c>
      <c r="B1469" s="11" t="str">
        <f>HYPERLINK("https://twitter.com/adamse11111","@adamse11111")</f>
        <v>@adamse11111</v>
      </c>
      <c r="C1469" s="6" t="s">
        <v>3984</v>
      </c>
      <c r="D1469" s="5" t="s">
        <v>3983</v>
      </c>
      <c r="E1469" s="9" t="str">
        <f>HYPERLINK("https://twitter.com/adamse11111/status/1045262361735639040","1045262361735639040")</f>
        <v>1045262361735639040</v>
      </c>
      <c r="F1469" s="4"/>
      <c r="G1469" s="4"/>
      <c r="H1469" s="4"/>
      <c r="I1469" s="10" t="str">
        <f>HYPERLINK("http://twitter.com/download/android","Twitter for Android")</f>
        <v>Twitter for Android</v>
      </c>
      <c r="J1469" s="2">
        <v>12784</v>
      </c>
      <c r="K1469" s="2">
        <v>961</v>
      </c>
      <c r="L1469" s="2">
        <v>9</v>
      </c>
      <c r="M1469" s="2"/>
      <c r="N1469" s="8">
        <v>43111.571516203709</v>
      </c>
      <c r="O1469" s="4" t="s">
        <v>597</v>
      </c>
      <c r="P1469" s="3" t="s">
        <v>3982</v>
      </c>
      <c r="Q1469" s="4"/>
      <c r="R1469" s="4"/>
      <c r="S1469" s="9" t="str">
        <f>HYPERLINK("https://pbs.twimg.com/profile_images/1033789552383549440/vJALubD0.jpg","View")</f>
        <v>View</v>
      </c>
    </row>
    <row r="1470" spans="1:19" ht="30">
      <c r="A1470" s="8">
        <v>43370.591516203705</v>
      </c>
      <c r="B1470" s="11" t="str">
        <f>HYPERLINK("https://twitter.com/mohsenfarshidi","@mohsenfarshidi")</f>
        <v>@mohsenfarshidi</v>
      </c>
      <c r="C1470" s="6" t="s">
        <v>3981</v>
      </c>
      <c r="D1470" s="5" t="s">
        <v>3980</v>
      </c>
      <c r="E1470" s="9" t="str">
        <f>HYPERLINK("https://twitter.com/mohsenfarshidi/status/1045262219724886017","1045262219724886017")</f>
        <v>1045262219724886017</v>
      </c>
      <c r="F1470" s="4"/>
      <c r="G1470" s="4"/>
      <c r="H1470" s="4"/>
      <c r="I1470" s="10" t="str">
        <f>HYPERLINK("http://twitter.com","Twitter Web Client")</f>
        <v>Twitter Web Client</v>
      </c>
      <c r="J1470" s="2">
        <v>198</v>
      </c>
      <c r="K1470" s="2">
        <v>313</v>
      </c>
      <c r="L1470" s="2">
        <v>4</v>
      </c>
      <c r="M1470" s="2"/>
      <c r="N1470" s="8">
        <v>40188.139548611114</v>
      </c>
      <c r="O1470" s="4" t="s">
        <v>31</v>
      </c>
      <c r="P1470" s="3" t="s">
        <v>3979</v>
      </c>
      <c r="Q1470" s="10" t="s">
        <v>3978</v>
      </c>
      <c r="R1470" s="4"/>
      <c r="S1470" s="9" t="str">
        <f>HYPERLINK("https://pbs.twimg.com/profile_images/1040514359422791681/EFnZsa9l.jpg","View")</f>
        <v>View</v>
      </c>
    </row>
    <row r="1471" spans="1:19" ht="20">
      <c r="A1471" s="8">
        <v>43370.591354166667</v>
      </c>
      <c r="B1471" s="11" t="str">
        <f>HYPERLINK("https://twitter.com/iamLeciel","@iamLeciel")</f>
        <v>@iamLeciel</v>
      </c>
      <c r="C1471" s="6" t="s">
        <v>38</v>
      </c>
      <c r="D1471" s="5" t="s">
        <v>3977</v>
      </c>
      <c r="E1471" s="9" t="str">
        <f>HYPERLINK("https://twitter.com/iamLeciel/status/1045262157443731456","1045262157443731456")</f>
        <v>1045262157443731456</v>
      </c>
      <c r="F1471" s="4"/>
      <c r="G1471" s="4"/>
      <c r="H1471" s="4"/>
      <c r="I1471" s="10" t="str">
        <f>HYPERLINK("http://twitter.com/download/iphone","Twitter for iPhone")</f>
        <v>Twitter for iPhone</v>
      </c>
      <c r="J1471" s="2">
        <v>34</v>
      </c>
      <c r="K1471" s="2">
        <v>150</v>
      </c>
      <c r="L1471" s="2">
        <v>0</v>
      </c>
      <c r="M1471" s="2"/>
      <c r="N1471" s="8">
        <v>43368.367106481484</v>
      </c>
      <c r="O1471" s="4" t="s">
        <v>36</v>
      </c>
      <c r="P1471" s="3" t="s">
        <v>3976</v>
      </c>
      <c r="Q1471" s="4"/>
      <c r="R1471" s="4"/>
      <c r="S1471" s="9" t="str">
        <f>HYPERLINK("https://pbs.twimg.com/profile_images/1044456768053669888/Nv_e5Fb3.jpg","View")</f>
        <v>View</v>
      </c>
    </row>
    <row r="1472" spans="1:19" ht="20">
      <c r="A1472" s="8">
        <v>43370.591157407413</v>
      </c>
      <c r="B1472" s="11" t="str">
        <f>HYPERLINK("https://twitter.com/AlirezaSotakbar","@AlirezaSotakbar")</f>
        <v>@AlirezaSotakbar</v>
      </c>
      <c r="C1472" s="6" t="s">
        <v>3975</v>
      </c>
      <c r="D1472" s="5" t="s">
        <v>3974</v>
      </c>
      <c r="E1472" s="9" t="str">
        <f>HYPERLINK("https://twitter.com/AlirezaSotakbar/status/1045262089890254849","1045262089890254849")</f>
        <v>1045262089890254849</v>
      </c>
      <c r="F1472" s="4"/>
      <c r="G1472" s="4"/>
      <c r="H1472" s="4"/>
      <c r="I1472" s="10" t="str">
        <f>HYPERLINK("http://twitter.com/download/iphone","Twitter for iPhone")</f>
        <v>Twitter for iPhone</v>
      </c>
      <c r="J1472" s="2">
        <v>541</v>
      </c>
      <c r="K1472" s="2">
        <v>421</v>
      </c>
      <c r="L1472" s="2">
        <v>1</v>
      </c>
      <c r="M1472" s="2"/>
      <c r="N1472" s="8">
        <v>40163.523194444446</v>
      </c>
      <c r="O1472" s="4" t="s">
        <v>793</v>
      </c>
      <c r="P1472" s="3" t="s">
        <v>3973</v>
      </c>
      <c r="Q1472" s="4"/>
      <c r="R1472" s="4"/>
      <c r="S1472" s="9" t="str">
        <f>HYPERLINK("https://pbs.twimg.com/profile_images/926057523999903744/JYBqGX5C.jpg","View")</f>
        <v>View</v>
      </c>
    </row>
    <row r="1473" spans="1:19" ht="20">
      <c r="A1473" s="8">
        <v>43370.590115740742</v>
      </c>
      <c r="B1473" s="11" t="str">
        <f>HYPERLINK("https://twitter.com/haj_chawez","@haj_chawez")</f>
        <v>@haj_chawez</v>
      </c>
      <c r="C1473" s="6" t="s">
        <v>3972</v>
      </c>
      <c r="D1473" s="5" t="s">
        <v>3971</v>
      </c>
      <c r="E1473" s="9" t="str">
        <f>HYPERLINK("https://twitter.com/haj_chawez/status/1045261708758056960","1045261708758056960")</f>
        <v>1045261708758056960</v>
      </c>
      <c r="F1473" s="4"/>
      <c r="G1473" s="4"/>
      <c r="H1473" s="4"/>
      <c r="I1473" s="10" t="str">
        <f>HYPERLINK("http://twitter.com","Twitter Web Client")</f>
        <v>Twitter Web Client</v>
      </c>
      <c r="J1473" s="2">
        <v>115</v>
      </c>
      <c r="K1473" s="2">
        <v>236</v>
      </c>
      <c r="L1473" s="2">
        <v>0</v>
      </c>
      <c r="M1473" s="2"/>
      <c r="N1473" s="8">
        <v>43351.721932870365</v>
      </c>
      <c r="O1473" s="4"/>
      <c r="P1473" s="3" t="s">
        <v>3970</v>
      </c>
      <c r="Q1473" s="4"/>
      <c r="R1473" s="4"/>
      <c r="S1473" s="9" t="str">
        <f>HYPERLINK("https://pbs.twimg.com/profile_images/1038751981966422016/g6hZ73T4.jpg","View")</f>
        <v>View</v>
      </c>
    </row>
    <row r="1474" spans="1:19" ht="12.5">
      <c r="A1474" s="8">
        <v>43370.589826388888</v>
      </c>
      <c r="B1474" s="11" t="str">
        <f>HYPERLINK("https://twitter.com/senior_m0hammad","@senior_m0hammad")</f>
        <v>@senior_m0hammad</v>
      </c>
      <c r="C1474" s="6" t="s">
        <v>3969</v>
      </c>
      <c r="D1474" s="5" t="s">
        <v>3968</v>
      </c>
      <c r="E1474" s="9" t="str">
        <f>HYPERLINK("https://twitter.com/senior_m0hammad/status/1045261605997608960","1045261605997608960")</f>
        <v>1045261605997608960</v>
      </c>
      <c r="F1474" s="4"/>
      <c r="G1474" s="4"/>
      <c r="H1474" s="4"/>
      <c r="I1474" s="10" t="str">
        <f>HYPERLINK("http://twitter.com/download/iphone","Twitter for iPhone")</f>
        <v>Twitter for iPhone</v>
      </c>
      <c r="J1474" s="2">
        <v>167</v>
      </c>
      <c r="K1474" s="2">
        <v>84</v>
      </c>
      <c r="L1474" s="2">
        <v>3</v>
      </c>
      <c r="M1474" s="2"/>
      <c r="N1474" s="8">
        <v>41861.456712962965</v>
      </c>
      <c r="O1474" s="4" t="s">
        <v>3967</v>
      </c>
      <c r="P1474" s="3" t="s">
        <v>3966</v>
      </c>
      <c r="Q1474" s="10" t="s">
        <v>3965</v>
      </c>
      <c r="R1474" s="4"/>
      <c r="S1474" s="9" t="str">
        <f>HYPERLINK("https://pbs.twimg.com/profile_images/1023101488703459329/R9-EX8MK.jpg","View")</f>
        <v>View</v>
      </c>
    </row>
    <row r="1475" spans="1:19" ht="30">
      <c r="A1475" s="8">
        <v>43370.588923611111</v>
      </c>
      <c r="B1475" s="11" t="str">
        <f>HYPERLINK("https://twitter.com/arghavan7500","@arghavan7500")</f>
        <v>@arghavan7500</v>
      </c>
      <c r="C1475" s="6" t="s">
        <v>3964</v>
      </c>
      <c r="D1475" s="5" t="s">
        <v>3963</v>
      </c>
      <c r="E1475" s="9" t="str">
        <f>HYPERLINK("https://twitter.com/arghavan7500/status/1045261280423145473","1045261280423145473")</f>
        <v>1045261280423145473</v>
      </c>
      <c r="F1475" s="4"/>
      <c r="G1475" s="4"/>
      <c r="H1475" s="4"/>
      <c r="I1475" s="10" t="str">
        <f>HYPERLINK("http://twitter.com/download/android","Twitter for Android")</f>
        <v>Twitter for Android</v>
      </c>
      <c r="J1475" s="2">
        <v>568</v>
      </c>
      <c r="K1475" s="2">
        <v>602</v>
      </c>
      <c r="L1475" s="2">
        <v>0</v>
      </c>
      <c r="M1475" s="2"/>
      <c r="N1475" s="8">
        <v>43358.910150462965</v>
      </c>
      <c r="O1475" s="4"/>
      <c r="P1475" s="3" t="s">
        <v>3962</v>
      </c>
      <c r="Q1475" s="4"/>
      <c r="R1475" s="4"/>
      <c r="S1475" s="9" t="str">
        <f>HYPERLINK("https://pbs.twimg.com/profile_images/1045010920869638144/e1ARWNwu.jpg","View")</f>
        <v>View</v>
      </c>
    </row>
    <row r="1476" spans="1:19" ht="12.5">
      <c r="A1476" s="8">
        <v>43370.58803240741</v>
      </c>
      <c r="B1476" s="11" t="str">
        <f>HYPERLINK("https://twitter.com/assgaarOv","@assgaarOv")</f>
        <v>@assgaarOv</v>
      </c>
      <c r="C1476" s="6" t="s">
        <v>3961</v>
      </c>
      <c r="D1476" s="5" t="s">
        <v>3960</v>
      </c>
      <c r="E1476" s="9" t="str">
        <f>HYPERLINK("https://twitter.com/assgaarOv/status/1045260955188449282","1045260955188449282")</f>
        <v>1045260955188449282</v>
      </c>
      <c r="F1476" s="4"/>
      <c r="G1476" s="4"/>
      <c r="H1476" s="4"/>
      <c r="I1476" s="10" t="str">
        <f>HYPERLINK("http://twitter.com/download/iphone","Twitter for iPhone")</f>
        <v>Twitter for iPhone</v>
      </c>
      <c r="J1476" s="2">
        <v>378</v>
      </c>
      <c r="K1476" s="2">
        <v>395</v>
      </c>
      <c r="L1476" s="2">
        <v>0</v>
      </c>
      <c r="M1476" s="2"/>
      <c r="N1476" s="8">
        <v>43269.986759259264</v>
      </c>
      <c r="O1476" s="4"/>
      <c r="P1476" s="3"/>
      <c r="Q1476" s="4"/>
      <c r="R1476" s="4"/>
      <c r="S1476" s="9" t="str">
        <f>HYPERLINK("https://pbs.twimg.com/profile_images/1042541045261783041/RKNP2-dm.jpg","View")</f>
        <v>View</v>
      </c>
    </row>
    <row r="1477" spans="1:19" ht="12.5">
      <c r="A1477" s="8">
        <v>43370.587199074071</v>
      </c>
      <c r="B1477" s="11" t="str">
        <f>HYPERLINK("https://twitter.com/Siahrakhsh","@Siahrakhsh")</f>
        <v>@Siahrakhsh</v>
      </c>
      <c r="C1477" s="6" t="s">
        <v>3959</v>
      </c>
      <c r="D1477" s="5" t="s">
        <v>3958</v>
      </c>
      <c r="E1477" s="9" t="str">
        <f>HYPERLINK("https://twitter.com/Siahrakhsh/status/1045260654989455360","1045260654989455360")</f>
        <v>1045260654989455360</v>
      </c>
      <c r="F1477" s="4"/>
      <c r="G1477" s="4"/>
      <c r="H1477" s="4"/>
      <c r="I1477" s="10" t="str">
        <f>HYPERLINK("http://twitter.com/download/android","Twitter for Android")</f>
        <v>Twitter for Android</v>
      </c>
      <c r="J1477" s="2">
        <v>49</v>
      </c>
      <c r="K1477" s="2">
        <v>47</v>
      </c>
      <c r="L1477" s="2">
        <v>0</v>
      </c>
      <c r="M1477" s="2"/>
      <c r="N1477" s="8">
        <v>43310.682129629626</v>
      </c>
      <c r="O1477" s="4" t="s">
        <v>3957</v>
      </c>
      <c r="P1477" s="3" t="s">
        <v>3956</v>
      </c>
      <c r="Q1477" s="4"/>
      <c r="R1477" s="4"/>
      <c r="S1477" s="9" t="str">
        <f>HYPERLINK("https://pbs.twimg.com/profile_images/1044674810595479553/LDFjCzFY.jpg","View")</f>
        <v>View</v>
      </c>
    </row>
    <row r="1478" spans="1:19" ht="20">
      <c r="A1478" s="8">
        <v>43370.586909722224</v>
      </c>
      <c r="B1478" s="11" t="str">
        <f>HYPERLINK("https://twitter.com/Dibii_Dibii","@Dibii_Dibii")</f>
        <v>@Dibii_Dibii</v>
      </c>
      <c r="C1478" s="6" t="s">
        <v>3955</v>
      </c>
      <c r="D1478" s="5" t="s">
        <v>3954</v>
      </c>
      <c r="E1478" s="9" t="str">
        <f>HYPERLINK("https://twitter.com/Dibii_Dibii/status/1045260548856852481","1045260548856852481")</f>
        <v>1045260548856852481</v>
      </c>
      <c r="F1478" s="4"/>
      <c r="G1478" s="4"/>
      <c r="H1478" s="4"/>
      <c r="I1478" s="10" t="str">
        <f>HYPERLINK("http://twitter.com","Twitter Web Client")</f>
        <v>Twitter Web Client</v>
      </c>
      <c r="J1478" s="2">
        <v>349</v>
      </c>
      <c r="K1478" s="2">
        <v>719</v>
      </c>
      <c r="L1478" s="2">
        <v>0</v>
      </c>
      <c r="M1478" s="2"/>
      <c r="N1478" s="8">
        <v>43344.62054398148</v>
      </c>
      <c r="O1478" s="4" t="s">
        <v>3953</v>
      </c>
      <c r="P1478" s="3" t="s">
        <v>3952</v>
      </c>
      <c r="Q1478" s="4"/>
      <c r="R1478" s="4"/>
      <c r="S1478" s="9" t="str">
        <f>HYPERLINK("https://pbs.twimg.com/profile_images/1035839612739043328/AjIZ59Uc.jpg","View")</f>
        <v>View</v>
      </c>
    </row>
    <row r="1479" spans="1:19" ht="20">
      <c r="A1479" s="8">
        <v>43370.586365740739</v>
      </c>
      <c r="B1479" s="11" t="str">
        <f>HYPERLINK("https://twitter.com/SHELMAAN1386","@SHELMAAN1386")</f>
        <v>@SHELMAAN1386</v>
      </c>
      <c r="C1479" s="6" t="s">
        <v>3951</v>
      </c>
      <c r="D1479" s="5" t="s">
        <v>3950</v>
      </c>
      <c r="E1479" s="9" t="str">
        <f>HYPERLINK("https://twitter.com/SHELMAAN1386/status/1045260352664080384","1045260352664080384")</f>
        <v>1045260352664080384</v>
      </c>
      <c r="F1479" s="4"/>
      <c r="G1479" s="4"/>
      <c r="H1479" s="4"/>
      <c r="I1479" s="10" t="str">
        <f>HYPERLINK("http://twitter.com/download/iphone","Twitter for iPhone")</f>
        <v>Twitter for iPhone</v>
      </c>
      <c r="J1479" s="2">
        <v>988</v>
      </c>
      <c r="K1479" s="2">
        <v>684</v>
      </c>
      <c r="L1479" s="2">
        <v>1</v>
      </c>
      <c r="M1479" s="2"/>
      <c r="N1479" s="8">
        <v>41554.833819444444</v>
      </c>
      <c r="O1479" s="4"/>
      <c r="P1479" s="3" t="s">
        <v>3949</v>
      </c>
      <c r="Q1479" s="4"/>
      <c r="R1479" s="4"/>
      <c r="S1479" s="9" t="str">
        <f>HYPERLINK("https://pbs.twimg.com/profile_images/1028382270976143365/R4-4B7d6.jpg","View")</f>
        <v>View</v>
      </c>
    </row>
    <row r="1480" spans="1:19" ht="40">
      <c r="A1480" s="8">
        <v>43370.585972222223</v>
      </c>
      <c r="B1480" s="11" t="str">
        <f>HYPERLINK("https://twitter.com/ErfanHajbabaee","@ErfanHajbabaee")</f>
        <v>@ErfanHajbabaee</v>
      </c>
      <c r="C1480" s="6" t="s">
        <v>660</v>
      </c>
      <c r="D1480" s="5" t="s">
        <v>3948</v>
      </c>
      <c r="E1480" s="9" t="str">
        <f>HYPERLINK("https://twitter.com/ErfanHajbabaee/status/1045260207226572801","1045260207226572801")</f>
        <v>1045260207226572801</v>
      </c>
      <c r="F1480" s="4"/>
      <c r="G1480" s="10" t="s">
        <v>3947</v>
      </c>
      <c r="H1480" s="4"/>
      <c r="I1480" s="10" t="str">
        <f>HYPERLINK("http://twitter.com/download/android","Twitter for Android")</f>
        <v>Twitter for Android</v>
      </c>
      <c r="J1480" s="2">
        <v>114</v>
      </c>
      <c r="K1480" s="2">
        <v>73</v>
      </c>
      <c r="L1480" s="2">
        <v>0</v>
      </c>
      <c r="M1480" s="2"/>
      <c r="N1480" s="8">
        <v>43255.527858796297</v>
      </c>
      <c r="O1480" s="4" t="s">
        <v>657</v>
      </c>
      <c r="P1480" s="3" t="s">
        <v>656</v>
      </c>
      <c r="Q1480" s="4"/>
      <c r="R1480" s="4"/>
      <c r="S1480" s="9" t="str">
        <f>HYPERLINK("https://pbs.twimg.com/profile_images/1041679103177490432/gLzwxFyO.jpg","View")</f>
        <v>View</v>
      </c>
    </row>
    <row r="1481" spans="1:19" ht="20">
      <c r="A1481" s="8">
        <v>43370.585787037038</v>
      </c>
      <c r="B1481" s="11" t="str">
        <f>HYPERLINK("https://twitter.com/Mortah133","@Mortah133")</f>
        <v>@Mortah133</v>
      </c>
      <c r="C1481" s="6" t="s">
        <v>3946</v>
      </c>
      <c r="D1481" s="5" t="s">
        <v>3945</v>
      </c>
      <c r="E1481" s="9" t="str">
        <f>HYPERLINK("https://twitter.com/Mortah133/status/1045260142470737920","1045260142470737920")</f>
        <v>1045260142470737920</v>
      </c>
      <c r="F1481" s="4"/>
      <c r="G1481" s="4"/>
      <c r="H1481" s="4"/>
      <c r="I1481" s="10" t="str">
        <f>HYPERLINK("http://twitter.com/download/iphone","Twitter for iPhone")</f>
        <v>Twitter for iPhone</v>
      </c>
      <c r="J1481" s="2">
        <v>1560</v>
      </c>
      <c r="K1481" s="2">
        <v>2092</v>
      </c>
      <c r="L1481" s="2">
        <v>2</v>
      </c>
      <c r="M1481" s="2"/>
      <c r="N1481" s="8">
        <v>43251.960092592592</v>
      </c>
      <c r="O1481" s="4"/>
      <c r="P1481" s="3" t="s">
        <v>3944</v>
      </c>
      <c r="Q1481" s="4"/>
      <c r="R1481" s="4"/>
      <c r="S1481" s="9" t="str">
        <f>HYPERLINK("https://pbs.twimg.com/profile_images/1039106442509406209/JRc079Uz.jpg","View")</f>
        <v>View</v>
      </c>
    </row>
    <row r="1482" spans="1:19" ht="20">
      <c r="A1482" s="8">
        <v>43370.585428240738</v>
      </c>
      <c r="B1482" s="11" t="str">
        <f>HYPERLINK("https://twitter.com/kahookar_h","@kahookar_h")</f>
        <v>@kahookar_h</v>
      </c>
      <c r="C1482" s="6" t="s">
        <v>3943</v>
      </c>
      <c r="D1482" s="5" t="s">
        <v>3942</v>
      </c>
      <c r="E1482" s="9" t="str">
        <f>HYPERLINK("https://twitter.com/kahookar_h/status/1045260009947508736","1045260009947508736")</f>
        <v>1045260009947508736</v>
      </c>
      <c r="F1482" s="4"/>
      <c r="G1482" s="4"/>
      <c r="H1482" s="4"/>
      <c r="I1482" s="10" t="str">
        <f>HYPERLINK("http://twitter.com/download/iphone","Twitter for iPhone")</f>
        <v>Twitter for iPhone</v>
      </c>
      <c r="J1482" s="2">
        <v>2904</v>
      </c>
      <c r="K1482" s="2">
        <v>2856</v>
      </c>
      <c r="L1482" s="2">
        <v>1</v>
      </c>
      <c r="M1482" s="2"/>
      <c r="N1482" s="8">
        <v>42996.145567129628</v>
      </c>
      <c r="O1482" s="4" t="s">
        <v>556</v>
      </c>
      <c r="P1482" s="3" t="s">
        <v>3941</v>
      </c>
      <c r="Q1482" s="4"/>
      <c r="R1482" s="4"/>
      <c r="S1482" s="9" t="str">
        <f>HYPERLINK("https://pbs.twimg.com/profile_images/1042806279473954816/Bqbxjywq.jpg","View")</f>
        <v>View</v>
      </c>
    </row>
    <row r="1483" spans="1:19" ht="20">
      <c r="A1483" s="8">
        <v>43370.58530092593</v>
      </c>
      <c r="B1483" s="11" t="str">
        <f>HYPERLINK("https://twitter.com/ParvizPT","@ParvizPT")</f>
        <v>@ParvizPT</v>
      </c>
      <c r="C1483" s="6" t="s">
        <v>3940</v>
      </c>
      <c r="D1483" s="5" t="s">
        <v>3939</v>
      </c>
      <c r="E1483" s="9" t="str">
        <f>HYPERLINK("https://twitter.com/ParvizPT/status/1045259967819894784","1045259967819894784")</f>
        <v>1045259967819894784</v>
      </c>
      <c r="F1483" s="4"/>
      <c r="G1483" s="10" t="s">
        <v>3938</v>
      </c>
      <c r="H1483" s="4"/>
      <c r="I1483" s="10" t="str">
        <f>HYPERLINK("http://twitter.com/download/iphone","Twitter for iPhone")</f>
        <v>Twitter for iPhone</v>
      </c>
      <c r="J1483" s="2">
        <v>1024</v>
      </c>
      <c r="K1483" s="2">
        <v>813</v>
      </c>
      <c r="L1483" s="2">
        <v>14</v>
      </c>
      <c r="M1483" s="2"/>
      <c r="N1483" s="8">
        <v>40843.406030092592</v>
      </c>
      <c r="O1483" s="4"/>
      <c r="P1483" s="3" t="s">
        <v>3937</v>
      </c>
      <c r="Q1483" s="10" t="s">
        <v>3936</v>
      </c>
      <c r="R1483" s="4"/>
      <c r="S1483" s="9" t="str">
        <f>HYPERLINK("https://pbs.twimg.com/profile_images/958399239020793858/39nwnMP8.jpg","View")</f>
        <v>View</v>
      </c>
    </row>
    <row r="1484" spans="1:19" ht="12.5">
      <c r="A1484" s="8">
        <v>43370.585069444445</v>
      </c>
      <c r="B1484" s="11" t="str">
        <f>HYPERLINK("https://twitter.com/kalagh3cheshm","@kalagh3cheshm")</f>
        <v>@kalagh3cheshm</v>
      </c>
      <c r="C1484" s="6" t="s">
        <v>3935</v>
      </c>
      <c r="D1484" s="5" t="s">
        <v>3934</v>
      </c>
      <c r="E1484" s="9" t="str">
        <f>HYPERLINK("https://twitter.com/kalagh3cheshm/status/1045259883694706688","1045259883694706688")</f>
        <v>1045259883694706688</v>
      </c>
      <c r="F1484" s="4"/>
      <c r="G1484" s="4"/>
      <c r="H1484" s="4"/>
      <c r="I1484" s="10" t="str">
        <f>HYPERLINK("http://twitter.com/download/android","Twitter for Android")</f>
        <v>Twitter for Android</v>
      </c>
      <c r="J1484" s="2">
        <v>1246</v>
      </c>
      <c r="K1484" s="2">
        <v>1820</v>
      </c>
      <c r="L1484" s="2">
        <v>5</v>
      </c>
      <c r="M1484" s="2"/>
      <c r="N1484" s="8">
        <v>43234.996388888889</v>
      </c>
      <c r="O1484" s="4" t="s">
        <v>3933</v>
      </c>
      <c r="P1484" s="3" t="s">
        <v>3932</v>
      </c>
      <c r="Q1484" s="4"/>
      <c r="R1484" s="4"/>
      <c r="S1484" s="9" t="str">
        <f>HYPERLINK("https://pbs.twimg.com/profile_images/1044879697727885312/xdgtwQED.jpg","View")</f>
        <v>View</v>
      </c>
    </row>
    <row r="1485" spans="1:19" ht="40">
      <c r="A1485" s="8">
        <v>43370.584872685184</v>
      </c>
      <c r="B1485" s="11" t="str">
        <f>HYPERLINK("https://twitter.com/ericcantona1064","@ericcantona1064")</f>
        <v>@ericcantona1064</v>
      </c>
      <c r="C1485" s="6" t="s">
        <v>3777</v>
      </c>
      <c r="D1485" s="5" t="s">
        <v>3931</v>
      </c>
      <c r="E1485" s="9" t="str">
        <f>HYPERLINK("https://twitter.com/ericcantona1064/status/1045259812349595648","1045259812349595648")</f>
        <v>1045259812349595648</v>
      </c>
      <c r="F1485" s="4"/>
      <c r="G1485" s="10" t="s">
        <v>3930</v>
      </c>
      <c r="H1485" s="4"/>
      <c r="I1485" s="10" t="str">
        <f>HYPERLINK("http://twitter.com/download/iphone","Twitter for iPhone")</f>
        <v>Twitter for iPhone</v>
      </c>
      <c r="J1485" s="2">
        <v>14</v>
      </c>
      <c r="K1485" s="2">
        <v>65</v>
      </c>
      <c r="L1485" s="2">
        <v>0</v>
      </c>
      <c r="M1485" s="2"/>
      <c r="N1485" s="8">
        <v>43356.68849537037</v>
      </c>
      <c r="O1485" s="4" t="s">
        <v>3774</v>
      </c>
      <c r="P1485" s="3" t="s">
        <v>3773</v>
      </c>
      <c r="Q1485" s="4"/>
      <c r="R1485" s="4"/>
      <c r="S1485" s="9" t="str">
        <f>HYPERLINK("https://pbs.twimg.com/profile_images/1040211464857034754/uJ2apsHB.jpg","View")</f>
        <v>View</v>
      </c>
    </row>
    <row r="1486" spans="1:19" ht="20">
      <c r="A1486" s="8">
        <v>43370.584756944445</v>
      </c>
      <c r="B1486" s="11" t="str">
        <f>HYPERLINK("https://twitter.com/Ebne_Farsi","@Ebne_Farsi")</f>
        <v>@Ebne_Farsi</v>
      </c>
      <c r="C1486" s="6" t="s">
        <v>3929</v>
      </c>
      <c r="D1486" s="5" t="s">
        <v>3928</v>
      </c>
      <c r="E1486" s="9" t="str">
        <f>HYPERLINK("https://twitter.com/Ebne_Farsi/status/1045259768439427073","1045259768439427073")</f>
        <v>1045259768439427073</v>
      </c>
      <c r="F1486" s="4"/>
      <c r="G1486" s="4"/>
      <c r="H1486" s="4"/>
      <c r="I1486" s="10" t="str">
        <f>HYPERLINK("http://twitter.com/download/android","Twitter for Android")</f>
        <v>Twitter for Android</v>
      </c>
      <c r="J1486" s="2">
        <v>1892</v>
      </c>
      <c r="K1486" s="2">
        <v>1464</v>
      </c>
      <c r="L1486" s="2">
        <v>1</v>
      </c>
      <c r="M1486" s="2"/>
      <c r="N1486" s="8">
        <v>43037.905636574069</v>
      </c>
      <c r="O1486" s="4" t="s">
        <v>3927</v>
      </c>
      <c r="P1486" s="3" t="s">
        <v>3926</v>
      </c>
      <c r="Q1486" s="4"/>
      <c r="R1486" s="4"/>
      <c r="S1486" s="9" t="str">
        <f>HYPERLINK("https://pbs.twimg.com/profile_images/1009714772403683330/9RcOX3rA.jpg","View")</f>
        <v>View</v>
      </c>
    </row>
    <row r="1487" spans="1:19" ht="30">
      <c r="A1487" s="8">
        <v>43370.584652777776</v>
      </c>
      <c r="B1487" s="11" t="str">
        <f>HYPERLINK("https://twitter.com/dialectic1812","@dialectic1812")</f>
        <v>@dialectic1812</v>
      </c>
      <c r="C1487" s="6" t="s">
        <v>2596</v>
      </c>
      <c r="D1487" s="5" t="s">
        <v>3925</v>
      </c>
      <c r="E1487" s="9" t="str">
        <f>HYPERLINK("https://twitter.com/dialectic1812/status/1045259730179043328","1045259730179043328")</f>
        <v>1045259730179043328</v>
      </c>
      <c r="F1487" s="4"/>
      <c r="G1487" s="10" t="s">
        <v>3924</v>
      </c>
      <c r="H1487" s="4"/>
      <c r="I1487" s="10" t="str">
        <f>HYPERLINK("http://twitter.com/download/iphone","Twitter for iPhone")</f>
        <v>Twitter for iPhone</v>
      </c>
      <c r="J1487" s="2">
        <v>401</v>
      </c>
      <c r="K1487" s="2">
        <v>145</v>
      </c>
      <c r="L1487" s="2">
        <v>4</v>
      </c>
      <c r="M1487" s="2"/>
      <c r="N1487" s="8">
        <v>40689.496458333335</v>
      </c>
      <c r="O1487" s="4" t="s">
        <v>170</v>
      </c>
      <c r="P1487" s="3" t="s">
        <v>2594</v>
      </c>
      <c r="Q1487" s="4"/>
      <c r="R1487" s="4"/>
      <c r="S1487" s="9" t="str">
        <f>HYPERLINK("https://pbs.twimg.com/profile_images/873827516854751233/rxu1kss-.jpg","View")</f>
        <v>View</v>
      </c>
    </row>
    <row r="1488" spans="1:19" ht="20">
      <c r="A1488" s="8">
        <v>43370.584293981483</v>
      </c>
      <c r="B1488" s="11" t="str">
        <f>HYPERLINK("https://twitter.com/mahdieh135_128","@mahdieh135_128")</f>
        <v>@mahdieh135_128</v>
      </c>
      <c r="C1488" s="6" t="s">
        <v>3923</v>
      </c>
      <c r="D1488" s="5" t="s">
        <v>3922</v>
      </c>
      <c r="E1488" s="9" t="str">
        <f>HYPERLINK("https://twitter.com/mahdieh135_128/status/1045259599467761665","1045259599467761665")</f>
        <v>1045259599467761665</v>
      </c>
      <c r="F1488" s="4"/>
      <c r="G1488" s="10" t="s">
        <v>3921</v>
      </c>
      <c r="H1488" s="4"/>
      <c r="I1488" s="10" t="str">
        <f>HYPERLINK("http://twitter.com/download/android","Twitter for Android")</f>
        <v>Twitter for Android</v>
      </c>
      <c r="J1488" s="2">
        <v>672</v>
      </c>
      <c r="K1488" s="2">
        <v>212</v>
      </c>
      <c r="L1488" s="2">
        <v>1</v>
      </c>
      <c r="M1488" s="2"/>
      <c r="N1488" s="8">
        <v>43247.722974537042</v>
      </c>
      <c r="O1488" s="4"/>
      <c r="P1488" s="3" t="s">
        <v>3920</v>
      </c>
      <c r="Q1488" s="4"/>
      <c r="R1488" s="4"/>
      <c r="S1488" s="9" t="str">
        <f>HYPERLINK("https://pbs.twimg.com/profile_images/1039040432548835328/jwOe27B_.jpg","View")</f>
        <v>View</v>
      </c>
    </row>
    <row r="1489" spans="1:19" ht="20">
      <c r="A1489" s="8">
        <v>43370.583912037036</v>
      </c>
      <c r="B1489" s="11" t="str">
        <f>HYPERLINK("https://twitter.com/Yashooora","@Yashooora")</f>
        <v>@Yashooora</v>
      </c>
      <c r="C1489" s="6" t="s">
        <v>3919</v>
      </c>
      <c r="D1489" s="5" t="s">
        <v>3918</v>
      </c>
      <c r="E1489" s="9" t="str">
        <f>HYPERLINK("https://twitter.com/Yashooora/status/1045259464486649856","1045259464486649856")</f>
        <v>1045259464486649856</v>
      </c>
      <c r="F1489" s="4"/>
      <c r="G1489" s="4"/>
      <c r="H1489" s="4"/>
      <c r="I1489" s="10" t="str">
        <f>HYPERLINK("http://twitter.com/download/android","Twitter for Android")</f>
        <v>Twitter for Android</v>
      </c>
      <c r="J1489" s="2">
        <v>27</v>
      </c>
      <c r="K1489" s="2">
        <v>31</v>
      </c>
      <c r="L1489" s="2">
        <v>0</v>
      </c>
      <c r="M1489" s="2"/>
      <c r="N1489" s="8">
        <v>42936.080185185187</v>
      </c>
      <c r="O1489" s="4" t="s">
        <v>162</v>
      </c>
      <c r="P1489" s="3" t="s">
        <v>3917</v>
      </c>
      <c r="Q1489" s="4"/>
      <c r="R1489" s="4"/>
      <c r="S1489" s="9" t="str">
        <f>HYPERLINK("https://pbs.twimg.com/profile_images/974668997286420481/vtEFc4az.jpg","View")</f>
        <v>View</v>
      </c>
    </row>
    <row r="1490" spans="1:19" ht="30">
      <c r="A1490" s="8">
        <v>43370.583668981482</v>
      </c>
      <c r="B1490" s="11" t="str">
        <f>HYPERLINK("https://twitter.com/MJavad_Asghari","@MJavad_Asghari")</f>
        <v>@MJavad_Asghari</v>
      </c>
      <c r="C1490" s="6" t="s">
        <v>3916</v>
      </c>
      <c r="D1490" s="5" t="s">
        <v>3915</v>
      </c>
      <c r="E1490" s="9" t="str">
        <f>HYPERLINK("https://twitter.com/MJavad_Asghari/status/1045259372677484545","1045259372677484545")</f>
        <v>1045259372677484545</v>
      </c>
      <c r="F1490" s="4"/>
      <c r="G1490" s="4"/>
      <c r="H1490" s="4"/>
      <c r="I1490" s="10" t="str">
        <f>HYPERLINK("http://twitter.com/download/android","Twitter for Android")</f>
        <v>Twitter for Android</v>
      </c>
      <c r="J1490" s="2">
        <v>727</v>
      </c>
      <c r="K1490" s="2">
        <v>326</v>
      </c>
      <c r="L1490" s="2">
        <v>3</v>
      </c>
      <c r="M1490" s="2"/>
      <c r="N1490" s="8">
        <v>42830.026458333334</v>
      </c>
      <c r="O1490" s="4" t="s">
        <v>3914</v>
      </c>
      <c r="P1490" s="3" t="s">
        <v>3913</v>
      </c>
      <c r="Q1490" s="4"/>
      <c r="R1490" s="4"/>
      <c r="S1490" s="9" t="str">
        <f>HYPERLINK("https://pbs.twimg.com/profile_images/1039100338341650435/QoBkvVs3.jpg","View")</f>
        <v>View</v>
      </c>
    </row>
    <row r="1491" spans="1:19" ht="12.5">
      <c r="A1491" s="8">
        <v>43370.583240740743</v>
      </c>
      <c r="B1491" s="11" t="str">
        <f>HYPERLINK("https://twitter.com/shogerdadi","@shogerdadi")</f>
        <v>@shogerdadi</v>
      </c>
      <c r="C1491" s="6" t="s">
        <v>3339</v>
      </c>
      <c r="D1491" s="5" t="s">
        <v>3912</v>
      </c>
      <c r="E1491" s="9" t="str">
        <f>HYPERLINK("https://twitter.com/shogerdadi/status/1045259220386484224","1045259220386484224")</f>
        <v>1045259220386484224</v>
      </c>
      <c r="F1491" s="4"/>
      <c r="G1491" s="4"/>
      <c r="H1491" s="4"/>
      <c r="I1491" s="10" t="str">
        <f>HYPERLINK("http://twitter.com/download/android","Twitter for Android")</f>
        <v>Twitter for Android</v>
      </c>
      <c r="J1491" s="2">
        <v>3863</v>
      </c>
      <c r="K1491" s="2">
        <v>990</v>
      </c>
      <c r="L1491" s="2">
        <v>12</v>
      </c>
      <c r="M1491" s="2"/>
      <c r="N1491" s="8">
        <v>42876.64335648148</v>
      </c>
      <c r="O1491" s="4" t="s">
        <v>3337</v>
      </c>
      <c r="P1491" s="3" t="s">
        <v>3336</v>
      </c>
      <c r="Q1491" s="10" t="s">
        <v>3335</v>
      </c>
      <c r="R1491" s="4"/>
      <c r="S1491" s="9" t="str">
        <f>HYPERLINK("https://pbs.twimg.com/profile_images/1044593280586010626/LmVfmrTm.jpg","View")</f>
        <v>View</v>
      </c>
    </row>
    <row r="1492" spans="1:19" ht="20">
      <c r="A1492" s="8">
        <v>43370.58321759259</v>
      </c>
      <c r="B1492" s="11" t="str">
        <f>HYPERLINK("https://twitter.com/aliiiiarab","@aliiiiarab")</f>
        <v>@aliiiiarab</v>
      </c>
      <c r="C1492" s="6" t="s">
        <v>3911</v>
      </c>
      <c r="D1492" s="5" t="s">
        <v>3910</v>
      </c>
      <c r="E1492" s="9" t="str">
        <f>HYPERLINK("https://twitter.com/aliiiiarab/status/1045259210269888513","1045259210269888513")</f>
        <v>1045259210269888513</v>
      </c>
      <c r="F1492" s="4"/>
      <c r="G1492" s="10" t="s">
        <v>3909</v>
      </c>
      <c r="H1492" s="4"/>
      <c r="I1492" s="10" t="str">
        <f>HYPERLINK("http://twitter.com/download/android","Twitter for Android")</f>
        <v>Twitter for Android</v>
      </c>
      <c r="J1492" s="2">
        <v>838</v>
      </c>
      <c r="K1492" s="2">
        <v>811</v>
      </c>
      <c r="L1492" s="2">
        <v>0</v>
      </c>
      <c r="M1492" s="2"/>
      <c r="N1492" s="8">
        <v>43048.473483796297</v>
      </c>
      <c r="O1492" s="4" t="s">
        <v>3908</v>
      </c>
      <c r="P1492" s="3" t="s">
        <v>3907</v>
      </c>
      <c r="Q1492" s="10" t="s">
        <v>3906</v>
      </c>
      <c r="R1492" s="4"/>
      <c r="S1492" s="9" t="str">
        <f>HYPERLINK("https://pbs.twimg.com/profile_images/1039745476625674240/15g7g2BK.jpg","View")</f>
        <v>View</v>
      </c>
    </row>
    <row r="1493" spans="1:19" ht="20">
      <c r="A1493" s="8">
        <v>43370.583032407405</v>
      </c>
      <c r="B1493" s="11" t="str">
        <f>HYPERLINK("https://twitter.com/Sdq313","@Sdq313")</f>
        <v>@Sdq313</v>
      </c>
      <c r="C1493" s="6" t="s">
        <v>3905</v>
      </c>
      <c r="D1493" s="5" t="s">
        <v>3904</v>
      </c>
      <c r="E1493" s="9" t="str">
        <f>HYPERLINK("https://twitter.com/Sdq313/status/1045259143332974592","1045259143332974592")</f>
        <v>1045259143332974592</v>
      </c>
      <c r="F1493" s="4"/>
      <c r="G1493" s="10" t="s">
        <v>3903</v>
      </c>
      <c r="H1493" s="4"/>
      <c r="I1493" s="10" t="str">
        <f>HYPERLINK("http://twitter.com/download/android","Twitter for Android")</f>
        <v>Twitter for Android</v>
      </c>
      <c r="J1493" s="2">
        <v>1553</v>
      </c>
      <c r="K1493" s="2">
        <v>505</v>
      </c>
      <c r="L1493" s="2">
        <v>5</v>
      </c>
      <c r="M1493" s="2"/>
      <c r="N1493" s="8">
        <v>42734.148344907408</v>
      </c>
      <c r="O1493" s="4" t="s">
        <v>3902</v>
      </c>
      <c r="P1493" s="3" t="s">
        <v>3901</v>
      </c>
      <c r="Q1493" s="4"/>
      <c r="R1493" s="4"/>
      <c r="S1493" s="9" t="str">
        <f>HYPERLINK("https://pbs.twimg.com/profile_images/1023795150462562305/rQKlWaKl.jpg","View")</f>
        <v>View</v>
      </c>
    </row>
    <row r="1494" spans="1:19" ht="12.5">
      <c r="A1494" s="8">
        <v>43370.582407407404</v>
      </c>
      <c r="B1494" s="11" t="str">
        <f>HYPERLINK("https://twitter.com/Srwini6","@Srwini6")</f>
        <v>@Srwini6</v>
      </c>
      <c r="C1494" s="6" t="s">
        <v>3900</v>
      </c>
      <c r="D1494" s="5" t="s">
        <v>3899</v>
      </c>
      <c r="E1494" s="9" t="str">
        <f>HYPERLINK("https://twitter.com/Srwini6/status/1045258917155098624","1045258917155098624")</f>
        <v>1045258917155098624</v>
      </c>
      <c r="F1494" s="4"/>
      <c r="G1494" s="10" t="s">
        <v>3898</v>
      </c>
      <c r="H1494" s="4"/>
      <c r="I1494" s="10" t="str">
        <f>HYPERLINK("http://twitter.com/download/android","Twitter for Android")</f>
        <v>Twitter for Android</v>
      </c>
      <c r="J1494" s="2">
        <v>2158</v>
      </c>
      <c r="K1494" s="2">
        <v>1625</v>
      </c>
      <c r="L1494" s="2">
        <v>4</v>
      </c>
      <c r="M1494" s="2"/>
      <c r="N1494" s="8">
        <v>43300.628981481481</v>
      </c>
      <c r="O1494" s="4" t="s">
        <v>3897</v>
      </c>
      <c r="P1494" s="3" t="s">
        <v>3896</v>
      </c>
      <c r="Q1494" s="10" t="s">
        <v>3895</v>
      </c>
      <c r="R1494" s="4"/>
      <c r="S1494" s="9" t="str">
        <f>HYPERLINK("https://pbs.twimg.com/profile_images/1042516160791494656/QIobVEFX.jpg","View")</f>
        <v>View</v>
      </c>
    </row>
    <row r="1495" spans="1:19" ht="40">
      <c r="A1495" s="8">
        <v>43370.582245370373</v>
      </c>
      <c r="B1495" s="11" t="str">
        <f>HYPERLINK("https://twitter.com/MehrdadS46","@MehrdadS46")</f>
        <v>@MehrdadS46</v>
      </c>
      <c r="C1495" s="6" t="s">
        <v>3894</v>
      </c>
      <c r="D1495" s="5" t="s">
        <v>3893</v>
      </c>
      <c r="E1495" s="9" t="str">
        <f>HYPERLINK("https://twitter.com/MehrdadS46/status/1045258857847697408","1045258857847697408")</f>
        <v>1045258857847697408</v>
      </c>
      <c r="F1495" s="4"/>
      <c r="G1495" s="10" t="s">
        <v>3892</v>
      </c>
      <c r="H1495" s="4"/>
      <c r="I1495" s="10" t="str">
        <f>HYPERLINK("http://twitter.com/download/android","Twitter for Android")</f>
        <v>Twitter for Android</v>
      </c>
      <c r="J1495" s="2">
        <v>315</v>
      </c>
      <c r="K1495" s="2">
        <v>144</v>
      </c>
      <c r="L1495" s="2">
        <v>6</v>
      </c>
      <c r="M1495" s="2"/>
      <c r="N1495" s="8">
        <v>41025.943715277775</v>
      </c>
      <c r="O1495" s="4" t="s">
        <v>3891</v>
      </c>
      <c r="P1495" s="3" t="s">
        <v>3890</v>
      </c>
      <c r="Q1495" s="10" t="s">
        <v>3889</v>
      </c>
      <c r="R1495" s="4"/>
      <c r="S1495" s="9" t="str">
        <f>HYPERLINK("https://pbs.twimg.com/profile_images/990533915457794048/A2g11Upm.jpg","View")</f>
        <v>View</v>
      </c>
    </row>
    <row r="1496" spans="1:19" ht="40">
      <c r="A1496" s="8">
        <v>43370.582025462965</v>
      </c>
      <c r="B1496" s="11" t="str">
        <f>HYPERLINK("https://twitter.com/_Out_Of_Minds_","@_Out_Of_Minds_")</f>
        <v>@_Out_Of_Minds_</v>
      </c>
      <c r="C1496" s="6" t="s">
        <v>3888</v>
      </c>
      <c r="D1496" s="5" t="s">
        <v>3887</v>
      </c>
      <c r="E1496" s="9" t="str">
        <f>HYPERLINK("https://twitter.com/_Out_Of_Minds_/status/1045258778667622400","1045258778667622400")</f>
        <v>1045258778667622400</v>
      </c>
      <c r="F1496" s="4"/>
      <c r="G1496" s="4"/>
      <c r="H1496" s="4"/>
      <c r="I1496" s="10" t="str">
        <f>HYPERLINK("https://mobile.twitter.com","Twitter Lite")</f>
        <v>Twitter Lite</v>
      </c>
      <c r="J1496" s="2">
        <v>431</v>
      </c>
      <c r="K1496" s="2">
        <v>427</v>
      </c>
      <c r="L1496" s="2">
        <v>0</v>
      </c>
      <c r="M1496" s="2"/>
      <c r="N1496" s="8">
        <v>41514.776631944442</v>
      </c>
      <c r="O1496" s="4"/>
      <c r="P1496" s="3" t="s">
        <v>3886</v>
      </c>
      <c r="Q1496" s="4"/>
      <c r="R1496" s="4"/>
      <c r="S1496" s="9" t="str">
        <f>HYPERLINK("https://pbs.twimg.com/profile_images/1043096914395160584/pdQuMMXr.jpg","View")</f>
        <v>View</v>
      </c>
    </row>
    <row r="1497" spans="1:19" ht="20">
      <c r="A1497" s="8">
        <v>43370.581770833334</v>
      </c>
      <c r="B1497" s="11" t="str">
        <f>HYPERLINK("https://twitter.com/ERFAN_SALAME","@ERFAN_SALAME")</f>
        <v>@ERFAN_SALAME</v>
      </c>
      <c r="C1497" s="6" t="s">
        <v>17</v>
      </c>
      <c r="D1497" s="5" t="s">
        <v>3885</v>
      </c>
      <c r="E1497" s="9" t="str">
        <f>HYPERLINK("https://twitter.com/ERFAN_SALAME/status/1045258686518743040","1045258686518743040")</f>
        <v>1045258686518743040</v>
      </c>
      <c r="F1497" s="4"/>
      <c r="G1497" s="10" t="s">
        <v>3884</v>
      </c>
      <c r="H1497" s="4"/>
      <c r="I1497" s="10" t="str">
        <f>HYPERLINK("http://twitter.com/download/android","Twitter for Android")</f>
        <v>Twitter for Android</v>
      </c>
      <c r="J1497" s="2">
        <v>9</v>
      </c>
      <c r="K1497" s="2">
        <v>16</v>
      </c>
      <c r="L1497" s="2">
        <v>0</v>
      </c>
      <c r="M1497" s="2"/>
      <c r="N1497" s="8">
        <v>43315.948518518519</v>
      </c>
      <c r="O1497" s="4" t="s">
        <v>14</v>
      </c>
      <c r="P1497" s="3"/>
      <c r="Q1497" s="4"/>
      <c r="R1497" s="4"/>
      <c r="S1497" s="9" t="str">
        <f>HYPERLINK("https://pbs.twimg.com/profile_images/1034183459466629122/i4JYMDK-.jpg","View")</f>
        <v>View</v>
      </c>
    </row>
    <row r="1498" spans="1:19" ht="20">
      <c r="A1498" s="8">
        <v>43370.581319444449</v>
      </c>
      <c r="B1498" s="11" t="str">
        <f>HYPERLINK("https://twitter.com/AliAsgharA2","@AliAsgharA2")</f>
        <v>@AliAsgharA2</v>
      </c>
      <c r="C1498" s="6" t="s">
        <v>3883</v>
      </c>
      <c r="D1498" s="5" t="s">
        <v>3882</v>
      </c>
      <c r="E1498" s="9" t="str">
        <f>HYPERLINK("https://twitter.com/AliAsgharA2/status/1045258522630529024","1045258522630529024")</f>
        <v>1045258522630529024</v>
      </c>
      <c r="F1498" s="4"/>
      <c r="G1498" s="4"/>
      <c r="H1498" s="4"/>
      <c r="I1498" s="10" t="str">
        <f>HYPERLINK("http://twitter.com/download/iphone","Twitter for iPhone")</f>
        <v>Twitter for iPhone</v>
      </c>
      <c r="J1498" s="2">
        <v>27</v>
      </c>
      <c r="K1498" s="2">
        <v>23</v>
      </c>
      <c r="L1498" s="2">
        <v>0</v>
      </c>
      <c r="M1498" s="2"/>
      <c r="N1498" s="8">
        <v>43159.620694444442</v>
      </c>
      <c r="O1498" s="4" t="s">
        <v>3881</v>
      </c>
      <c r="P1498" s="3" t="s">
        <v>3880</v>
      </c>
      <c r="Q1498" s="4"/>
      <c r="R1498" s="4"/>
      <c r="S1498" s="9" t="str">
        <f>HYPERLINK("https://pbs.twimg.com/profile_images/968814214797320197/Up3wTc9l.jpg","View")</f>
        <v>View</v>
      </c>
    </row>
    <row r="1499" spans="1:19" ht="20">
      <c r="A1499" s="8">
        <v>43370.581157407403</v>
      </c>
      <c r="B1499" s="11" t="str">
        <f>HYPERLINK("https://twitter.com/Mahsa4444","@Mahsa4444")</f>
        <v>@Mahsa4444</v>
      </c>
      <c r="C1499" s="6" t="s">
        <v>3879</v>
      </c>
      <c r="D1499" s="5" t="s">
        <v>3878</v>
      </c>
      <c r="E1499" s="9" t="str">
        <f>HYPERLINK("https://twitter.com/Mahsa4444/status/1045258463067197440","1045258463067197440")</f>
        <v>1045258463067197440</v>
      </c>
      <c r="F1499" s="4"/>
      <c r="G1499" s="4"/>
      <c r="H1499" s="4"/>
      <c r="I1499" s="10" t="str">
        <f>HYPERLINK("https://mobile.twitter.com","Twitter Lite")</f>
        <v>Twitter Lite</v>
      </c>
      <c r="J1499" s="2">
        <v>164</v>
      </c>
      <c r="K1499" s="2">
        <v>271</v>
      </c>
      <c r="L1499" s="2">
        <v>0</v>
      </c>
      <c r="M1499" s="2"/>
      <c r="N1499" s="8">
        <v>43239.377696759257</v>
      </c>
      <c r="O1499" s="4" t="s">
        <v>69</v>
      </c>
      <c r="P1499" s="3" t="s">
        <v>3877</v>
      </c>
      <c r="Q1499" s="4"/>
      <c r="R1499" s="4"/>
      <c r="S1499" s="9" t="str">
        <f>HYPERLINK("https://pbs.twimg.com/profile_images/1041734910132846600/kumfjV3b.jpg","View")</f>
        <v>View</v>
      </c>
    </row>
    <row r="1500" spans="1:19" ht="40">
      <c r="A1500" s="8">
        <v>43370.580289351856</v>
      </c>
      <c r="B1500" s="11" t="str">
        <f>HYPERLINK("https://twitter.com/Al_ghadban90","@Al_ghadban90")</f>
        <v>@Al_ghadban90</v>
      </c>
      <c r="C1500" s="6" t="s">
        <v>3876</v>
      </c>
      <c r="D1500" s="5" t="s">
        <v>3875</v>
      </c>
      <c r="E1500" s="9" t="str">
        <f>HYPERLINK("https://twitter.com/Al_ghadban90/status/1045258148557336579","1045258148557336579")</f>
        <v>1045258148557336579</v>
      </c>
      <c r="F1500" s="4"/>
      <c r="G1500" s="4"/>
      <c r="H1500" s="4"/>
      <c r="I1500" s="10" t="str">
        <f>HYPERLINK("http://twitter.com/download/android","Twitter for Android")</f>
        <v>Twitter for Android</v>
      </c>
      <c r="J1500" s="2">
        <v>51</v>
      </c>
      <c r="K1500" s="2">
        <v>217</v>
      </c>
      <c r="L1500" s="2">
        <v>0</v>
      </c>
      <c r="M1500" s="2"/>
      <c r="N1500" s="8">
        <v>41460.582858796297</v>
      </c>
      <c r="O1500" s="4"/>
      <c r="P1500" s="3"/>
      <c r="Q1500" s="4"/>
      <c r="R1500" s="4"/>
      <c r="S1500" s="9" t="str">
        <f>HYPERLINK("https://pbs.twimg.com/profile_images/1018138624272031744/DotPjbu3.jpg","View")</f>
        <v>View</v>
      </c>
    </row>
    <row r="1501" spans="1:19" ht="30">
      <c r="A1501" s="8">
        <v>43370.57975694444</v>
      </c>
      <c r="B1501" s="11" t="str">
        <f>HYPERLINK("https://twitter.com/hasanmakari3","@hasanmakari3")</f>
        <v>@hasanmakari3</v>
      </c>
      <c r="C1501" s="6" t="s">
        <v>3874</v>
      </c>
      <c r="D1501" s="5" t="s">
        <v>3873</v>
      </c>
      <c r="E1501" s="9" t="str">
        <f>HYPERLINK("https://twitter.com/hasanmakari3/status/1045257956202303488","1045257956202303488")</f>
        <v>1045257956202303488</v>
      </c>
      <c r="F1501" s="4"/>
      <c r="G1501" s="4"/>
      <c r="H1501" s="4"/>
      <c r="I1501" s="10" t="str">
        <f>HYPERLINK("http://twitter.com/download/android","Twitter for Android")</f>
        <v>Twitter for Android</v>
      </c>
      <c r="J1501" s="2">
        <v>21</v>
      </c>
      <c r="K1501" s="2">
        <v>114</v>
      </c>
      <c r="L1501" s="2">
        <v>0</v>
      </c>
      <c r="M1501" s="2"/>
      <c r="N1501" s="8">
        <v>43364.436747685184</v>
      </c>
      <c r="O1501" s="4"/>
      <c r="P1501" s="3" t="s">
        <v>3872</v>
      </c>
      <c r="Q1501" s="4"/>
      <c r="R1501" s="4"/>
      <c r="S1501" s="9" t="str">
        <f>HYPERLINK("https://pbs.twimg.com/profile_images/1043018836801290240/9sqmYwUU.jpg","View")</f>
        <v>View</v>
      </c>
    </row>
    <row r="1502" spans="1:19" ht="20">
      <c r="A1502" s="8">
        <v>43370.579664351855</v>
      </c>
      <c r="B1502" s="11" t="str">
        <f>HYPERLINK("https://twitter.com/alhdrii","@alhdrii")</f>
        <v>@alhdrii</v>
      </c>
      <c r="C1502" s="6" t="s">
        <v>3871</v>
      </c>
      <c r="D1502" s="5" t="s">
        <v>3870</v>
      </c>
      <c r="E1502" s="9" t="str">
        <f>HYPERLINK("https://twitter.com/alhdrii/status/1045257924644401152","1045257924644401152")</f>
        <v>1045257924644401152</v>
      </c>
      <c r="F1502" s="4"/>
      <c r="G1502" s="4"/>
      <c r="H1502" s="4"/>
      <c r="I1502" s="10" t="str">
        <f>HYPERLINK("http://twitter.com/download/android","Twitter for Android")</f>
        <v>Twitter for Android</v>
      </c>
      <c r="J1502" s="2">
        <v>518</v>
      </c>
      <c r="K1502" s="2">
        <v>419</v>
      </c>
      <c r="L1502" s="2">
        <v>1</v>
      </c>
      <c r="M1502" s="2"/>
      <c r="N1502" s="8">
        <v>41174.726226851853</v>
      </c>
      <c r="O1502" s="4" t="s">
        <v>3869</v>
      </c>
      <c r="P1502" s="3" t="s">
        <v>3868</v>
      </c>
      <c r="Q1502" s="4"/>
      <c r="R1502" s="4"/>
      <c r="S1502" s="9" t="str">
        <f>HYPERLINK("https://pbs.twimg.com/profile_images/1039420508331274240/wqr6aogT.jpg","View")</f>
        <v>View</v>
      </c>
    </row>
    <row r="1503" spans="1:19" ht="20">
      <c r="A1503" s="8">
        <v>43370.579108796301</v>
      </c>
      <c r="B1503" s="11" t="str">
        <f>HYPERLINK("https://twitter.com/iam_amiran","@iam_amiran")</f>
        <v>@iam_amiran</v>
      </c>
      <c r="C1503" s="6" t="s">
        <v>3867</v>
      </c>
      <c r="D1503" s="5" t="s">
        <v>3866</v>
      </c>
      <c r="E1503" s="9" t="str">
        <f>HYPERLINK("https://twitter.com/iam_amiran/status/1045257721652662273","1045257721652662273")</f>
        <v>1045257721652662273</v>
      </c>
      <c r="F1503" s="4"/>
      <c r="G1503" s="4"/>
      <c r="H1503" s="4"/>
      <c r="I1503" s="10" t="str">
        <f>HYPERLINK("http://twitter.com/download/android","Twitter for Android")</f>
        <v>Twitter for Android</v>
      </c>
      <c r="J1503" s="2">
        <v>33</v>
      </c>
      <c r="K1503" s="2">
        <v>41</v>
      </c>
      <c r="L1503" s="2">
        <v>0</v>
      </c>
      <c r="M1503" s="2"/>
      <c r="N1503" s="8">
        <v>42930.966307870374</v>
      </c>
      <c r="O1503" s="4" t="s">
        <v>200</v>
      </c>
      <c r="P1503" s="3" t="s">
        <v>3865</v>
      </c>
      <c r="Q1503" s="10" t="s">
        <v>3864</v>
      </c>
      <c r="R1503" s="4"/>
      <c r="S1503" s="9" t="str">
        <f>HYPERLINK("https://pbs.twimg.com/profile_images/1040932485394247681/_9UFd63T.jpg","View")</f>
        <v>View</v>
      </c>
    </row>
    <row r="1504" spans="1:19" ht="60">
      <c r="A1504" s="8">
        <v>43370.578715277778</v>
      </c>
      <c r="B1504" s="11" t="str">
        <f>HYPERLINK("https://twitter.com/Armaaaannnnnn","@Armaaaannnnnn")</f>
        <v>@Armaaaannnnnn</v>
      </c>
      <c r="C1504" s="6" t="s">
        <v>3863</v>
      </c>
      <c r="D1504" s="5" t="s">
        <v>3862</v>
      </c>
      <c r="E1504" s="9" t="str">
        <f>HYPERLINK("https://twitter.com/Armaaaannnnnn/status/1045257577330872321","1045257577330872321")</f>
        <v>1045257577330872321</v>
      </c>
      <c r="F1504" s="10" t="s">
        <v>3861</v>
      </c>
      <c r="G1504" s="10" t="s">
        <v>3860</v>
      </c>
      <c r="H1504" s="4"/>
      <c r="I1504" s="10" t="str">
        <f>HYPERLINK("http://twitter.com/download/android","Twitter for Android")</f>
        <v>Twitter for Android</v>
      </c>
      <c r="J1504" s="2">
        <v>208</v>
      </c>
      <c r="K1504" s="2">
        <v>190</v>
      </c>
      <c r="L1504" s="2">
        <v>0</v>
      </c>
      <c r="M1504" s="2"/>
      <c r="N1504" s="8">
        <v>42712.799895833334</v>
      </c>
      <c r="O1504" s="4"/>
      <c r="P1504" s="3" t="s">
        <v>3859</v>
      </c>
      <c r="Q1504" s="4"/>
      <c r="R1504" s="4"/>
      <c r="S1504" s="9" t="str">
        <f>HYPERLINK("https://pbs.twimg.com/profile_images/1036715596023586816/UopWaNwo.jpg","View")</f>
        <v>View</v>
      </c>
    </row>
    <row r="1505" spans="1:19" ht="20">
      <c r="A1505" s="8">
        <v>43370.578668981485</v>
      </c>
      <c r="B1505" s="11" t="str">
        <f>HYPERLINK("https://twitter.com/hesari10","@hesari10")</f>
        <v>@hesari10</v>
      </c>
      <c r="C1505" s="6" t="s">
        <v>3858</v>
      </c>
      <c r="D1505" s="5" t="s">
        <v>3857</v>
      </c>
      <c r="E1505" s="9" t="str">
        <f>HYPERLINK("https://twitter.com/hesari10/status/1045257563544145920","1045257563544145920")</f>
        <v>1045257563544145920</v>
      </c>
      <c r="F1505" s="4"/>
      <c r="G1505" s="4"/>
      <c r="H1505" s="4"/>
      <c r="I1505" s="10" t="str">
        <f>HYPERLINK("http://twitter.com/download/android","Twitter for Android")</f>
        <v>Twitter for Android</v>
      </c>
      <c r="J1505" s="2">
        <v>13</v>
      </c>
      <c r="K1505" s="2">
        <v>53</v>
      </c>
      <c r="L1505" s="2">
        <v>0</v>
      </c>
      <c r="M1505" s="2"/>
      <c r="N1505" s="8">
        <v>42554.052777777775</v>
      </c>
      <c r="O1505" s="4"/>
      <c r="P1505" s="3"/>
      <c r="Q1505" s="4"/>
      <c r="R1505" s="4"/>
      <c r="S1505" s="9" t="str">
        <f>HYPERLINK("https://pbs.twimg.com/profile_images/1014767601241743360/wASgp0nL.jpg","View")</f>
        <v>View</v>
      </c>
    </row>
    <row r="1506" spans="1:19" ht="12.5">
      <c r="A1506" s="8">
        <v>43370.578622685185</v>
      </c>
      <c r="B1506" s="11" t="str">
        <f>HYPERLINK("https://twitter.com/Jalaledin_","@Jalaledin_")</f>
        <v>@Jalaledin_</v>
      </c>
      <c r="C1506" s="6" t="s">
        <v>3856</v>
      </c>
      <c r="D1506" s="5" t="s">
        <v>3855</v>
      </c>
      <c r="E1506" s="9" t="str">
        <f>HYPERLINK("https://twitter.com/Jalaledin_/status/1045257547303866368","1045257547303866368")</f>
        <v>1045257547303866368</v>
      </c>
      <c r="F1506" s="4"/>
      <c r="G1506" s="4"/>
      <c r="H1506" s="4"/>
      <c r="I1506" s="10" t="str">
        <f>HYPERLINK("http://twitter.com/download/android","Twitter for Android")</f>
        <v>Twitter for Android</v>
      </c>
      <c r="J1506" s="2">
        <v>30</v>
      </c>
      <c r="K1506" s="2">
        <v>22</v>
      </c>
      <c r="L1506" s="2">
        <v>0</v>
      </c>
      <c r="M1506" s="2"/>
      <c r="N1506" s="8">
        <v>41200.0387962963</v>
      </c>
      <c r="O1506" s="4" t="s">
        <v>72</v>
      </c>
      <c r="P1506" s="3" t="s">
        <v>3854</v>
      </c>
      <c r="Q1506" s="10" t="s">
        <v>3853</v>
      </c>
      <c r="R1506" s="4"/>
      <c r="S1506" s="9" t="str">
        <f>HYPERLINK("https://pbs.twimg.com/profile_images/1043780734710927361/B2ijnBNA.jpg","View")</f>
        <v>View</v>
      </c>
    </row>
    <row r="1507" spans="1:19" ht="20">
      <c r="A1507" s="8">
        <v>43370.5783912037</v>
      </c>
      <c r="B1507" s="11" t="str">
        <f>HYPERLINK("https://twitter.com/saaraeii","@saaraeii")</f>
        <v>@saaraeii</v>
      </c>
      <c r="C1507" s="6" t="s">
        <v>3852</v>
      </c>
      <c r="D1507" s="5" t="s">
        <v>3851</v>
      </c>
      <c r="E1507" s="9" t="str">
        <f>HYPERLINK("https://twitter.com/saaraeii/status/1045257462906015750","1045257462906015750")</f>
        <v>1045257462906015750</v>
      </c>
      <c r="F1507" s="4"/>
      <c r="G1507" s="4"/>
      <c r="H1507" s="4"/>
      <c r="I1507" s="10" t="str">
        <f>HYPERLINK("http://twitter.com/download/android","Twitter for Android")</f>
        <v>Twitter for Android</v>
      </c>
      <c r="J1507" s="2">
        <v>42</v>
      </c>
      <c r="K1507" s="2">
        <v>57</v>
      </c>
      <c r="L1507" s="2">
        <v>0</v>
      </c>
      <c r="M1507" s="2"/>
      <c r="N1507" s="8">
        <v>41748.529409722221</v>
      </c>
      <c r="O1507" s="4" t="s">
        <v>10</v>
      </c>
      <c r="P1507" s="3"/>
      <c r="Q1507" s="4"/>
      <c r="R1507" s="4"/>
      <c r="S1507" s="9" t="str">
        <f>HYPERLINK("https://pbs.twimg.com/profile_images/458521488555925504/sA5dSdSs.jpeg","View")</f>
        <v>View</v>
      </c>
    </row>
    <row r="1508" spans="1:19" ht="40">
      <c r="A1508" s="8">
        <v>43370.57775462963</v>
      </c>
      <c r="B1508" s="11" t="str">
        <f>HYPERLINK("https://twitter.com/HMirghasemi","@HMirghasemi")</f>
        <v>@HMirghasemi</v>
      </c>
      <c r="C1508" s="6" t="s">
        <v>520</v>
      </c>
      <c r="D1508" s="5" t="s">
        <v>3850</v>
      </c>
      <c r="E1508" s="9" t="str">
        <f>HYPERLINK("https://twitter.com/HMirghasemi/status/1045257230461931520","1045257230461931520")</f>
        <v>1045257230461931520</v>
      </c>
      <c r="F1508" s="4"/>
      <c r="G1508" s="10" t="s">
        <v>3849</v>
      </c>
      <c r="H1508" s="4"/>
      <c r="I1508" s="10" t="str">
        <f>HYPERLINK("http://twitter.com/download/iphone","Twitter for iPhone")</f>
        <v>Twitter for iPhone</v>
      </c>
      <c r="J1508" s="2">
        <v>14</v>
      </c>
      <c r="K1508" s="2">
        <v>115</v>
      </c>
      <c r="L1508" s="2">
        <v>0</v>
      </c>
      <c r="M1508" s="2"/>
      <c r="N1508" s="8">
        <v>43064.736840277779</v>
      </c>
      <c r="O1508" s="4"/>
      <c r="P1508" s="3" t="s">
        <v>518</v>
      </c>
      <c r="Q1508" s="10" t="s">
        <v>517</v>
      </c>
      <c r="R1508" s="4"/>
      <c r="S1508" s="9" t="str">
        <f>HYPERLINK("https://pbs.twimg.com/profile_images/985604059850838016/XkfT_10B.jpg","View")</f>
        <v>View</v>
      </c>
    </row>
    <row r="1509" spans="1:19" ht="12.5">
      <c r="A1509" s="8">
        <v>43370.577476851853</v>
      </c>
      <c r="B1509" s="11" t="str">
        <f>HYPERLINK("https://twitter.com/zs_roya","@zs_roya")</f>
        <v>@zs_roya</v>
      </c>
      <c r="C1509" s="6" t="s">
        <v>3848</v>
      </c>
      <c r="D1509" s="5" t="s">
        <v>3847</v>
      </c>
      <c r="E1509" s="9" t="str">
        <f>HYPERLINK("https://twitter.com/zs_roya/status/1045257129211441153","1045257129211441153")</f>
        <v>1045257129211441153</v>
      </c>
      <c r="F1509" s="4"/>
      <c r="G1509" s="4"/>
      <c r="H1509" s="4"/>
      <c r="I1509" s="10" t="str">
        <f>HYPERLINK("http://twitter.com/download/android","Twitter for Android")</f>
        <v>Twitter for Android</v>
      </c>
      <c r="J1509" s="2">
        <v>2196</v>
      </c>
      <c r="K1509" s="2">
        <v>299</v>
      </c>
      <c r="L1509" s="2">
        <v>16</v>
      </c>
      <c r="M1509" s="2"/>
      <c r="N1509" s="8">
        <v>42687.075243055559</v>
      </c>
      <c r="O1509" s="4" t="s">
        <v>3846</v>
      </c>
      <c r="P1509" s="3" t="s">
        <v>3845</v>
      </c>
      <c r="Q1509" s="4"/>
      <c r="R1509" s="4"/>
      <c r="S1509" s="9" t="str">
        <f>HYPERLINK("https://pbs.twimg.com/profile_images/1043987909743923200/WPn5S6ZI.jpg","View")</f>
        <v>View</v>
      </c>
    </row>
    <row r="1510" spans="1:19" ht="12.5">
      <c r="A1510" s="8">
        <v>43370.57744212963</v>
      </c>
      <c r="B1510" s="11" t="str">
        <f>HYPERLINK("https://twitter.com/shernevis4","@shernevis4")</f>
        <v>@shernevis4</v>
      </c>
      <c r="C1510" s="11" t="s">
        <v>3844</v>
      </c>
      <c r="D1510" s="5" t="s">
        <v>3843</v>
      </c>
      <c r="E1510" s="9" t="str">
        <f>HYPERLINK("https://twitter.com/shernevis4/status/1045257118339813376","1045257118339813376")</f>
        <v>1045257118339813376</v>
      </c>
      <c r="F1510" s="4"/>
      <c r="G1510" s="4"/>
      <c r="H1510" s="4"/>
      <c r="I1510" s="10" t="str">
        <f>HYPERLINK("http://twitter.com/download/android","Twitter for Android")</f>
        <v>Twitter for Android</v>
      </c>
      <c r="J1510" s="2">
        <v>3544</v>
      </c>
      <c r="K1510" s="2">
        <v>4977</v>
      </c>
      <c r="L1510" s="2">
        <v>2</v>
      </c>
      <c r="M1510" s="2"/>
      <c r="N1510" s="8">
        <v>43248.037048611106</v>
      </c>
      <c r="O1510" s="4" t="s">
        <v>3842</v>
      </c>
      <c r="P1510" s="3" t="s">
        <v>3841</v>
      </c>
      <c r="Q1510" s="4"/>
      <c r="R1510" s="4"/>
      <c r="S1510" s="9" t="str">
        <f>HYPERLINK("https://pbs.twimg.com/profile_images/1000898491672072193/oJX3l80S.jpg","View")</f>
        <v>View</v>
      </c>
    </row>
    <row r="1511" spans="1:19" ht="30">
      <c r="A1511" s="8">
        <v>43370.577210648145</v>
      </c>
      <c r="B1511" s="11" t="str">
        <f>HYPERLINK("https://twitter.com/SMPrfa","@SMPrfa")</f>
        <v>@SMPrfa</v>
      </c>
      <c r="C1511" s="6" t="s">
        <v>1681</v>
      </c>
      <c r="D1511" s="5" t="s">
        <v>3840</v>
      </c>
      <c r="E1511" s="9" t="str">
        <f>HYPERLINK("https://twitter.com/SMPrfa/status/1045257035552620550","1045257035552620550")</f>
        <v>1045257035552620550</v>
      </c>
      <c r="F1511" s="4"/>
      <c r="G1511" s="4"/>
      <c r="H1511" s="4"/>
      <c r="I1511" s="10" t="str">
        <f>HYPERLINK("http://twitter.com/download/android","Twitter for Android")</f>
        <v>Twitter for Android</v>
      </c>
      <c r="J1511" s="2">
        <v>888</v>
      </c>
      <c r="K1511" s="2">
        <v>868</v>
      </c>
      <c r="L1511" s="2">
        <v>0</v>
      </c>
      <c r="M1511" s="2"/>
      <c r="N1511" s="8">
        <v>41640.805601851855</v>
      </c>
      <c r="O1511" s="4" t="s">
        <v>1679</v>
      </c>
      <c r="P1511" s="3" t="s">
        <v>1678</v>
      </c>
      <c r="Q1511" s="4"/>
      <c r="R1511" s="4"/>
      <c r="S1511" s="9" t="str">
        <f>HYPERLINK("https://pbs.twimg.com/profile_images/1043802255240105984/_1lAMvO8.jpg","View")</f>
        <v>View</v>
      </c>
    </row>
    <row r="1512" spans="1:19" ht="30">
      <c r="A1512" s="8">
        <v>43370.57707175926</v>
      </c>
      <c r="B1512" s="11" t="str">
        <f>HYPERLINK("https://twitter.com/BQL2xURi3CJ7UJ6","@BQL2xURi3CJ7UJ6")</f>
        <v>@BQL2xURi3CJ7UJ6</v>
      </c>
      <c r="C1512" s="6" t="s">
        <v>3839</v>
      </c>
      <c r="D1512" s="5" t="s">
        <v>3838</v>
      </c>
      <c r="E1512" s="9" t="str">
        <f>HYPERLINK("https://twitter.com/BQL2xURi3CJ7UJ6/status/1045256982083645441","1045256982083645441")</f>
        <v>1045256982083645441</v>
      </c>
      <c r="F1512" s="4"/>
      <c r="G1512" s="4"/>
      <c r="H1512" s="4"/>
      <c r="I1512" s="10" t="str">
        <f>HYPERLINK("http://twitter.com/download/android","Twitter for Android")</f>
        <v>Twitter for Android</v>
      </c>
      <c r="J1512" s="2">
        <v>79</v>
      </c>
      <c r="K1512" s="2">
        <v>184</v>
      </c>
      <c r="L1512" s="2">
        <v>0</v>
      </c>
      <c r="M1512" s="2"/>
      <c r="N1512" s="8">
        <v>43355.523148148146</v>
      </c>
      <c r="O1512" s="4" t="s">
        <v>3373</v>
      </c>
      <c r="P1512" s="3" t="s">
        <v>3837</v>
      </c>
      <c r="Q1512" s="4"/>
      <c r="R1512" s="4"/>
      <c r="S1512" s="9" t="str">
        <f>HYPERLINK("https://pbs.twimg.com/profile_images/1043673931604021248/JnPClmyK.jpg","View")</f>
        <v>View</v>
      </c>
    </row>
    <row r="1513" spans="1:19" ht="12.5">
      <c r="A1513" s="8">
        <v>43370.576793981483</v>
      </c>
      <c r="B1513" s="11" t="str">
        <f>HYPERLINK("https://twitter.com/BehdadHamidreza","@BehdadHamidreza")</f>
        <v>@BehdadHamidreza</v>
      </c>
      <c r="C1513" s="6" t="s">
        <v>3836</v>
      </c>
      <c r="D1513" s="5" t="s">
        <v>3835</v>
      </c>
      <c r="E1513" s="9" t="str">
        <f>HYPERLINK("https://twitter.com/BehdadHamidreza/status/1045256884842827776","1045256884842827776")</f>
        <v>1045256884842827776</v>
      </c>
      <c r="F1513" s="4"/>
      <c r="G1513" s="4"/>
      <c r="H1513" s="4"/>
      <c r="I1513" s="10" t="str">
        <f>HYPERLINK("http://twitter.com/download/iphone","Twitter for iPhone")</f>
        <v>Twitter for iPhone</v>
      </c>
      <c r="J1513" s="2">
        <v>3</v>
      </c>
      <c r="K1513" s="2">
        <v>5</v>
      </c>
      <c r="L1513" s="2">
        <v>0</v>
      </c>
      <c r="M1513" s="2"/>
      <c r="N1513" s="8">
        <v>43295.56627314815</v>
      </c>
      <c r="O1513" s="4" t="s">
        <v>254</v>
      </c>
      <c r="P1513" s="3" t="s">
        <v>3834</v>
      </c>
      <c r="Q1513" s="4"/>
      <c r="R1513" s="4"/>
      <c r="S1513" s="9" t="str">
        <f>HYPERLINK("https://pbs.twimg.com/profile_images/1018174141445410817/3-gtZK0S.jpg","View")</f>
        <v>View</v>
      </c>
    </row>
    <row r="1514" spans="1:19" ht="12.5">
      <c r="A1514" s="8">
        <v>43370.576724537037</v>
      </c>
      <c r="B1514" s="11" t="str">
        <f>HYPERLINK("https://twitter.com/alireza_d_gh","@alireza_d_gh")</f>
        <v>@alireza_d_gh</v>
      </c>
      <c r="C1514" s="6" t="s">
        <v>3498</v>
      </c>
      <c r="D1514" s="5" t="s">
        <v>3833</v>
      </c>
      <c r="E1514" s="9" t="str">
        <f>HYPERLINK("https://twitter.com/alireza_d_gh/status/1045256858271973376","1045256858271973376")</f>
        <v>1045256858271973376</v>
      </c>
      <c r="F1514" s="4"/>
      <c r="G1514" s="10" t="s">
        <v>3832</v>
      </c>
      <c r="H1514" s="4"/>
      <c r="I1514" s="10" t="str">
        <f>HYPERLINK("http://twitter.com/download/android","Twitter for Android")</f>
        <v>Twitter for Android</v>
      </c>
      <c r="J1514" s="2">
        <v>2468</v>
      </c>
      <c r="K1514" s="2">
        <v>2229</v>
      </c>
      <c r="L1514" s="2">
        <v>5</v>
      </c>
      <c r="M1514" s="2"/>
      <c r="N1514" s="8">
        <v>41525.593923611115</v>
      </c>
      <c r="O1514" s="4" t="s">
        <v>3495</v>
      </c>
      <c r="P1514" s="3" t="s">
        <v>3494</v>
      </c>
      <c r="Q1514" s="10" t="s">
        <v>3493</v>
      </c>
      <c r="R1514" s="4"/>
      <c r="S1514" s="9" t="str">
        <f>HYPERLINK("https://pbs.twimg.com/profile_images/1015908602324881408/OhIdoFPX.jpg","View")</f>
        <v>View</v>
      </c>
    </row>
    <row r="1515" spans="1:19" ht="40">
      <c r="A1515" s="8">
        <v>43370.576643518521</v>
      </c>
      <c r="B1515" s="11" t="str">
        <f>HYPERLINK("https://twitter.com/DalghakIrani","@DalghakIrani")</f>
        <v>@DalghakIrani</v>
      </c>
      <c r="C1515" s="6" t="s">
        <v>3831</v>
      </c>
      <c r="D1515" s="5" t="s">
        <v>3830</v>
      </c>
      <c r="E1515" s="9" t="str">
        <f>HYPERLINK("https://twitter.com/DalghakIrani/status/1045256830140715008","1045256830140715008")</f>
        <v>1045256830140715008</v>
      </c>
      <c r="F1515" s="4"/>
      <c r="G1515" s="4"/>
      <c r="H1515" s="4"/>
      <c r="I1515" s="10" t="str">
        <f>HYPERLINK("http://twitter.com","Twitter Web Client")</f>
        <v>Twitter Web Client</v>
      </c>
      <c r="J1515" s="2">
        <v>1071</v>
      </c>
      <c r="K1515" s="2">
        <v>629</v>
      </c>
      <c r="L1515" s="2">
        <v>5</v>
      </c>
      <c r="M1515" s="2"/>
      <c r="N1515" s="8">
        <v>41504.594212962962</v>
      </c>
      <c r="O1515" s="4" t="s">
        <v>31</v>
      </c>
      <c r="P1515" s="3" t="s">
        <v>3829</v>
      </c>
      <c r="Q1515" s="10" t="s">
        <v>3828</v>
      </c>
      <c r="R1515" s="4"/>
      <c r="S1515" s="9" t="str">
        <f>HYPERLINK("https://pbs.twimg.com/profile_images/939146036798517248/f8s5BAPT.jpg","View")</f>
        <v>View</v>
      </c>
    </row>
    <row r="1516" spans="1:19" ht="30">
      <c r="A1516" s="8">
        <v>43370.576585648145</v>
      </c>
      <c r="B1516" s="11" t="str">
        <f>HYPERLINK("https://twitter.com/REZAAA1999","@REZAAA1999")</f>
        <v>@REZAAA1999</v>
      </c>
      <c r="C1516" s="6" t="s">
        <v>823</v>
      </c>
      <c r="D1516" s="5" t="s">
        <v>3827</v>
      </c>
      <c r="E1516" s="9" t="str">
        <f>HYPERLINK("https://twitter.com/REZAAA1999/status/1045256808334585856","1045256808334585856")</f>
        <v>1045256808334585856</v>
      </c>
      <c r="F1516" s="4"/>
      <c r="G1516" s="10" t="s">
        <v>3826</v>
      </c>
      <c r="H1516" s="4"/>
      <c r="I1516" s="10" t="str">
        <f>HYPERLINK("http://twitter.com/download/android","Twitter for Android")</f>
        <v>Twitter for Android</v>
      </c>
      <c r="J1516" s="2">
        <v>3259</v>
      </c>
      <c r="K1516" s="2">
        <v>1370</v>
      </c>
      <c r="L1516" s="2">
        <v>13</v>
      </c>
      <c r="M1516" s="2"/>
      <c r="N1516" s="8">
        <v>43028.945601851854</v>
      </c>
      <c r="O1516" s="4" t="s">
        <v>822</v>
      </c>
      <c r="P1516" s="3" t="s">
        <v>821</v>
      </c>
      <c r="Q1516" s="10" t="s">
        <v>820</v>
      </c>
      <c r="R1516" s="4"/>
      <c r="S1516" s="9" t="str">
        <f>HYPERLINK("https://pbs.twimg.com/profile_images/1042829654124621825/xd3pfBSh.jpg","View")</f>
        <v>View</v>
      </c>
    </row>
    <row r="1517" spans="1:19" ht="30">
      <c r="A1517" s="8">
        <v>43370.576585648145</v>
      </c>
      <c r="B1517" s="11" t="str">
        <f>HYPERLINK("https://twitter.com/reza_geramii","@reza_geramii")</f>
        <v>@reza_geramii</v>
      </c>
      <c r="C1517" s="6" t="s">
        <v>3825</v>
      </c>
      <c r="D1517" s="5" t="s">
        <v>3824</v>
      </c>
      <c r="E1517" s="9" t="str">
        <f>HYPERLINK("https://twitter.com/reza_geramii/status/1045256807801901056","1045256807801901056")</f>
        <v>1045256807801901056</v>
      </c>
      <c r="F1517" s="4"/>
      <c r="G1517" s="4"/>
      <c r="H1517" s="4"/>
      <c r="I1517" s="10" t="str">
        <f>HYPERLINK("http://twitter.com/download/android","Twitter for Android")</f>
        <v>Twitter for Android</v>
      </c>
      <c r="J1517" s="2">
        <v>295</v>
      </c>
      <c r="K1517" s="2">
        <v>195</v>
      </c>
      <c r="L1517" s="2">
        <v>1</v>
      </c>
      <c r="M1517" s="2"/>
      <c r="N1517" s="8">
        <v>41983.295775462961</v>
      </c>
      <c r="O1517" s="4" t="s">
        <v>200</v>
      </c>
      <c r="P1517" s="3" t="s">
        <v>3823</v>
      </c>
      <c r="Q1517" s="10" t="s">
        <v>3822</v>
      </c>
      <c r="R1517" s="4"/>
      <c r="S1517" s="9" t="str">
        <f>HYPERLINK("https://pbs.twimg.com/profile_images/1037166759328075776/oiF69b5L.jpg","View")</f>
        <v>View</v>
      </c>
    </row>
    <row r="1518" spans="1:19" ht="30">
      <c r="A1518" s="8">
        <v>43370.576018518521</v>
      </c>
      <c r="B1518" s="11" t="str">
        <f>HYPERLINK("https://twitter.com/imthetheoden","@imthetheoden")</f>
        <v>@imthetheoden</v>
      </c>
      <c r="C1518" s="6" t="s">
        <v>3821</v>
      </c>
      <c r="D1518" s="5" t="s">
        <v>3820</v>
      </c>
      <c r="E1518" s="9" t="str">
        <f>HYPERLINK("https://twitter.com/imthetheoden/status/1045256602511712256","1045256602511712256")</f>
        <v>1045256602511712256</v>
      </c>
      <c r="F1518" s="4"/>
      <c r="G1518" s="4"/>
      <c r="H1518" s="4"/>
      <c r="I1518" s="10" t="str">
        <f>HYPERLINK("http://twitter.com/download/android","Twitter for Android")</f>
        <v>Twitter for Android</v>
      </c>
      <c r="J1518" s="2">
        <v>111</v>
      </c>
      <c r="K1518" s="2">
        <v>125</v>
      </c>
      <c r="L1518" s="2">
        <v>0</v>
      </c>
      <c r="M1518" s="2"/>
      <c r="N1518" s="8">
        <v>42371.608749999999</v>
      </c>
      <c r="O1518" s="4" t="s">
        <v>200</v>
      </c>
      <c r="P1518" s="3" t="s">
        <v>3819</v>
      </c>
      <c r="Q1518" s="4"/>
      <c r="R1518" s="4"/>
      <c r="S1518" s="9" t="str">
        <f>HYPERLINK("https://pbs.twimg.com/profile_images/1039128259852525569/c-5HXKlF.jpg","View")</f>
        <v>View</v>
      </c>
    </row>
    <row r="1519" spans="1:19" ht="20">
      <c r="A1519" s="8">
        <v>43370.575833333336</v>
      </c>
      <c r="B1519" s="11" t="str">
        <f>HYPERLINK("https://twitter.com/biinaaam","@biinaaam")</f>
        <v>@biinaaam</v>
      </c>
      <c r="C1519" s="6" t="s">
        <v>3818</v>
      </c>
      <c r="D1519" s="5" t="s">
        <v>3817</v>
      </c>
      <c r="E1519" s="9" t="str">
        <f>HYPERLINK("https://twitter.com/biinaaam/status/1045256534610112512","1045256534610112512")</f>
        <v>1045256534610112512</v>
      </c>
      <c r="F1519" s="4"/>
      <c r="G1519" s="4"/>
      <c r="H1519" s="4"/>
      <c r="I1519" s="10" t="str">
        <f>HYPERLINK("http://twitter.com/download/iphone","Twitter for iPhone")</f>
        <v>Twitter for iPhone</v>
      </c>
      <c r="J1519" s="2">
        <v>201</v>
      </c>
      <c r="K1519" s="2">
        <v>169</v>
      </c>
      <c r="L1519" s="2">
        <v>0</v>
      </c>
      <c r="M1519" s="2"/>
      <c r="N1519" s="8">
        <v>43110.831458333334</v>
      </c>
      <c r="O1519" s="4" t="s">
        <v>3816</v>
      </c>
      <c r="P1519" s="3" t="s">
        <v>3815</v>
      </c>
      <c r="Q1519" s="4"/>
      <c r="R1519" s="4"/>
      <c r="S1519" s="9" t="str">
        <f>HYPERLINK("https://pbs.twimg.com/profile_images/1042082351377993729/FjkXFTdA.jpg","View")</f>
        <v>View</v>
      </c>
    </row>
    <row r="1520" spans="1:19" ht="12.5">
      <c r="A1520" s="8">
        <v>43370.575439814813</v>
      </c>
      <c r="B1520" s="11" t="str">
        <f>HYPERLINK("https://twitter.com/masoudaabed","@masoudaabed")</f>
        <v>@masoudaabed</v>
      </c>
      <c r="C1520" s="6" t="s">
        <v>3814</v>
      </c>
      <c r="D1520" s="5" t="s">
        <v>3813</v>
      </c>
      <c r="E1520" s="9" t="str">
        <f>HYPERLINK("https://twitter.com/masoudaabed/status/1045256390711922689","1045256390711922689")</f>
        <v>1045256390711922689</v>
      </c>
      <c r="F1520" s="4"/>
      <c r="G1520" s="4"/>
      <c r="H1520" s="4"/>
      <c r="I1520" s="10" t="str">
        <f>HYPERLINK("http://twitter.com/download/iphone","Twitter for iPhone")</f>
        <v>Twitter for iPhone</v>
      </c>
      <c r="J1520" s="2">
        <v>152</v>
      </c>
      <c r="K1520" s="2">
        <v>163</v>
      </c>
      <c r="L1520" s="2">
        <v>2</v>
      </c>
      <c r="M1520" s="2"/>
      <c r="N1520" s="8">
        <v>42761.497523148151</v>
      </c>
      <c r="O1520" s="4"/>
      <c r="P1520" s="3" t="s">
        <v>3812</v>
      </c>
      <c r="Q1520" s="4"/>
      <c r="R1520" s="4"/>
      <c r="S1520" s="9" t="str">
        <f>HYPERLINK("https://pbs.twimg.com/profile_images/883793724022689793/RtQd73_H.jpg","View")</f>
        <v>View</v>
      </c>
    </row>
    <row r="1521" spans="1:19" ht="12.5">
      <c r="A1521" s="8">
        <v>43370.575324074074</v>
      </c>
      <c r="B1521" s="11" t="str">
        <f>HYPERLINK("https://twitter.com/Mohamad6586","@Mohamad6586")</f>
        <v>@Mohamad6586</v>
      </c>
      <c r="C1521" s="6" t="s">
        <v>3811</v>
      </c>
      <c r="D1521" s="5" t="s">
        <v>3810</v>
      </c>
      <c r="E1521" s="9" t="str">
        <f>HYPERLINK("https://twitter.com/Mohamad6586/status/1045256349549039616","1045256349549039616")</f>
        <v>1045256349549039616</v>
      </c>
      <c r="F1521" s="4"/>
      <c r="G1521" s="4"/>
      <c r="H1521" s="4"/>
      <c r="I1521" s="10" t="str">
        <f>HYPERLINK("http://twitter.com/download/iphone","Twitter for iPhone")</f>
        <v>Twitter for iPhone</v>
      </c>
      <c r="J1521" s="2">
        <v>1108</v>
      </c>
      <c r="K1521" s="2">
        <v>418</v>
      </c>
      <c r="L1521" s="2">
        <v>4</v>
      </c>
      <c r="M1521" s="2"/>
      <c r="N1521" s="8">
        <v>42073.548946759256</v>
      </c>
      <c r="O1521" s="4" t="s">
        <v>254</v>
      </c>
      <c r="P1521" s="3" t="s">
        <v>3809</v>
      </c>
      <c r="Q1521" s="10" t="s">
        <v>3808</v>
      </c>
      <c r="R1521" s="4"/>
      <c r="S1521" s="9" t="str">
        <f>HYPERLINK("https://pbs.twimg.com/profile_images/942651371450454016/w2kVeBXi.jpg","View")</f>
        <v>View</v>
      </c>
    </row>
    <row r="1522" spans="1:19" ht="20">
      <c r="A1522" s="8">
        <v>43370.573379629626</v>
      </c>
      <c r="B1522" s="11" t="str">
        <f>HYPERLINK("https://twitter.com/HsiN_75","@HsiN_75")</f>
        <v>@HsiN_75</v>
      </c>
      <c r="C1522" s="6" t="s">
        <v>3807</v>
      </c>
      <c r="D1522" s="5" t="s">
        <v>3806</v>
      </c>
      <c r="E1522" s="9" t="str">
        <f>HYPERLINK("https://twitter.com/HsiN_75/status/1045255645577007104","1045255645577007104")</f>
        <v>1045255645577007104</v>
      </c>
      <c r="F1522" s="4"/>
      <c r="G1522" s="4"/>
      <c r="H1522" s="4"/>
      <c r="I1522" s="10" t="str">
        <f>HYPERLINK("http://twitter.com/download/android","Twitter for Android")</f>
        <v>Twitter for Android</v>
      </c>
      <c r="J1522" s="2">
        <v>6861</v>
      </c>
      <c r="K1522" s="2">
        <v>505</v>
      </c>
      <c r="L1522" s="2">
        <v>36</v>
      </c>
      <c r="M1522" s="2"/>
      <c r="N1522" s="8">
        <v>41093.547453703708</v>
      </c>
      <c r="O1522" s="4" t="s">
        <v>3805</v>
      </c>
      <c r="P1522" s="3" t="s">
        <v>3804</v>
      </c>
      <c r="Q1522" s="10" t="s">
        <v>3803</v>
      </c>
      <c r="R1522" s="4"/>
      <c r="S1522" s="9" t="str">
        <f>HYPERLINK("https://pbs.twimg.com/profile_images/1039198186630459392/92qpTMXR.jpg","View")</f>
        <v>View</v>
      </c>
    </row>
    <row r="1523" spans="1:19" ht="40">
      <c r="A1523" s="8">
        <v>43370.573298611111</v>
      </c>
      <c r="B1523" s="11" t="str">
        <f>HYPERLINK("https://twitter.com/gh_advar","@gh_advar")</f>
        <v>@gh_advar</v>
      </c>
      <c r="C1523" s="6" t="s">
        <v>3802</v>
      </c>
      <c r="D1523" s="5" t="s">
        <v>3801</v>
      </c>
      <c r="E1523" s="9" t="str">
        <f>HYPERLINK("https://twitter.com/gh_advar/status/1045255616099487744","1045255616099487744")</f>
        <v>1045255616099487744</v>
      </c>
      <c r="F1523" s="4"/>
      <c r="G1523" s="4"/>
      <c r="H1523" s="4"/>
      <c r="I1523" s="10" t="str">
        <f>HYPERLINK("https://mobile.twitter.com","Twitter Lite")</f>
        <v>Twitter Lite</v>
      </c>
      <c r="J1523" s="2">
        <v>26</v>
      </c>
      <c r="K1523" s="2">
        <v>64</v>
      </c>
      <c r="L1523" s="2">
        <v>0</v>
      </c>
      <c r="M1523" s="2"/>
      <c r="N1523" s="8">
        <v>43319.36005787037</v>
      </c>
      <c r="O1523" s="4"/>
      <c r="P1523" s="3"/>
      <c r="Q1523" s="4"/>
      <c r="R1523" s="4"/>
      <c r="S1523" s="9" t="str">
        <f>HYPERLINK("https://pbs.twimg.com/profile_images/1038039540429086721/2xvXUiFC.jpg","View")</f>
        <v>View</v>
      </c>
    </row>
    <row r="1524" spans="1:19" ht="12.5">
      <c r="A1524" s="8">
        <v>43370.573287037041</v>
      </c>
      <c r="B1524" s="11" t="str">
        <f>HYPERLINK("https://twitter.com/shogerdadi","@shogerdadi")</f>
        <v>@shogerdadi</v>
      </c>
      <c r="C1524" s="6" t="s">
        <v>3339</v>
      </c>
      <c r="D1524" s="5" t="s">
        <v>3800</v>
      </c>
      <c r="E1524" s="9" t="str">
        <f>HYPERLINK("https://twitter.com/shogerdadi/status/1045255612001595392","1045255612001595392")</f>
        <v>1045255612001595392</v>
      </c>
      <c r="F1524" s="4"/>
      <c r="G1524" s="4"/>
      <c r="H1524" s="4"/>
      <c r="I1524" s="10" t="str">
        <f>HYPERLINK("http://twitter.com/download/android","Twitter for Android")</f>
        <v>Twitter for Android</v>
      </c>
      <c r="J1524" s="2">
        <v>3863</v>
      </c>
      <c r="K1524" s="2">
        <v>990</v>
      </c>
      <c r="L1524" s="2">
        <v>12</v>
      </c>
      <c r="M1524" s="2"/>
      <c r="N1524" s="8">
        <v>42876.64335648148</v>
      </c>
      <c r="O1524" s="4" t="s">
        <v>3337</v>
      </c>
      <c r="P1524" s="3" t="s">
        <v>3336</v>
      </c>
      <c r="Q1524" s="10" t="s">
        <v>3335</v>
      </c>
      <c r="R1524" s="4"/>
      <c r="S1524" s="9" t="str">
        <f>HYPERLINK("https://pbs.twimg.com/profile_images/1044593280586010626/LmVfmrTm.jpg","View")</f>
        <v>View</v>
      </c>
    </row>
    <row r="1525" spans="1:19" ht="30">
      <c r="A1525" s="8">
        <v>43370.573067129633</v>
      </c>
      <c r="B1525" s="11" t="str">
        <f>HYPERLINK("https://twitter.com/AbOo_kqz","@AbOo_kqz")</f>
        <v>@AbOo_kqz</v>
      </c>
      <c r="C1525" s="6" t="s">
        <v>1533</v>
      </c>
      <c r="D1525" s="5" t="s">
        <v>3799</v>
      </c>
      <c r="E1525" s="9" t="str">
        <f>HYPERLINK("https://twitter.com/AbOo_kqz/status/1045255533907730432","1045255533907730432")</f>
        <v>1045255533907730432</v>
      </c>
      <c r="F1525" s="4"/>
      <c r="G1525" s="4"/>
      <c r="H1525" s="4"/>
      <c r="I1525" s="10" t="str">
        <f>HYPERLINK("http://twitter.com","Twitter Web Client")</f>
        <v>Twitter Web Client</v>
      </c>
      <c r="J1525" s="2">
        <v>47</v>
      </c>
      <c r="K1525" s="2">
        <v>111</v>
      </c>
      <c r="L1525" s="2">
        <v>0</v>
      </c>
      <c r="M1525" s="2"/>
      <c r="N1525" s="8">
        <v>42521.938738425924</v>
      </c>
      <c r="O1525" s="4" t="s">
        <v>1531</v>
      </c>
      <c r="P1525" s="3" t="s">
        <v>1530</v>
      </c>
      <c r="Q1525" s="4"/>
      <c r="R1525" s="4"/>
      <c r="S1525" s="9" t="str">
        <f>HYPERLINK("https://pbs.twimg.com/profile_images/737706601084157952/exyDQSiE.jpg","View")</f>
        <v>View</v>
      </c>
    </row>
    <row r="1526" spans="1:19" ht="20">
      <c r="A1526" s="8">
        <v>43370.572928240741</v>
      </c>
      <c r="B1526" s="11" t="str">
        <f>HYPERLINK("https://twitter.com/sickmiiind","@sickmiiind")</f>
        <v>@sickmiiind</v>
      </c>
      <c r="C1526" s="6" t="s">
        <v>3798</v>
      </c>
      <c r="D1526" s="5" t="s">
        <v>3797</v>
      </c>
      <c r="E1526" s="9" t="str">
        <f>HYPERLINK("https://twitter.com/sickmiiind/status/1045255480166297600","1045255480166297600")</f>
        <v>1045255480166297600</v>
      </c>
      <c r="F1526" s="4"/>
      <c r="G1526" s="4"/>
      <c r="H1526" s="4"/>
      <c r="I1526" s="10" t="str">
        <f>HYPERLINK("http://twitter.com/download/iphone","Twitter for iPhone")</f>
        <v>Twitter for iPhone</v>
      </c>
      <c r="J1526" s="2">
        <v>300</v>
      </c>
      <c r="K1526" s="2">
        <v>1851</v>
      </c>
      <c r="L1526" s="2">
        <v>0</v>
      </c>
      <c r="M1526" s="2"/>
      <c r="N1526" s="8">
        <v>41625.682071759264</v>
      </c>
      <c r="O1526" s="4"/>
      <c r="P1526" s="3" t="s">
        <v>3796</v>
      </c>
      <c r="Q1526" s="4"/>
      <c r="R1526" s="4"/>
      <c r="S1526" s="9" t="str">
        <f>HYPERLINK("https://pbs.twimg.com/profile_images/1044169645736030208/eW9vhLwA.jpg","View")</f>
        <v>View</v>
      </c>
    </row>
    <row r="1527" spans="1:19" ht="12.5">
      <c r="A1527" s="8">
        <v>43370.571828703702</v>
      </c>
      <c r="B1527" s="11" t="str">
        <f>HYPERLINK("https://twitter.com/Tasnimnews_Fa","@Tasnimnews_Fa")</f>
        <v>@Tasnimnews_Fa</v>
      </c>
      <c r="C1527" s="6" t="s">
        <v>3472</v>
      </c>
      <c r="D1527" s="5" t="s">
        <v>3795</v>
      </c>
      <c r="E1527" s="9" t="str">
        <f>HYPERLINK("https://twitter.com/Tasnimnews_Fa/status/1045255085226373120","1045255085226373120")</f>
        <v>1045255085226373120</v>
      </c>
      <c r="F1527" s="4"/>
      <c r="G1527" s="10" t="s">
        <v>3794</v>
      </c>
      <c r="H1527" s="4"/>
      <c r="I1527" s="10" t="str">
        <f>HYPERLINK("http://twitter.com","Twitter Web Client")</f>
        <v>Twitter Web Client</v>
      </c>
      <c r="J1527" s="2">
        <v>111038</v>
      </c>
      <c r="K1527" s="2">
        <v>19</v>
      </c>
      <c r="L1527" s="2">
        <v>392</v>
      </c>
      <c r="M1527" s="2" t="s">
        <v>1701</v>
      </c>
      <c r="N1527" s="8">
        <v>41868.671585648146</v>
      </c>
      <c r="O1527" s="4" t="s">
        <v>10</v>
      </c>
      <c r="P1527" s="3" t="s">
        <v>3469</v>
      </c>
      <c r="Q1527" s="10" t="s">
        <v>3468</v>
      </c>
      <c r="R1527" s="4"/>
      <c r="S1527" s="9" t="str">
        <f>HYPERLINK("https://pbs.twimg.com/profile_images/942003149430239232/hvLw_1_E.jpg","View")</f>
        <v>View</v>
      </c>
    </row>
    <row r="1528" spans="1:19" ht="20">
      <c r="A1528" s="8">
        <v>43370.571631944447</v>
      </c>
      <c r="B1528" s="11" t="str">
        <f>HYPERLINK("https://twitter.com/Sasar_Evey_","@Sasar_Evey_")</f>
        <v>@Sasar_Evey_</v>
      </c>
      <c r="C1528" s="6" t="s">
        <v>3793</v>
      </c>
      <c r="D1528" s="5" t="s">
        <v>3792</v>
      </c>
      <c r="E1528" s="9" t="str">
        <f>HYPERLINK("https://twitter.com/Sasar_Evey_/status/1045255010785873920","1045255010785873920")</f>
        <v>1045255010785873920</v>
      </c>
      <c r="F1528" s="4"/>
      <c r="G1528" s="4"/>
      <c r="H1528" s="4"/>
      <c r="I1528" s="10" t="str">
        <f>HYPERLINK("http://twitter.com/download/android","Twitter for Android")</f>
        <v>Twitter for Android</v>
      </c>
      <c r="J1528" s="2">
        <v>594</v>
      </c>
      <c r="K1528" s="2">
        <v>531</v>
      </c>
      <c r="L1528" s="2">
        <v>0</v>
      </c>
      <c r="M1528" s="2"/>
      <c r="N1528" s="8">
        <v>42868.206354166672</v>
      </c>
      <c r="O1528" s="4" t="s">
        <v>3791</v>
      </c>
      <c r="P1528" s="3" t="s">
        <v>3790</v>
      </c>
      <c r="Q1528" s="4"/>
      <c r="R1528" s="4"/>
      <c r="S1528" s="9" t="str">
        <f>HYPERLINK("https://pbs.twimg.com/profile_images/1044711814318182400/DYcUN0K2.jpg","View")</f>
        <v>View</v>
      </c>
    </row>
    <row r="1529" spans="1:19" ht="20">
      <c r="A1529" s="8">
        <v>43370.571539351848</v>
      </c>
      <c r="B1529" s="11" t="str">
        <f>HYPERLINK("https://twitter.com/joorchinco","@joorchinco")</f>
        <v>@joorchinco</v>
      </c>
      <c r="C1529" s="6" t="s">
        <v>3789</v>
      </c>
      <c r="D1529" s="5" t="s">
        <v>3788</v>
      </c>
      <c r="E1529" s="9" t="str">
        <f>HYPERLINK("https://twitter.com/joorchinco/status/1045254977755721728","1045254977755721728")</f>
        <v>1045254977755721728</v>
      </c>
      <c r="F1529" s="4"/>
      <c r="G1529" s="10" t="s">
        <v>3787</v>
      </c>
      <c r="H1529" s="4"/>
      <c r="I1529" s="10" t="str">
        <f>HYPERLINK("https://about.twitter.com/products/tweetdeck","TweetDeck")</f>
        <v>TweetDeck</v>
      </c>
      <c r="J1529" s="2">
        <v>149</v>
      </c>
      <c r="K1529" s="2">
        <v>341</v>
      </c>
      <c r="L1529" s="2">
        <v>3</v>
      </c>
      <c r="M1529" s="2"/>
      <c r="N1529" s="8">
        <v>42310.538182870368</v>
      </c>
      <c r="O1529" s="4" t="s">
        <v>200</v>
      </c>
      <c r="P1529" s="3" t="s">
        <v>3786</v>
      </c>
      <c r="Q1529" s="10" t="s">
        <v>3785</v>
      </c>
      <c r="R1529" s="4"/>
      <c r="S1529" s="9" t="str">
        <f>HYPERLINK("https://pbs.twimg.com/profile_images/841551151132741635/uBKWfc1a.jpg","View")</f>
        <v>View</v>
      </c>
    </row>
    <row r="1530" spans="1:19" ht="20">
      <c r="A1530" s="8">
        <v>43370.571481481486</v>
      </c>
      <c r="B1530" s="11" t="str">
        <f>HYPERLINK("https://twitter.com/Soheilgohari2","@Soheilgohari2")</f>
        <v>@Soheilgohari2</v>
      </c>
      <c r="C1530" s="6" t="s">
        <v>3784</v>
      </c>
      <c r="D1530" s="5" t="s">
        <v>3783</v>
      </c>
      <c r="E1530" s="9" t="str">
        <f>HYPERLINK("https://twitter.com/Soheilgohari2/status/1045254957887361024","1045254957887361024")</f>
        <v>1045254957887361024</v>
      </c>
      <c r="F1530" s="4"/>
      <c r="G1530" s="4"/>
      <c r="H1530" s="4"/>
      <c r="I1530" s="10" t="str">
        <f>HYPERLINK("http://twitter.com/download/android","Twitter for Android")</f>
        <v>Twitter for Android</v>
      </c>
      <c r="J1530" s="2">
        <v>968</v>
      </c>
      <c r="K1530" s="2">
        <v>459</v>
      </c>
      <c r="L1530" s="2">
        <v>3</v>
      </c>
      <c r="M1530" s="2"/>
      <c r="N1530" s="8">
        <v>42909.6722337963</v>
      </c>
      <c r="O1530" s="4" t="s">
        <v>170</v>
      </c>
      <c r="P1530" s="3"/>
      <c r="Q1530" s="4"/>
      <c r="R1530" s="4"/>
      <c r="S1530" s="9" t="str">
        <f>HYPERLINK("https://pbs.twimg.com/profile_images/1039598596042235905/8fgpg87C.jpg","View")</f>
        <v>View</v>
      </c>
    </row>
    <row r="1531" spans="1:19" ht="30">
      <c r="A1531" s="8">
        <v>43370.571446759262</v>
      </c>
      <c r="B1531" s="11" t="str">
        <f>HYPERLINK("https://twitter.com/Hosseinmoqadasi","@Hosseinmoqadasi")</f>
        <v>@Hosseinmoqadasi</v>
      </c>
      <c r="C1531" s="6" t="s">
        <v>3782</v>
      </c>
      <c r="D1531" s="5" t="s">
        <v>3781</v>
      </c>
      <c r="E1531" s="9" t="str">
        <f>HYPERLINK("https://twitter.com/Hosseinmoqadasi/status/1045254946294239232","1045254946294239232")</f>
        <v>1045254946294239232</v>
      </c>
      <c r="F1531" s="4"/>
      <c r="G1531" s="10" t="s">
        <v>3780</v>
      </c>
      <c r="H1531" s="4"/>
      <c r="I1531" s="10" t="str">
        <f>HYPERLINK("http://twitter.com/download/android","Twitter for Android")</f>
        <v>Twitter for Android</v>
      </c>
      <c r="J1531" s="2">
        <v>4483</v>
      </c>
      <c r="K1531" s="2">
        <v>2105</v>
      </c>
      <c r="L1531" s="2">
        <v>18</v>
      </c>
      <c r="M1531" s="2"/>
      <c r="N1531" s="8">
        <v>42963.686076388884</v>
      </c>
      <c r="O1531" s="4" t="s">
        <v>254</v>
      </c>
      <c r="P1531" s="3" t="s">
        <v>3779</v>
      </c>
      <c r="Q1531" s="4"/>
      <c r="R1531" s="4"/>
      <c r="S1531" s="9" t="str">
        <f>HYPERLINK("https://pbs.twimg.com/profile_images/1038740989568012289/7Uwc7pki.jpg","View")</f>
        <v>View</v>
      </c>
    </row>
    <row r="1532" spans="1:19" ht="20">
      <c r="A1532" s="8">
        <v>43370.569143518514</v>
      </c>
      <c r="B1532" s="11" t="str">
        <f>HYPERLINK("https://twitter.com/AbOo_kqz","@AbOo_kqz")</f>
        <v>@AbOo_kqz</v>
      </c>
      <c r="C1532" s="6" t="s">
        <v>1533</v>
      </c>
      <c r="D1532" s="5" t="s">
        <v>3778</v>
      </c>
      <c r="E1532" s="9" t="str">
        <f>HYPERLINK("https://twitter.com/AbOo_kqz/status/1045254109761134592","1045254109761134592")</f>
        <v>1045254109761134592</v>
      </c>
      <c r="F1532" s="4"/>
      <c r="G1532" s="4"/>
      <c r="H1532" s="4"/>
      <c r="I1532" s="10" t="str">
        <f>HYPERLINK("http://twitter.com","Twitter Web Client")</f>
        <v>Twitter Web Client</v>
      </c>
      <c r="J1532" s="2">
        <v>47</v>
      </c>
      <c r="K1532" s="2">
        <v>111</v>
      </c>
      <c r="L1532" s="2">
        <v>0</v>
      </c>
      <c r="M1532" s="2"/>
      <c r="N1532" s="8">
        <v>42521.938738425924</v>
      </c>
      <c r="O1532" s="4" t="s">
        <v>1531</v>
      </c>
      <c r="P1532" s="3" t="s">
        <v>1530</v>
      </c>
      <c r="Q1532" s="4"/>
      <c r="R1532" s="4"/>
      <c r="S1532" s="9" t="str">
        <f>HYPERLINK("https://pbs.twimg.com/profile_images/737706601084157952/exyDQSiE.jpg","View")</f>
        <v>View</v>
      </c>
    </row>
    <row r="1533" spans="1:19" ht="40">
      <c r="A1533" s="8">
        <v>43370.569097222222</v>
      </c>
      <c r="B1533" s="11" t="str">
        <f>HYPERLINK("https://twitter.com/ericcantona1064","@ericcantona1064")</f>
        <v>@ericcantona1064</v>
      </c>
      <c r="C1533" s="6" t="s">
        <v>3777</v>
      </c>
      <c r="D1533" s="5" t="s">
        <v>3776</v>
      </c>
      <c r="E1533" s="9" t="str">
        <f>HYPERLINK("https://twitter.com/ericcantona1064/status/1045254093646778368","1045254093646778368")</f>
        <v>1045254093646778368</v>
      </c>
      <c r="F1533" s="4"/>
      <c r="G1533" s="10" t="s">
        <v>3775</v>
      </c>
      <c r="H1533" s="4"/>
      <c r="I1533" s="10" t="str">
        <f>HYPERLINK("http://twitter.com/download/iphone","Twitter for iPhone")</f>
        <v>Twitter for iPhone</v>
      </c>
      <c r="J1533" s="2">
        <v>14</v>
      </c>
      <c r="K1533" s="2">
        <v>65</v>
      </c>
      <c r="L1533" s="2">
        <v>0</v>
      </c>
      <c r="M1533" s="2"/>
      <c r="N1533" s="8">
        <v>43356.68849537037</v>
      </c>
      <c r="O1533" s="4" t="s">
        <v>3774</v>
      </c>
      <c r="P1533" s="3" t="s">
        <v>3773</v>
      </c>
      <c r="Q1533" s="4"/>
      <c r="R1533" s="4"/>
      <c r="S1533" s="9" t="str">
        <f>HYPERLINK("https://pbs.twimg.com/profile_images/1040211464857034754/uJ2apsHB.jpg","View")</f>
        <v>View</v>
      </c>
    </row>
    <row r="1534" spans="1:19" ht="30">
      <c r="A1534" s="8">
        <v>43370.568923611107</v>
      </c>
      <c r="B1534" s="11" t="str">
        <f>HYPERLINK("https://twitter.com/SajjadNaraghi","@SajjadNaraghi")</f>
        <v>@SajjadNaraghi</v>
      </c>
      <c r="C1534" s="6" t="s">
        <v>3772</v>
      </c>
      <c r="D1534" s="5" t="s">
        <v>3771</v>
      </c>
      <c r="E1534" s="9" t="str">
        <f>HYPERLINK("https://twitter.com/SajjadNaraghi/status/1045254030094737408","1045254030094737408")</f>
        <v>1045254030094737408</v>
      </c>
      <c r="F1534" s="4"/>
      <c r="G1534" s="4"/>
      <c r="H1534" s="4"/>
      <c r="I1534" s="10" t="str">
        <f>HYPERLINK("http://twitter.com","Twitter Web Client")</f>
        <v>Twitter Web Client</v>
      </c>
      <c r="J1534" s="2">
        <v>187</v>
      </c>
      <c r="K1534" s="2">
        <v>166</v>
      </c>
      <c r="L1534" s="2">
        <v>3</v>
      </c>
      <c r="M1534" s="2"/>
      <c r="N1534" s="8">
        <v>43102.801944444444</v>
      </c>
      <c r="O1534" s="4"/>
      <c r="P1534" s="3" t="s">
        <v>3770</v>
      </c>
      <c r="Q1534" s="10" t="s">
        <v>3769</v>
      </c>
      <c r="R1534" s="4"/>
      <c r="S1534" s="9" t="str">
        <f>HYPERLINK("https://pbs.twimg.com/profile_images/949037684286279682/yfvG41Lv.jpg","View")</f>
        <v>View</v>
      </c>
    </row>
    <row r="1535" spans="1:19" ht="20">
      <c r="A1535" s="8">
        <v>43370.568402777775</v>
      </c>
      <c r="B1535" s="11" t="str">
        <f>HYPERLINK("https://twitter.com/r33zaa","@r33zaa")</f>
        <v>@r33zaa</v>
      </c>
      <c r="C1535" s="6" t="s">
        <v>3768</v>
      </c>
      <c r="D1535" s="5" t="s">
        <v>3767</v>
      </c>
      <c r="E1535" s="9" t="str">
        <f>HYPERLINK("https://twitter.com/r33zaa/status/1045253840650596352","1045253840650596352")</f>
        <v>1045253840650596352</v>
      </c>
      <c r="F1535" s="4"/>
      <c r="G1535" s="4"/>
      <c r="H1535" s="4"/>
      <c r="I1535" s="10" t="str">
        <f>HYPERLINK("http://twitter.com/download/android","Twitter for Android")</f>
        <v>Twitter for Android</v>
      </c>
      <c r="J1535" s="2">
        <v>7089</v>
      </c>
      <c r="K1535" s="2">
        <v>267</v>
      </c>
      <c r="L1535" s="2">
        <v>56</v>
      </c>
      <c r="M1535" s="2"/>
      <c r="N1535" s="8">
        <v>39849.551979166667</v>
      </c>
      <c r="O1535" s="4" t="s">
        <v>3766</v>
      </c>
      <c r="P1535" s="3" t="s">
        <v>3765</v>
      </c>
      <c r="Q1535" s="10" t="s">
        <v>3764</v>
      </c>
      <c r="R1535" s="4"/>
      <c r="S1535" s="9" t="str">
        <f>HYPERLINK("https://pbs.twimg.com/profile_images/1016402647463727105/dPo3c9x1.jpg","View")</f>
        <v>View</v>
      </c>
    </row>
    <row r="1536" spans="1:19" ht="20">
      <c r="A1536" s="8">
        <v>43370.568379629629</v>
      </c>
      <c r="B1536" s="11" t="str">
        <f>HYPERLINK("https://twitter.com/Mehdibakhti14","@Mehdibakhti14")</f>
        <v>@Mehdibakhti14</v>
      </c>
      <c r="C1536" s="6" t="s">
        <v>3763</v>
      </c>
      <c r="D1536" s="5" t="s">
        <v>3762</v>
      </c>
      <c r="E1536" s="9" t="str">
        <f>HYPERLINK("https://twitter.com/Mehdibakhti14/status/1045253834631774208","1045253834631774208")</f>
        <v>1045253834631774208</v>
      </c>
      <c r="F1536" s="4"/>
      <c r="G1536" s="4"/>
      <c r="H1536" s="4"/>
      <c r="I1536" s="10" t="str">
        <f>HYPERLINK("https://mobile.twitter.com","Twitter Lite")</f>
        <v>Twitter Lite</v>
      </c>
      <c r="J1536" s="2">
        <v>346</v>
      </c>
      <c r="K1536" s="2">
        <v>364</v>
      </c>
      <c r="L1536" s="2">
        <v>1</v>
      </c>
      <c r="M1536" s="2"/>
      <c r="N1536" s="8">
        <v>42899.965173611112</v>
      </c>
      <c r="O1536" s="4"/>
      <c r="P1536" s="3"/>
      <c r="Q1536" s="4"/>
      <c r="R1536" s="4"/>
      <c r="S1536" s="9" t="str">
        <f>HYPERLINK("https://pbs.twimg.com/profile_images/954450451562459137/_2VGwnPE.jpg","View")</f>
        <v>View</v>
      </c>
    </row>
    <row r="1537" spans="1:19" ht="20">
      <c r="A1537" s="8">
        <v>43370.567893518513</v>
      </c>
      <c r="B1537" s="11" t="str">
        <f>HYPERLINK("https://twitter.com/sajaaaaaaad","@sajaaaaaaad")</f>
        <v>@sajaaaaaaad</v>
      </c>
      <c r="C1537" s="6" t="s">
        <v>3761</v>
      </c>
      <c r="D1537" s="5" t="s">
        <v>3760</v>
      </c>
      <c r="E1537" s="9" t="str">
        <f>HYPERLINK("https://twitter.com/sajaaaaaaad/status/1045253656269017088","1045253656269017088")</f>
        <v>1045253656269017088</v>
      </c>
      <c r="F1537" s="4"/>
      <c r="G1537" s="10" t="s">
        <v>3759</v>
      </c>
      <c r="H1537" s="4"/>
      <c r="I1537" s="10" t="str">
        <f>HYPERLINK("http://twitter.com/download/iphone","Twitter for iPhone")</f>
        <v>Twitter for iPhone</v>
      </c>
      <c r="J1537" s="2">
        <v>364</v>
      </c>
      <c r="K1537" s="2">
        <v>533</v>
      </c>
      <c r="L1537" s="2">
        <v>2</v>
      </c>
      <c r="M1537" s="2"/>
      <c r="N1537" s="8">
        <v>41923.765694444446</v>
      </c>
      <c r="O1537" s="4"/>
      <c r="P1537" s="3" t="s">
        <v>3758</v>
      </c>
      <c r="Q1537" s="4"/>
      <c r="R1537" s="4"/>
      <c r="S1537" s="9" t="str">
        <f>HYPERLINK("https://pbs.twimg.com/profile_images/1003620556422438912/yYLIoP7U.jpg","View")</f>
        <v>View</v>
      </c>
    </row>
    <row r="1538" spans="1:19" ht="20">
      <c r="A1538" s="8">
        <v>43370.554641203707</v>
      </c>
      <c r="B1538" s="11" t="str">
        <f>HYPERLINK("https://twitter.com/Beeman93397010","@Beeman93397010")</f>
        <v>@Beeman93397010</v>
      </c>
      <c r="C1538" s="6" t="s">
        <v>3757</v>
      </c>
      <c r="D1538" s="5" t="s">
        <v>3756</v>
      </c>
      <c r="E1538" s="9" t="str">
        <f>HYPERLINK("https://twitter.com/Beeman93397010/status/1045248854420070401","1045248854420070401")</f>
        <v>1045248854420070401</v>
      </c>
      <c r="F1538" s="4"/>
      <c r="G1538" s="4"/>
      <c r="H1538" s="4"/>
      <c r="I1538" s="10" t="str">
        <f>HYPERLINK("http://twitter.com/download/android","Twitter for Android")</f>
        <v>Twitter for Android</v>
      </c>
      <c r="J1538" s="2">
        <v>166</v>
      </c>
      <c r="K1538" s="2">
        <v>67</v>
      </c>
      <c r="L1538" s="2">
        <v>0</v>
      </c>
      <c r="M1538" s="2"/>
      <c r="N1538" s="8">
        <v>43201.467928240745</v>
      </c>
      <c r="O1538" s="4" t="s">
        <v>3755</v>
      </c>
      <c r="P1538" s="3" t="s">
        <v>3754</v>
      </c>
      <c r="Q1538" s="4"/>
      <c r="R1538" s="4"/>
      <c r="S1538" s="9" t="str">
        <f>HYPERLINK("https://pbs.twimg.com/profile_images/1035388374511706112/v6qk7301.jpg","View")</f>
        <v>View</v>
      </c>
    </row>
    <row r="1539" spans="1:19" ht="12.5">
      <c r="A1539" s="8">
        <v>43370.554074074069</v>
      </c>
      <c r="B1539" s="11" t="str">
        <f>HYPERLINK("https://twitter.com/sina_arabshahi","@sina_arabshahi")</f>
        <v>@sina_arabshahi</v>
      </c>
      <c r="C1539" s="6" t="s">
        <v>3616</v>
      </c>
      <c r="D1539" s="5" t="s">
        <v>3753</v>
      </c>
      <c r="E1539" s="9" t="str">
        <f>HYPERLINK("https://twitter.com/sina_arabshahi/status/1045248650585264128","1045248650585264128")</f>
        <v>1045248650585264128</v>
      </c>
      <c r="F1539" s="4"/>
      <c r="G1539" s="4"/>
      <c r="H1539" s="4"/>
      <c r="I1539" s="10" t="str">
        <f>HYPERLINK("http://twitter.com","Twitter Web Client")</f>
        <v>Twitter Web Client</v>
      </c>
      <c r="J1539" s="2">
        <v>92</v>
      </c>
      <c r="K1539" s="2">
        <v>274</v>
      </c>
      <c r="L1539" s="2">
        <v>0</v>
      </c>
      <c r="M1539" s="2"/>
      <c r="N1539" s="8">
        <v>41495.732905092591</v>
      </c>
      <c r="O1539" s="4" t="s">
        <v>1525</v>
      </c>
      <c r="P1539" s="3" t="s">
        <v>3613</v>
      </c>
      <c r="Q1539" s="10" t="s">
        <v>3612</v>
      </c>
      <c r="R1539" s="4"/>
      <c r="S1539" s="9" t="str">
        <f>HYPERLINK("https://pbs.twimg.com/profile_images/997462726040416256/OkVC41Tx.jpg","View")</f>
        <v>View</v>
      </c>
    </row>
    <row r="1540" spans="1:19" ht="20">
      <c r="A1540" s="8">
        <v>43370.554039351853</v>
      </c>
      <c r="B1540" s="11" t="str">
        <f>HYPERLINK("https://twitter.com/fereshtevpt","@fereshtevpt")</f>
        <v>@fereshtevpt</v>
      </c>
      <c r="C1540" s="6" t="s">
        <v>331</v>
      </c>
      <c r="D1540" s="5" t="s">
        <v>3752</v>
      </c>
      <c r="E1540" s="9" t="str">
        <f>HYPERLINK("https://twitter.com/fereshtevpt/status/1045248636374994944","1045248636374994944")</f>
        <v>1045248636374994944</v>
      </c>
      <c r="F1540" s="4"/>
      <c r="G1540" s="10" t="s">
        <v>3751</v>
      </c>
      <c r="H1540" s="4"/>
      <c r="I1540" s="10" t="str">
        <f>HYPERLINK("http://twitter.com/download/iphone","Twitter for iPhone")</f>
        <v>Twitter for iPhone</v>
      </c>
      <c r="J1540" s="2">
        <v>2485</v>
      </c>
      <c r="K1540" s="2">
        <v>2146</v>
      </c>
      <c r="L1540" s="2">
        <v>6</v>
      </c>
      <c r="M1540" s="2"/>
      <c r="N1540" s="8">
        <v>43106.721226851849</v>
      </c>
      <c r="O1540" s="4"/>
      <c r="P1540" s="3" t="s">
        <v>329</v>
      </c>
      <c r="Q1540" s="4"/>
      <c r="R1540" s="4"/>
      <c r="S1540" s="9" t="str">
        <f>HYPERLINK("https://pbs.twimg.com/profile_images/1037751959716016135/k__ynAL7.jpg","View")</f>
        <v>View</v>
      </c>
    </row>
    <row r="1541" spans="1:19" ht="40">
      <c r="A1541" s="8">
        <v>43370.55400462963</v>
      </c>
      <c r="B1541" s="11" t="str">
        <f>HYPERLINK("https://twitter.com/Dia_mo_nd__","@Dia_mo_nd__")</f>
        <v>@Dia_mo_nd__</v>
      </c>
      <c r="C1541" s="6" t="s">
        <v>3750</v>
      </c>
      <c r="D1541" s="5" t="s">
        <v>3749</v>
      </c>
      <c r="E1541" s="9" t="str">
        <f>HYPERLINK("https://twitter.com/Dia_mo_nd__/status/1045248624211431424","1045248624211431424")</f>
        <v>1045248624211431424</v>
      </c>
      <c r="F1541" s="4"/>
      <c r="G1541" s="4"/>
      <c r="H1541" s="4"/>
      <c r="I1541" s="10" t="str">
        <f>HYPERLINK("http://twitter.com/download/android","Twitter for Android")</f>
        <v>Twitter for Android</v>
      </c>
      <c r="J1541" s="2">
        <v>53</v>
      </c>
      <c r="K1541" s="2">
        <v>67</v>
      </c>
      <c r="L1541" s="2">
        <v>0</v>
      </c>
      <c r="M1541" s="2"/>
      <c r="N1541" s="8">
        <v>43339.070706018523</v>
      </c>
      <c r="O1541" s="4" t="s">
        <v>200</v>
      </c>
      <c r="P1541" s="3" t="s">
        <v>3748</v>
      </c>
      <c r="Q1541" s="4"/>
      <c r="R1541" s="4"/>
      <c r="S1541" s="9" t="str">
        <f>HYPERLINK("https://pbs.twimg.com/profile_images/1033825492242247681/WvtegfDi.jpg","View")</f>
        <v>View</v>
      </c>
    </row>
    <row r="1542" spans="1:19" ht="12.5">
      <c r="A1542" s="8">
        <v>43370.553842592592</v>
      </c>
      <c r="B1542" s="11" t="str">
        <f>HYPERLINK("https://twitter.com/HosseinFerdovsi","@HosseinFerdovsi")</f>
        <v>@HosseinFerdovsi</v>
      </c>
      <c r="C1542" s="6" t="s">
        <v>3747</v>
      </c>
      <c r="D1542" s="5" t="s">
        <v>3746</v>
      </c>
      <c r="E1542" s="9" t="str">
        <f>HYPERLINK("https://twitter.com/HosseinFerdovsi/status/1045248564715290624","1045248564715290624")</f>
        <v>1045248564715290624</v>
      </c>
      <c r="F1542" s="4"/>
      <c r="G1542" s="10" t="s">
        <v>3745</v>
      </c>
      <c r="H1542" s="4"/>
      <c r="I1542" s="10" t="str">
        <f>HYPERLINK("http://twitter.com/download/android","Twitter for Android")</f>
        <v>Twitter for Android</v>
      </c>
      <c r="J1542" s="2">
        <v>216</v>
      </c>
      <c r="K1542" s="2">
        <v>366</v>
      </c>
      <c r="L1542" s="2">
        <v>0</v>
      </c>
      <c r="M1542" s="2"/>
      <c r="N1542" s="8">
        <v>43351.602303240739</v>
      </c>
      <c r="O1542" s="4"/>
      <c r="P1542" s="3" t="s">
        <v>3744</v>
      </c>
      <c r="Q1542" s="4"/>
      <c r="R1542" s="4"/>
      <c r="S1542" s="9" t="str">
        <f>HYPERLINK("https://pbs.twimg.com/profile_images/1039084024294264832/M0cns_mP.jpg","View")</f>
        <v>View</v>
      </c>
    </row>
    <row r="1543" spans="1:19" ht="12.5">
      <c r="A1543" s="8">
        <v>43370.55368055556</v>
      </c>
      <c r="B1543" s="11" t="str">
        <f>HYPERLINK("https://twitter.com/MRKZMI","@MRKZMI")</f>
        <v>@MRKZMI</v>
      </c>
      <c r="C1543" s="6" t="s">
        <v>3743</v>
      </c>
      <c r="D1543" s="5" t="s">
        <v>3742</v>
      </c>
      <c r="E1543" s="9" t="str">
        <f>HYPERLINK("https://twitter.com/MRKZMI/status/1045248508721344512","1045248508721344512")</f>
        <v>1045248508721344512</v>
      </c>
      <c r="F1543" s="4"/>
      <c r="G1543" s="4"/>
      <c r="H1543" s="4"/>
      <c r="I1543" s="10" t="str">
        <f>HYPERLINK("http://twitter.com/download/android","Twitter for Android")</f>
        <v>Twitter for Android</v>
      </c>
      <c r="J1543" s="2">
        <v>157</v>
      </c>
      <c r="K1543" s="2">
        <v>436</v>
      </c>
      <c r="L1543" s="2">
        <v>0</v>
      </c>
      <c r="M1543" s="2"/>
      <c r="N1543" s="8">
        <v>42735.454409722224</v>
      </c>
      <c r="O1543" s="4" t="s">
        <v>3741</v>
      </c>
      <c r="P1543" s="3" t="s">
        <v>3740</v>
      </c>
      <c r="Q1543" s="4"/>
      <c r="R1543" s="4"/>
      <c r="S1543" s="9" t="str">
        <f>HYPERLINK("https://pbs.twimg.com/profile_images/962532067073409024/gB71h3Fq.jpg","View")</f>
        <v>View</v>
      </c>
    </row>
    <row r="1544" spans="1:19" ht="30">
      <c r="A1544" s="8">
        <v>43370.553379629629</v>
      </c>
      <c r="B1544" s="11" t="str">
        <f>HYPERLINK("https://twitter.com/mim_azad68","@mim_azad68")</f>
        <v>@mim_azad68</v>
      </c>
      <c r="C1544" s="6" t="s">
        <v>3096</v>
      </c>
      <c r="D1544" s="5" t="s">
        <v>3739</v>
      </c>
      <c r="E1544" s="9" t="str">
        <f>HYPERLINK("https://twitter.com/mim_azad68/status/1045248396716576768","1045248396716576768")</f>
        <v>1045248396716576768</v>
      </c>
      <c r="F1544" s="4"/>
      <c r="G1544" s="4"/>
      <c r="H1544" s="4"/>
      <c r="I1544" s="10" t="str">
        <f>HYPERLINK("http://twitter.com","Twitter Web Client")</f>
        <v>Twitter Web Client</v>
      </c>
      <c r="J1544" s="2">
        <v>3844</v>
      </c>
      <c r="K1544" s="2">
        <v>4114</v>
      </c>
      <c r="L1544" s="2">
        <v>4</v>
      </c>
      <c r="M1544" s="2"/>
      <c r="N1544" s="8">
        <v>42365.335138888884</v>
      </c>
      <c r="O1544" s="4" t="s">
        <v>62</v>
      </c>
      <c r="P1544" s="3" t="s">
        <v>3093</v>
      </c>
      <c r="Q1544" s="10" t="s">
        <v>3092</v>
      </c>
      <c r="R1544" s="4"/>
      <c r="S1544" s="9" t="str">
        <f>HYPERLINK("https://pbs.twimg.com/profile_images/1039378118438477824/IZwua0qY.jpg","View")</f>
        <v>View</v>
      </c>
    </row>
    <row r="1545" spans="1:19" ht="50">
      <c r="A1545" s="8">
        <v>43370.553159722222</v>
      </c>
      <c r="B1545" s="11" t="str">
        <f>HYPERLINK("https://twitter.com/yaas_razeqi","@yaas_razeqi")</f>
        <v>@yaas_razeqi</v>
      </c>
      <c r="C1545" s="6" t="s">
        <v>3717</v>
      </c>
      <c r="D1545" s="5" t="s">
        <v>3738</v>
      </c>
      <c r="E1545" s="9" t="str">
        <f>HYPERLINK("https://twitter.com/yaas_razeqi/status/1045248319847567360","1045248319847567360")</f>
        <v>1045248319847567360</v>
      </c>
      <c r="F1545" s="4" t="s">
        <v>3737</v>
      </c>
      <c r="G1545" s="4"/>
      <c r="H1545" s="4"/>
      <c r="I1545" s="10" t="str">
        <f>HYPERLINK("http://twitter.com/download/android","Twitter for Android")</f>
        <v>Twitter for Android</v>
      </c>
      <c r="J1545" s="2">
        <v>679</v>
      </c>
      <c r="K1545" s="2">
        <v>640</v>
      </c>
      <c r="L1545" s="2">
        <v>1</v>
      </c>
      <c r="M1545" s="2"/>
      <c r="N1545" s="8">
        <v>43248.648738425924</v>
      </c>
      <c r="O1545" s="4"/>
      <c r="P1545" s="3" t="s">
        <v>3714</v>
      </c>
      <c r="Q1545" s="4"/>
      <c r="R1545" s="4"/>
      <c r="S1545" s="9" t="str">
        <f>HYPERLINK("https://pbs.twimg.com/profile_images/1001089089087655938/G-HGyPwx.jpg","View")</f>
        <v>View</v>
      </c>
    </row>
    <row r="1546" spans="1:19" ht="20">
      <c r="A1546" s="8">
        <v>43370.552997685183</v>
      </c>
      <c r="B1546" s="11" t="str">
        <f>HYPERLINK("https://twitter.com/Ashkaney31","@Ashkaney31")</f>
        <v>@Ashkaney31</v>
      </c>
      <c r="C1546" s="6" t="s">
        <v>3736</v>
      </c>
      <c r="D1546" s="5" t="s">
        <v>3735</v>
      </c>
      <c r="E1546" s="9" t="str">
        <f>HYPERLINK("https://twitter.com/Ashkaney31/status/1045248258556252160","1045248258556252160")</f>
        <v>1045248258556252160</v>
      </c>
      <c r="F1546" s="4"/>
      <c r="G1546" s="4"/>
      <c r="H1546" s="4"/>
      <c r="I1546" s="10" t="str">
        <f>HYPERLINK("http://twitter.com/download/android","Twitter for Android")</f>
        <v>Twitter for Android</v>
      </c>
      <c r="J1546" s="2">
        <v>5</v>
      </c>
      <c r="K1546" s="2">
        <v>11</v>
      </c>
      <c r="L1546" s="2">
        <v>0</v>
      </c>
      <c r="M1546" s="2"/>
      <c r="N1546" s="8">
        <v>43367.652199074073</v>
      </c>
      <c r="O1546" s="4"/>
      <c r="P1546" s="3" t="s">
        <v>3734</v>
      </c>
      <c r="Q1546" s="4"/>
      <c r="R1546" s="4"/>
      <c r="S1546" s="9" t="str">
        <f>HYPERLINK("https://pbs.twimg.com/profile_images/1044213339604307968/_f3LLwMy.jpg","View")</f>
        <v>View</v>
      </c>
    </row>
    <row r="1547" spans="1:19" ht="12.5">
      <c r="A1547" s="8">
        <v>43370.552615740744</v>
      </c>
      <c r="B1547" s="11" t="str">
        <f>HYPERLINK("https://twitter.com/Kolonel8PR","@Kolonel8PR")</f>
        <v>@Kolonel8PR</v>
      </c>
      <c r="C1547" s="6" t="s">
        <v>3733</v>
      </c>
      <c r="D1547" s="5" t="s">
        <v>3732</v>
      </c>
      <c r="E1547" s="9" t="str">
        <f>HYPERLINK("https://twitter.com/Kolonel8PR/status/1045248121926758401","1045248121926758401")</f>
        <v>1045248121926758401</v>
      </c>
      <c r="F1547" s="4"/>
      <c r="G1547" s="10" t="s">
        <v>3731</v>
      </c>
      <c r="H1547" s="4"/>
      <c r="I1547" s="10" t="str">
        <f>HYPERLINK("http://twitter.com/download/android","Twitter for Android")</f>
        <v>Twitter for Android</v>
      </c>
      <c r="J1547" s="2">
        <v>491</v>
      </c>
      <c r="K1547" s="2">
        <v>211</v>
      </c>
      <c r="L1547" s="2">
        <v>1</v>
      </c>
      <c r="M1547" s="2"/>
      <c r="N1547" s="8">
        <v>42286.399305555555</v>
      </c>
      <c r="O1547" s="4" t="s">
        <v>3730</v>
      </c>
      <c r="P1547" s="3" t="s">
        <v>3729</v>
      </c>
      <c r="Q1547" s="4"/>
      <c r="R1547" s="4"/>
      <c r="S1547" s="9" t="str">
        <f>HYPERLINK("https://pbs.twimg.com/profile_images/1038577845252050945/sHnqdYKx.jpg","View")</f>
        <v>View</v>
      </c>
    </row>
    <row r="1548" spans="1:19" ht="12.5">
      <c r="A1548" s="8">
        <v>43370.55232638889</v>
      </c>
      <c r="B1548" s="11" t="str">
        <f>HYPERLINK("https://twitter.com/alidadaaaaaa","@alidadaaaaaa")</f>
        <v>@alidadaaaaaa</v>
      </c>
      <c r="C1548" s="6" t="s">
        <v>2144</v>
      </c>
      <c r="D1548" s="5" t="s">
        <v>3728</v>
      </c>
      <c r="E1548" s="9" t="str">
        <f>HYPERLINK("https://twitter.com/alidadaaaaaa/status/1045248018142965761","1045248018142965761")</f>
        <v>1045248018142965761</v>
      </c>
      <c r="F1548" s="4"/>
      <c r="G1548" s="4"/>
      <c r="H1548" s="4"/>
      <c r="I1548" s="10" t="str">
        <f>HYPERLINK("http://twitter.com/download/iphone","Twitter for iPhone")</f>
        <v>Twitter for iPhone</v>
      </c>
      <c r="J1548" s="2">
        <v>8</v>
      </c>
      <c r="K1548" s="2">
        <v>76</v>
      </c>
      <c r="L1548" s="2">
        <v>0</v>
      </c>
      <c r="M1548" s="2"/>
      <c r="N1548" s="8">
        <v>43367.972395833334</v>
      </c>
      <c r="O1548" s="4"/>
      <c r="P1548" s="3"/>
      <c r="Q1548" s="4"/>
      <c r="R1548" s="4"/>
      <c r="S1548" s="9" t="str">
        <f>HYPERLINK("https://pbs.twimg.com/profile_images/1044316091311419392/sFG9SMB3.jpg","View")</f>
        <v>View</v>
      </c>
    </row>
    <row r="1549" spans="1:19" ht="12.5">
      <c r="A1549" s="8">
        <v>43370.552303240736</v>
      </c>
      <c r="B1549" s="11" t="str">
        <f>HYPERLINK("https://twitter.com/EsteghlalTehFC","@EsteghlalTehFC")</f>
        <v>@EsteghlalTehFC</v>
      </c>
      <c r="C1549" s="6" t="s">
        <v>3043</v>
      </c>
      <c r="D1549" s="5" t="s">
        <v>3727</v>
      </c>
      <c r="E1549" s="9" t="str">
        <f>HYPERLINK("https://twitter.com/EsteghlalTehFC/status/1045248006600224768","1045248006600224768")</f>
        <v>1045248006600224768</v>
      </c>
      <c r="F1549" s="4"/>
      <c r="G1549" s="10" t="s">
        <v>3726</v>
      </c>
      <c r="H1549" s="4"/>
      <c r="I1549" s="10" t="str">
        <f>HYPERLINK("https://about.twitter.com/products/tweetdeck","TweetDeck")</f>
        <v>TweetDeck</v>
      </c>
      <c r="J1549" s="2">
        <v>10975</v>
      </c>
      <c r="K1549" s="2">
        <v>16</v>
      </c>
      <c r="L1549" s="2">
        <v>35</v>
      </c>
      <c r="M1549" s="2"/>
      <c r="N1549" s="8">
        <v>41016.844317129631</v>
      </c>
      <c r="O1549" s="4" t="s">
        <v>2944</v>
      </c>
      <c r="P1549" s="3" t="s">
        <v>3041</v>
      </c>
      <c r="Q1549" s="10" t="s">
        <v>2577</v>
      </c>
      <c r="R1549" s="4"/>
      <c r="S1549" s="9" t="str">
        <f>HYPERLINK("https://pbs.twimg.com/profile_images/1018931327599628288/EP7JzcFn.jpg","View")</f>
        <v>View</v>
      </c>
    </row>
    <row r="1550" spans="1:19" ht="30">
      <c r="A1550" s="8">
        <v>43370.55190972222</v>
      </c>
      <c r="B1550" s="11" t="str">
        <f>HYPERLINK("https://twitter.com/Maryamoone","@Maryamoone")</f>
        <v>@Maryamoone</v>
      </c>
      <c r="C1550" s="6" t="s">
        <v>3725</v>
      </c>
      <c r="D1550" s="5" t="s">
        <v>3724</v>
      </c>
      <c r="E1550" s="9" t="str">
        <f>HYPERLINK("https://twitter.com/Maryamoone/status/1045247865218633729","1045247865218633729")</f>
        <v>1045247865218633729</v>
      </c>
      <c r="F1550" s="4"/>
      <c r="G1550" s="4"/>
      <c r="H1550" s="4"/>
      <c r="I1550" s="10" t="str">
        <f>HYPERLINK("http://twitter.com/download/android","Twitter for Android")</f>
        <v>Twitter for Android</v>
      </c>
      <c r="J1550" s="2">
        <v>6110</v>
      </c>
      <c r="K1550" s="2">
        <v>2999</v>
      </c>
      <c r="L1550" s="2">
        <v>7</v>
      </c>
      <c r="M1550" s="2"/>
      <c r="N1550" s="8">
        <v>42769.114745370374</v>
      </c>
      <c r="O1550" s="4" t="s">
        <v>311</v>
      </c>
      <c r="P1550" s="3" t="s">
        <v>3723</v>
      </c>
      <c r="Q1550" s="4"/>
      <c r="R1550" s="4"/>
      <c r="S1550" s="9" t="str">
        <f>HYPERLINK("https://pbs.twimg.com/profile_images/960655219146285058/JkAB-UcY.jpg","View")</f>
        <v>View</v>
      </c>
    </row>
    <row r="1551" spans="1:19" ht="20">
      <c r="A1551" s="8">
        <v>43370.551030092596</v>
      </c>
      <c r="B1551" s="11" t="str">
        <f>HYPERLINK("https://twitter.com/ShakeriHassan","@ShakeriHassan")</f>
        <v>@ShakeriHassan</v>
      </c>
      <c r="C1551" s="6" t="s">
        <v>1748</v>
      </c>
      <c r="D1551" s="5" t="s">
        <v>3722</v>
      </c>
      <c r="E1551" s="9" t="str">
        <f>HYPERLINK("https://twitter.com/ShakeriHassan/status/1045247546933866496","1045247546933866496")</f>
        <v>1045247546933866496</v>
      </c>
      <c r="F1551" s="4"/>
      <c r="G1551" s="10" t="s">
        <v>3721</v>
      </c>
      <c r="H1551" s="4"/>
      <c r="I1551" s="10" t="str">
        <f>HYPERLINK("http://twitter.com/download/iphone","Twitter for iPhone")</f>
        <v>Twitter for iPhone</v>
      </c>
      <c r="J1551" s="2">
        <v>6326</v>
      </c>
      <c r="K1551" s="2">
        <v>513</v>
      </c>
      <c r="L1551" s="2">
        <v>216</v>
      </c>
      <c r="M1551" s="2"/>
      <c r="N1551" s="8">
        <v>41980.870856481481</v>
      </c>
      <c r="O1551" s="4" t="s">
        <v>1747</v>
      </c>
      <c r="P1551" s="3" t="s">
        <v>1746</v>
      </c>
      <c r="Q1551" s="10" t="s">
        <v>1745</v>
      </c>
      <c r="R1551" s="4"/>
      <c r="S1551" s="9" t="str">
        <f>HYPERLINK("https://pbs.twimg.com/profile_images/1035984186803462144/l2RYwb58.jpg","View")</f>
        <v>View</v>
      </c>
    </row>
    <row r="1552" spans="1:19" ht="20">
      <c r="A1552" s="8">
        <v>43370.550567129627</v>
      </c>
      <c r="B1552" s="11" t="str">
        <f>HYPERLINK("https://twitter.com/aminshaahsavari","@aminshaahsavari")</f>
        <v>@aminshaahsavari</v>
      </c>
      <c r="C1552" s="6" t="s">
        <v>3720</v>
      </c>
      <c r="D1552" s="5" t="s">
        <v>3719</v>
      </c>
      <c r="E1552" s="9" t="str">
        <f>HYPERLINK("https://twitter.com/aminshaahsavari/status/1045247376774983680","1045247376774983680")</f>
        <v>1045247376774983680</v>
      </c>
      <c r="F1552" s="4"/>
      <c r="G1552" s="4"/>
      <c r="H1552" s="4"/>
      <c r="I1552" s="10" t="str">
        <f>HYPERLINK("http://twitter.com/download/iphone","Twitter for iPhone")</f>
        <v>Twitter for iPhone</v>
      </c>
      <c r="J1552" s="2">
        <v>767</v>
      </c>
      <c r="K1552" s="2">
        <v>141</v>
      </c>
      <c r="L1552" s="2">
        <v>1</v>
      </c>
      <c r="M1552" s="2"/>
      <c r="N1552" s="8">
        <v>43309.888958333337</v>
      </c>
      <c r="O1552" s="4"/>
      <c r="P1552" s="3" t="s">
        <v>3718</v>
      </c>
      <c r="Q1552" s="4"/>
      <c r="R1552" s="4"/>
      <c r="S1552" s="9" t="str">
        <f>HYPERLINK("https://pbs.twimg.com/profile_images/1039105998948986880/wrH3AJnK.jpg","View")</f>
        <v>View</v>
      </c>
    </row>
    <row r="1553" spans="1:19" ht="50">
      <c r="A1553" s="8">
        <v>43370.550416666665</v>
      </c>
      <c r="B1553" s="11" t="str">
        <f>HYPERLINK("https://twitter.com/yaas_razeqi","@yaas_razeqi")</f>
        <v>@yaas_razeqi</v>
      </c>
      <c r="C1553" s="6" t="s">
        <v>3717</v>
      </c>
      <c r="D1553" s="5" t="s">
        <v>3716</v>
      </c>
      <c r="E1553" s="9" t="str">
        <f>HYPERLINK("https://twitter.com/yaas_razeqi/status/1045247325436858369","1045247325436858369")</f>
        <v>1045247325436858369</v>
      </c>
      <c r="F1553" s="10" t="s">
        <v>3715</v>
      </c>
      <c r="G1553" s="4"/>
      <c r="H1553" s="4"/>
      <c r="I1553" s="10" t="str">
        <f>HYPERLINK("http://twitter.com/download/android","Twitter for Android")</f>
        <v>Twitter for Android</v>
      </c>
      <c r="J1553" s="2">
        <v>679</v>
      </c>
      <c r="K1553" s="2">
        <v>640</v>
      </c>
      <c r="L1553" s="2">
        <v>1</v>
      </c>
      <c r="M1553" s="2"/>
      <c r="N1553" s="8">
        <v>43248.648738425924</v>
      </c>
      <c r="O1553" s="4"/>
      <c r="P1553" s="3" t="s">
        <v>3714</v>
      </c>
      <c r="Q1553" s="4"/>
      <c r="R1553" s="4"/>
      <c r="S1553" s="9" t="str">
        <f>HYPERLINK("https://pbs.twimg.com/profile_images/1001089089087655938/G-HGyPwx.jpg","View")</f>
        <v>View</v>
      </c>
    </row>
    <row r="1554" spans="1:19" ht="20">
      <c r="A1554" s="8">
        <v>43370.548472222217</v>
      </c>
      <c r="B1554" s="11" t="str">
        <f>HYPERLINK("https://twitter.com/zpfard","@zpfard")</f>
        <v>@zpfard</v>
      </c>
      <c r="C1554" s="6" t="s">
        <v>3713</v>
      </c>
      <c r="D1554" s="5" t="s">
        <v>3712</v>
      </c>
      <c r="E1554" s="9" t="str">
        <f>HYPERLINK("https://twitter.com/zpfard/status/1045246621632667648","1045246621632667648")</f>
        <v>1045246621632667648</v>
      </c>
      <c r="F1554" s="4"/>
      <c r="G1554" s="4"/>
      <c r="H1554" s="4"/>
      <c r="I1554" s="10" t="str">
        <f>HYPERLINK("http://twitter.com/download/iphone","Twitter for iPhone")</f>
        <v>Twitter for iPhone</v>
      </c>
      <c r="J1554" s="2">
        <v>515</v>
      </c>
      <c r="K1554" s="2">
        <v>380</v>
      </c>
      <c r="L1554" s="2">
        <v>3</v>
      </c>
      <c r="M1554" s="2"/>
      <c r="N1554" s="8">
        <v>41554.626261574071</v>
      </c>
      <c r="O1554" s="4" t="s">
        <v>3373</v>
      </c>
      <c r="P1554" s="3" t="s">
        <v>3711</v>
      </c>
      <c r="Q1554" s="4"/>
      <c r="R1554" s="4"/>
      <c r="S1554" s="9" t="str">
        <f>HYPERLINK("https://pbs.twimg.com/profile_images/1011590067356426241/VmMV8PUQ.jpg","View")</f>
        <v>View</v>
      </c>
    </row>
    <row r="1555" spans="1:19" ht="40">
      <c r="A1555" s="8">
        <v>43370.548252314809</v>
      </c>
      <c r="B1555" s="11" t="str">
        <f>HYPERLINK("https://twitter.com/meisam71_k","@meisam71_k")</f>
        <v>@meisam71_k</v>
      </c>
      <c r="C1555" s="6" t="s">
        <v>3539</v>
      </c>
      <c r="D1555" s="5" t="s">
        <v>3710</v>
      </c>
      <c r="E1555" s="9" t="str">
        <f>HYPERLINK("https://twitter.com/meisam71_k/status/1045246539692756992","1045246539692756992")</f>
        <v>1045246539692756992</v>
      </c>
      <c r="F1555" s="4"/>
      <c r="G1555" s="4"/>
      <c r="H1555" s="4"/>
      <c r="I1555" s="10" t="str">
        <f>HYPERLINK("http://twitter.com/download/iphone","Twitter for iPhone")</f>
        <v>Twitter for iPhone</v>
      </c>
      <c r="J1555" s="2">
        <v>16</v>
      </c>
      <c r="K1555" s="2">
        <v>39</v>
      </c>
      <c r="L1555" s="2">
        <v>0</v>
      </c>
      <c r="M1555" s="2"/>
      <c r="N1555" s="8">
        <v>42750.032650462963</v>
      </c>
      <c r="O1555" s="4" t="s">
        <v>200</v>
      </c>
      <c r="P1555" s="3" t="s">
        <v>3536</v>
      </c>
      <c r="Q1555" s="4"/>
      <c r="R1555" s="4"/>
      <c r="S1555" s="9" t="str">
        <f>HYPERLINK("https://pbs.twimg.com/profile_images/1045245685073883141/rhVlt7Qv.jpg","View")</f>
        <v>View</v>
      </c>
    </row>
    <row r="1556" spans="1:19" ht="20">
      <c r="A1556" s="8">
        <v>43370.546759259261</v>
      </c>
      <c r="B1556" s="11" t="str">
        <f>HYPERLINK("https://twitter.com/Saba21966606","@Saba21966606")</f>
        <v>@Saba21966606</v>
      </c>
      <c r="C1556" s="6" t="s">
        <v>3709</v>
      </c>
      <c r="D1556" s="5" t="s">
        <v>3708</v>
      </c>
      <c r="E1556" s="9" t="str">
        <f>HYPERLINK("https://twitter.com/Saba21966606/status/1045245999587962880","1045245999587962880")</f>
        <v>1045245999587962880</v>
      </c>
      <c r="F1556" s="4"/>
      <c r="G1556" s="10" t="s">
        <v>3707</v>
      </c>
      <c r="H1556" s="4"/>
      <c r="I1556" s="10" t="str">
        <f>HYPERLINK("http://twitter.com/download/iphone","Twitter for iPhone")</f>
        <v>Twitter for iPhone</v>
      </c>
      <c r="J1556" s="2">
        <v>41</v>
      </c>
      <c r="K1556" s="2">
        <v>45</v>
      </c>
      <c r="L1556" s="2">
        <v>0</v>
      </c>
      <c r="M1556" s="2"/>
      <c r="N1556" s="8">
        <v>43202.799664351856</v>
      </c>
      <c r="O1556" s="4" t="s">
        <v>200</v>
      </c>
      <c r="P1556" s="3"/>
      <c r="Q1556" s="4"/>
      <c r="R1556" s="4"/>
      <c r="S1556" s="9" t="str">
        <f>HYPERLINK("https://pbs.twimg.com/profile_images/1031646792461496320/Dkm4wBnD.jpg","View")</f>
        <v>View</v>
      </c>
    </row>
    <row r="1557" spans="1:19" ht="30">
      <c r="A1557" s="8">
        <v>43370.546388888892</v>
      </c>
      <c r="B1557" s="11" t="str">
        <f>HYPERLINK("https://twitter.com/payam_nikkam","@payam_nikkam")</f>
        <v>@payam_nikkam</v>
      </c>
      <c r="C1557" s="6" t="s">
        <v>3706</v>
      </c>
      <c r="D1557" s="5" t="s">
        <v>3705</v>
      </c>
      <c r="E1557" s="9" t="str">
        <f>HYPERLINK("https://twitter.com/payam_nikkam/status/1045245862518181888","1045245862518181888")</f>
        <v>1045245862518181888</v>
      </c>
      <c r="F1557" s="4"/>
      <c r="G1557" s="4"/>
      <c r="H1557" s="4"/>
      <c r="I1557" s="10" t="str">
        <f>HYPERLINK("http://twitter.com/download/iphone","Twitter for iPhone")</f>
        <v>Twitter for iPhone</v>
      </c>
      <c r="J1557" s="2">
        <v>247</v>
      </c>
      <c r="K1557" s="2">
        <v>477</v>
      </c>
      <c r="L1557" s="2">
        <v>1</v>
      </c>
      <c r="M1557" s="2"/>
      <c r="N1557" s="8">
        <v>41599.739293981482</v>
      </c>
      <c r="O1557" s="4" t="s">
        <v>55</v>
      </c>
      <c r="P1557" s="3" t="s">
        <v>3704</v>
      </c>
      <c r="Q1557" s="4"/>
      <c r="R1557" s="4"/>
      <c r="S1557" s="9" t="str">
        <f>HYPERLINK("https://pbs.twimg.com/profile_images/1037730433184747520/lZJvfeNF.jpg","View")</f>
        <v>View</v>
      </c>
    </row>
    <row r="1558" spans="1:19" ht="40">
      <c r="A1558" s="8">
        <v>43370.546099537038</v>
      </c>
      <c r="B1558" s="11" t="str">
        <f>HYPERLINK("https://twitter.com/juventus0098","@juventus0098")</f>
        <v>@juventus0098</v>
      </c>
      <c r="C1558" s="6" t="s">
        <v>3703</v>
      </c>
      <c r="D1558" s="5" t="s">
        <v>3702</v>
      </c>
      <c r="E1558" s="9" t="str">
        <f>HYPERLINK("https://twitter.com/juventus0098/status/1045245760776933376","1045245760776933376")</f>
        <v>1045245760776933376</v>
      </c>
      <c r="F1558" s="10" t="s">
        <v>3701</v>
      </c>
      <c r="G1558" s="4"/>
      <c r="H1558" s="4"/>
      <c r="I1558" s="10" t="str">
        <f>HYPERLINK("http://twitter.com/download/android","Twitter for Android")</f>
        <v>Twitter for Android</v>
      </c>
      <c r="J1558" s="2">
        <v>919</v>
      </c>
      <c r="K1558" s="2">
        <v>608</v>
      </c>
      <c r="L1558" s="2">
        <v>3</v>
      </c>
      <c r="M1558" s="2"/>
      <c r="N1558" s="8">
        <v>42655.448865740742</v>
      </c>
      <c r="O1558" s="4" t="s">
        <v>414</v>
      </c>
      <c r="P1558" s="3" t="s">
        <v>3700</v>
      </c>
      <c r="Q1558" s="4"/>
      <c r="R1558" s="4"/>
      <c r="S1558" s="9" t="str">
        <f>HYPERLINK("https://pbs.twimg.com/profile_images/1039451674744705024/_KxEty57.jpg","View")</f>
        <v>View</v>
      </c>
    </row>
    <row r="1559" spans="1:19" ht="30">
      <c r="A1559" s="8">
        <v>43370.545902777776</v>
      </c>
      <c r="B1559" s="11" t="str">
        <f>HYPERLINK("https://twitter.com/kouchak_safavi","@kouchak_safavi")</f>
        <v>@kouchak_safavi</v>
      </c>
      <c r="C1559" s="6" t="s">
        <v>3699</v>
      </c>
      <c r="D1559" s="5" t="s">
        <v>3698</v>
      </c>
      <c r="E1559" s="9" t="str">
        <f>HYPERLINK("https://twitter.com/kouchak_safavi/status/1045245690094538752","1045245690094538752")</f>
        <v>1045245690094538752</v>
      </c>
      <c r="F1559" s="4"/>
      <c r="G1559" s="4"/>
      <c r="H1559" s="4"/>
      <c r="I1559" s="10" t="str">
        <f>HYPERLINK("http://twitter.com/download/android","Twitter for Android")</f>
        <v>Twitter for Android</v>
      </c>
      <c r="J1559" s="2">
        <v>42</v>
      </c>
      <c r="K1559" s="2">
        <v>70</v>
      </c>
      <c r="L1559" s="2">
        <v>0</v>
      </c>
      <c r="M1559" s="2"/>
      <c r="N1559" s="8">
        <v>43081.942488425921</v>
      </c>
      <c r="O1559" s="4" t="s">
        <v>3697</v>
      </c>
      <c r="P1559" s="3" t="s">
        <v>3696</v>
      </c>
      <c r="Q1559" s="4"/>
      <c r="R1559" s="4"/>
      <c r="S1559" s="9" t="str">
        <f>HYPERLINK("https://pbs.twimg.com/profile_images/1037776556658253824/VNFADvfT.jpg","View")</f>
        <v>View</v>
      </c>
    </row>
    <row r="1560" spans="1:19" ht="20">
      <c r="A1560" s="8">
        <v>43370.545312499999</v>
      </c>
      <c r="B1560" s="11" t="str">
        <f>HYPERLINK("https://twitter.com/yasmangulaa","@yasmangulaa")</f>
        <v>@yasmangulaa</v>
      </c>
      <c r="C1560" s="6" t="s">
        <v>3695</v>
      </c>
      <c r="D1560" s="5" t="s">
        <v>3694</v>
      </c>
      <c r="E1560" s="9" t="str">
        <f>HYPERLINK("https://twitter.com/yasmangulaa/status/1045245476063379456","1045245476063379456")</f>
        <v>1045245476063379456</v>
      </c>
      <c r="F1560" s="4"/>
      <c r="G1560" s="4"/>
      <c r="H1560" s="4"/>
      <c r="I1560" s="10" t="str">
        <f>HYPERLINK("http://twitter.com/download/iphone","Twitter for iPhone")</f>
        <v>Twitter for iPhone</v>
      </c>
      <c r="J1560" s="2">
        <v>80</v>
      </c>
      <c r="K1560" s="2">
        <v>230</v>
      </c>
      <c r="L1560" s="2">
        <v>0</v>
      </c>
      <c r="M1560" s="2"/>
      <c r="N1560" s="8">
        <v>42197.097418981481</v>
      </c>
      <c r="O1560" s="4"/>
      <c r="P1560" s="3"/>
      <c r="Q1560" s="4"/>
      <c r="R1560" s="4"/>
      <c r="S1560" s="9" t="str">
        <f>HYPERLINK("https://pbs.twimg.com/profile_images/934853207855173633/5wajj-sV.jpg","View")</f>
        <v>View</v>
      </c>
    </row>
    <row r="1561" spans="1:19" ht="30">
      <c r="A1561" s="8">
        <v>43370.544918981483</v>
      </c>
      <c r="B1561" s="11" t="str">
        <f>HYPERLINK("https://twitter.com/badboodak","@badboodak")</f>
        <v>@badboodak</v>
      </c>
      <c r="C1561" s="6" t="s">
        <v>3693</v>
      </c>
      <c r="D1561" s="5" t="s">
        <v>3692</v>
      </c>
      <c r="E1561" s="9" t="str">
        <f>HYPERLINK("https://twitter.com/badboodak/status/1045245330407731201","1045245330407731201")</f>
        <v>1045245330407731201</v>
      </c>
      <c r="F1561" s="4"/>
      <c r="G1561" s="4"/>
      <c r="H1561" s="4"/>
      <c r="I1561" s="10" t="str">
        <f>HYPERLINK("http://twitter.com/download/iphone","Twitter for iPhone")</f>
        <v>Twitter for iPhone</v>
      </c>
      <c r="J1561" s="2">
        <v>64</v>
      </c>
      <c r="K1561" s="2">
        <v>39</v>
      </c>
      <c r="L1561" s="2">
        <v>0</v>
      </c>
      <c r="M1561" s="2"/>
      <c r="N1561" s="8">
        <v>41628.860578703701</v>
      </c>
      <c r="O1561" s="4"/>
      <c r="P1561" s="3" t="s">
        <v>3691</v>
      </c>
      <c r="Q1561" s="4"/>
      <c r="R1561" s="4"/>
      <c r="S1561" s="9" t="str">
        <f>HYPERLINK("https://pbs.twimg.com/profile_images/1034598106371973120/WFqWJfrN.jpg","View")</f>
        <v>View</v>
      </c>
    </row>
    <row r="1562" spans="1:19" ht="20">
      <c r="A1562" s="8">
        <v>43370.544895833329</v>
      </c>
      <c r="B1562" s="11" t="str">
        <f>HYPERLINK("https://twitter.com/meisam71_k","@meisam71_k")</f>
        <v>@meisam71_k</v>
      </c>
      <c r="C1562" s="6" t="s">
        <v>3539</v>
      </c>
      <c r="D1562" s="5" t="s">
        <v>3690</v>
      </c>
      <c r="E1562" s="9" t="str">
        <f>HYPERLINK("https://twitter.com/meisam71_k/status/1045245323801776128","1045245323801776128")</f>
        <v>1045245323801776128</v>
      </c>
      <c r="F1562" s="4"/>
      <c r="G1562" s="10" t="s">
        <v>3689</v>
      </c>
      <c r="H1562" s="4"/>
      <c r="I1562" s="10" t="str">
        <f>HYPERLINK("http://twitter.com/download/iphone","Twitter for iPhone")</f>
        <v>Twitter for iPhone</v>
      </c>
      <c r="J1562" s="2">
        <v>16</v>
      </c>
      <c r="K1562" s="2">
        <v>39</v>
      </c>
      <c r="L1562" s="2">
        <v>0</v>
      </c>
      <c r="M1562" s="2"/>
      <c r="N1562" s="8">
        <v>42750.032650462963</v>
      </c>
      <c r="O1562" s="4" t="s">
        <v>200</v>
      </c>
      <c r="P1562" s="3" t="s">
        <v>3536</v>
      </c>
      <c r="Q1562" s="4"/>
      <c r="R1562" s="4"/>
      <c r="S1562" s="9" t="str">
        <f>HYPERLINK("https://pbs.twimg.com/profile_images/1045245685073883141/rhVlt7Qv.jpg","View")</f>
        <v>View</v>
      </c>
    </row>
    <row r="1563" spans="1:19" ht="12.5">
      <c r="A1563" s="8">
        <v>43370.544282407413</v>
      </c>
      <c r="B1563" s="11" t="str">
        <f>HYPERLINK("https://twitter.com/kakoo_shirazi","@kakoo_shirazi")</f>
        <v>@kakoo_shirazi</v>
      </c>
      <c r="C1563" s="6" t="s">
        <v>3688</v>
      </c>
      <c r="D1563" s="5" t="s">
        <v>3687</v>
      </c>
      <c r="E1563" s="9" t="str">
        <f>HYPERLINK("https://twitter.com/kakoo_shirazi/status/1045245101793071104","1045245101793071104")</f>
        <v>1045245101793071104</v>
      </c>
      <c r="F1563" s="4"/>
      <c r="G1563" s="10" t="s">
        <v>3686</v>
      </c>
      <c r="H1563" s="4"/>
      <c r="I1563" s="10" t="str">
        <f>HYPERLINK("http://twitter.com/download/iphone","Twitter for iPhone")</f>
        <v>Twitter for iPhone</v>
      </c>
      <c r="J1563" s="2">
        <v>1911</v>
      </c>
      <c r="K1563" s="2">
        <v>1840</v>
      </c>
      <c r="L1563" s="2">
        <v>7</v>
      </c>
      <c r="M1563" s="2"/>
      <c r="N1563" s="8">
        <v>43101.554733796293</v>
      </c>
      <c r="O1563" s="4" t="s">
        <v>104</v>
      </c>
      <c r="P1563" s="3" t="s">
        <v>3685</v>
      </c>
      <c r="Q1563" s="4"/>
      <c r="R1563" s="4"/>
      <c r="S1563" s="9" t="str">
        <f>HYPERLINK("https://pbs.twimg.com/profile_images/1043218234944761857/qg1lLc7R.jpg","View")</f>
        <v>View</v>
      </c>
    </row>
    <row r="1564" spans="1:19" ht="30">
      <c r="A1564" s="8">
        <v>43370.543692129635</v>
      </c>
      <c r="B1564" s="11" t="str">
        <f>HYPERLINK("https://twitter.com/Badbadak4","@Badbadak4")</f>
        <v>@Badbadak4</v>
      </c>
      <c r="C1564" s="6" t="s">
        <v>3684</v>
      </c>
      <c r="D1564" s="5" t="s">
        <v>3683</v>
      </c>
      <c r="E1564" s="9" t="str">
        <f>HYPERLINK("https://twitter.com/Badbadak4/status/1045244887753523201","1045244887753523201")</f>
        <v>1045244887753523201</v>
      </c>
      <c r="F1564" s="4"/>
      <c r="G1564" s="4"/>
      <c r="H1564" s="4"/>
      <c r="I1564" s="10" t="str">
        <f>HYPERLINK("http://twitter.com","Twitter Web Client")</f>
        <v>Twitter Web Client</v>
      </c>
      <c r="J1564" s="2">
        <v>332</v>
      </c>
      <c r="K1564" s="2">
        <v>365</v>
      </c>
      <c r="L1564" s="2">
        <v>0</v>
      </c>
      <c r="M1564" s="2"/>
      <c r="N1564" s="8">
        <v>43190.957592592589</v>
      </c>
      <c r="O1564" s="4"/>
      <c r="P1564" s="3" t="s">
        <v>3682</v>
      </c>
      <c r="Q1564" s="4"/>
      <c r="R1564" s="4"/>
      <c r="S1564" s="9" t="str">
        <f>HYPERLINK("https://pbs.twimg.com/profile_images/980333403085197312/WDo2yKlC.jpg","View")</f>
        <v>View</v>
      </c>
    </row>
    <row r="1565" spans="1:19" ht="30">
      <c r="A1565" s="8">
        <v>43370.543344907404</v>
      </c>
      <c r="B1565" s="11" t="str">
        <f>HYPERLINK("https://twitter.com/raminkantalll","@raminkantalll")</f>
        <v>@raminkantalll</v>
      </c>
      <c r="C1565" s="6" t="s">
        <v>2930</v>
      </c>
      <c r="D1565" s="5" t="s">
        <v>3681</v>
      </c>
      <c r="E1565" s="9" t="str">
        <f>HYPERLINK("https://twitter.com/raminkantalll/status/1045244759571394560","1045244759571394560")</f>
        <v>1045244759571394560</v>
      </c>
      <c r="F1565" s="4"/>
      <c r="G1565" s="10" t="s">
        <v>3680</v>
      </c>
      <c r="H1565" s="4"/>
      <c r="I1565" s="10" t="str">
        <f>HYPERLINK("http://twitter.com/download/android","Twitter for Android")</f>
        <v>Twitter for Android</v>
      </c>
      <c r="J1565" s="2">
        <v>1585</v>
      </c>
      <c r="K1565" s="2">
        <v>3376</v>
      </c>
      <c r="L1565" s="2">
        <v>1</v>
      </c>
      <c r="M1565" s="2"/>
      <c r="N1565" s="8">
        <v>42929.978946759264</v>
      </c>
      <c r="O1565" s="4" t="s">
        <v>2927</v>
      </c>
      <c r="P1565" s="3" t="s">
        <v>2926</v>
      </c>
      <c r="Q1565" s="4"/>
      <c r="R1565" s="4"/>
      <c r="S1565" s="9" t="str">
        <f>HYPERLINK("https://pbs.twimg.com/profile_images/885578036208422912/IlSbaxb4.jpg","View")</f>
        <v>View</v>
      </c>
    </row>
    <row r="1566" spans="1:19" ht="20">
      <c r="A1566" s="8">
        <v>43370.54315972222</v>
      </c>
      <c r="B1566" s="11" t="str">
        <f>HYPERLINK("https://twitter.com/ahosein1119","@ahosein1119")</f>
        <v>@ahosein1119</v>
      </c>
      <c r="C1566" s="6" t="s">
        <v>3526</v>
      </c>
      <c r="D1566" s="5" t="s">
        <v>3679</v>
      </c>
      <c r="E1566" s="9" t="str">
        <f>HYPERLINK("https://twitter.com/ahosein1119/status/1045244693741625345","1045244693741625345")</f>
        <v>1045244693741625345</v>
      </c>
      <c r="F1566" s="4"/>
      <c r="G1566" s="4"/>
      <c r="H1566" s="4"/>
      <c r="I1566" s="10" t="str">
        <f>HYPERLINK("http://twitter.com/download/iphone","Twitter for iPhone")</f>
        <v>Twitter for iPhone</v>
      </c>
      <c r="J1566" s="2">
        <v>3131</v>
      </c>
      <c r="K1566" s="2">
        <v>1462</v>
      </c>
      <c r="L1566" s="2">
        <v>5</v>
      </c>
      <c r="M1566" s="2"/>
      <c r="N1566" s="8">
        <v>42657.840868055559</v>
      </c>
      <c r="O1566" s="4" t="s">
        <v>200</v>
      </c>
      <c r="P1566" s="3" t="s">
        <v>3524</v>
      </c>
      <c r="Q1566" s="4"/>
      <c r="R1566" s="4"/>
      <c r="S1566" s="9" t="str">
        <f>HYPERLINK("https://pbs.twimg.com/profile_images/1043151949615587329/-YByFs1M.jpg","View")</f>
        <v>View</v>
      </c>
    </row>
    <row r="1567" spans="1:19" ht="30">
      <c r="A1567" s="8">
        <v>43370.542893518519</v>
      </c>
      <c r="B1567" s="11" t="str">
        <f>HYPERLINK("https://twitter.com/RoHeidari","@RoHeidari")</f>
        <v>@RoHeidari</v>
      </c>
      <c r="C1567" s="6" t="s">
        <v>3678</v>
      </c>
      <c r="D1567" s="5" t="s">
        <v>3677</v>
      </c>
      <c r="E1567" s="9" t="str">
        <f>HYPERLINK("https://twitter.com/RoHeidari/status/1045244599399272449","1045244599399272449")</f>
        <v>1045244599399272449</v>
      </c>
      <c r="F1567" s="4"/>
      <c r="G1567" s="4"/>
      <c r="H1567" s="4"/>
      <c r="I1567" s="10" t="str">
        <f>HYPERLINK("http://twitter.com/download/android","Twitter for Android")</f>
        <v>Twitter for Android</v>
      </c>
      <c r="J1567" s="2">
        <v>594</v>
      </c>
      <c r="K1567" s="2">
        <v>873</v>
      </c>
      <c r="L1567" s="2">
        <v>1</v>
      </c>
      <c r="M1567" s="2"/>
      <c r="N1567" s="8">
        <v>42715.748807870375</v>
      </c>
      <c r="O1567" s="4"/>
      <c r="P1567" s="3" t="s">
        <v>3676</v>
      </c>
      <c r="Q1567" s="4"/>
      <c r="R1567" s="4"/>
      <c r="S1567" s="9" t="str">
        <f>HYPERLINK("https://pbs.twimg.com/profile_images/1044955698663182336/6sOwYxlE.jpg","View")</f>
        <v>View</v>
      </c>
    </row>
    <row r="1568" spans="1:19" ht="20">
      <c r="A1568" s="8">
        <v>43370.542800925927</v>
      </c>
      <c r="B1568" s="11" t="str">
        <f>HYPERLINK("https://twitter.com/01nimaN","@01nimaN")</f>
        <v>@01nimaN</v>
      </c>
      <c r="C1568" s="6" t="s">
        <v>3675</v>
      </c>
      <c r="D1568" s="5" t="s">
        <v>3674</v>
      </c>
      <c r="E1568" s="9" t="str">
        <f>HYPERLINK("https://twitter.com/01nimaN/status/1045244562925649921","1045244562925649921")</f>
        <v>1045244562925649921</v>
      </c>
      <c r="F1568" s="4"/>
      <c r="G1568" s="10" t="s">
        <v>3673</v>
      </c>
      <c r="H1568" s="4"/>
      <c r="I1568" s="10" t="str">
        <f>HYPERLINK("http://twitter.com/download/iphone","Twitter for iPhone")</f>
        <v>Twitter for iPhone</v>
      </c>
      <c r="J1568" s="2">
        <v>11</v>
      </c>
      <c r="K1568" s="2">
        <v>42</v>
      </c>
      <c r="L1568" s="2">
        <v>0</v>
      </c>
      <c r="M1568" s="2"/>
      <c r="N1568" s="8">
        <v>42038.061249999999</v>
      </c>
      <c r="O1568" s="4"/>
      <c r="P1568" s="3"/>
      <c r="Q1568" s="4"/>
      <c r="R1568" s="4"/>
      <c r="S1568" s="9" t="str">
        <f>HYPERLINK("https://pbs.twimg.com/profile_images/562370448814383105/WI3Q0Bwi.jpeg","View")</f>
        <v>View</v>
      </c>
    </row>
    <row r="1569" spans="1:19" ht="40">
      <c r="A1569" s="8">
        <v>43370.542638888888</v>
      </c>
      <c r="B1569" s="11" t="str">
        <f>HYPERLINK("https://twitter.com/MohammadaliRsti","@MohammadaliRsti")</f>
        <v>@MohammadaliRsti</v>
      </c>
      <c r="C1569" s="6" t="s">
        <v>3672</v>
      </c>
      <c r="D1569" s="5" t="s">
        <v>3671</v>
      </c>
      <c r="E1569" s="9" t="str">
        <f>HYPERLINK("https://twitter.com/MohammadaliRsti/status/1045244505442594816","1045244505442594816")</f>
        <v>1045244505442594816</v>
      </c>
      <c r="F1569" s="4"/>
      <c r="G1569" s="4"/>
      <c r="H1569" s="4"/>
      <c r="I1569" s="10" t="str">
        <f>HYPERLINK("http://twitter.com/download/iphone","Twitter for iPhone")</f>
        <v>Twitter for iPhone</v>
      </c>
      <c r="J1569" s="2">
        <v>152</v>
      </c>
      <c r="K1569" s="2">
        <v>403</v>
      </c>
      <c r="L1569" s="2">
        <v>0</v>
      </c>
      <c r="M1569" s="2"/>
      <c r="N1569" s="8">
        <v>41963.538460648153</v>
      </c>
      <c r="O1569" s="4" t="s">
        <v>3670</v>
      </c>
      <c r="P1569" s="3" t="s">
        <v>3669</v>
      </c>
      <c r="Q1569" s="4"/>
      <c r="R1569" s="4"/>
      <c r="S1569" s="9" t="str">
        <f>HYPERLINK("https://pbs.twimg.com/profile_images/876238470016008193/gSqxynsb.jpg","View")</f>
        <v>View</v>
      </c>
    </row>
    <row r="1570" spans="1:19" ht="20">
      <c r="A1570" s="8">
        <v>43370.542581018519</v>
      </c>
      <c r="B1570" s="11" t="str">
        <f>HYPERLINK("https://twitter.com/alidadaaaaaa","@alidadaaaaaa")</f>
        <v>@alidadaaaaaa</v>
      </c>
      <c r="C1570" s="6" t="s">
        <v>2144</v>
      </c>
      <c r="D1570" s="5" t="s">
        <v>3668</v>
      </c>
      <c r="E1570" s="9" t="str">
        <f>HYPERLINK("https://twitter.com/alidadaaaaaa/status/1045244484756414465","1045244484756414465")</f>
        <v>1045244484756414465</v>
      </c>
      <c r="F1570" s="4"/>
      <c r="G1570" s="4"/>
      <c r="H1570" s="4"/>
      <c r="I1570" s="10" t="str">
        <f>HYPERLINK("http://twitter.com/download/iphone","Twitter for iPhone")</f>
        <v>Twitter for iPhone</v>
      </c>
      <c r="J1570" s="2">
        <v>8</v>
      </c>
      <c r="K1570" s="2">
        <v>76</v>
      </c>
      <c r="L1570" s="2">
        <v>0</v>
      </c>
      <c r="M1570" s="2"/>
      <c r="N1570" s="8">
        <v>43367.972395833334</v>
      </c>
      <c r="O1570" s="4"/>
      <c r="P1570" s="3"/>
      <c r="Q1570" s="4"/>
      <c r="R1570" s="4"/>
      <c r="S1570" s="9" t="str">
        <f>HYPERLINK("https://pbs.twimg.com/profile_images/1044316091311419392/sFG9SMB3.jpg","View")</f>
        <v>View</v>
      </c>
    </row>
    <row r="1571" spans="1:19" ht="40">
      <c r="A1571" s="8">
        <v>43370.542372685188</v>
      </c>
      <c r="B1571" s="11" t="str">
        <f>HYPERLINK("https://twitter.com/Ghahhar","@Ghahhar")</f>
        <v>@Ghahhar</v>
      </c>
      <c r="C1571" s="6" t="s">
        <v>3667</v>
      </c>
      <c r="D1571" s="5" t="s">
        <v>3666</v>
      </c>
      <c r="E1571" s="9" t="str">
        <f>HYPERLINK("https://twitter.com/Ghahhar/status/1045244409363795968","1045244409363795968")</f>
        <v>1045244409363795968</v>
      </c>
      <c r="F1571" s="4"/>
      <c r="G1571" s="10" t="s">
        <v>3665</v>
      </c>
      <c r="H1571" s="4"/>
      <c r="I1571" s="10" t="str">
        <f>HYPERLINK("http://twitter.com/download/iphone","Twitter for iPhone")</f>
        <v>Twitter for iPhone</v>
      </c>
      <c r="J1571" s="2">
        <v>3856</v>
      </c>
      <c r="K1571" s="2">
        <v>320</v>
      </c>
      <c r="L1571" s="2">
        <v>14</v>
      </c>
      <c r="M1571" s="2"/>
      <c r="N1571" s="8">
        <v>41135.69840277778</v>
      </c>
      <c r="O1571" s="4"/>
      <c r="P1571" s="3" t="s">
        <v>3664</v>
      </c>
      <c r="Q1571" s="10" t="s">
        <v>3663</v>
      </c>
      <c r="R1571" s="4"/>
      <c r="S1571" s="9" t="str">
        <f>HYPERLINK("https://pbs.twimg.com/profile_images/1044020442330222592/7KcT8ECd.jpg","View")</f>
        <v>View</v>
      </c>
    </row>
    <row r="1572" spans="1:19" ht="12.5">
      <c r="A1572" s="8">
        <v>43370.542326388888</v>
      </c>
      <c r="B1572" s="11" t="str">
        <f>HYPERLINK("https://twitter.com/seyedekhoda","@seyedekhoda")</f>
        <v>@seyedekhoda</v>
      </c>
      <c r="C1572" s="6" t="s">
        <v>3662</v>
      </c>
      <c r="D1572" s="5" t="s">
        <v>3661</v>
      </c>
      <c r="E1572" s="9" t="str">
        <f>HYPERLINK("https://twitter.com/seyedekhoda/status/1045244391651250178","1045244391651250178")</f>
        <v>1045244391651250178</v>
      </c>
      <c r="F1572" s="4"/>
      <c r="G1572" s="4"/>
      <c r="H1572" s="4"/>
      <c r="I1572" s="10" t="str">
        <f>HYPERLINK("http://twitter.com/download/android","Twitter for Android")</f>
        <v>Twitter for Android</v>
      </c>
      <c r="J1572" s="2">
        <v>94</v>
      </c>
      <c r="K1572" s="2">
        <v>102</v>
      </c>
      <c r="L1572" s="2">
        <v>0</v>
      </c>
      <c r="M1572" s="2"/>
      <c r="N1572" s="8">
        <v>43216.766516203701</v>
      </c>
      <c r="O1572" s="4" t="s">
        <v>10</v>
      </c>
      <c r="P1572" s="3"/>
      <c r="Q1572" s="4"/>
      <c r="R1572" s="4"/>
      <c r="S1572" s="9" t="str">
        <f>HYPERLINK("https://pbs.twimg.com/profile_images/1030500614390697984/p4KdryIs.jpg","View")</f>
        <v>View</v>
      </c>
    </row>
    <row r="1573" spans="1:19" ht="20">
      <c r="A1573" s="8">
        <v>43370.54115740741</v>
      </c>
      <c r="B1573" s="11" t="str">
        <f>HYPERLINK("https://twitter.com/ARMF1354","@ARMF1354")</f>
        <v>@ARMF1354</v>
      </c>
      <c r="C1573" s="6" t="s">
        <v>3660</v>
      </c>
      <c r="D1573" s="5" t="s">
        <v>3659</v>
      </c>
      <c r="E1573" s="9" t="str">
        <f>HYPERLINK("https://twitter.com/ARMF1354/status/1045243967590346752","1045243967590346752")</f>
        <v>1045243967590346752</v>
      </c>
      <c r="F1573" s="4"/>
      <c r="G1573" s="10" t="s">
        <v>3658</v>
      </c>
      <c r="H1573" s="4"/>
      <c r="I1573" s="10" t="str">
        <f>HYPERLINK("https://mobile.twitter.com","Twitter Lite")</f>
        <v>Twitter Lite</v>
      </c>
      <c r="J1573" s="2">
        <v>13</v>
      </c>
      <c r="K1573" s="2">
        <v>0</v>
      </c>
      <c r="L1573" s="2">
        <v>0</v>
      </c>
      <c r="M1573" s="2"/>
      <c r="N1573" s="8">
        <v>42770.060474537036</v>
      </c>
      <c r="O1573" s="4" t="s">
        <v>3657</v>
      </c>
      <c r="P1573" s="3"/>
      <c r="Q1573" s="4"/>
      <c r="R1573" s="4"/>
      <c r="S1573" s="9" t="str">
        <f>HYPERLINK("https://pbs.twimg.com/profile_images/827643798591258625/ejxJgPhM.jpg","View")</f>
        <v>View</v>
      </c>
    </row>
    <row r="1574" spans="1:19" ht="12.5">
      <c r="A1574" s="8">
        <v>43370.541041666671</v>
      </c>
      <c r="B1574" s="11" t="str">
        <f>HYPERLINK("https://twitter.com/AUrIHU1__Asi","@AUrIHU1__Asi")</f>
        <v>@AUrIHU1__Asi</v>
      </c>
      <c r="C1574" s="6" t="s">
        <v>3656</v>
      </c>
      <c r="D1574" s="5" t="s">
        <v>3655</v>
      </c>
      <c r="E1574" s="9" t="str">
        <f>HYPERLINK("https://twitter.com/AUrIHU1__Asi/status/1045243925647294466","1045243925647294466")</f>
        <v>1045243925647294466</v>
      </c>
      <c r="F1574" s="4"/>
      <c r="G1574" s="4"/>
      <c r="H1574" s="4"/>
      <c r="I1574" s="10" t="str">
        <f>HYPERLINK("http://twitter.com/download/android","Twitter for Android")</f>
        <v>Twitter for Android</v>
      </c>
      <c r="J1574" s="2">
        <v>1478</v>
      </c>
      <c r="K1574" s="2">
        <v>137</v>
      </c>
      <c r="L1574" s="2">
        <v>10</v>
      </c>
      <c r="M1574" s="2"/>
      <c r="N1574" s="8">
        <v>42364.251469907409</v>
      </c>
      <c r="O1574" s="4" t="s">
        <v>3654</v>
      </c>
      <c r="P1574" s="3" t="s">
        <v>3653</v>
      </c>
      <c r="Q1574" s="4"/>
      <c r="R1574" s="4"/>
      <c r="S1574" s="9" t="str">
        <f>HYPERLINK("https://pbs.twimg.com/profile_images/1027537332491173888/FNc_8pxm.jpg","View")</f>
        <v>View</v>
      </c>
    </row>
    <row r="1575" spans="1:19" ht="30">
      <c r="A1575" s="8">
        <v>43370.540868055556</v>
      </c>
      <c r="B1575" s="11" t="str">
        <f>HYPERLINK("https://twitter.com/wonderfulMie","@wonderfulMie")</f>
        <v>@wonderfulMie</v>
      </c>
      <c r="C1575" s="6" t="s">
        <v>3652</v>
      </c>
      <c r="D1575" s="5" t="s">
        <v>3651</v>
      </c>
      <c r="E1575" s="9" t="str">
        <f>HYPERLINK("https://twitter.com/wonderfulMie/status/1045243865949786112","1045243865949786112")</f>
        <v>1045243865949786112</v>
      </c>
      <c r="F1575" s="4"/>
      <c r="G1575" s="4"/>
      <c r="H1575" s="4"/>
      <c r="I1575" s="10" t="str">
        <f>HYPERLINK("http://twitter.com/download/android","Twitter for Android")</f>
        <v>Twitter for Android</v>
      </c>
      <c r="J1575" s="2">
        <v>73</v>
      </c>
      <c r="K1575" s="2">
        <v>138</v>
      </c>
      <c r="L1575" s="2">
        <v>2</v>
      </c>
      <c r="M1575" s="2"/>
      <c r="N1575" s="8">
        <v>41810.139143518521</v>
      </c>
      <c r="O1575" s="4" t="s">
        <v>3650</v>
      </c>
      <c r="P1575" s="3" t="s">
        <v>3649</v>
      </c>
      <c r="Q1575" s="10" t="s">
        <v>3648</v>
      </c>
      <c r="R1575" s="4"/>
      <c r="S1575" s="9" t="str">
        <f>HYPERLINK("https://pbs.twimg.com/profile_images/1039241359864016902/LwCYFm7y.jpg","View")</f>
        <v>View</v>
      </c>
    </row>
    <row r="1576" spans="1:19" ht="20">
      <c r="A1576" s="8">
        <v>43370.540127314816</v>
      </c>
      <c r="B1576" s="11" t="str">
        <f>HYPERLINK("https://twitter.com/E_Saberi","@E_Saberi")</f>
        <v>@E_Saberi</v>
      </c>
      <c r="C1576" s="6" t="s">
        <v>3647</v>
      </c>
      <c r="D1576" s="5" t="s">
        <v>3646</v>
      </c>
      <c r="E1576" s="9" t="str">
        <f>HYPERLINK("https://twitter.com/E_Saberi/status/1045243593525465088","1045243593525465088")</f>
        <v>1045243593525465088</v>
      </c>
      <c r="F1576" s="4"/>
      <c r="G1576" s="4"/>
      <c r="H1576" s="4"/>
      <c r="I1576" s="10" t="str">
        <f>HYPERLINK("http://twitter.com/download/android","Twitter for Android")</f>
        <v>Twitter for Android</v>
      </c>
      <c r="J1576" s="2">
        <v>931</v>
      </c>
      <c r="K1576" s="2">
        <v>1367</v>
      </c>
      <c r="L1576" s="2">
        <v>9</v>
      </c>
      <c r="M1576" s="2"/>
      <c r="N1576" s="8">
        <v>42923.966874999998</v>
      </c>
      <c r="O1576" s="4" t="s">
        <v>556</v>
      </c>
      <c r="P1576" s="3" t="s">
        <v>3645</v>
      </c>
      <c r="Q1576" s="4"/>
      <c r="R1576" s="4"/>
      <c r="S1576" s="9" t="str">
        <f>HYPERLINK("https://pbs.twimg.com/profile_images/1045238361580064768/e_BxIEHp.jpg","View")</f>
        <v>View</v>
      </c>
    </row>
    <row r="1577" spans="1:19" ht="12.5">
      <c r="A1577" s="8">
        <v>43370.539305555554</v>
      </c>
      <c r="B1577" s="11" t="str">
        <f>HYPERLINK("https://twitter.com/banolagertha","@banolagertha")</f>
        <v>@banolagertha</v>
      </c>
      <c r="C1577" s="6" t="s">
        <v>3644</v>
      </c>
      <c r="D1577" s="5" t="s">
        <v>3643</v>
      </c>
      <c r="E1577" s="9" t="str">
        <f>HYPERLINK("https://twitter.com/banolagertha/status/1045243296686252032","1045243296686252032")</f>
        <v>1045243296686252032</v>
      </c>
      <c r="F1577" s="4"/>
      <c r="G1577" s="4"/>
      <c r="H1577" s="4"/>
      <c r="I1577" s="10" t="str">
        <f>HYPERLINK("http://twitter.com/download/iphone","Twitter for iPhone")</f>
        <v>Twitter for iPhone</v>
      </c>
      <c r="J1577" s="2">
        <v>1</v>
      </c>
      <c r="K1577" s="2">
        <v>11</v>
      </c>
      <c r="L1577" s="2">
        <v>0</v>
      </c>
      <c r="M1577" s="2"/>
      <c r="N1577" s="8">
        <v>43368.52952546296</v>
      </c>
      <c r="O1577" s="4" t="s">
        <v>10</v>
      </c>
      <c r="P1577" s="3" t="s">
        <v>3642</v>
      </c>
      <c r="Q1577" s="4"/>
      <c r="R1577" s="4"/>
      <c r="S1577" s="9" t="str">
        <f>HYPERLINK("https://pbs.twimg.com/profile_images/1045241524747931648/AjlH5qB_.jpg","View")</f>
        <v>View</v>
      </c>
    </row>
    <row r="1578" spans="1:19" ht="20">
      <c r="A1578" s="8">
        <v>43370.539120370369</v>
      </c>
      <c r="B1578" s="11" t="str">
        <f>HYPERLINK("https://twitter.com/matinazizi16","@matinazizi16")</f>
        <v>@matinazizi16</v>
      </c>
      <c r="C1578" s="6" t="s">
        <v>3641</v>
      </c>
      <c r="D1578" s="5" t="s">
        <v>3640</v>
      </c>
      <c r="E1578" s="9" t="str">
        <f>HYPERLINK("https://twitter.com/matinazizi16/status/1045243228805640192","1045243228805640192")</f>
        <v>1045243228805640192</v>
      </c>
      <c r="F1578" s="4"/>
      <c r="G1578" s="10" t="s">
        <v>3639</v>
      </c>
      <c r="H1578" s="4"/>
      <c r="I1578" s="10" t="str">
        <f>HYPERLINK("http://twitter.com/download/android","Twitter for Android")</f>
        <v>Twitter for Android</v>
      </c>
      <c r="J1578" s="2">
        <v>416</v>
      </c>
      <c r="K1578" s="2">
        <v>277</v>
      </c>
      <c r="L1578" s="2">
        <v>3</v>
      </c>
      <c r="M1578" s="2"/>
      <c r="N1578" s="8">
        <v>42873.764004629629</v>
      </c>
      <c r="O1578" s="4" t="s">
        <v>3638</v>
      </c>
      <c r="P1578" s="3" t="s">
        <v>3637</v>
      </c>
      <c r="Q1578" s="10" t="s">
        <v>3636</v>
      </c>
      <c r="R1578" s="4"/>
      <c r="S1578" s="9" t="str">
        <f>HYPERLINK("https://pbs.twimg.com/profile_images/1040895959910285312/4RVB0u2H.jpg","View")</f>
        <v>View</v>
      </c>
    </row>
    <row r="1579" spans="1:19" ht="20">
      <c r="A1579" s="8">
        <v>43370.538969907408</v>
      </c>
      <c r="B1579" s="11" t="str">
        <f>HYPERLINK("https://twitter.com/Mosi7010","@Mosi7010")</f>
        <v>@Mosi7010</v>
      </c>
      <c r="C1579" s="6" t="s">
        <v>3635</v>
      </c>
      <c r="D1579" s="5" t="s">
        <v>3634</v>
      </c>
      <c r="E1579" s="9" t="str">
        <f>HYPERLINK("https://twitter.com/Mosi7010/status/1045243176703938560","1045243176703938560")</f>
        <v>1045243176703938560</v>
      </c>
      <c r="F1579" s="4"/>
      <c r="G1579" s="4"/>
      <c r="H1579" s="4"/>
      <c r="I1579" s="10" t="str">
        <f>HYPERLINK("http://twitter.com/download/android","Twitter for Android")</f>
        <v>Twitter for Android</v>
      </c>
      <c r="J1579" s="2">
        <v>322</v>
      </c>
      <c r="K1579" s="2">
        <v>287</v>
      </c>
      <c r="L1579" s="2">
        <v>1</v>
      </c>
      <c r="M1579" s="2"/>
      <c r="N1579" s="8">
        <v>42776.532233796301</v>
      </c>
      <c r="O1579" s="4" t="s">
        <v>72</v>
      </c>
      <c r="P1579" s="3" t="s">
        <v>3633</v>
      </c>
      <c r="Q1579" s="4"/>
      <c r="R1579" s="4"/>
      <c r="S1579" s="9" t="str">
        <f>HYPERLINK("https://pbs.twimg.com/profile_images/1033664216908095489/ki8zadYm.jpg","View")</f>
        <v>View</v>
      </c>
    </row>
    <row r="1580" spans="1:19" ht="20">
      <c r="A1580" s="8">
        <v>43370.538935185185</v>
      </c>
      <c r="B1580" s="11" t="str">
        <f>HYPERLINK("https://twitter.com/soqrasoqra","@soqrasoqra")</f>
        <v>@soqrasoqra</v>
      </c>
      <c r="C1580" s="6" t="s">
        <v>2504</v>
      </c>
      <c r="D1580" s="5" t="s">
        <v>3632</v>
      </c>
      <c r="E1580" s="9" t="str">
        <f>HYPERLINK("https://twitter.com/soqrasoqra/status/1045243163802292224","1045243163802292224")</f>
        <v>1045243163802292224</v>
      </c>
      <c r="F1580" s="4"/>
      <c r="G1580" s="4"/>
      <c r="H1580" s="4"/>
      <c r="I1580" s="10" t="str">
        <f>HYPERLINK("http://twitter.com/download/iphone","Twitter for iPhone")</f>
        <v>Twitter for iPhone</v>
      </c>
      <c r="J1580" s="2">
        <v>505</v>
      </c>
      <c r="K1580" s="2">
        <v>173</v>
      </c>
      <c r="L1580" s="2">
        <v>4</v>
      </c>
      <c r="M1580" s="2"/>
      <c r="N1580" s="8">
        <v>43226.660381944443</v>
      </c>
      <c r="O1580" s="4" t="s">
        <v>2501</v>
      </c>
      <c r="P1580" s="3" t="s">
        <v>2500</v>
      </c>
      <c r="Q1580" s="4"/>
      <c r="R1580" s="4"/>
      <c r="S1580" s="9" t="str">
        <f>HYPERLINK("https://pbs.twimg.com/profile_images/1045181490450124803/Ejv2kYQK.jpg","View")</f>
        <v>View</v>
      </c>
    </row>
    <row r="1581" spans="1:19" ht="30">
      <c r="A1581" s="8">
        <v>43370.5387962963</v>
      </c>
      <c r="B1581" s="11" t="str">
        <f>HYPERLINK("https://twitter.com/shahr_farang","@shahr_farang")</f>
        <v>@shahr_farang</v>
      </c>
      <c r="C1581" s="6" t="s">
        <v>3631</v>
      </c>
      <c r="D1581" s="5" t="s">
        <v>3630</v>
      </c>
      <c r="E1581" s="9" t="str">
        <f>HYPERLINK("https://twitter.com/shahr_farang/status/1045243114682822656","1045243114682822656")</f>
        <v>1045243114682822656</v>
      </c>
      <c r="F1581" s="4"/>
      <c r="G1581" s="4"/>
      <c r="H1581" s="4"/>
      <c r="I1581" s="10" t="str">
        <f>HYPERLINK("http://twitter.com","Twitter Web Client")</f>
        <v>Twitter Web Client</v>
      </c>
      <c r="J1581" s="2">
        <v>966</v>
      </c>
      <c r="K1581" s="2">
        <v>385</v>
      </c>
      <c r="L1581" s="2">
        <v>2</v>
      </c>
      <c r="M1581" s="2"/>
      <c r="N1581" s="8">
        <v>43195.938703703709</v>
      </c>
      <c r="O1581" s="4" t="s">
        <v>3629</v>
      </c>
      <c r="P1581" s="3" t="s">
        <v>3628</v>
      </c>
      <c r="Q1581" s="4"/>
      <c r="R1581" s="4"/>
      <c r="S1581" s="9" t="str">
        <f>HYPERLINK("https://pbs.twimg.com/profile_images/1032242930378055680/WADLSdSf.jpg","View")</f>
        <v>View</v>
      </c>
    </row>
    <row r="1582" spans="1:19" ht="20">
      <c r="A1582" s="8">
        <v>43370.537800925929</v>
      </c>
      <c r="B1582" s="11" t="str">
        <f>HYPERLINK("https://twitter.com/Siahatgar","@Siahatgar")</f>
        <v>@Siahatgar</v>
      </c>
      <c r="C1582" s="6" t="s">
        <v>3627</v>
      </c>
      <c r="D1582" s="5" t="s">
        <v>3626</v>
      </c>
      <c r="E1582" s="9" t="str">
        <f>HYPERLINK("https://twitter.com/Siahatgar/status/1045242753989464065","1045242753989464065")</f>
        <v>1045242753989464065</v>
      </c>
      <c r="F1582" s="4"/>
      <c r="G1582" s="4"/>
      <c r="H1582" s="4"/>
      <c r="I1582" s="10" t="str">
        <f>HYPERLINK("http://twitter.com/download/android","Twitter for Android")</f>
        <v>Twitter for Android</v>
      </c>
      <c r="J1582" s="2">
        <v>14</v>
      </c>
      <c r="K1582" s="2">
        <v>83</v>
      </c>
      <c r="L1582" s="2">
        <v>0</v>
      </c>
      <c r="M1582" s="2"/>
      <c r="N1582" s="8">
        <v>40157.504988425928</v>
      </c>
      <c r="O1582" s="4" t="s">
        <v>3625</v>
      </c>
      <c r="P1582" s="3"/>
      <c r="Q1582" s="4"/>
      <c r="R1582" s="4"/>
      <c r="S1582" s="9" t="str">
        <f>HYPERLINK("https://pbs.twimg.com/profile_images/809600126666862592/PNi0qHV3.jpg","View")</f>
        <v>View</v>
      </c>
    </row>
    <row r="1583" spans="1:19" ht="20">
      <c r="A1583" s="8">
        <v>43370.53770833333</v>
      </c>
      <c r="B1583" s="11" t="str">
        <f>HYPERLINK("https://twitter.com/Abbas__Reader","@Abbas__Reader")</f>
        <v>@Abbas__Reader</v>
      </c>
      <c r="C1583" s="6" t="s">
        <v>3624</v>
      </c>
      <c r="D1583" s="5" t="s">
        <v>3623</v>
      </c>
      <c r="E1583" s="9" t="str">
        <f>HYPERLINK("https://twitter.com/Abbas__Reader/status/1045242717591293952","1045242717591293952")</f>
        <v>1045242717591293952</v>
      </c>
      <c r="F1583" s="4"/>
      <c r="G1583" s="10" t="s">
        <v>3622</v>
      </c>
      <c r="H1583" s="4"/>
      <c r="I1583" s="10" t="str">
        <f>HYPERLINK("http://twitter.com/download/android","Twitter for Android")</f>
        <v>Twitter for Android</v>
      </c>
      <c r="J1583" s="2">
        <v>996</v>
      </c>
      <c r="K1583" s="2">
        <v>162</v>
      </c>
      <c r="L1583" s="2">
        <v>15</v>
      </c>
      <c r="M1583" s="2"/>
      <c r="N1583" s="8">
        <v>41846.034039351856</v>
      </c>
      <c r="O1583" s="4"/>
      <c r="P1583" s="3" t="s">
        <v>3621</v>
      </c>
      <c r="Q1583" s="4"/>
      <c r="R1583" s="4"/>
      <c r="S1583" s="9" t="str">
        <f>HYPERLINK("https://pbs.twimg.com/profile_images/771624117535584256/sYPY6YYE.jpg","View")</f>
        <v>View</v>
      </c>
    </row>
    <row r="1584" spans="1:19" ht="40">
      <c r="A1584" s="8">
        <v>43370.537476851852</v>
      </c>
      <c r="B1584" s="11" t="str">
        <f>HYPERLINK("https://twitter.com/navidak8","@navidak8")</f>
        <v>@navidak8</v>
      </c>
      <c r="C1584" s="6" t="s">
        <v>3620</v>
      </c>
      <c r="D1584" s="5" t="s">
        <v>3619</v>
      </c>
      <c r="E1584" s="9" t="str">
        <f>HYPERLINK("https://twitter.com/navidak8/status/1045242635928170496","1045242635928170496")</f>
        <v>1045242635928170496</v>
      </c>
      <c r="F1584" s="4"/>
      <c r="G1584" s="10" t="s">
        <v>3618</v>
      </c>
      <c r="H1584" s="4"/>
      <c r="I1584" s="10" t="str">
        <f>HYPERLINK("http://twitter.com/download/iphone","Twitter for iPhone")</f>
        <v>Twitter for iPhone</v>
      </c>
      <c r="J1584" s="2">
        <v>168</v>
      </c>
      <c r="K1584" s="2">
        <v>292</v>
      </c>
      <c r="L1584" s="2">
        <v>0</v>
      </c>
      <c r="M1584" s="2"/>
      <c r="N1584" s="8">
        <v>42898.530347222222</v>
      </c>
      <c r="O1584" s="4" t="s">
        <v>254</v>
      </c>
      <c r="P1584" s="3" t="s">
        <v>3617</v>
      </c>
      <c r="Q1584" s="4"/>
      <c r="R1584" s="4"/>
      <c r="S1584" s="9" t="str">
        <f>HYPERLINK("https://pbs.twimg.com/profile_images/1027300700886392838/KphAo2OK.jpg","View")</f>
        <v>View</v>
      </c>
    </row>
    <row r="1585" spans="1:19" ht="12.5">
      <c r="A1585" s="8">
        <v>43370.537083333329</v>
      </c>
      <c r="B1585" s="11" t="str">
        <f>HYPERLINK("https://twitter.com/sina_arabshahi","@sina_arabshahi")</f>
        <v>@sina_arabshahi</v>
      </c>
      <c r="C1585" s="6" t="s">
        <v>3616</v>
      </c>
      <c r="D1585" s="5" t="s">
        <v>3615</v>
      </c>
      <c r="E1585" s="9" t="str">
        <f>HYPERLINK("https://twitter.com/sina_arabshahi/status/1045242493191827456","1045242493191827456")</f>
        <v>1045242493191827456</v>
      </c>
      <c r="F1585" s="4"/>
      <c r="G1585" s="10" t="s">
        <v>3614</v>
      </c>
      <c r="H1585" s="4"/>
      <c r="I1585" s="10" t="str">
        <f>HYPERLINK("http://twitter.com","Twitter Web Client")</f>
        <v>Twitter Web Client</v>
      </c>
      <c r="J1585" s="2">
        <v>92</v>
      </c>
      <c r="K1585" s="2">
        <v>274</v>
      </c>
      <c r="L1585" s="2">
        <v>0</v>
      </c>
      <c r="M1585" s="2"/>
      <c r="N1585" s="8">
        <v>41495.732905092591</v>
      </c>
      <c r="O1585" s="4" t="s">
        <v>1525</v>
      </c>
      <c r="P1585" s="3" t="s">
        <v>3613</v>
      </c>
      <c r="Q1585" s="10" t="s">
        <v>3612</v>
      </c>
      <c r="R1585" s="4"/>
      <c r="S1585" s="9" t="str">
        <f>HYPERLINK("https://pbs.twimg.com/profile_images/997462726040416256/OkVC41Tx.jpg","View")</f>
        <v>View</v>
      </c>
    </row>
    <row r="1586" spans="1:19" ht="30">
      <c r="A1586" s="8">
        <v>43370.53628472222</v>
      </c>
      <c r="B1586" s="11" t="str">
        <f>HYPERLINK("https://twitter.com/SadraDashti","@SadraDashti")</f>
        <v>@SadraDashti</v>
      </c>
      <c r="C1586" s="6" t="s">
        <v>3611</v>
      </c>
      <c r="D1586" s="5" t="s">
        <v>3610</v>
      </c>
      <c r="E1586" s="9" t="str">
        <f>HYPERLINK("https://twitter.com/SadraDashti/status/1045242201037524993","1045242201037524993")</f>
        <v>1045242201037524993</v>
      </c>
      <c r="F1586" s="4"/>
      <c r="G1586" s="10" t="s">
        <v>3609</v>
      </c>
      <c r="H1586" s="4"/>
      <c r="I1586" s="10" t="str">
        <f>HYPERLINK("http://twitter.com/download/iphone","Twitter for iPhone")</f>
        <v>Twitter for iPhone</v>
      </c>
      <c r="J1586" s="2">
        <v>229</v>
      </c>
      <c r="K1586" s="2">
        <v>238</v>
      </c>
      <c r="L1586" s="2">
        <v>0</v>
      </c>
      <c r="M1586" s="2"/>
      <c r="N1586" s="8">
        <v>43208.703148148154</v>
      </c>
      <c r="O1586" s="4" t="s">
        <v>200</v>
      </c>
      <c r="P1586" s="3" t="s">
        <v>3608</v>
      </c>
      <c r="Q1586" s="4"/>
      <c r="R1586" s="4"/>
      <c r="S1586" s="9" t="str">
        <f>HYPERLINK("https://pbs.twimg.com/profile_images/1036898295455604736/G9B1WUWZ.jpg","View")</f>
        <v>View</v>
      </c>
    </row>
    <row r="1587" spans="1:19" ht="20">
      <c r="A1587" s="8">
        <v>43370.535451388889</v>
      </c>
      <c r="B1587" s="11" t="str">
        <f>HYPERLINK("https://twitter.com/Akbar_khanbala","@Akbar_khanbala")</f>
        <v>@Akbar_khanbala</v>
      </c>
      <c r="C1587" s="6" t="s">
        <v>3607</v>
      </c>
      <c r="D1587" s="5" t="s">
        <v>3606</v>
      </c>
      <c r="E1587" s="9" t="str">
        <f>HYPERLINK("https://twitter.com/Akbar_khanbala/status/1045241900649902083","1045241900649902083")</f>
        <v>1045241900649902083</v>
      </c>
      <c r="F1587" s="4"/>
      <c r="G1587" s="4"/>
      <c r="H1587" s="4"/>
      <c r="I1587" s="10" t="str">
        <f>HYPERLINK("http://twitter.com/download/android","Twitter for Android")</f>
        <v>Twitter for Android</v>
      </c>
      <c r="J1587" s="2">
        <v>1</v>
      </c>
      <c r="K1587" s="2">
        <v>3</v>
      </c>
      <c r="L1587" s="2">
        <v>0</v>
      </c>
      <c r="M1587" s="2"/>
      <c r="N1587" s="8">
        <v>41908.031157407408</v>
      </c>
      <c r="O1587" s="4" t="s">
        <v>62</v>
      </c>
      <c r="P1587" s="3" t="s">
        <v>3605</v>
      </c>
      <c r="Q1587" s="4"/>
      <c r="R1587" s="4"/>
      <c r="S1587" s="9" t="str">
        <f>HYPERLINK("https://pbs.twimg.com/profile_images/1041614837942501376/EYeJN4aV.jpg","View")</f>
        <v>View</v>
      </c>
    </row>
    <row r="1588" spans="1:19" ht="20">
      <c r="A1588" s="8">
        <v>43370.53534722222</v>
      </c>
      <c r="B1588" s="11" t="str">
        <f>HYPERLINK("https://twitter.com/TelewebionCom","@TelewebionCom")</f>
        <v>@TelewebionCom</v>
      </c>
      <c r="C1588" s="6" t="s">
        <v>3604</v>
      </c>
      <c r="D1588" s="5" t="s">
        <v>3603</v>
      </c>
      <c r="E1588" s="9" t="str">
        <f>HYPERLINK("https://twitter.com/TelewebionCom/status/1045241861760323584","1045241861760323584")</f>
        <v>1045241861760323584</v>
      </c>
      <c r="F1588" s="10" t="s">
        <v>3602</v>
      </c>
      <c r="G1588" s="10" t="s">
        <v>3601</v>
      </c>
      <c r="H1588" s="4"/>
      <c r="I1588" s="10" t="str">
        <f>HYPERLINK("http://twitter.com","Twitter Web Client")</f>
        <v>Twitter Web Client</v>
      </c>
      <c r="J1588" s="2">
        <v>64</v>
      </c>
      <c r="K1588" s="2">
        <v>0</v>
      </c>
      <c r="L1588" s="2">
        <v>0</v>
      </c>
      <c r="M1588" s="2"/>
      <c r="N1588" s="8">
        <v>43037.598402777774</v>
      </c>
      <c r="O1588" s="4"/>
      <c r="P1588" s="3" t="s">
        <v>3600</v>
      </c>
      <c r="Q1588" s="10" t="s">
        <v>3599</v>
      </c>
      <c r="R1588" s="4"/>
      <c r="S1588" s="9" t="str">
        <f>HYPERLINK("https://pbs.twimg.com/profile_images/930765205746913280/LTSUnzSt.jpg","View")</f>
        <v>View</v>
      </c>
    </row>
    <row r="1589" spans="1:19" ht="20">
      <c r="A1589" s="8">
        <v>43370.535046296296</v>
      </c>
      <c r="B1589" s="11" t="str">
        <f>HYPERLINK("https://twitter.com/ParsaShin","@ParsaShin")</f>
        <v>@ParsaShin</v>
      </c>
      <c r="C1589" s="6" t="s">
        <v>3227</v>
      </c>
      <c r="D1589" s="5" t="s">
        <v>3598</v>
      </c>
      <c r="E1589" s="9" t="str">
        <f>HYPERLINK("https://twitter.com/ParsaShin/status/1045241755459825664","1045241755459825664")</f>
        <v>1045241755459825664</v>
      </c>
      <c r="F1589" s="4"/>
      <c r="G1589" s="4"/>
      <c r="H1589" s="4"/>
      <c r="I1589" s="10" t="str">
        <f>HYPERLINK("http://twitter.com/download/android","Twitter for Android")</f>
        <v>Twitter for Android</v>
      </c>
      <c r="J1589" s="2">
        <v>9</v>
      </c>
      <c r="K1589" s="2">
        <v>68</v>
      </c>
      <c r="L1589" s="2">
        <v>0</v>
      </c>
      <c r="M1589" s="2"/>
      <c r="N1589" s="8">
        <v>43327.500300925924</v>
      </c>
      <c r="O1589" s="4"/>
      <c r="P1589" s="3" t="s">
        <v>3225</v>
      </c>
      <c r="Q1589" s="4"/>
      <c r="R1589" s="4"/>
      <c r="S1589" s="9" t="str">
        <f>HYPERLINK("https://pbs.twimg.com/profile_images/1044670981023965184/5oMfBD2O.jpg","View")</f>
        <v>View</v>
      </c>
    </row>
    <row r="1590" spans="1:19" ht="20">
      <c r="A1590" s="8">
        <v>43370.534490740742</v>
      </c>
      <c r="B1590" s="11" t="str">
        <f>HYPERLINK("https://twitter.com/oofski","@oofski")</f>
        <v>@oofski</v>
      </c>
      <c r="C1590" s="6" t="s">
        <v>3597</v>
      </c>
      <c r="D1590" s="5" t="s">
        <v>3596</v>
      </c>
      <c r="E1590" s="9" t="str">
        <f>HYPERLINK("https://twitter.com/oofski/status/1045241552795303936","1045241552795303936")</f>
        <v>1045241552795303936</v>
      </c>
      <c r="F1590" s="10" t="s">
        <v>3595</v>
      </c>
      <c r="G1590" s="10" t="s">
        <v>3594</v>
      </c>
      <c r="H1590" s="4"/>
      <c r="I1590" s="10" t="str">
        <f>HYPERLINK("http://twitter.com/download/android","Twitter for Android")</f>
        <v>Twitter for Android</v>
      </c>
      <c r="J1590" s="2">
        <v>66</v>
      </c>
      <c r="K1590" s="2">
        <v>109</v>
      </c>
      <c r="L1590" s="2">
        <v>0</v>
      </c>
      <c r="M1590" s="2"/>
      <c r="N1590" s="8">
        <v>43359.173900462964</v>
      </c>
      <c r="O1590" s="4" t="s">
        <v>3593</v>
      </c>
      <c r="P1590" s="3" t="s">
        <v>3592</v>
      </c>
      <c r="Q1590" s="4"/>
      <c r="R1590" s="4"/>
      <c r="S1590" s="9" t="str">
        <f>HYPERLINK("https://pbs.twimg.com/profile_images/1041115895156891648/hY426mhF.jpg","View")</f>
        <v>View</v>
      </c>
    </row>
    <row r="1591" spans="1:19" ht="30">
      <c r="A1591" s="8">
        <v>43370.534375000003</v>
      </c>
      <c r="B1591" s="11" t="str">
        <f>HYPERLINK("https://twitter.com/EbiMirzaei","@EbiMirzaei")</f>
        <v>@EbiMirzaei</v>
      </c>
      <c r="C1591" s="6" t="s">
        <v>3591</v>
      </c>
      <c r="D1591" s="5" t="s">
        <v>3590</v>
      </c>
      <c r="E1591" s="9" t="str">
        <f>HYPERLINK("https://twitter.com/EbiMirzaei/status/1045241512207044609","1045241512207044609")</f>
        <v>1045241512207044609</v>
      </c>
      <c r="F1591" s="4"/>
      <c r="G1591" s="4"/>
      <c r="H1591" s="4"/>
      <c r="I1591" s="10" t="str">
        <f>HYPERLINK("http://twitter.com/download/android","Twitter for Android")</f>
        <v>Twitter for Android</v>
      </c>
      <c r="J1591" s="2">
        <v>525</v>
      </c>
      <c r="K1591" s="2">
        <v>1524</v>
      </c>
      <c r="L1591" s="2">
        <v>0</v>
      </c>
      <c r="M1591" s="2"/>
      <c r="N1591" s="8">
        <v>41760.356365740743</v>
      </c>
      <c r="O1591" s="4"/>
      <c r="P1591" s="3" t="s">
        <v>3589</v>
      </c>
      <c r="Q1591" s="4"/>
      <c r="R1591" s="4"/>
      <c r="S1591" s="9" t="str">
        <f>HYPERLINK("https://pbs.twimg.com/profile_images/1041202852482502658/cLMYnD-I.jpg","View")</f>
        <v>View</v>
      </c>
    </row>
    <row r="1592" spans="1:19" ht="12.5">
      <c r="A1592" s="8">
        <v>43370.534155092595</v>
      </c>
      <c r="B1592" s="11" t="str">
        <f>HYPERLINK("https://twitter.com/laavaamind","@laavaamind")</f>
        <v>@laavaamind</v>
      </c>
      <c r="C1592" s="6" t="s">
        <v>3588</v>
      </c>
      <c r="D1592" s="5" t="s">
        <v>3587</v>
      </c>
      <c r="E1592" s="9" t="str">
        <f>HYPERLINK("https://twitter.com/laavaamind/status/1045241430011269121","1045241430011269121")</f>
        <v>1045241430011269121</v>
      </c>
      <c r="F1592" s="4"/>
      <c r="G1592" s="4"/>
      <c r="H1592" s="4"/>
      <c r="I1592" s="10" t="str">
        <f>HYPERLINK("http://twitter.com/download/iphone","Twitter for iPhone")</f>
        <v>Twitter for iPhone</v>
      </c>
      <c r="J1592" s="2">
        <v>37</v>
      </c>
      <c r="K1592" s="2">
        <v>80</v>
      </c>
      <c r="L1592" s="2">
        <v>1</v>
      </c>
      <c r="M1592" s="2"/>
      <c r="N1592" s="8">
        <v>40188.637106481481</v>
      </c>
      <c r="O1592" s="4"/>
      <c r="P1592" s="3"/>
      <c r="Q1592" s="4"/>
      <c r="R1592" s="4"/>
      <c r="S1592" s="9" t="str">
        <f>HYPERLINK("https://pbs.twimg.com/profile_images/996017428059615232/RcNwMdNN.jpg","View")</f>
        <v>View</v>
      </c>
    </row>
    <row r="1593" spans="1:19" ht="30">
      <c r="A1593" s="8">
        <v>43370.533865740741</v>
      </c>
      <c r="B1593" s="11" t="str">
        <f>HYPERLINK("https://twitter.com/dokhtaraak69","@dokhtaraak69")</f>
        <v>@dokhtaraak69</v>
      </c>
      <c r="C1593" s="6" t="s">
        <v>3586</v>
      </c>
      <c r="D1593" s="5" t="s">
        <v>3585</v>
      </c>
      <c r="E1593" s="9" t="str">
        <f>HYPERLINK("https://twitter.com/dokhtaraak69/status/1045241328374874113","1045241328374874113")</f>
        <v>1045241328374874113</v>
      </c>
      <c r="F1593" s="4"/>
      <c r="G1593" s="4"/>
      <c r="H1593" s="4"/>
      <c r="I1593" s="10" t="str">
        <f>HYPERLINK("http://twitter.com/download/iphone","Twitter for iPhone")</f>
        <v>Twitter for iPhone</v>
      </c>
      <c r="J1593" s="2">
        <v>1021</v>
      </c>
      <c r="K1593" s="2">
        <v>725</v>
      </c>
      <c r="L1593" s="2">
        <v>7</v>
      </c>
      <c r="M1593" s="2"/>
      <c r="N1593" s="8">
        <v>43338.116238425922</v>
      </c>
      <c r="O1593" s="4" t="s">
        <v>3584</v>
      </c>
      <c r="P1593" s="3" t="s">
        <v>3583</v>
      </c>
      <c r="Q1593" s="4"/>
      <c r="R1593" s="4"/>
      <c r="S1593" s="9" t="str">
        <f>HYPERLINK("https://pbs.twimg.com/profile_images/1045232359409418240/m8vJ7Xkt.jpg","View")</f>
        <v>View</v>
      </c>
    </row>
    <row r="1594" spans="1:19" ht="12.5">
      <c r="A1594" s="8">
        <v>43370.533472222218</v>
      </c>
      <c r="B1594" s="11" t="str">
        <f>HYPERLINK("https://twitter.com/Saeed_Rahimzade","@Saeed_Rahimzade")</f>
        <v>@Saeed_Rahimzade</v>
      </c>
      <c r="C1594" s="6" t="s">
        <v>1452</v>
      </c>
      <c r="D1594" s="5" t="s">
        <v>3582</v>
      </c>
      <c r="E1594" s="9" t="str">
        <f>HYPERLINK("https://twitter.com/Saeed_Rahimzade/status/1045241184619302913","1045241184619302913")</f>
        <v>1045241184619302913</v>
      </c>
      <c r="F1594" s="4"/>
      <c r="G1594" s="10" t="s">
        <v>3581</v>
      </c>
      <c r="H1594" s="4"/>
      <c r="I1594" s="10" t="str">
        <f>HYPERLINK("http://twitter.com/download/android","Twitter for Android")</f>
        <v>Twitter for Android</v>
      </c>
      <c r="J1594" s="2">
        <v>1102</v>
      </c>
      <c r="K1594" s="2">
        <v>250</v>
      </c>
      <c r="L1594" s="2">
        <v>4</v>
      </c>
      <c r="M1594" s="2"/>
      <c r="N1594" s="8">
        <v>43083.864062499997</v>
      </c>
      <c r="O1594" s="4" t="s">
        <v>10</v>
      </c>
      <c r="P1594" s="3" t="s">
        <v>1449</v>
      </c>
      <c r="Q1594" s="4"/>
      <c r="R1594" s="4"/>
      <c r="S1594" s="9" t="str">
        <f>HYPERLINK("https://pbs.twimg.com/profile_images/941361912297684992/yNZDGuLy.jpg","View")</f>
        <v>View</v>
      </c>
    </row>
    <row r="1595" spans="1:19" ht="30">
      <c r="A1595" s="8">
        <v>43370.533287037033</v>
      </c>
      <c r="B1595" s="11" t="str">
        <f>HYPERLINK("https://twitter.com/nooshineshoon","@nooshineshoon")</f>
        <v>@nooshineshoon</v>
      </c>
      <c r="C1595" s="6" t="s">
        <v>3580</v>
      </c>
      <c r="D1595" s="5" t="s">
        <v>3579</v>
      </c>
      <c r="E1595" s="9" t="str">
        <f>HYPERLINK("https://twitter.com/nooshineshoon/status/1045241115874594816","1045241115874594816")</f>
        <v>1045241115874594816</v>
      </c>
      <c r="F1595" s="4"/>
      <c r="G1595" s="4"/>
      <c r="H1595" s="4"/>
      <c r="I1595" s="10" t="str">
        <f>HYPERLINK("http://twitter.com/download/android","Twitter for Android")</f>
        <v>Twitter for Android</v>
      </c>
      <c r="J1595" s="2">
        <v>166</v>
      </c>
      <c r="K1595" s="2">
        <v>169</v>
      </c>
      <c r="L1595" s="2">
        <v>1</v>
      </c>
      <c r="M1595" s="2"/>
      <c r="N1595" s="8">
        <v>43102.033553240741</v>
      </c>
      <c r="O1595" s="4"/>
      <c r="P1595" s="3" t="s">
        <v>3578</v>
      </c>
      <c r="Q1595" s="4"/>
      <c r="R1595" s="4"/>
      <c r="S1595" s="9" t="str">
        <f>HYPERLINK("https://pbs.twimg.com/profile_images/1034021368390668289/TF_WBAOp.jpg","View")</f>
        <v>View</v>
      </c>
    </row>
    <row r="1596" spans="1:19" ht="20">
      <c r="A1596" s="8">
        <v>43370.53325231481</v>
      </c>
      <c r="B1596" s="11" t="str">
        <f>HYPERLINK("https://twitter.com/AliDaayi","@AliDaayi")</f>
        <v>@AliDaayi</v>
      </c>
      <c r="C1596" s="6" t="s">
        <v>3577</v>
      </c>
      <c r="D1596" s="5" t="s">
        <v>3576</v>
      </c>
      <c r="E1596" s="9" t="str">
        <f>HYPERLINK("https://twitter.com/AliDaayi/status/1045241103702732800","1045241103702732800")</f>
        <v>1045241103702732800</v>
      </c>
      <c r="F1596" s="4"/>
      <c r="G1596" s="4"/>
      <c r="H1596" s="4"/>
      <c r="I1596" s="10" t="str">
        <f>HYPERLINK("http://twitter.com/download/android","Twitter for Android")</f>
        <v>Twitter for Android</v>
      </c>
      <c r="J1596" s="2">
        <v>24</v>
      </c>
      <c r="K1596" s="2">
        <v>91</v>
      </c>
      <c r="L1596" s="2">
        <v>0</v>
      </c>
      <c r="M1596" s="2"/>
      <c r="N1596" s="8">
        <v>43368.643946759257</v>
      </c>
      <c r="O1596" s="4" t="s">
        <v>3575</v>
      </c>
      <c r="P1596" s="3" t="s">
        <v>3574</v>
      </c>
      <c r="Q1596" s="4"/>
      <c r="R1596" s="4"/>
      <c r="S1596" s="9" t="str">
        <f>HYPERLINK("https://pbs.twimg.com/profile_images/1044565162685075459/uIcaDxJ-.jpg","View")</f>
        <v>View</v>
      </c>
    </row>
    <row r="1597" spans="1:19" ht="40">
      <c r="A1597" s="8">
        <v>43370.533148148148</v>
      </c>
      <c r="B1597" s="11" t="str">
        <f>HYPERLINK("https://twitter.com/TokhmeJaponi","@TokhmeJaponi")</f>
        <v>@TokhmeJaponi</v>
      </c>
      <c r="C1597" s="6" t="s">
        <v>3573</v>
      </c>
      <c r="D1597" s="5" t="s">
        <v>3572</v>
      </c>
      <c r="E1597" s="9" t="str">
        <f>HYPERLINK("https://twitter.com/TokhmeJaponi/status/1045241065102487552","1045241065102487552")</f>
        <v>1045241065102487552</v>
      </c>
      <c r="F1597" s="4"/>
      <c r="G1597" s="10" t="s">
        <v>3571</v>
      </c>
      <c r="H1597" s="4"/>
      <c r="I1597" s="10" t="str">
        <f>HYPERLINK("http://twitter.com/download/iphone","Twitter for iPhone")</f>
        <v>Twitter for iPhone</v>
      </c>
      <c r="J1597" s="2">
        <v>114</v>
      </c>
      <c r="K1597" s="2">
        <v>115</v>
      </c>
      <c r="L1597" s="2">
        <v>0</v>
      </c>
      <c r="M1597" s="2"/>
      <c r="N1597" s="8">
        <v>41866.138333333336</v>
      </c>
      <c r="O1597" s="4" t="s">
        <v>10</v>
      </c>
      <c r="P1597" s="3" t="s">
        <v>3570</v>
      </c>
      <c r="Q1597" s="4"/>
      <c r="R1597" s="4"/>
      <c r="S1597" s="9" t="str">
        <f>HYPERLINK("https://pbs.twimg.com/profile_images/1040852532296339456/kMYe-jxx.jpg","View")</f>
        <v>View</v>
      </c>
    </row>
    <row r="1598" spans="1:19" ht="30">
      <c r="A1598" s="8">
        <v>43370.53297453704</v>
      </c>
      <c r="B1598" s="11" t="str">
        <f>HYPERLINK("https://twitter.com/manizheh_moazen","@manizheh_moazen")</f>
        <v>@manizheh_moazen</v>
      </c>
      <c r="C1598" s="6" t="s">
        <v>3569</v>
      </c>
      <c r="D1598" s="5" t="s">
        <v>3568</v>
      </c>
      <c r="E1598" s="9" t="str">
        <f>HYPERLINK("https://twitter.com/manizheh_moazen/status/1045241003924500480","1045241003924500480")</f>
        <v>1045241003924500480</v>
      </c>
      <c r="F1598" s="4"/>
      <c r="G1598" s="4"/>
      <c r="H1598" s="4"/>
      <c r="I1598" s="10" t="str">
        <f>HYPERLINK("http://twitter.com/download/iphone","Twitter for iPhone")</f>
        <v>Twitter for iPhone</v>
      </c>
      <c r="J1598" s="2">
        <v>1840</v>
      </c>
      <c r="K1598" s="2">
        <v>191</v>
      </c>
      <c r="L1598" s="2">
        <v>4</v>
      </c>
      <c r="M1598" s="2"/>
      <c r="N1598" s="8">
        <v>42201.852280092593</v>
      </c>
      <c r="O1598" s="4" t="s">
        <v>200</v>
      </c>
      <c r="P1598" s="3" t="s">
        <v>3567</v>
      </c>
      <c r="Q1598" s="4"/>
      <c r="R1598" s="4"/>
      <c r="S1598" s="9" t="str">
        <f>HYPERLINK("https://pbs.twimg.com/profile_images/1036838737005694976/7_kL-8ib.jpg","View")</f>
        <v>View</v>
      </c>
    </row>
    <row r="1599" spans="1:19" ht="12.5">
      <c r="A1599" s="8">
        <v>43370.532824074078</v>
      </c>
      <c r="B1599" s="11" t="str">
        <f>HYPERLINK("https://twitter.com/tsiolkovsky_Ir","@tsiolkovsky_Ir")</f>
        <v>@tsiolkovsky_Ir</v>
      </c>
      <c r="C1599" s="6" t="s">
        <v>3566</v>
      </c>
      <c r="D1599" s="5" t="s">
        <v>3565</v>
      </c>
      <c r="E1599" s="9" t="str">
        <f>HYPERLINK("https://twitter.com/tsiolkovsky_Ir/status/1045240949989953536","1045240949989953536")</f>
        <v>1045240949989953536</v>
      </c>
      <c r="F1599" s="4"/>
      <c r="G1599" s="4"/>
      <c r="H1599" s="4"/>
      <c r="I1599" s="10" t="str">
        <f>HYPERLINK("http://twitter.com/download/android","Twitter for Android")</f>
        <v>Twitter for Android</v>
      </c>
      <c r="J1599" s="2">
        <v>1063</v>
      </c>
      <c r="K1599" s="2">
        <v>1108</v>
      </c>
      <c r="L1599" s="2">
        <v>1</v>
      </c>
      <c r="M1599" s="2"/>
      <c r="N1599" s="8">
        <v>42834.795254629629</v>
      </c>
      <c r="O1599" s="4" t="s">
        <v>254</v>
      </c>
      <c r="P1599" s="3" t="s">
        <v>3564</v>
      </c>
      <c r="Q1599" s="10" t="s">
        <v>3563</v>
      </c>
      <c r="R1599" s="4"/>
      <c r="S1599" s="9" t="str">
        <f>HYPERLINK("https://pbs.twimg.com/profile_images/937555883193708545/oMAsSAHF.jpg","View")</f>
        <v>View</v>
      </c>
    </row>
    <row r="1600" spans="1:19" ht="30">
      <c r="A1600" s="8">
        <v>43370.532743055555</v>
      </c>
      <c r="B1600" s="11" t="str">
        <f>HYPERLINK("https://twitter.com/Exorcist4U","@Exorcist4U")</f>
        <v>@Exorcist4U</v>
      </c>
      <c r="C1600" s="6" t="s">
        <v>3005</v>
      </c>
      <c r="D1600" s="5" t="s">
        <v>3562</v>
      </c>
      <c r="E1600" s="9" t="str">
        <f>HYPERLINK("https://twitter.com/Exorcist4U/status/1045240918465490944","1045240918465490944")</f>
        <v>1045240918465490944</v>
      </c>
      <c r="F1600" s="4"/>
      <c r="G1600" s="4"/>
      <c r="H1600" s="4"/>
      <c r="I1600" s="10" t="str">
        <f>HYPERLINK("http://twitter.com","Twitter Web Client")</f>
        <v>Twitter Web Client</v>
      </c>
      <c r="J1600" s="2">
        <v>2252</v>
      </c>
      <c r="K1600" s="2">
        <v>2751</v>
      </c>
      <c r="L1600" s="2">
        <v>1</v>
      </c>
      <c r="M1600" s="2"/>
      <c r="N1600" s="8">
        <v>43265.543124999997</v>
      </c>
      <c r="O1600" s="4"/>
      <c r="P1600" s="3" t="s">
        <v>3003</v>
      </c>
      <c r="Q1600" s="4"/>
      <c r="R1600" s="4"/>
      <c r="S1600" s="9" t="str">
        <f>HYPERLINK("https://pbs.twimg.com/profile_images/1029855903623864323/ElTQuvmE.jpg","View")</f>
        <v>View</v>
      </c>
    </row>
    <row r="1601" spans="1:19" ht="12.5">
      <c r="A1601" s="8">
        <v>43370.532060185185</v>
      </c>
      <c r="B1601" s="11" t="str">
        <f>HYPERLINK("https://twitter.com/Ali82212079","@Ali82212079")</f>
        <v>@Ali82212079</v>
      </c>
      <c r="C1601" s="6" t="s">
        <v>3561</v>
      </c>
      <c r="D1601" s="5" t="s">
        <v>3560</v>
      </c>
      <c r="E1601" s="9" t="str">
        <f>HYPERLINK("https://twitter.com/Ali82212079/status/1045240671953702913","1045240671953702913")</f>
        <v>1045240671953702913</v>
      </c>
      <c r="F1601" s="4"/>
      <c r="G1601" s="4"/>
      <c r="H1601" s="4"/>
      <c r="I1601" s="10" t="str">
        <f>HYPERLINK("http://twitter.com/download/android","Twitter for Android")</f>
        <v>Twitter for Android</v>
      </c>
      <c r="J1601" s="2">
        <v>458</v>
      </c>
      <c r="K1601" s="2">
        <v>785</v>
      </c>
      <c r="L1601" s="2">
        <v>0</v>
      </c>
      <c r="M1601" s="2"/>
      <c r="N1601" s="8">
        <v>43264.011041666672</v>
      </c>
      <c r="O1601" s="4" t="s">
        <v>170</v>
      </c>
      <c r="P1601" s="3"/>
      <c r="Q1601" s="4"/>
      <c r="R1601" s="4"/>
      <c r="S1601" s="9" t="str">
        <f>HYPERLINK("https://pbs.twimg.com/profile_images/1008298825633714177/WUcv3CV9.jpg","View")</f>
        <v>View</v>
      </c>
    </row>
    <row r="1602" spans="1:19" ht="30">
      <c r="A1602" s="8">
        <v>43370.531134259261</v>
      </c>
      <c r="B1602" s="11" t="str">
        <f>HYPERLINK("https://twitter.com/ta_eslahgara","@ta_eslahgara")</f>
        <v>@ta_eslahgara</v>
      </c>
      <c r="C1602" s="6" t="s">
        <v>3519</v>
      </c>
      <c r="D1602" s="5" t="s">
        <v>3559</v>
      </c>
      <c r="E1602" s="9" t="str">
        <f>HYPERLINK("https://twitter.com/ta_eslahgara/status/1045240336719785986","1045240336719785986")</f>
        <v>1045240336719785986</v>
      </c>
      <c r="F1602" s="4"/>
      <c r="G1602" s="10" t="s">
        <v>3558</v>
      </c>
      <c r="H1602" s="4"/>
      <c r="I1602" s="10" t="str">
        <f>HYPERLINK("http://twitter.com/download/android","Twitter for Android")</f>
        <v>Twitter for Android</v>
      </c>
      <c r="J1602" s="2">
        <v>4636</v>
      </c>
      <c r="K1602" s="2">
        <v>3085</v>
      </c>
      <c r="L1602" s="2">
        <v>7</v>
      </c>
      <c r="M1602" s="2"/>
      <c r="N1602" s="8">
        <v>43131.895914351851</v>
      </c>
      <c r="O1602" s="4" t="s">
        <v>62</v>
      </c>
      <c r="P1602" s="3" t="s">
        <v>3517</v>
      </c>
      <c r="Q1602" s="10" t="s">
        <v>3516</v>
      </c>
      <c r="R1602" s="4"/>
      <c r="S1602" s="9" t="str">
        <f>HYPERLINK("https://pbs.twimg.com/profile_images/1026030574073507840/IeJVmyhD.jpg","View")</f>
        <v>View</v>
      </c>
    </row>
    <row r="1603" spans="1:19" ht="20">
      <c r="A1603" s="8">
        <v>43370.530925925923</v>
      </c>
      <c r="B1603" s="11" t="str">
        <f>HYPERLINK("https://twitter.com/antizahak1397","@antizahak1397")</f>
        <v>@antizahak1397</v>
      </c>
      <c r="C1603" s="6" t="s">
        <v>3557</v>
      </c>
      <c r="D1603" s="5" t="s">
        <v>3556</v>
      </c>
      <c r="E1603" s="9" t="str">
        <f>HYPERLINK("https://twitter.com/antizahak1397/status/1045240262107287552","1045240262107287552")</f>
        <v>1045240262107287552</v>
      </c>
      <c r="F1603" s="4"/>
      <c r="G1603" s="4"/>
      <c r="H1603" s="4"/>
      <c r="I1603" s="10" t="str">
        <f>HYPERLINK("http://twitter.com/download/android","Twitter for Android")</f>
        <v>Twitter for Android</v>
      </c>
      <c r="J1603" s="2">
        <v>146</v>
      </c>
      <c r="K1603" s="2">
        <v>267</v>
      </c>
      <c r="L1603" s="2">
        <v>0</v>
      </c>
      <c r="M1603" s="2"/>
      <c r="N1603" s="8">
        <v>43224.097604166665</v>
      </c>
      <c r="O1603" s="4"/>
      <c r="P1603" s="3" t="s">
        <v>3555</v>
      </c>
      <c r="Q1603" s="4"/>
      <c r="R1603" s="4"/>
      <c r="S1603" s="9" t="str">
        <f>HYPERLINK("https://pbs.twimg.com/profile_images/992161232785461249/jjwG34Al.jpg","View")</f>
        <v>View</v>
      </c>
    </row>
    <row r="1604" spans="1:19" ht="20">
      <c r="A1604" s="8">
        <v>43370.529537037037</v>
      </c>
      <c r="B1604" s="11" t="str">
        <f>HYPERLINK("https://twitter.com/raeefard","@raeefard")</f>
        <v>@raeefard</v>
      </c>
      <c r="C1604" s="6" t="s">
        <v>2622</v>
      </c>
      <c r="D1604" s="5" t="s">
        <v>3554</v>
      </c>
      <c r="E1604" s="9" t="str">
        <f>HYPERLINK("https://twitter.com/raeefard/status/1045239758845300736","1045239758845300736")</f>
        <v>1045239758845300736</v>
      </c>
      <c r="F1604" s="4"/>
      <c r="G1604" s="4"/>
      <c r="H1604" s="4"/>
      <c r="I1604" s="10" t="str">
        <f>HYPERLINK("http://twitter.com/download/android","Twitter for Android")</f>
        <v>Twitter for Android</v>
      </c>
      <c r="J1604" s="2">
        <v>589</v>
      </c>
      <c r="K1604" s="2">
        <v>301</v>
      </c>
      <c r="L1604" s="2">
        <v>2</v>
      </c>
      <c r="M1604" s="2"/>
      <c r="N1604" s="8">
        <v>42430.56318287037</v>
      </c>
      <c r="O1604" s="4" t="s">
        <v>200</v>
      </c>
      <c r="P1604" s="3" t="s">
        <v>2620</v>
      </c>
      <c r="Q1604" s="10" t="s">
        <v>2619</v>
      </c>
      <c r="R1604" s="4"/>
      <c r="S1604" s="9" t="str">
        <f>HYPERLINK("https://pbs.twimg.com/profile_images/1024750510212034560/vppRQfZi.jpg","View")</f>
        <v>View</v>
      </c>
    </row>
    <row r="1605" spans="1:19" ht="20">
      <c r="A1605" s="8">
        <v>43370.529398148152</v>
      </c>
      <c r="B1605" s="11" t="str">
        <f>HYPERLINK("https://twitter.com/danial_zandi","@danial_zandi")</f>
        <v>@danial_zandi</v>
      </c>
      <c r="C1605" s="11" t="s">
        <v>3553</v>
      </c>
      <c r="D1605" s="5" t="s">
        <v>3552</v>
      </c>
      <c r="E1605" s="9" t="str">
        <f>HYPERLINK("https://twitter.com/danial_zandi/status/1045239709134409729","1045239709134409729")</f>
        <v>1045239709134409729</v>
      </c>
      <c r="F1605" s="4"/>
      <c r="G1605" s="4"/>
      <c r="H1605" s="4"/>
      <c r="I1605" s="10" t="str">
        <f>HYPERLINK("http://twitter.com/download/android","Twitter for Android")</f>
        <v>Twitter for Android</v>
      </c>
      <c r="J1605" s="2">
        <v>371</v>
      </c>
      <c r="K1605" s="2">
        <v>389</v>
      </c>
      <c r="L1605" s="2">
        <v>0</v>
      </c>
      <c r="M1605" s="2"/>
      <c r="N1605" s="8">
        <v>42836.72655092593</v>
      </c>
      <c r="O1605" s="4" t="s">
        <v>62</v>
      </c>
      <c r="P1605" s="3" t="s">
        <v>3551</v>
      </c>
      <c r="Q1605" s="4"/>
      <c r="R1605" s="4"/>
      <c r="S1605" s="9" t="str">
        <f>HYPERLINK("https://pbs.twimg.com/profile_images/1040962975417491457/jYA7blG9.jpg","View")</f>
        <v>View</v>
      </c>
    </row>
    <row r="1606" spans="1:19" ht="30">
      <c r="A1606" s="8">
        <v>43370.529120370367</v>
      </c>
      <c r="B1606" s="11" t="str">
        <f>HYPERLINK("https://twitter.com/Rossoneri1234","@Rossoneri1234")</f>
        <v>@Rossoneri1234</v>
      </c>
      <c r="C1606" s="6" t="s">
        <v>3550</v>
      </c>
      <c r="D1606" s="5" t="s">
        <v>3549</v>
      </c>
      <c r="E1606" s="9" t="str">
        <f>HYPERLINK("https://twitter.com/Rossoneri1234/status/1045239607401631744","1045239607401631744")</f>
        <v>1045239607401631744</v>
      </c>
      <c r="F1606" s="4"/>
      <c r="G1606" s="4"/>
      <c r="H1606" s="4"/>
      <c r="I1606" s="10" t="str">
        <f>HYPERLINK("http://twitter.com","Twitter Web Client")</f>
        <v>Twitter Web Client</v>
      </c>
      <c r="J1606" s="2">
        <v>271</v>
      </c>
      <c r="K1606" s="2">
        <v>386</v>
      </c>
      <c r="L1606" s="2">
        <v>1</v>
      </c>
      <c r="M1606" s="2"/>
      <c r="N1606" s="8">
        <v>42812.961400462962</v>
      </c>
      <c r="O1606" s="4"/>
      <c r="P1606" s="3" t="s">
        <v>3548</v>
      </c>
      <c r="Q1606" s="4"/>
      <c r="R1606" s="4"/>
      <c r="S1606" s="9" t="str">
        <f>HYPERLINK("https://pbs.twimg.com/profile_images/1011343159316451328/UoDy46_b.jpg","View")</f>
        <v>View</v>
      </c>
    </row>
    <row r="1607" spans="1:19" ht="20">
      <c r="A1607" s="8">
        <v>43370.528831018513</v>
      </c>
      <c r="B1607" s="11" t="str">
        <f>HYPERLINK("https://twitter.com/madi_kjh","@madi_kjh")</f>
        <v>@madi_kjh</v>
      </c>
      <c r="C1607" s="6" t="s">
        <v>3547</v>
      </c>
      <c r="D1607" s="5" t="s">
        <v>3546</v>
      </c>
      <c r="E1607" s="9" t="str">
        <f>HYPERLINK("https://twitter.com/madi_kjh/status/1045239501264695296","1045239501264695296")</f>
        <v>1045239501264695296</v>
      </c>
      <c r="F1607" s="4"/>
      <c r="G1607" s="4"/>
      <c r="H1607" s="4"/>
      <c r="I1607" s="10" t="str">
        <f>HYPERLINK("http://twitter.com/download/android","Twitter for Android")</f>
        <v>Twitter for Android</v>
      </c>
      <c r="J1607" s="2">
        <v>3656</v>
      </c>
      <c r="K1607" s="2">
        <v>2152</v>
      </c>
      <c r="L1607" s="2">
        <v>1</v>
      </c>
      <c r="M1607" s="2"/>
      <c r="N1607" s="8">
        <v>42689.418414351851</v>
      </c>
      <c r="O1607" s="4" t="s">
        <v>3545</v>
      </c>
      <c r="P1607" s="3" t="s">
        <v>3544</v>
      </c>
      <c r="Q1607" s="4"/>
      <c r="R1607" s="4"/>
      <c r="S1607" s="9" t="str">
        <f>HYPERLINK("https://pbs.twimg.com/profile_images/953645507661959168/JmjIBoqG.jpg","View")</f>
        <v>View</v>
      </c>
    </row>
    <row r="1608" spans="1:19" ht="30">
      <c r="A1608" s="8">
        <v>43370.528437500005</v>
      </c>
      <c r="B1608" s="11" t="str">
        <f>HYPERLINK("https://twitter.com/IrMetrica","@IrMetrica")</f>
        <v>@IrMetrica</v>
      </c>
      <c r="C1608" s="6" t="s">
        <v>3543</v>
      </c>
      <c r="D1608" s="5" t="s">
        <v>3542</v>
      </c>
      <c r="E1608" s="9" t="str">
        <f>HYPERLINK("https://twitter.com/IrMetrica/status/1045239359354667008","1045239359354667008")</f>
        <v>1045239359354667008</v>
      </c>
      <c r="F1608" s="10" t="s">
        <v>3541</v>
      </c>
      <c r="G1608" s="4"/>
      <c r="H1608" s="4"/>
      <c r="I1608" s="10" t="str">
        <f>HYPERLINK("https://mobile.twitter.com","Twitter Lite")</f>
        <v>Twitter Lite</v>
      </c>
      <c r="J1608" s="2">
        <v>5</v>
      </c>
      <c r="K1608" s="2">
        <v>0</v>
      </c>
      <c r="L1608" s="2">
        <v>0</v>
      </c>
      <c r="M1608" s="2"/>
      <c r="N1608" s="8">
        <v>43367.752256944441</v>
      </c>
      <c r="O1608" s="4"/>
      <c r="P1608" s="3" t="s">
        <v>3540</v>
      </c>
      <c r="Q1608" s="4"/>
      <c r="R1608" s="4"/>
      <c r="S1608" s="9" t="str">
        <f>HYPERLINK("https://pbs.twimg.com/profile_images/1044234152890036226/AwtmLNIs.jpg","View")</f>
        <v>View</v>
      </c>
    </row>
    <row r="1609" spans="1:19" ht="12.5">
      <c r="A1609" s="8">
        <v>43370.528356481482</v>
      </c>
      <c r="B1609" s="11" t="str">
        <f>HYPERLINK("https://twitter.com/meisam71_k","@meisam71_k")</f>
        <v>@meisam71_k</v>
      </c>
      <c r="C1609" s="6" t="s">
        <v>3539</v>
      </c>
      <c r="D1609" s="5" t="s">
        <v>3538</v>
      </c>
      <c r="E1609" s="9" t="str">
        <f>HYPERLINK("https://twitter.com/meisam71_k/status/1045239330531414016","1045239330531414016")</f>
        <v>1045239330531414016</v>
      </c>
      <c r="F1609" s="4"/>
      <c r="G1609" s="10" t="s">
        <v>3537</v>
      </c>
      <c r="H1609" s="4"/>
      <c r="I1609" s="10" t="str">
        <f>HYPERLINK("http://twitter.com/download/iphone","Twitter for iPhone")</f>
        <v>Twitter for iPhone</v>
      </c>
      <c r="J1609" s="2">
        <v>16</v>
      </c>
      <c r="K1609" s="2">
        <v>39</v>
      </c>
      <c r="L1609" s="2">
        <v>0</v>
      </c>
      <c r="M1609" s="2"/>
      <c r="N1609" s="8">
        <v>42750.032650462963</v>
      </c>
      <c r="O1609" s="4" t="s">
        <v>200</v>
      </c>
      <c r="P1609" s="3" t="s">
        <v>3536</v>
      </c>
      <c r="Q1609" s="4"/>
      <c r="R1609" s="4"/>
      <c r="S1609" s="9" t="str">
        <f>HYPERLINK("https://pbs.twimg.com/profile_images/1045245685073883141/rhVlt7Qv.jpg","View")</f>
        <v>View</v>
      </c>
    </row>
    <row r="1610" spans="1:19" ht="20">
      <c r="A1610" s="8">
        <v>43370.528298611112</v>
      </c>
      <c r="B1610" s="11" t="str">
        <f>HYPERLINK("https://twitter.com/abazar_jonob","@abazar_jonob")</f>
        <v>@abazar_jonob</v>
      </c>
      <c r="C1610" s="6" t="s">
        <v>3535</v>
      </c>
      <c r="D1610" s="5" t="s">
        <v>3534</v>
      </c>
      <c r="E1610" s="9" t="str">
        <f>HYPERLINK("https://twitter.com/abazar_jonob/status/1045239308070866944","1045239308070866944")</f>
        <v>1045239308070866944</v>
      </c>
      <c r="F1610" s="4"/>
      <c r="G1610" s="4"/>
      <c r="H1610" s="4"/>
      <c r="I1610" s="10" t="str">
        <f>HYPERLINK("http://twitter.com/download/android","Twitter for Android")</f>
        <v>Twitter for Android</v>
      </c>
      <c r="J1610" s="2">
        <v>63</v>
      </c>
      <c r="K1610" s="2">
        <v>148</v>
      </c>
      <c r="L1610" s="2">
        <v>0</v>
      </c>
      <c r="M1610" s="2"/>
      <c r="N1610" s="8">
        <v>43351.100034722222</v>
      </c>
      <c r="O1610" s="4"/>
      <c r="P1610" s="3" t="s">
        <v>3533</v>
      </c>
      <c r="Q1610" s="4"/>
      <c r="R1610" s="4"/>
      <c r="S1610" s="9" t="str">
        <f>HYPERLINK("https://pbs.twimg.com/profile_images/1039174710309912576/izAXvIjQ.jpg","View")</f>
        <v>View</v>
      </c>
    </row>
    <row r="1611" spans="1:19" ht="12.5">
      <c r="A1611" s="8">
        <v>43370.528067129635</v>
      </c>
      <c r="B1611" s="11" t="str">
        <f>HYPERLINK("https://twitter.com/_AraaaSh_","@_AraaaSh_")</f>
        <v>@_AraaaSh_</v>
      </c>
      <c r="C1611" s="6" t="s">
        <v>3532</v>
      </c>
      <c r="D1611" s="5" t="s">
        <v>3531</v>
      </c>
      <c r="E1611" s="9" t="str">
        <f>HYPERLINK("https://twitter.com/_AraaaSh_/status/1045239226617532416","1045239226617532416")</f>
        <v>1045239226617532416</v>
      </c>
      <c r="F1611" s="4"/>
      <c r="G1611" s="4"/>
      <c r="H1611" s="4"/>
      <c r="I1611" s="10" t="str">
        <f>HYPERLINK("http://twitter.com","Twitter Web Client")</f>
        <v>Twitter Web Client</v>
      </c>
      <c r="J1611" s="2">
        <v>45</v>
      </c>
      <c r="K1611" s="2">
        <v>291</v>
      </c>
      <c r="L1611" s="2">
        <v>0</v>
      </c>
      <c r="M1611" s="2"/>
      <c r="N1611" s="8">
        <v>42571.097870370373</v>
      </c>
      <c r="O1611" s="4" t="s">
        <v>3530</v>
      </c>
      <c r="P1611" s="3" t="s">
        <v>3529</v>
      </c>
      <c r="Q1611" s="4"/>
      <c r="R1611" s="4"/>
      <c r="S1611" s="9" t="str">
        <f>HYPERLINK("https://pbs.twimg.com/profile_images/1018523504063467521/Xn6fieD5.jpg","View")</f>
        <v>View</v>
      </c>
    </row>
    <row r="1612" spans="1:19" ht="20">
      <c r="A1612" s="8">
        <v>43370.527511574073</v>
      </c>
      <c r="B1612" s="11" t="str">
        <f>HYPERLINK("https://twitter.com/king_yashar","@king_yashar")</f>
        <v>@king_yashar</v>
      </c>
      <c r="C1612" s="6" t="s">
        <v>3528</v>
      </c>
      <c r="D1612" s="5" t="s">
        <v>3527</v>
      </c>
      <c r="E1612" s="9" t="str">
        <f>HYPERLINK("https://twitter.com/king_yashar/status/1045239022229094400","1045239022229094400")</f>
        <v>1045239022229094400</v>
      </c>
      <c r="F1612" s="4"/>
      <c r="G1612" s="4"/>
      <c r="H1612" s="4"/>
      <c r="I1612" s="10" t="str">
        <f>HYPERLINK("http://twitter.com/download/android","Twitter for Android")</f>
        <v>Twitter for Android</v>
      </c>
      <c r="J1612" s="2">
        <v>186</v>
      </c>
      <c r="K1612" s="2">
        <v>801</v>
      </c>
      <c r="L1612" s="2">
        <v>0</v>
      </c>
      <c r="M1612" s="2"/>
      <c r="N1612" s="8">
        <v>42895.811990740738</v>
      </c>
      <c r="O1612" s="4" t="s">
        <v>200</v>
      </c>
      <c r="P1612" s="3"/>
      <c r="Q1612" s="4"/>
      <c r="R1612" s="4"/>
      <c r="S1612" s="9" t="str">
        <f>HYPERLINK("https://pbs.twimg.com/profile_images/973182763657584640/bfnAKJBF.jpg","View")</f>
        <v>View</v>
      </c>
    </row>
    <row r="1613" spans="1:19" ht="12.5">
      <c r="A1613" s="8">
        <v>43370.525659722218</v>
      </c>
      <c r="B1613" s="11" t="str">
        <f>HYPERLINK("https://twitter.com/ahosein1119","@ahosein1119")</f>
        <v>@ahosein1119</v>
      </c>
      <c r="C1613" s="6" t="s">
        <v>3526</v>
      </c>
      <c r="D1613" s="5" t="s">
        <v>3525</v>
      </c>
      <c r="E1613" s="9" t="str">
        <f>HYPERLINK("https://twitter.com/ahosein1119/status/1045238350813097985","1045238350813097985")</f>
        <v>1045238350813097985</v>
      </c>
      <c r="F1613" s="4"/>
      <c r="G1613" s="4"/>
      <c r="H1613" s="4"/>
      <c r="I1613" s="10" t="str">
        <f>HYPERLINK("http://twitter.com/download/iphone","Twitter for iPhone")</f>
        <v>Twitter for iPhone</v>
      </c>
      <c r="J1613" s="2">
        <v>3131</v>
      </c>
      <c r="K1613" s="2">
        <v>1462</v>
      </c>
      <c r="L1613" s="2">
        <v>5</v>
      </c>
      <c r="M1613" s="2"/>
      <c r="N1613" s="8">
        <v>42657.840868055559</v>
      </c>
      <c r="O1613" s="4" t="s">
        <v>200</v>
      </c>
      <c r="P1613" s="3" t="s">
        <v>3524</v>
      </c>
      <c r="Q1613" s="4"/>
      <c r="R1613" s="4"/>
      <c r="S1613" s="9" t="str">
        <f>HYPERLINK("https://pbs.twimg.com/profile_images/1043151949615587329/-YByFs1M.jpg","View")</f>
        <v>View</v>
      </c>
    </row>
    <row r="1614" spans="1:19" ht="40">
      <c r="A1614" s="8">
        <v>43370.525613425925</v>
      </c>
      <c r="B1614" s="11" t="str">
        <f>HYPERLINK("https://twitter.com/Ibow33Sharif","@Ibow33Sharif")</f>
        <v>@Ibow33Sharif</v>
      </c>
      <c r="C1614" s="6" t="s">
        <v>3523</v>
      </c>
      <c r="D1614" s="5" t="s">
        <v>3522</v>
      </c>
      <c r="E1614" s="9" t="str">
        <f>HYPERLINK("https://twitter.com/Ibow33Sharif/status/1045238336342904832","1045238336342904832")</f>
        <v>1045238336342904832</v>
      </c>
      <c r="F1614" s="4"/>
      <c r="G1614" s="4"/>
      <c r="H1614" s="4"/>
      <c r="I1614" s="10" t="str">
        <f>HYPERLINK("https://mobile.twitter.com","Twitter Lite")</f>
        <v>Twitter Lite</v>
      </c>
      <c r="J1614" s="2">
        <v>1541</v>
      </c>
      <c r="K1614" s="2">
        <v>621</v>
      </c>
      <c r="L1614" s="2">
        <v>11</v>
      </c>
      <c r="M1614" s="2"/>
      <c r="N1614" s="8">
        <v>40992.650763888887</v>
      </c>
      <c r="O1614" s="4" t="s">
        <v>3521</v>
      </c>
      <c r="P1614" s="3" t="s">
        <v>3520</v>
      </c>
      <c r="Q1614" s="4"/>
      <c r="R1614" s="4"/>
      <c r="S1614" s="9" t="str">
        <f>HYPERLINK("https://pbs.twimg.com/profile_images/1002206869094649857/HLpnAcsc.jpg","View")</f>
        <v>View</v>
      </c>
    </row>
    <row r="1615" spans="1:19" ht="30">
      <c r="A1615" s="8">
        <v>43370.525034722217</v>
      </c>
      <c r="B1615" s="11" t="str">
        <f>HYPERLINK("https://twitter.com/ta_eslahgara","@ta_eslahgara")</f>
        <v>@ta_eslahgara</v>
      </c>
      <c r="C1615" s="6" t="s">
        <v>3519</v>
      </c>
      <c r="D1615" s="5" t="s">
        <v>3518</v>
      </c>
      <c r="E1615" s="9" t="str">
        <f>HYPERLINK("https://twitter.com/ta_eslahgara/status/1045238125524602882","1045238125524602882")</f>
        <v>1045238125524602882</v>
      </c>
      <c r="F1615" s="4"/>
      <c r="G1615" s="4"/>
      <c r="H1615" s="4"/>
      <c r="I1615" s="10" t="str">
        <f>HYPERLINK("http://twitter.com/download/android","Twitter for Android")</f>
        <v>Twitter for Android</v>
      </c>
      <c r="J1615" s="2">
        <v>4636</v>
      </c>
      <c r="K1615" s="2">
        <v>3085</v>
      </c>
      <c r="L1615" s="2">
        <v>7</v>
      </c>
      <c r="M1615" s="2"/>
      <c r="N1615" s="8">
        <v>43131.895914351851</v>
      </c>
      <c r="O1615" s="4" t="s">
        <v>62</v>
      </c>
      <c r="P1615" s="3" t="s">
        <v>3517</v>
      </c>
      <c r="Q1615" s="10" t="s">
        <v>3516</v>
      </c>
      <c r="R1615" s="4"/>
      <c r="S1615" s="9" t="str">
        <f>HYPERLINK("https://pbs.twimg.com/profile_images/1026030574073507840/IeJVmyhD.jpg","View")</f>
        <v>View</v>
      </c>
    </row>
    <row r="1616" spans="1:19" ht="40">
      <c r="A1616" s="8">
        <v>43370.52480324074</v>
      </c>
      <c r="B1616" s="11" t="str">
        <f>HYPERLINK("https://twitter.com/varesh_varesh","@varesh_varesh")</f>
        <v>@varesh_varesh</v>
      </c>
      <c r="C1616" s="6" t="s">
        <v>1642</v>
      </c>
      <c r="D1616" s="5" t="s">
        <v>3515</v>
      </c>
      <c r="E1616" s="9" t="str">
        <f>HYPERLINK("https://twitter.com/varesh_varesh/status/1045238040166375424","1045238040166375424")</f>
        <v>1045238040166375424</v>
      </c>
      <c r="F1616" s="4"/>
      <c r="G1616" s="4"/>
      <c r="H1616" s="4"/>
      <c r="I1616" s="10" t="str">
        <f>HYPERLINK("http://twitter.com/download/iphone","Twitter for iPhone")</f>
        <v>Twitter for iPhone</v>
      </c>
      <c r="J1616" s="2">
        <v>103</v>
      </c>
      <c r="K1616" s="2">
        <v>88</v>
      </c>
      <c r="L1616" s="2">
        <v>1</v>
      </c>
      <c r="M1616" s="2"/>
      <c r="N1616" s="8">
        <v>41280.519386574073</v>
      </c>
      <c r="O1616" s="4"/>
      <c r="P1616" s="3" t="s">
        <v>1641</v>
      </c>
      <c r="Q1616" s="4"/>
      <c r="R1616" s="4"/>
      <c r="S1616" s="9" t="str">
        <f>HYPERLINK("https://pbs.twimg.com/profile_images/1044979837239263233/Pq8uJIgT.jpg","View")</f>
        <v>View</v>
      </c>
    </row>
    <row r="1617" spans="1:19" ht="12.5">
      <c r="A1617" s="8">
        <v>43370.524537037039</v>
      </c>
      <c r="B1617" s="11" t="str">
        <f>HYPERLINK("https://twitter.com/Saeid_Koushki","@Saeid_Koushki")</f>
        <v>@Saeid_Koushki</v>
      </c>
      <c r="C1617" s="6" t="s">
        <v>3514</v>
      </c>
      <c r="D1617" s="5" t="s">
        <v>3513</v>
      </c>
      <c r="E1617" s="9" t="str">
        <f>HYPERLINK("https://twitter.com/Saeid_Koushki/status/1045237946289442816","1045237946289442816")</f>
        <v>1045237946289442816</v>
      </c>
      <c r="F1617" s="4"/>
      <c r="G1617" s="10" t="s">
        <v>3512</v>
      </c>
      <c r="H1617" s="4"/>
      <c r="I1617" s="10" t="str">
        <f>HYPERLINK("http://twitter.com/download/android","Twitter for Android")</f>
        <v>Twitter for Android</v>
      </c>
      <c r="J1617" s="2">
        <v>57</v>
      </c>
      <c r="K1617" s="2">
        <v>77</v>
      </c>
      <c r="L1617" s="2">
        <v>0</v>
      </c>
      <c r="M1617" s="2"/>
      <c r="N1617" s="8">
        <v>42346.499108796299</v>
      </c>
      <c r="O1617" s="4"/>
      <c r="P1617" s="3"/>
      <c r="Q1617" s="4"/>
      <c r="R1617" s="4"/>
      <c r="S1617" s="9" t="str">
        <f>HYPERLINK("https://pbs.twimg.com/profile_images/1036536937442684928/yIXwDWBT.jpg","View")</f>
        <v>View</v>
      </c>
    </row>
    <row r="1618" spans="1:19" ht="60">
      <c r="A1618" s="8">
        <v>43370.523564814815</v>
      </c>
      <c r="B1618" s="11" t="str">
        <f>HYPERLINK("https://twitter.com/Roozbeh_rm","@Roozbeh_rm")</f>
        <v>@Roozbeh_rm</v>
      </c>
      <c r="C1618" s="6" t="s">
        <v>3511</v>
      </c>
      <c r="D1618" s="5" t="s">
        <v>3510</v>
      </c>
      <c r="E1618" s="9" t="str">
        <f>HYPERLINK("https://twitter.com/Roozbeh_rm/status/1045237592588005376","1045237592588005376")</f>
        <v>1045237592588005376</v>
      </c>
      <c r="F1618" s="4"/>
      <c r="G1618" s="4"/>
      <c r="H1618" s="4"/>
      <c r="I1618" s="10" t="str">
        <f>HYPERLINK("http://twitter.com/download/android","Twitter for Android")</f>
        <v>Twitter for Android</v>
      </c>
      <c r="J1618" s="2">
        <v>217</v>
      </c>
      <c r="K1618" s="2">
        <v>273</v>
      </c>
      <c r="L1618" s="2">
        <v>1</v>
      </c>
      <c r="M1618" s="2"/>
      <c r="N1618" s="8">
        <v>43262.722303240742</v>
      </c>
      <c r="O1618" s="4" t="s">
        <v>3509</v>
      </c>
      <c r="P1618" s="3" t="s">
        <v>3508</v>
      </c>
      <c r="Q1618" s="4"/>
      <c r="R1618" s="4"/>
      <c r="S1618" s="9" t="str">
        <f>HYPERLINK("https://pbs.twimg.com/profile_images/1043847825044459528/qGe3qmcB.jpg","View")</f>
        <v>View</v>
      </c>
    </row>
    <row r="1619" spans="1:19" ht="12.5">
      <c r="A1619" s="8">
        <v>43370.523298611108</v>
      </c>
      <c r="B1619" s="11" t="str">
        <f>HYPERLINK("https://twitter.com/MasoudMollaie","@MasoudMollaie")</f>
        <v>@MasoudMollaie</v>
      </c>
      <c r="C1619" s="6" t="s">
        <v>3507</v>
      </c>
      <c r="D1619" s="5" t="s">
        <v>3506</v>
      </c>
      <c r="E1619" s="9" t="str">
        <f>HYPERLINK("https://twitter.com/MasoudMollaie/status/1045237495544377344","1045237495544377344")</f>
        <v>1045237495544377344</v>
      </c>
      <c r="F1619" s="4"/>
      <c r="G1619" s="4"/>
      <c r="H1619" s="4"/>
      <c r="I1619" s="10" t="str">
        <f>HYPERLINK("http://twitter.com/download/android","Twitter for Android")</f>
        <v>Twitter for Android</v>
      </c>
      <c r="J1619" s="2">
        <v>219</v>
      </c>
      <c r="K1619" s="2">
        <v>283</v>
      </c>
      <c r="L1619" s="2">
        <v>0</v>
      </c>
      <c r="M1619" s="2"/>
      <c r="N1619" s="8">
        <v>40507.975219907406</v>
      </c>
      <c r="O1619" s="4" t="s">
        <v>62</v>
      </c>
      <c r="P1619" s="3" t="s">
        <v>3505</v>
      </c>
      <c r="Q1619" s="4"/>
      <c r="R1619" s="4"/>
      <c r="S1619" s="9" t="str">
        <f>HYPERLINK("https://pbs.twimg.com/profile_images/1035145914028118016/Nqe__o-P.jpg","View")</f>
        <v>View</v>
      </c>
    </row>
    <row r="1620" spans="1:19" ht="20">
      <c r="A1620" s="8">
        <v>43370.523252314815</v>
      </c>
      <c r="B1620" s="11" t="str">
        <f>HYPERLINK("https://twitter.com/dpqp2","@dpqp2")</f>
        <v>@dpqp2</v>
      </c>
      <c r="C1620" s="6" t="s">
        <v>3504</v>
      </c>
      <c r="D1620" s="5" t="s">
        <v>3503</v>
      </c>
      <c r="E1620" s="9" t="str">
        <f>HYPERLINK("https://twitter.com/dpqp2/status/1045237479857639424","1045237479857639424")</f>
        <v>1045237479857639424</v>
      </c>
      <c r="F1620" s="4"/>
      <c r="G1620" s="4"/>
      <c r="H1620" s="4"/>
      <c r="I1620" s="10" t="str">
        <f>HYPERLINK("http://twitter.com/download/iphone","Twitter for iPhone")</f>
        <v>Twitter for iPhone</v>
      </c>
      <c r="J1620" s="2">
        <v>708</v>
      </c>
      <c r="K1620" s="2">
        <v>728</v>
      </c>
      <c r="L1620" s="2">
        <v>1</v>
      </c>
      <c r="M1620" s="2"/>
      <c r="N1620" s="8">
        <v>41810.704895833333</v>
      </c>
      <c r="O1620" s="4" t="s">
        <v>3502</v>
      </c>
      <c r="P1620" s="3" t="s">
        <v>3501</v>
      </c>
      <c r="Q1620" s="4"/>
      <c r="R1620" s="4"/>
      <c r="S1620" s="9" t="str">
        <f>HYPERLINK("https://pbs.twimg.com/profile_images/1040352108694970368/2SuHglqG.jpg","View")</f>
        <v>View</v>
      </c>
    </row>
    <row r="1621" spans="1:19" ht="12.5">
      <c r="A1621" s="8">
        <v>43370.522604166668</v>
      </c>
      <c r="B1621" s="11" t="str">
        <f>HYPERLINK("https://twitter.com/alireza_d_gh","@alireza_d_gh")</f>
        <v>@alireza_d_gh</v>
      </c>
      <c r="C1621" s="6" t="s">
        <v>3498</v>
      </c>
      <c r="D1621" s="5" t="s">
        <v>3500</v>
      </c>
      <c r="E1621" s="9" t="str">
        <f>HYPERLINK("https://twitter.com/alireza_d_gh/status/1045237243470893056","1045237243470893056")</f>
        <v>1045237243470893056</v>
      </c>
      <c r="F1621" s="4"/>
      <c r="G1621" s="10" t="s">
        <v>3499</v>
      </c>
      <c r="H1621" s="4"/>
      <c r="I1621" s="10" t="str">
        <f>HYPERLINK("http://twitter.com/download/android","Twitter for Android")</f>
        <v>Twitter for Android</v>
      </c>
      <c r="J1621" s="2">
        <v>2468</v>
      </c>
      <c r="K1621" s="2">
        <v>2229</v>
      </c>
      <c r="L1621" s="2">
        <v>5</v>
      </c>
      <c r="M1621" s="2"/>
      <c r="N1621" s="8">
        <v>41525.593923611115</v>
      </c>
      <c r="O1621" s="4" t="s">
        <v>3495</v>
      </c>
      <c r="P1621" s="3" t="s">
        <v>3494</v>
      </c>
      <c r="Q1621" s="10" t="s">
        <v>3493</v>
      </c>
      <c r="R1621" s="4"/>
      <c r="S1621" s="9" t="str">
        <f>HYPERLINK("https://pbs.twimg.com/profile_images/1015908602324881408/OhIdoFPX.jpg","View")</f>
        <v>View</v>
      </c>
    </row>
    <row r="1622" spans="1:19" ht="12.5">
      <c r="A1622" s="8">
        <v>43370.521817129629</v>
      </c>
      <c r="B1622" s="11" t="str">
        <f>HYPERLINK("https://twitter.com/alireza_d_gh","@alireza_d_gh")</f>
        <v>@alireza_d_gh</v>
      </c>
      <c r="C1622" s="6" t="s">
        <v>3498</v>
      </c>
      <c r="D1622" s="5" t="s">
        <v>3497</v>
      </c>
      <c r="E1622" s="9" t="str">
        <f>HYPERLINK("https://twitter.com/alireza_d_gh/status/1045236961227812864","1045236961227812864")</f>
        <v>1045236961227812864</v>
      </c>
      <c r="F1622" s="4"/>
      <c r="G1622" s="10" t="s">
        <v>3496</v>
      </c>
      <c r="H1622" s="4"/>
      <c r="I1622" s="10" t="str">
        <f>HYPERLINK("http://twitter.com/download/android","Twitter for Android")</f>
        <v>Twitter for Android</v>
      </c>
      <c r="J1622" s="2">
        <v>2468</v>
      </c>
      <c r="K1622" s="2">
        <v>2229</v>
      </c>
      <c r="L1622" s="2">
        <v>5</v>
      </c>
      <c r="M1622" s="2"/>
      <c r="N1622" s="8">
        <v>41525.593923611115</v>
      </c>
      <c r="O1622" s="4" t="s">
        <v>3495</v>
      </c>
      <c r="P1622" s="3" t="s">
        <v>3494</v>
      </c>
      <c r="Q1622" s="10" t="s">
        <v>3493</v>
      </c>
      <c r="R1622" s="4"/>
      <c r="S1622" s="9" t="str">
        <f>HYPERLINK("https://pbs.twimg.com/profile_images/1015908602324881408/OhIdoFPX.jpg","View")</f>
        <v>View</v>
      </c>
    </row>
    <row r="1623" spans="1:19" ht="12.5">
      <c r="A1623" s="8">
        <v>43370.521585648152</v>
      </c>
      <c r="B1623" s="11" t="str">
        <f>HYPERLINK("https://twitter.com/Majid_Torkabadi","@Majid_Torkabadi")</f>
        <v>@Majid_Torkabadi</v>
      </c>
      <c r="C1623" s="6" t="s">
        <v>3492</v>
      </c>
      <c r="D1623" s="5" t="s">
        <v>3491</v>
      </c>
      <c r="E1623" s="9" t="str">
        <f>HYPERLINK("https://twitter.com/Majid_Torkabadi/status/1045236877798854656","1045236877798854656")</f>
        <v>1045236877798854656</v>
      </c>
      <c r="F1623" s="4"/>
      <c r="G1623" s="10" t="s">
        <v>3490</v>
      </c>
      <c r="H1623" s="4"/>
      <c r="I1623" s="10" t="str">
        <f>HYPERLINK("http://twitter.com/download/android","Twitter for Android")</f>
        <v>Twitter for Android</v>
      </c>
      <c r="J1623" s="2">
        <v>109</v>
      </c>
      <c r="K1623" s="2">
        <v>111</v>
      </c>
      <c r="L1623" s="2">
        <v>1</v>
      </c>
      <c r="M1623" s="2"/>
      <c r="N1623" s="8">
        <v>42010.827893518523</v>
      </c>
      <c r="O1623" s="4" t="s">
        <v>10</v>
      </c>
      <c r="P1623" s="3" t="s">
        <v>3489</v>
      </c>
      <c r="Q1623" s="10" t="s">
        <v>3488</v>
      </c>
      <c r="R1623" s="4"/>
      <c r="S1623" s="9" t="str">
        <f>HYPERLINK("https://pbs.twimg.com/profile_images/820965575740583936/1zaK6thl.jpg","View")</f>
        <v>View</v>
      </c>
    </row>
    <row r="1624" spans="1:19" ht="12.5">
      <c r="A1624" s="8">
        <v>43370.520787037036</v>
      </c>
      <c r="B1624" s="11" t="str">
        <f>HYPERLINK("https://twitter.com/mehdi_sawme","@mehdi_sawme")</f>
        <v>@mehdi_sawme</v>
      </c>
      <c r="C1624" s="6" t="s">
        <v>3487</v>
      </c>
      <c r="D1624" s="5" t="s">
        <v>3486</v>
      </c>
      <c r="E1624" s="9" t="str">
        <f>HYPERLINK("https://twitter.com/mehdi_sawme/status/1045236588349980672","1045236588349980672")</f>
        <v>1045236588349980672</v>
      </c>
      <c r="F1624" s="4"/>
      <c r="G1624" s="4"/>
      <c r="H1624" s="4"/>
      <c r="I1624" s="10" t="str">
        <f>HYPERLINK("http://twitter.com/download/iphone","Twitter for iPhone")</f>
        <v>Twitter for iPhone</v>
      </c>
      <c r="J1624" s="2">
        <v>227</v>
      </c>
      <c r="K1624" s="2">
        <v>303</v>
      </c>
      <c r="L1624" s="2">
        <v>3</v>
      </c>
      <c r="M1624" s="2"/>
      <c r="N1624" s="8">
        <v>40775.776932870373</v>
      </c>
      <c r="O1624" s="4" t="s">
        <v>200</v>
      </c>
      <c r="P1624" s="3" t="s">
        <v>3485</v>
      </c>
      <c r="Q1624" s="10" t="s">
        <v>3484</v>
      </c>
      <c r="R1624" s="4"/>
      <c r="S1624" s="9" t="str">
        <f>HYPERLINK("https://pbs.twimg.com/profile_images/596300848428404737/cMQpUOOn.jpg","View")</f>
        <v>View</v>
      </c>
    </row>
    <row r="1625" spans="1:19" ht="30">
      <c r="A1625" s="8">
        <v>43370.520567129628</v>
      </c>
      <c r="B1625" s="11" t="str">
        <f>HYPERLINK("https://twitter.com/MR___RANGER","@MR___RANGER")</f>
        <v>@MR___RANGER</v>
      </c>
      <c r="C1625" s="6" t="s">
        <v>3483</v>
      </c>
      <c r="D1625" s="5" t="s">
        <v>3482</v>
      </c>
      <c r="E1625" s="9" t="str">
        <f>HYPERLINK("https://twitter.com/MR___RANGER/status/1045236507529891841","1045236507529891841")</f>
        <v>1045236507529891841</v>
      </c>
      <c r="F1625" s="4"/>
      <c r="G1625" s="4"/>
      <c r="H1625" s="4"/>
      <c r="I1625" s="10" t="str">
        <f>HYPERLINK("http://twitter.com/download/iphone","Twitter for iPhone")</f>
        <v>Twitter for iPhone</v>
      </c>
      <c r="J1625" s="2">
        <v>4088</v>
      </c>
      <c r="K1625" s="2">
        <v>3644</v>
      </c>
      <c r="L1625" s="2">
        <v>6</v>
      </c>
      <c r="M1625" s="2"/>
      <c r="N1625" s="8">
        <v>43172.038958333331</v>
      </c>
      <c r="O1625" s="4" t="s">
        <v>10</v>
      </c>
      <c r="P1625" s="3" t="s">
        <v>3481</v>
      </c>
      <c r="Q1625" s="10" t="s">
        <v>3480</v>
      </c>
      <c r="R1625" s="4"/>
      <c r="S1625" s="9" t="str">
        <f>HYPERLINK("https://pbs.twimg.com/profile_images/1041042026513477632/AsaFgAay.jpg","View")</f>
        <v>View</v>
      </c>
    </row>
    <row r="1626" spans="1:19" ht="20">
      <c r="A1626" s="8">
        <v>43370.520543981482</v>
      </c>
      <c r="B1626" s="11" t="str">
        <f>HYPERLINK("https://twitter.com/Shahrokh_shin","@Shahrokh_shin")</f>
        <v>@Shahrokh_shin</v>
      </c>
      <c r="C1626" s="6" t="s">
        <v>3479</v>
      </c>
      <c r="D1626" s="5" t="s">
        <v>3478</v>
      </c>
      <c r="E1626" s="9" t="str">
        <f>HYPERLINK("https://twitter.com/Shahrokh_shin/status/1045236498948395008","1045236498948395008")</f>
        <v>1045236498948395008</v>
      </c>
      <c r="F1626" s="4"/>
      <c r="G1626" s="4"/>
      <c r="H1626" s="4"/>
      <c r="I1626" s="10" t="str">
        <f>HYPERLINK("http://twitter.com/download/iphone","Twitter for iPhone")</f>
        <v>Twitter for iPhone</v>
      </c>
      <c r="J1626" s="2">
        <v>219</v>
      </c>
      <c r="K1626" s="2">
        <v>62</v>
      </c>
      <c r="L1626" s="2">
        <v>1</v>
      </c>
      <c r="M1626" s="2"/>
      <c r="N1626" s="8">
        <v>40837.914479166662</v>
      </c>
      <c r="O1626" s="4"/>
      <c r="P1626" s="3" t="s">
        <v>3477</v>
      </c>
      <c r="Q1626" s="4"/>
      <c r="R1626" s="4"/>
      <c r="S1626" s="9" t="str">
        <f>HYPERLINK("https://pbs.twimg.com/profile_images/1043375509571350528/d9Jn9kYG.jpg","View")</f>
        <v>View</v>
      </c>
    </row>
    <row r="1627" spans="1:19" ht="12.5">
      <c r="A1627" s="8">
        <v>43370.52008101852</v>
      </c>
      <c r="B1627" s="11" t="str">
        <f>HYPERLINK("https://twitter.com/Arefmasouditab1","@Arefmasouditab1")</f>
        <v>@Arefmasouditab1</v>
      </c>
      <c r="C1627" s="6" t="s">
        <v>3476</v>
      </c>
      <c r="D1627" s="5" t="s">
        <v>3475</v>
      </c>
      <c r="E1627" s="9" t="str">
        <f>HYPERLINK("https://twitter.com/Arefmasouditab1/status/1045236329590804480","1045236329590804480")</f>
        <v>1045236329590804480</v>
      </c>
      <c r="F1627" s="4"/>
      <c r="G1627" s="4"/>
      <c r="H1627" s="4"/>
      <c r="I1627" s="10" t="str">
        <f>HYPERLINK("http://twitter.com/download/iphone","Twitter for iPhone")</f>
        <v>Twitter for iPhone</v>
      </c>
      <c r="J1627" s="2">
        <v>78</v>
      </c>
      <c r="K1627" s="2">
        <v>213</v>
      </c>
      <c r="L1627" s="2">
        <v>0</v>
      </c>
      <c r="M1627" s="2"/>
      <c r="N1627" s="8">
        <v>43272.079513888893</v>
      </c>
      <c r="O1627" s="4" t="s">
        <v>10</v>
      </c>
      <c r="P1627" s="3" t="s">
        <v>3474</v>
      </c>
      <c r="Q1627" s="10" t="s">
        <v>3473</v>
      </c>
      <c r="R1627" s="4"/>
      <c r="S1627" s="9" t="str">
        <f>HYPERLINK("https://pbs.twimg.com/profile_images/1034875026510626816/9OP5w5MP.jpg","View")</f>
        <v>View</v>
      </c>
    </row>
    <row r="1628" spans="1:19" ht="20">
      <c r="A1628" s="8">
        <v>43370.520023148143</v>
      </c>
      <c r="B1628" s="11" t="str">
        <f>HYPERLINK("https://twitter.com/Tasnimnews_Fa","@Tasnimnews_Fa")</f>
        <v>@Tasnimnews_Fa</v>
      </c>
      <c r="C1628" s="6" t="s">
        <v>3472</v>
      </c>
      <c r="D1628" s="5" t="s">
        <v>3471</v>
      </c>
      <c r="E1628" s="9" t="str">
        <f>HYPERLINK("https://twitter.com/Tasnimnews_Fa/status/1045236308430516225","1045236308430516225")</f>
        <v>1045236308430516225</v>
      </c>
      <c r="F1628" s="4"/>
      <c r="G1628" s="10" t="s">
        <v>3470</v>
      </c>
      <c r="H1628" s="4"/>
      <c r="I1628" s="10" t="str">
        <f>HYPERLINK("http://twitter.com","Twitter Web Client")</f>
        <v>Twitter Web Client</v>
      </c>
      <c r="J1628" s="2">
        <v>111035</v>
      </c>
      <c r="K1628" s="2">
        <v>19</v>
      </c>
      <c r="L1628" s="2">
        <v>391</v>
      </c>
      <c r="M1628" s="2" t="s">
        <v>1701</v>
      </c>
      <c r="N1628" s="8">
        <v>41868.671585648146</v>
      </c>
      <c r="O1628" s="4" t="s">
        <v>10</v>
      </c>
      <c r="P1628" s="3" t="s">
        <v>3469</v>
      </c>
      <c r="Q1628" s="10" t="s">
        <v>3468</v>
      </c>
      <c r="R1628" s="4"/>
      <c r="S1628" s="9" t="str">
        <f>HYPERLINK("https://pbs.twimg.com/profile_images/942003149430239232/hvLw_1_E.jpg","View")</f>
        <v>View</v>
      </c>
    </row>
    <row r="1629" spans="1:19" ht="20">
      <c r="A1629" s="8">
        <v>43370.519363425927</v>
      </c>
      <c r="B1629" s="11" t="str">
        <f>HYPERLINK("https://twitter.com/JavadEmdadi","@JavadEmdadi")</f>
        <v>@JavadEmdadi</v>
      </c>
      <c r="C1629" s="6" t="s">
        <v>3467</v>
      </c>
      <c r="D1629" s="5" t="s">
        <v>3466</v>
      </c>
      <c r="E1629" s="9" t="str">
        <f>HYPERLINK("https://twitter.com/JavadEmdadi/status/1045236069946597376","1045236069946597376")</f>
        <v>1045236069946597376</v>
      </c>
      <c r="F1629" s="4"/>
      <c r="G1629" s="4"/>
      <c r="H1629" s="4"/>
      <c r="I1629" s="10" t="str">
        <f>HYPERLINK("http://twitter.com/download/android","Twitter for Android")</f>
        <v>Twitter for Android</v>
      </c>
      <c r="J1629" s="2">
        <v>9</v>
      </c>
      <c r="K1629" s="2">
        <v>9</v>
      </c>
      <c r="L1629" s="2">
        <v>0</v>
      </c>
      <c r="M1629" s="2"/>
      <c r="N1629" s="8">
        <v>41826.483217592591</v>
      </c>
      <c r="O1629" s="4" t="s">
        <v>3465</v>
      </c>
      <c r="P1629" s="3"/>
      <c r="Q1629" s="4"/>
      <c r="R1629" s="4"/>
      <c r="S1629" s="9" t="str">
        <f>HYPERLINK("https://pbs.twimg.com/profile_images/990982837343006721/Cauww2Wj.jpg","View")</f>
        <v>View</v>
      </c>
    </row>
    <row r="1630" spans="1:19" ht="30">
      <c r="A1630" s="8">
        <v>43370.518020833333</v>
      </c>
      <c r="B1630" s="11" t="str">
        <f>HYPERLINK("https://twitter.com/_Flirticia","@_Flirticia")</f>
        <v>@_Flirticia</v>
      </c>
      <c r="C1630" s="6" t="s">
        <v>3464</v>
      </c>
      <c r="D1630" s="5" t="s">
        <v>3463</v>
      </c>
      <c r="E1630" s="9" t="str">
        <f>HYPERLINK("https://twitter.com/_Flirticia/status/1045235583281434624","1045235583281434624")</f>
        <v>1045235583281434624</v>
      </c>
      <c r="F1630" s="10" t="s">
        <v>2510</v>
      </c>
      <c r="G1630" s="10" t="s">
        <v>2338</v>
      </c>
      <c r="H1630" s="4"/>
      <c r="I1630" s="10" t="str">
        <f>HYPERLINK("http://twitter.com/download/iphone","Twitter for iPhone")</f>
        <v>Twitter for iPhone</v>
      </c>
      <c r="J1630" s="2">
        <v>2980</v>
      </c>
      <c r="K1630" s="2">
        <v>496</v>
      </c>
      <c r="L1630" s="2">
        <v>27</v>
      </c>
      <c r="M1630" s="2"/>
      <c r="N1630" s="8">
        <v>42056.815428240741</v>
      </c>
      <c r="O1630" s="4" t="s">
        <v>10</v>
      </c>
      <c r="P1630" s="3" t="s">
        <v>3462</v>
      </c>
      <c r="Q1630" s="4"/>
      <c r="R1630" s="4"/>
      <c r="S1630" s="9" t="str">
        <f>HYPERLINK("https://pbs.twimg.com/profile_images/1023172583263326208/7y45ZE1j.jpg","View")</f>
        <v>View</v>
      </c>
    </row>
    <row r="1631" spans="1:19" ht="20">
      <c r="A1631" s="8">
        <v>43370.517916666664</v>
      </c>
      <c r="B1631" s="11" t="str">
        <f>HYPERLINK("https://twitter.com/Mashal_3232","@Mashal_3232")</f>
        <v>@Mashal_3232</v>
      </c>
      <c r="C1631" s="6" t="s">
        <v>3119</v>
      </c>
      <c r="D1631" s="5" t="s">
        <v>3461</v>
      </c>
      <c r="E1631" s="9" t="str">
        <f>HYPERLINK("https://twitter.com/Mashal_3232/status/1045235547239796736","1045235547239796736")</f>
        <v>1045235547239796736</v>
      </c>
      <c r="F1631" s="4"/>
      <c r="G1631" s="4"/>
      <c r="H1631" s="4"/>
      <c r="I1631" s="10" t="str">
        <f>HYPERLINK("http://twitter.com/download/android","Twitter for Android")</f>
        <v>Twitter for Android</v>
      </c>
      <c r="J1631" s="2">
        <v>1046</v>
      </c>
      <c r="K1631" s="2">
        <v>1008</v>
      </c>
      <c r="L1631" s="2">
        <v>1</v>
      </c>
      <c r="M1631" s="2"/>
      <c r="N1631" s="8">
        <v>43239.59443287037</v>
      </c>
      <c r="O1631" s="4" t="s">
        <v>414</v>
      </c>
      <c r="P1631" s="3" t="s">
        <v>3117</v>
      </c>
      <c r="Q1631" s="4"/>
      <c r="R1631" s="4"/>
      <c r="S1631" s="9" t="str">
        <f>HYPERLINK("https://pbs.twimg.com/profile_images/1037450257234386950/piiBHiEI.jpg","View")</f>
        <v>View</v>
      </c>
    </row>
    <row r="1632" spans="1:19" ht="30">
      <c r="A1632" s="8">
        <v>43370.517407407402</v>
      </c>
      <c r="B1632" s="11" t="str">
        <f>HYPERLINK("https://twitter.com/asmaerfanifar","@asmaerfanifar")</f>
        <v>@asmaerfanifar</v>
      </c>
      <c r="C1632" s="6" t="s">
        <v>3460</v>
      </c>
      <c r="D1632" s="5" t="s">
        <v>3459</v>
      </c>
      <c r="E1632" s="9" t="str">
        <f>HYPERLINK("https://twitter.com/asmaerfanifar/status/1045235362187161600","1045235362187161600")</f>
        <v>1045235362187161600</v>
      </c>
      <c r="F1632" s="4"/>
      <c r="G1632" s="4"/>
      <c r="H1632" s="4"/>
      <c r="I1632" s="10" t="str">
        <f>HYPERLINK("http://twitter.com/download/android","Twitter for Android")</f>
        <v>Twitter for Android</v>
      </c>
      <c r="J1632" s="2">
        <v>194</v>
      </c>
      <c r="K1632" s="2">
        <v>494</v>
      </c>
      <c r="L1632" s="2">
        <v>0</v>
      </c>
      <c r="M1632" s="2"/>
      <c r="N1632" s="8">
        <v>41087.681261574078</v>
      </c>
      <c r="O1632" s="4" t="s">
        <v>200</v>
      </c>
      <c r="P1632" s="3" t="s">
        <v>3458</v>
      </c>
      <c r="Q1632" s="10" t="s">
        <v>3457</v>
      </c>
      <c r="R1632" s="4"/>
      <c r="S1632" s="9" t="str">
        <f>HYPERLINK("https://pbs.twimg.com/profile_images/1036006824468721664/LiL8AIJv.jpg","View")</f>
        <v>View</v>
      </c>
    </row>
    <row r="1633" spans="1:19" ht="12.5">
      <c r="A1633" s="8">
        <v>43370.517326388886</v>
      </c>
      <c r="B1633" s="11" t="str">
        <f>HYPERLINK("https://twitter.com/maryamshamekhi1","@maryamshamekhi1")</f>
        <v>@maryamshamekhi1</v>
      </c>
      <c r="C1633" s="6" t="s">
        <v>3456</v>
      </c>
      <c r="D1633" s="5" t="s">
        <v>3455</v>
      </c>
      <c r="E1633" s="9" t="str">
        <f>HYPERLINK("https://twitter.com/maryamshamekhi1/status/1045235334609547265","1045235334609547265")</f>
        <v>1045235334609547265</v>
      </c>
      <c r="F1633" s="4"/>
      <c r="G1633" s="4"/>
      <c r="H1633" s="4"/>
      <c r="I1633" s="10" t="str">
        <f>HYPERLINK("http://twitter.com/download/android","Twitter for Android")</f>
        <v>Twitter for Android</v>
      </c>
      <c r="J1633" s="2">
        <v>185</v>
      </c>
      <c r="K1633" s="2">
        <v>26</v>
      </c>
      <c r="L1633" s="2">
        <v>0</v>
      </c>
      <c r="M1633" s="2"/>
      <c r="N1633" s="8">
        <v>43104.606608796297</v>
      </c>
      <c r="O1633" s="4" t="s">
        <v>3454</v>
      </c>
      <c r="P1633" s="3" t="s">
        <v>3453</v>
      </c>
      <c r="Q1633" s="4"/>
      <c r="R1633" s="4"/>
      <c r="S1633" s="9" t="str">
        <f>HYPERLINK("https://pbs.twimg.com/profile_images/1030346992097132544/9c7QktRP.jpg","View")</f>
        <v>View</v>
      </c>
    </row>
    <row r="1634" spans="1:19" ht="20">
      <c r="A1634" s="8">
        <v>43370.517233796301</v>
      </c>
      <c r="B1634" s="11" t="str">
        <f>HYPERLINK("https://twitter.com/fakilsoof","@fakilsoof")</f>
        <v>@fakilsoof</v>
      </c>
      <c r="C1634" s="6" t="s">
        <v>3452</v>
      </c>
      <c r="D1634" s="5" t="s">
        <v>3451</v>
      </c>
      <c r="E1634" s="9" t="str">
        <f>HYPERLINK("https://twitter.com/fakilsoof/status/1045235297783549952","1045235297783549952")</f>
        <v>1045235297783549952</v>
      </c>
      <c r="F1634" s="4"/>
      <c r="G1634" s="4"/>
      <c r="H1634" s="4"/>
      <c r="I1634" s="10" t="str">
        <f>HYPERLINK("http://twitter.com/download/android","Twitter for Android")</f>
        <v>Twitter for Android</v>
      </c>
      <c r="J1634" s="2">
        <v>104</v>
      </c>
      <c r="K1634" s="2">
        <v>144</v>
      </c>
      <c r="L1634" s="2">
        <v>1</v>
      </c>
      <c r="M1634" s="2"/>
      <c r="N1634" s="8">
        <v>43311.351747685185</v>
      </c>
      <c r="O1634" s="4" t="s">
        <v>3450</v>
      </c>
      <c r="P1634" s="3" t="s">
        <v>3449</v>
      </c>
      <c r="Q1634" s="4"/>
      <c r="R1634" s="4"/>
      <c r="S1634" s="9" t="str">
        <f>HYPERLINK("https://pbs.twimg.com/profile_images/1042094458333003778/INArDd9v.jpg","View")</f>
        <v>View</v>
      </c>
    </row>
    <row r="1635" spans="1:19" ht="30">
      <c r="A1635" s="8">
        <v>43370.516840277778</v>
      </c>
      <c r="B1635" s="11" t="str">
        <f>HYPERLINK("https://twitter.com/CafeChy","@CafeChy")</f>
        <v>@CafeChy</v>
      </c>
      <c r="C1635" s="6" t="s">
        <v>3448</v>
      </c>
      <c r="D1635" s="5" t="s">
        <v>3447</v>
      </c>
      <c r="E1635" s="9" t="str">
        <f>HYPERLINK("https://twitter.com/CafeChy/status/1045235156162875392","1045235156162875392")</f>
        <v>1045235156162875392</v>
      </c>
      <c r="F1635" s="4"/>
      <c r="G1635" s="4"/>
      <c r="H1635" s="4"/>
      <c r="I1635" s="10" t="str">
        <f>HYPERLINK("http://twitter.com/download/iphone","Twitter for iPhone")</f>
        <v>Twitter for iPhone</v>
      </c>
      <c r="J1635" s="2">
        <v>422</v>
      </c>
      <c r="K1635" s="2">
        <v>162</v>
      </c>
      <c r="L1635" s="2">
        <v>5</v>
      </c>
      <c r="M1635" s="2"/>
      <c r="N1635" s="8">
        <v>39994.765775462962</v>
      </c>
      <c r="O1635" s="4" t="s">
        <v>311</v>
      </c>
      <c r="P1635" s="3" t="s">
        <v>3446</v>
      </c>
      <c r="Q1635" s="10" t="s">
        <v>3445</v>
      </c>
      <c r="R1635" s="4"/>
      <c r="S1635" s="9" t="str">
        <f>HYPERLINK("https://pbs.twimg.com/profile_images/561620834435883008/qkdFicEK.jpeg","View")</f>
        <v>View</v>
      </c>
    </row>
    <row r="1636" spans="1:19" ht="40">
      <c r="A1636" s="8">
        <v>43370.516377314816</v>
      </c>
      <c r="B1636" s="11" t="str">
        <f>HYPERLINK("https://twitter.com/MohammadVahidii","@MohammadVahidii")</f>
        <v>@MohammadVahidii</v>
      </c>
      <c r="C1636" s="6" t="s">
        <v>1457</v>
      </c>
      <c r="D1636" s="5" t="s">
        <v>3444</v>
      </c>
      <c r="E1636" s="9" t="str">
        <f>HYPERLINK("https://twitter.com/MohammadVahidii/status/1045234990437609472","1045234990437609472")</f>
        <v>1045234990437609472</v>
      </c>
      <c r="F1636" s="4"/>
      <c r="G1636" s="10" t="s">
        <v>3443</v>
      </c>
      <c r="H1636" s="4"/>
      <c r="I1636" s="10" t="str">
        <f>HYPERLINK("http://twitter.com/download/android","Twitter for Android")</f>
        <v>Twitter for Android</v>
      </c>
      <c r="J1636" s="2">
        <v>1399</v>
      </c>
      <c r="K1636" s="2">
        <v>186</v>
      </c>
      <c r="L1636" s="2">
        <v>7</v>
      </c>
      <c r="M1636" s="2"/>
      <c r="N1636" s="8">
        <v>43221.03524305555</v>
      </c>
      <c r="O1636" s="4" t="s">
        <v>200</v>
      </c>
      <c r="P1636" s="3" t="s">
        <v>1455</v>
      </c>
      <c r="Q1636" s="10" t="s">
        <v>1454</v>
      </c>
      <c r="R1636" s="4"/>
      <c r="S1636" s="9" t="str">
        <f>HYPERLINK("https://pbs.twimg.com/profile_images/991054260019212288/iJQPpRhr.jpg","View")</f>
        <v>View</v>
      </c>
    </row>
    <row r="1637" spans="1:19" ht="12.5">
      <c r="A1637" s="8">
        <v>43370.515775462962</v>
      </c>
      <c r="B1637" s="11" t="str">
        <f>HYPERLINK("https://twitter.com/venlope90","@venlope90")</f>
        <v>@venlope90</v>
      </c>
      <c r="C1637" s="6" t="s">
        <v>3442</v>
      </c>
      <c r="D1637" s="5" t="s">
        <v>3441</v>
      </c>
      <c r="E1637" s="9" t="str">
        <f>HYPERLINK("https://twitter.com/venlope90/status/1045234770874167296","1045234770874167296")</f>
        <v>1045234770874167296</v>
      </c>
      <c r="F1637" s="4"/>
      <c r="G1637" s="4"/>
      <c r="H1637" s="4"/>
      <c r="I1637" s="10" t="str">
        <f>HYPERLINK("http://twitter.com/download/android","Twitter for Android")</f>
        <v>Twitter for Android</v>
      </c>
      <c r="J1637" s="2">
        <v>17</v>
      </c>
      <c r="K1637" s="2">
        <v>227</v>
      </c>
      <c r="L1637" s="2">
        <v>0</v>
      </c>
      <c r="M1637" s="2"/>
      <c r="N1637" s="8">
        <v>43323.953692129631</v>
      </c>
      <c r="O1637" s="4"/>
      <c r="P1637" s="3"/>
      <c r="Q1637" s="4"/>
      <c r="R1637" s="4"/>
      <c r="S1637" s="9" t="str">
        <f>HYPERLINK("https://pbs.twimg.com/profile_images/1045207847934590976/aN0z-SkO.jpg","View")</f>
        <v>View</v>
      </c>
    </row>
    <row r="1638" spans="1:19" ht="20">
      <c r="A1638" s="8">
        <v>43370.513078703705</v>
      </c>
      <c r="B1638" s="11" t="str">
        <f>HYPERLINK("https://twitter.com/AminSami_","@AminSami_")</f>
        <v>@AminSami_</v>
      </c>
      <c r="C1638" s="6" t="s">
        <v>3440</v>
      </c>
      <c r="D1638" s="5" t="s">
        <v>3439</v>
      </c>
      <c r="E1638" s="9" t="str">
        <f>HYPERLINK("https://twitter.com/AminSami_/status/1045233794523922432","1045233794523922432")</f>
        <v>1045233794523922432</v>
      </c>
      <c r="F1638" s="4"/>
      <c r="G1638" s="4"/>
      <c r="H1638" s="4"/>
      <c r="I1638" s="10" t="str">
        <f>HYPERLINK("http://twitter.com","Twitter Web Client")</f>
        <v>Twitter Web Client</v>
      </c>
      <c r="J1638" s="2">
        <v>70</v>
      </c>
      <c r="K1638" s="2">
        <v>68</v>
      </c>
      <c r="L1638" s="2">
        <v>0</v>
      </c>
      <c r="M1638" s="2"/>
      <c r="N1638" s="8">
        <v>41473.977789351848</v>
      </c>
      <c r="O1638" s="4" t="s">
        <v>10</v>
      </c>
      <c r="P1638" s="3" t="s">
        <v>3438</v>
      </c>
      <c r="Q1638" s="4"/>
      <c r="R1638" s="4"/>
      <c r="S1638" s="9" t="str">
        <f>HYPERLINK("https://pbs.twimg.com/profile_images/795947745911721984/miI2P31Y.jpg","View")</f>
        <v>View</v>
      </c>
    </row>
    <row r="1639" spans="1:19" ht="20">
      <c r="A1639" s="8">
        <v>43370.512974537036</v>
      </c>
      <c r="B1639" s="11" t="str">
        <f>HYPERLINK("https://twitter.com/rassool1359","@rassool1359")</f>
        <v>@rassool1359</v>
      </c>
      <c r="C1639" s="6" t="s">
        <v>3353</v>
      </c>
      <c r="D1639" s="5" t="s">
        <v>3437</v>
      </c>
      <c r="E1639" s="9" t="str">
        <f>HYPERLINK("https://twitter.com/rassool1359/status/1045233754174889990","1045233754174889990")</f>
        <v>1045233754174889990</v>
      </c>
      <c r="F1639" s="4"/>
      <c r="G1639" s="4"/>
      <c r="H1639" s="4"/>
      <c r="I1639" s="10" t="str">
        <f>HYPERLINK("https://mobile.twitter.com","Mobile Web (M2)")</f>
        <v>Mobile Web (M2)</v>
      </c>
      <c r="J1639" s="2">
        <v>781</v>
      </c>
      <c r="K1639" s="2">
        <v>231</v>
      </c>
      <c r="L1639" s="2">
        <v>2</v>
      </c>
      <c r="M1639" s="2"/>
      <c r="N1639" s="8">
        <v>42703.92701388889</v>
      </c>
      <c r="O1639" s="4"/>
      <c r="P1639" s="3"/>
      <c r="Q1639" s="4"/>
      <c r="R1639" s="4"/>
      <c r="S1639" s="9" t="str">
        <f>HYPERLINK("https://pbs.twimg.com/profile_images/955771338391683072/UsYcWSiy.jpg","View")</f>
        <v>View</v>
      </c>
    </row>
    <row r="1640" spans="1:19" ht="20">
      <c r="A1640" s="8">
        <v>43370.51180555555</v>
      </c>
      <c r="B1640" s="11" t="str">
        <f>HYPERLINK("https://twitter.com/hrgh95","@hrgh95")</f>
        <v>@hrgh95</v>
      </c>
      <c r="C1640" s="6" t="s">
        <v>3436</v>
      </c>
      <c r="D1640" s="5" t="s">
        <v>3435</v>
      </c>
      <c r="E1640" s="9" t="str">
        <f>HYPERLINK("https://twitter.com/hrgh95/status/1045233332051738625","1045233332051738625")</f>
        <v>1045233332051738625</v>
      </c>
      <c r="F1640" s="4"/>
      <c r="G1640" s="4"/>
      <c r="H1640" s="4"/>
      <c r="I1640" s="10" t="str">
        <f>HYPERLINK("http://twitter.com/download/android","Twitter for Android")</f>
        <v>Twitter for Android</v>
      </c>
      <c r="J1640" s="2">
        <v>602</v>
      </c>
      <c r="K1640" s="2">
        <v>582</v>
      </c>
      <c r="L1640" s="2">
        <v>1</v>
      </c>
      <c r="M1640" s="2"/>
      <c r="N1640" s="8">
        <v>42434.640185185184</v>
      </c>
      <c r="O1640" s="4" t="s">
        <v>10</v>
      </c>
      <c r="P1640" s="3" t="s">
        <v>3434</v>
      </c>
      <c r="Q1640" s="4"/>
      <c r="R1640" s="4"/>
      <c r="S1640" s="9" t="str">
        <f>HYPERLINK("https://pbs.twimg.com/profile_images/1041285556116832256/UvrVxSyf.jpg","View")</f>
        <v>View</v>
      </c>
    </row>
    <row r="1641" spans="1:19" ht="70">
      <c r="A1641" s="8">
        <v>43370.511689814812</v>
      </c>
      <c r="B1641" s="11" t="str">
        <f>HYPERLINK("https://twitter.com/omid_ls","@omid_ls")</f>
        <v>@omid_ls</v>
      </c>
      <c r="C1641" s="6" t="s">
        <v>3433</v>
      </c>
      <c r="D1641" s="13" t="s">
        <v>3432</v>
      </c>
      <c r="E1641" s="9" t="str">
        <f>HYPERLINK("https://twitter.com/omid_ls/status/1045233289630568449","1045233289630568449")</f>
        <v>1045233289630568449</v>
      </c>
      <c r="F1641" s="10" t="s">
        <v>3431</v>
      </c>
      <c r="G1641" s="4"/>
      <c r="H1641" s="4"/>
      <c r="I1641" s="10" t="str">
        <f>HYPERLINK("http://twitter.com/download/android","Twitter for Android")</f>
        <v>Twitter for Android</v>
      </c>
      <c r="J1641" s="2">
        <v>276</v>
      </c>
      <c r="K1641" s="2">
        <v>464</v>
      </c>
      <c r="L1641" s="2">
        <v>0</v>
      </c>
      <c r="M1641" s="2"/>
      <c r="N1641" s="8">
        <v>43319.136192129634</v>
      </c>
      <c r="O1641" s="4" t="s">
        <v>772</v>
      </c>
      <c r="P1641" s="3" t="s">
        <v>3430</v>
      </c>
      <c r="Q1641" s="10" t="s">
        <v>3429</v>
      </c>
      <c r="R1641" s="4"/>
      <c r="S1641" s="9" t="str">
        <f>HYPERLINK("https://pbs.twimg.com/profile_images/1037010751414837249/LdRCwbG0.jpg","View")</f>
        <v>View</v>
      </c>
    </row>
    <row r="1642" spans="1:19" ht="20">
      <c r="A1642" s="8">
        <v>43370.511678240742</v>
      </c>
      <c r="B1642" s="11" t="str">
        <f>HYPERLINK("https://twitter.com/sorena_87","@sorena_87")</f>
        <v>@sorena_87</v>
      </c>
      <c r="C1642" s="6" t="s">
        <v>3291</v>
      </c>
      <c r="D1642" s="5" t="s">
        <v>3428</v>
      </c>
      <c r="E1642" s="9" t="str">
        <f>HYPERLINK("https://twitter.com/sorena_87/status/1045233285834690561","1045233285834690561")</f>
        <v>1045233285834690561</v>
      </c>
      <c r="F1642" s="4"/>
      <c r="G1642" s="4"/>
      <c r="H1642" s="4"/>
      <c r="I1642" s="10" t="str">
        <f>HYPERLINK("http://twitter.com/download/android","Twitter for Android")</f>
        <v>Twitter for Android</v>
      </c>
      <c r="J1642" s="2">
        <v>913</v>
      </c>
      <c r="K1642" s="2">
        <v>344</v>
      </c>
      <c r="L1642" s="2">
        <v>2</v>
      </c>
      <c r="M1642" s="2"/>
      <c r="N1642" s="8">
        <v>43259.198703703703</v>
      </c>
      <c r="O1642" s="4" t="s">
        <v>3288</v>
      </c>
      <c r="P1642" s="3" t="s">
        <v>3287</v>
      </c>
      <c r="Q1642" s="4"/>
      <c r="R1642" s="4"/>
      <c r="S1642" s="9" t="str">
        <f>HYPERLINK("https://pbs.twimg.com/profile_images/1038855406251122691/HJdxLX0O.jpg","View")</f>
        <v>View</v>
      </c>
    </row>
    <row r="1643" spans="1:19" ht="12.5">
      <c r="A1643" s="8">
        <v>43370.511006944449</v>
      </c>
      <c r="B1643" s="11" t="str">
        <f>HYPERLINK("https://twitter.com/_Fateme__","@_Fateme__")</f>
        <v>@_Fateme__</v>
      </c>
      <c r="C1643" s="6" t="s">
        <v>3427</v>
      </c>
      <c r="D1643" s="5" t="s">
        <v>3426</v>
      </c>
      <c r="E1643" s="9" t="str">
        <f>HYPERLINK("https://twitter.com/_Fateme__/status/1045233040677580801","1045233040677580801")</f>
        <v>1045233040677580801</v>
      </c>
      <c r="F1643" s="4"/>
      <c r="G1643" s="4"/>
      <c r="H1643" s="4"/>
      <c r="I1643" s="10" t="str">
        <f>HYPERLINK("https://mobile.twitter.com","Twitter Lite")</f>
        <v>Twitter Lite</v>
      </c>
      <c r="J1643" s="2">
        <v>172</v>
      </c>
      <c r="K1643" s="2">
        <v>141</v>
      </c>
      <c r="L1643" s="2">
        <v>1</v>
      </c>
      <c r="M1643" s="2"/>
      <c r="N1643" s="8">
        <v>43325.950173611112</v>
      </c>
      <c r="O1643" s="4" t="s">
        <v>2959</v>
      </c>
      <c r="P1643" s="3" t="s">
        <v>3425</v>
      </c>
      <c r="Q1643" s="4"/>
      <c r="R1643" s="4"/>
      <c r="S1643" s="9" t="str">
        <f>HYPERLINK("https://pbs.twimg.com/profile_images/1045178097312632832/54On8oHd.jpg","View")</f>
        <v>View</v>
      </c>
    </row>
    <row r="1644" spans="1:19" ht="20">
      <c r="A1644" s="8">
        <v>43370.510057870371</v>
      </c>
      <c r="B1644" s="11" t="str">
        <f>HYPERLINK("https://twitter.com/zeYbVFIrS73xpRm","@zeYbVFIrS73xpRm")</f>
        <v>@zeYbVFIrS73xpRm</v>
      </c>
      <c r="C1644" s="6" t="s">
        <v>2606</v>
      </c>
      <c r="D1644" s="5" t="s">
        <v>3424</v>
      </c>
      <c r="E1644" s="9" t="str">
        <f>HYPERLINK("https://twitter.com/zeYbVFIrS73xpRm/status/1045232700544753666","1045232700544753666")</f>
        <v>1045232700544753666</v>
      </c>
      <c r="F1644" s="4"/>
      <c r="G1644" s="4"/>
      <c r="H1644" s="4"/>
      <c r="I1644" s="10" t="str">
        <f>HYPERLINK("http://twitter.com/download/android","Twitter for Android")</f>
        <v>Twitter for Android</v>
      </c>
      <c r="J1644" s="2">
        <v>7</v>
      </c>
      <c r="K1644" s="2">
        <v>83</v>
      </c>
      <c r="L1644" s="2">
        <v>0</v>
      </c>
      <c r="M1644" s="2"/>
      <c r="N1644" s="8">
        <v>43349.569421296299</v>
      </c>
      <c r="O1644" s="4"/>
      <c r="P1644" s="3" t="s">
        <v>2604</v>
      </c>
      <c r="Q1644" s="4"/>
      <c r="R1644" s="4"/>
      <c r="S1644" s="9" t="str">
        <f>HYPERLINK("https://pbs.twimg.com/profile_images/1043049957966708739/mtzUk5dO.jpg","View")</f>
        <v>View</v>
      </c>
    </row>
    <row r="1645" spans="1:19" ht="12.5">
      <c r="A1645" s="8">
        <v>43370.509722222225</v>
      </c>
      <c r="B1645" s="11" t="str">
        <f>HYPERLINK("https://twitter.com/sebastian_fetel","@sebastian_fetel")</f>
        <v>@sebastian_fetel</v>
      </c>
      <c r="C1645" s="6" t="s">
        <v>3423</v>
      </c>
      <c r="D1645" s="5" t="s">
        <v>3422</v>
      </c>
      <c r="E1645" s="9" t="str">
        <f>HYPERLINK("https://twitter.com/sebastian_fetel/status/1045232575030185985","1045232575030185985")</f>
        <v>1045232575030185985</v>
      </c>
      <c r="F1645" s="4"/>
      <c r="G1645" s="4"/>
      <c r="H1645" s="4"/>
      <c r="I1645" s="10" t="str">
        <f>HYPERLINK("http://twitter.com/download/android","Twitter for Android")</f>
        <v>Twitter for Android</v>
      </c>
      <c r="J1645" s="2">
        <v>38</v>
      </c>
      <c r="K1645" s="2">
        <v>64</v>
      </c>
      <c r="L1645" s="2">
        <v>0</v>
      </c>
      <c r="M1645" s="2"/>
      <c r="N1645" s="8">
        <v>43224.520601851851</v>
      </c>
      <c r="O1645" s="4" t="s">
        <v>72</v>
      </c>
      <c r="P1645" s="3" t="s">
        <v>3421</v>
      </c>
      <c r="Q1645" s="4"/>
      <c r="R1645" s="4"/>
      <c r="S1645" s="9" t="str">
        <f>HYPERLINK("https://pbs.twimg.com/profile_images/1029826036131876867/xj7dN-8P.jpg","View")</f>
        <v>View</v>
      </c>
    </row>
    <row r="1646" spans="1:19" ht="20">
      <c r="A1646" s="8">
        <v>43370.509236111116</v>
      </c>
      <c r="B1646" s="11" t="str">
        <f>HYPERLINK("https://twitter.com/DanialPanje","@DanialPanje")</f>
        <v>@DanialPanje</v>
      </c>
      <c r="C1646" s="6" t="s">
        <v>3420</v>
      </c>
      <c r="D1646" s="5" t="s">
        <v>3419</v>
      </c>
      <c r="E1646" s="9" t="str">
        <f>HYPERLINK("https://twitter.com/DanialPanje/status/1045232399632814080","1045232399632814080")</f>
        <v>1045232399632814080</v>
      </c>
      <c r="F1646" s="4"/>
      <c r="G1646" s="4"/>
      <c r="H1646" s="4"/>
      <c r="I1646" s="10" t="str">
        <f>HYPERLINK("http://twitter.com/download/android","Twitter for Android")</f>
        <v>Twitter for Android</v>
      </c>
      <c r="J1646" s="2">
        <v>159</v>
      </c>
      <c r="K1646" s="2">
        <v>238</v>
      </c>
      <c r="L1646" s="2">
        <v>2</v>
      </c>
      <c r="M1646" s="2"/>
      <c r="N1646" s="8">
        <v>41455.659247685187</v>
      </c>
      <c r="O1646" s="4" t="s">
        <v>170</v>
      </c>
      <c r="P1646" s="3" t="s">
        <v>3418</v>
      </c>
      <c r="Q1646" s="4"/>
      <c r="R1646" s="4"/>
      <c r="S1646" s="9" t="str">
        <f>HYPERLINK("https://pbs.twimg.com/profile_images/1016730210333536256/6LvMU7qu.jpg","View")</f>
        <v>View</v>
      </c>
    </row>
    <row r="1647" spans="1:19" ht="20">
      <c r="A1647" s="8">
        <v>43370.508981481486</v>
      </c>
      <c r="B1647" s="11" t="str">
        <f>HYPERLINK("https://twitter.com/amironline97","@amironline97")</f>
        <v>@amironline97</v>
      </c>
      <c r="C1647" s="6" t="s">
        <v>2186</v>
      </c>
      <c r="D1647" s="5" t="s">
        <v>3417</v>
      </c>
      <c r="E1647" s="9" t="str">
        <f>HYPERLINK("https://twitter.com/amironline97/status/1045232309891461121","1045232309891461121")</f>
        <v>1045232309891461121</v>
      </c>
      <c r="F1647" s="4"/>
      <c r="G1647" s="4"/>
      <c r="H1647" s="4"/>
      <c r="I1647" s="10" t="str">
        <f>HYPERLINK("http://twitter.com/download/android","Twitter for Android")</f>
        <v>Twitter for Android</v>
      </c>
      <c r="J1647" s="2">
        <v>550</v>
      </c>
      <c r="K1647" s="2">
        <v>514</v>
      </c>
      <c r="L1647" s="2">
        <v>1</v>
      </c>
      <c r="M1647" s="2"/>
      <c r="N1647" s="8">
        <v>43290.406493055554</v>
      </c>
      <c r="O1647" s="4"/>
      <c r="P1647" s="3" t="s">
        <v>3416</v>
      </c>
      <c r="Q1647" s="4"/>
      <c r="R1647" s="4"/>
      <c r="S1647" s="9" t="str">
        <f>HYPERLINK("https://pbs.twimg.com/profile_images/1038069330288758789/2xty9X7J.jpg","View")</f>
        <v>View</v>
      </c>
    </row>
    <row r="1648" spans="1:19" ht="12.5">
      <c r="A1648" s="8">
        <v>43370.508553240739</v>
      </c>
      <c r="B1648" s="11" t="str">
        <f>HYPERLINK("https://twitter.com/Mahanmehrabi1","@Mahanmehrabi1")</f>
        <v>@Mahanmehrabi1</v>
      </c>
      <c r="C1648" s="6" t="s">
        <v>3415</v>
      </c>
      <c r="D1648" s="5" t="s">
        <v>3414</v>
      </c>
      <c r="E1648" s="9" t="str">
        <f>HYPERLINK("https://twitter.com/Mahanmehrabi1/status/1045232154698010624","1045232154698010624")</f>
        <v>1045232154698010624</v>
      </c>
      <c r="F1648" s="4"/>
      <c r="G1648" s="10" t="s">
        <v>3413</v>
      </c>
      <c r="H1648" s="4"/>
      <c r="I1648" s="10" t="str">
        <f>HYPERLINK("http://twitter.com/download/android","Twitter for Android")</f>
        <v>Twitter for Android</v>
      </c>
      <c r="J1648" s="2">
        <v>1252</v>
      </c>
      <c r="K1648" s="2">
        <v>1299</v>
      </c>
      <c r="L1648" s="2">
        <v>1</v>
      </c>
      <c r="M1648" s="2"/>
      <c r="N1648" s="8">
        <v>43263.517557870371</v>
      </c>
      <c r="O1648" s="4"/>
      <c r="P1648" s="3" t="s">
        <v>3412</v>
      </c>
      <c r="Q1648" s="4"/>
      <c r="R1648" s="4"/>
      <c r="S1648" s="9" t="str">
        <f>HYPERLINK("https://pbs.twimg.com/profile_images/1006446723202469888/vzEqzQDE.jpg","View")</f>
        <v>View</v>
      </c>
    </row>
    <row r="1649" spans="1:19" ht="20">
      <c r="A1649" s="8">
        <v>43370.50844907407</v>
      </c>
      <c r="B1649" s="11" t="str">
        <f>HYPERLINK("https://twitter.com/mocha_bano","@mocha_bano")</f>
        <v>@mocha_bano</v>
      </c>
      <c r="C1649" s="6" t="s">
        <v>3411</v>
      </c>
      <c r="D1649" s="5" t="s">
        <v>3410</v>
      </c>
      <c r="E1649" s="9" t="str">
        <f>HYPERLINK("https://twitter.com/mocha_bano/status/1045232114063609861","1045232114063609861")</f>
        <v>1045232114063609861</v>
      </c>
      <c r="F1649" s="4"/>
      <c r="G1649" s="10" t="s">
        <v>3409</v>
      </c>
      <c r="H1649" s="4"/>
      <c r="I1649" s="10" t="str">
        <f>HYPERLINK("http://twitter.com/download/android","Twitter for Android")</f>
        <v>Twitter for Android</v>
      </c>
      <c r="J1649" s="2">
        <v>1035</v>
      </c>
      <c r="K1649" s="2">
        <v>380</v>
      </c>
      <c r="L1649" s="2">
        <v>6</v>
      </c>
      <c r="M1649" s="2"/>
      <c r="N1649" s="8">
        <v>43133.977638888886</v>
      </c>
      <c r="O1649" s="4"/>
      <c r="P1649" s="3" t="s">
        <v>3408</v>
      </c>
      <c r="Q1649" s="10" t="s">
        <v>3407</v>
      </c>
      <c r="R1649" s="4"/>
      <c r="S1649" s="9" t="str">
        <f>HYPERLINK("https://pbs.twimg.com/profile_images/1045231972023508992/i0Sg4rEa.jpg","View")</f>
        <v>View</v>
      </c>
    </row>
    <row r="1650" spans="1:19" ht="30">
      <c r="A1650" s="8">
        <v>43370.508113425924</v>
      </c>
      <c r="B1650" s="11" t="str">
        <f>HYPERLINK("https://twitter.com/Mori_varid","@Mori_varid")</f>
        <v>@Mori_varid</v>
      </c>
      <c r="C1650" s="6" t="s">
        <v>3406</v>
      </c>
      <c r="D1650" s="5" t="s">
        <v>3405</v>
      </c>
      <c r="E1650" s="9" t="str">
        <f>HYPERLINK("https://twitter.com/Mori_varid/status/1045231995423531008","1045231995423531008")</f>
        <v>1045231995423531008</v>
      </c>
      <c r="F1650" s="4"/>
      <c r="G1650" s="4"/>
      <c r="H1650" s="4"/>
      <c r="I1650" s="10" t="str">
        <f>HYPERLINK("http://twitter.com/download/android","Twitter for Android")</f>
        <v>Twitter for Android</v>
      </c>
      <c r="J1650" s="2">
        <v>467</v>
      </c>
      <c r="K1650" s="2">
        <v>494</v>
      </c>
      <c r="L1650" s="2">
        <v>1</v>
      </c>
      <c r="M1650" s="2"/>
      <c r="N1650" s="8">
        <v>43325.082557870366</v>
      </c>
      <c r="O1650" s="4" t="s">
        <v>72</v>
      </c>
      <c r="P1650" s="3" t="s">
        <v>3404</v>
      </c>
      <c r="Q1650" s="4"/>
      <c r="R1650" s="4"/>
      <c r="S1650" s="9" t="str">
        <f>HYPERLINK("https://pbs.twimg.com/profile_images/1040124764378091520/YdkYzCOR.jpg","View")</f>
        <v>View</v>
      </c>
    </row>
    <row r="1651" spans="1:19" ht="40">
      <c r="A1651" s="8">
        <v>43370.506967592592</v>
      </c>
      <c r="B1651" s="11" t="str">
        <f>HYPERLINK("https://twitter.com/ArvanCloud","@ArvanCloud")</f>
        <v>@ArvanCloud</v>
      </c>
      <c r="C1651" s="6" t="s">
        <v>3403</v>
      </c>
      <c r="D1651" s="5" t="s">
        <v>3402</v>
      </c>
      <c r="E1651" s="9" t="str">
        <f>HYPERLINK("https://twitter.com/ArvanCloud/status/1045231579394641920","1045231579394641920")</f>
        <v>1045231579394641920</v>
      </c>
      <c r="F1651" s="10" t="s">
        <v>3401</v>
      </c>
      <c r="G1651" s="10" t="s">
        <v>3400</v>
      </c>
      <c r="H1651" s="4"/>
      <c r="I1651" s="10" t="str">
        <f>HYPERLINK("http://twitter.com/download/android","Twitter for Android")</f>
        <v>Twitter for Android</v>
      </c>
      <c r="J1651" s="2">
        <v>1046</v>
      </c>
      <c r="K1651" s="2">
        <v>44</v>
      </c>
      <c r="L1651" s="2">
        <v>10</v>
      </c>
      <c r="M1651" s="2"/>
      <c r="N1651" s="8">
        <v>42184.659942129627</v>
      </c>
      <c r="O1651" s="4" t="s">
        <v>72</v>
      </c>
      <c r="P1651" s="3" t="s">
        <v>3399</v>
      </c>
      <c r="Q1651" s="10" t="s">
        <v>3398</v>
      </c>
      <c r="R1651" s="4"/>
      <c r="S1651" s="9" t="str">
        <f>HYPERLINK("https://pbs.twimg.com/profile_images/843169591610101760/B-Em_Cm2.jpg","View")</f>
        <v>View</v>
      </c>
    </row>
    <row r="1652" spans="1:19" ht="30">
      <c r="A1652" s="8">
        <v>43370.506307870368</v>
      </c>
      <c r="B1652" s="11" t="str">
        <f>HYPERLINK("https://twitter.com/Mr_mottt","@Mr_mottt")</f>
        <v>@Mr_mottt</v>
      </c>
      <c r="C1652" s="6" t="s">
        <v>3397</v>
      </c>
      <c r="D1652" s="5" t="s">
        <v>3396</v>
      </c>
      <c r="E1652" s="9" t="str">
        <f>HYPERLINK("https://twitter.com/Mr_mottt/status/1045231341707677696","1045231341707677696")</f>
        <v>1045231341707677696</v>
      </c>
      <c r="F1652" s="4"/>
      <c r="G1652" s="4"/>
      <c r="H1652" s="4"/>
      <c r="I1652" s="10" t="str">
        <f>HYPERLINK("http://twitter.com/download/iphone","Twitter for iPhone")</f>
        <v>Twitter for iPhone</v>
      </c>
      <c r="J1652" s="2">
        <v>215</v>
      </c>
      <c r="K1652" s="2">
        <v>270</v>
      </c>
      <c r="L1652" s="2">
        <v>0</v>
      </c>
      <c r="M1652" s="2"/>
      <c r="N1652" s="8">
        <v>43232.482731481483</v>
      </c>
      <c r="O1652" s="4" t="s">
        <v>200</v>
      </c>
      <c r="P1652" s="3" t="s">
        <v>3395</v>
      </c>
      <c r="Q1652" s="4"/>
      <c r="R1652" s="4"/>
      <c r="S1652" s="9" t="str">
        <f>HYPERLINK("https://pbs.twimg.com/profile_images/1043835909798547457/nli_aZGt.jpg","View")</f>
        <v>View</v>
      </c>
    </row>
    <row r="1653" spans="1:19" ht="40">
      <c r="A1653" s="8">
        <v>43370.505636574075</v>
      </c>
      <c r="B1653" s="11" t="str">
        <f>HYPERLINK("https://twitter.com/sahar13676742","@sahar13676742")</f>
        <v>@sahar13676742</v>
      </c>
      <c r="C1653" s="6" t="s">
        <v>806</v>
      </c>
      <c r="D1653" s="5" t="s">
        <v>3394</v>
      </c>
      <c r="E1653" s="9" t="str">
        <f>HYPERLINK("https://twitter.com/sahar13676742/status/1045231097678901248","1045231097678901248")</f>
        <v>1045231097678901248</v>
      </c>
      <c r="F1653" s="4"/>
      <c r="G1653" s="4"/>
      <c r="H1653" s="4"/>
      <c r="I1653" s="10" t="str">
        <f>HYPERLINK("http://twitter.com/download/iphone","Twitter for iPhone")</f>
        <v>Twitter for iPhone</v>
      </c>
      <c r="J1653" s="2">
        <v>23</v>
      </c>
      <c r="K1653" s="2">
        <v>152</v>
      </c>
      <c r="L1653" s="2">
        <v>0</v>
      </c>
      <c r="M1653" s="2"/>
      <c r="N1653" s="8">
        <v>42914.913819444446</v>
      </c>
      <c r="O1653" s="4"/>
      <c r="P1653" s="3" t="s">
        <v>804</v>
      </c>
      <c r="Q1653" s="4"/>
      <c r="R1653" s="4"/>
      <c r="S1653" s="9" t="str">
        <f>HYPERLINK("https://pbs.twimg.com/profile_images/1042680297823891456/lxCu7jv1.jpg","View")</f>
        <v>View</v>
      </c>
    </row>
    <row r="1654" spans="1:19" ht="20">
      <c r="A1654" s="8">
        <v>43370.505324074074</v>
      </c>
      <c r="B1654" s="11" t="str">
        <f>HYPERLINK("https://twitter.com/zeYbVFIrS73xpRm","@zeYbVFIrS73xpRm")</f>
        <v>@zeYbVFIrS73xpRm</v>
      </c>
      <c r="C1654" s="6" t="s">
        <v>2606</v>
      </c>
      <c r="D1654" s="5" t="s">
        <v>3393</v>
      </c>
      <c r="E1654" s="9" t="str">
        <f>HYPERLINK("https://twitter.com/zeYbVFIrS73xpRm/status/1045230982423617536","1045230982423617536")</f>
        <v>1045230982423617536</v>
      </c>
      <c r="F1654" s="4"/>
      <c r="G1654" s="10" t="s">
        <v>3392</v>
      </c>
      <c r="H1654" s="4"/>
      <c r="I1654" s="10" t="str">
        <f>HYPERLINK("http://twitter.com/download/android","Twitter for Android")</f>
        <v>Twitter for Android</v>
      </c>
      <c r="J1654" s="2">
        <v>7</v>
      </c>
      <c r="K1654" s="2">
        <v>83</v>
      </c>
      <c r="L1654" s="2">
        <v>0</v>
      </c>
      <c r="M1654" s="2"/>
      <c r="N1654" s="8">
        <v>43349.569421296299</v>
      </c>
      <c r="O1654" s="4"/>
      <c r="P1654" s="3" t="s">
        <v>2604</v>
      </c>
      <c r="Q1654" s="4"/>
      <c r="R1654" s="4"/>
      <c r="S1654" s="9" t="str">
        <f>HYPERLINK("https://pbs.twimg.com/profile_images/1043049957966708739/mtzUk5dO.jpg","View")</f>
        <v>View</v>
      </c>
    </row>
    <row r="1655" spans="1:19" ht="70">
      <c r="A1655" s="8">
        <v>43370.504780092597</v>
      </c>
      <c r="B1655" s="11" t="str">
        <f>HYPERLINK("https://twitter.com/mahdii_58","@mahdii_58")</f>
        <v>@mahdii_58</v>
      </c>
      <c r="C1655" s="6" t="s">
        <v>1535</v>
      </c>
      <c r="D1655" s="5" t="s">
        <v>3391</v>
      </c>
      <c r="E1655" s="9" t="str">
        <f>HYPERLINK("https://twitter.com/mahdii_58/status/1045230785291329536","1045230785291329536")</f>
        <v>1045230785291329536</v>
      </c>
      <c r="F1655" s="4"/>
      <c r="G1655" s="4"/>
      <c r="H1655" s="4"/>
      <c r="I1655" s="10" t="str">
        <f>HYPERLINK("http://twitter.com","Twitter Web Client")</f>
        <v>Twitter Web Client</v>
      </c>
      <c r="J1655" s="2">
        <v>342</v>
      </c>
      <c r="K1655" s="2">
        <v>646</v>
      </c>
      <c r="L1655" s="2">
        <v>2</v>
      </c>
      <c r="M1655" s="2"/>
      <c r="N1655" s="8">
        <v>42894.222337962958</v>
      </c>
      <c r="O1655" s="4" t="s">
        <v>200</v>
      </c>
      <c r="P1655" s="3"/>
      <c r="Q1655" s="4"/>
      <c r="R1655" s="4"/>
      <c r="S1655" s="9" t="str">
        <f>HYPERLINK("https://pbs.twimg.com/profile_images/948614670155329537/GlFbvBfd.jpg","View")</f>
        <v>View</v>
      </c>
    </row>
    <row r="1656" spans="1:19" ht="20">
      <c r="A1656" s="8">
        <v>43370.504710648151</v>
      </c>
      <c r="B1656" s="11" t="str">
        <f>HYPERLINK("https://twitter.com/H_luigi","@H_luigi")</f>
        <v>@H_luigi</v>
      </c>
      <c r="C1656" s="6" t="s">
        <v>3390</v>
      </c>
      <c r="D1656" s="5" t="s">
        <v>3389</v>
      </c>
      <c r="E1656" s="9" t="str">
        <f>HYPERLINK("https://twitter.com/H_luigi/status/1045230762105147393","1045230762105147393")</f>
        <v>1045230762105147393</v>
      </c>
      <c r="F1656" s="4"/>
      <c r="G1656" s="4"/>
      <c r="H1656" s="4"/>
      <c r="I1656" s="10" t="str">
        <f>HYPERLINK("http://twitter.com/download/android","Twitter for Android")</f>
        <v>Twitter for Android</v>
      </c>
      <c r="J1656" s="2">
        <v>6156</v>
      </c>
      <c r="K1656" s="2">
        <v>538</v>
      </c>
      <c r="L1656" s="2">
        <v>35</v>
      </c>
      <c r="M1656" s="2"/>
      <c r="N1656" s="8">
        <v>41807.576689814814</v>
      </c>
      <c r="O1656" s="4" t="s">
        <v>3388</v>
      </c>
      <c r="P1656" s="3" t="s">
        <v>3387</v>
      </c>
      <c r="Q1656" s="4"/>
      <c r="R1656" s="4"/>
      <c r="S1656" s="9" t="str">
        <f>HYPERLINK("https://pbs.twimg.com/profile_images/1015873025185591296/SSN5fz3z.jpg","View")</f>
        <v>View</v>
      </c>
    </row>
    <row r="1657" spans="1:19" ht="12.5">
      <c r="A1657" s="8">
        <v>43370.504571759258</v>
      </c>
      <c r="B1657" s="11" t="str">
        <f>HYPERLINK("https://twitter.com/ColonelOli","@ColonelOli")</f>
        <v>@ColonelOli</v>
      </c>
      <c r="C1657" s="6" t="s">
        <v>3386</v>
      </c>
      <c r="D1657" s="5" t="s">
        <v>3385</v>
      </c>
      <c r="E1657" s="9" t="str">
        <f>HYPERLINK("https://twitter.com/ColonelOli/status/1045230710447960064","1045230710447960064")</f>
        <v>1045230710447960064</v>
      </c>
      <c r="F1657" s="4"/>
      <c r="G1657" s="4"/>
      <c r="H1657" s="4"/>
      <c r="I1657" s="10" t="str">
        <f>HYPERLINK("http://twitter.com","Twitter Web Client")</f>
        <v>Twitter Web Client</v>
      </c>
      <c r="J1657" s="2">
        <v>321</v>
      </c>
      <c r="K1657" s="2">
        <v>277</v>
      </c>
      <c r="L1657" s="2">
        <v>2</v>
      </c>
      <c r="M1657" s="2"/>
      <c r="N1657" s="8">
        <v>39991.678599537037</v>
      </c>
      <c r="O1657" s="4"/>
      <c r="P1657" s="3" t="s">
        <v>3384</v>
      </c>
      <c r="Q1657" s="4"/>
      <c r="R1657" s="4"/>
      <c r="S1657" s="9" t="str">
        <f>HYPERLINK("https://pbs.twimg.com/profile_images/1041284237905686529/GpF7bb2y.jpg","View")</f>
        <v>View</v>
      </c>
    </row>
    <row r="1658" spans="1:19" ht="30">
      <c r="A1658" s="8">
        <v>43370.504548611112</v>
      </c>
      <c r="B1658" s="11" t="str">
        <f>HYPERLINK("https://twitter.com/mskn313","@mskn313")</f>
        <v>@mskn313</v>
      </c>
      <c r="C1658" s="6" t="s">
        <v>3383</v>
      </c>
      <c r="D1658" s="5" t="s">
        <v>3382</v>
      </c>
      <c r="E1658" s="9" t="str">
        <f>HYPERLINK("https://twitter.com/mskn313/status/1045230701417811968","1045230701417811968")</f>
        <v>1045230701417811968</v>
      </c>
      <c r="F1658" s="4"/>
      <c r="G1658" s="4"/>
      <c r="H1658" s="4"/>
      <c r="I1658" s="10" t="str">
        <f>HYPERLINK("http://twitter.com/download/android","Twitter for Android")</f>
        <v>Twitter for Android</v>
      </c>
      <c r="J1658" s="2">
        <v>151</v>
      </c>
      <c r="K1658" s="2">
        <v>93</v>
      </c>
      <c r="L1658" s="2">
        <v>0</v>
      </c>
      <c r="M1658" s="2"/>
      <c r="N1658" s="8">
        <v>42854.040995370371</v>
      </c>
      <c r="O1658" s="4" t="s">
        <v>200</v>
      </c>
      <c r="P1658" s="3" t="s">
        <v>3381</v>
      </c>
      <c r="Q1658" s="4"/>
      <c r="R1658" s="4"/>
      <c r="S1658" s="9" t="str">
        <f>HYPERLINK("https://pbs.twimg.com/profile_images/1040596316219473923/Wu1F8Giy.jpg","View")</f>
        <v>View</v>
      </c>
    </row>
    <row r="1659" spans="1:19" ht="40">
      <c r="A1659" s="8">
        <v>43370.504178240742</v>
      </c>
      <c r="B1659" s="11" t="str">
        <f>HYPERLINK("https://twitter.com/AbOo_kqz","@AbOo_kqz")</f>
        <v>@AbOo_kqz</v>
      </c>
      <c r="C1659" s="6" t="s">
        <v>1533</v>
      </c>
      <c r="D1659" s="5" t="s">
        <v>3380</v>
      </c>
      <c r="E1659" s="9" t="str">
        <f>HYPERLINK("https://twitter.com/AbOo_kqz/status/1045230569729060864","1045230569729060864")</f>
        <v>1045230569729060864</v>
      </c>
      <c r="F1659" s="4"/>
      <c r="G1659" s="4"/>
      <c r="H1659" s="4"/>
      <c r="I1659" s="10" t="str">
        <f>HYPERLINK("http://twitter.com","Twitter Web Client")</f>
        <v>Twitter Web Client</v>
      </c>
      <c r="J1659" s="2">
        <v>43</v>
      </c>
      <c r="K1659" s="2">
        <v>113</v>
      </c>
      <c r="L1659" s="2">
        <v>0</v>
      </c>
      <c r="M1659" s="2"/>
      <c r="N1659" s="8">
        <v>42521.938738425924</v>
      </c>
      <c r="O1659" s="4" t="s">
        <v>1531</v>
      </c>
      <c r="P1659" s="3" t="s">
        <v>1530</v>
      </c>
      <c r="Q1659" s="4"/>
      <c r="R1659" s="4"/>
      <c r="S1659" s="9" t="str">
        <f>HYPERLINK("https://pbs.twimg.com/profile_images/737706601084157952/exyDQSiE.jpg","View")</f>
        <v>View</v>
      </c>
    </row>
    <row r="1660" spans="1:19" ht="20">
      <c r="A1660" s="8">
        <v>43370.503622685181</v>
      </c>
      <c r="B1660" s="11" t="str">
        <f>HYPERLINK("https://twitter.com/pouriiiz","@pouriiiz")</f>
        <v>@pouriiiz</v>
      </c>
      <c r="C1660" s="6" t="s">
        <v>3379</v>
      </c>
      <c r="D1660" s="5" t="s">
        <v>3378</v>
      </c>
      <c r="E1660" s="9" t="str">
        <f>HYPERLINK("https://twitter.com/pouriiiz/status/1045230364761960448","1045230364761960448")</f>
        <v>1045230364761960448</v>
      </c>
      <c r="F1660" s="4"/>
      <c r="G1660" s="10" t="s">
        <v>3377</v>
      </c>
      <c r="H1660" s="4"/>
      <c r="I1660" s="10" t="str">
        <f>HYPERLINK("http://twitter.com/download/iphone","Twitter for iPhone")</f>
        <v>Twitter for iPhone</v>
      </c>
      <c r="J1660" s="2">
        <v>35</v>
      </c>
      <c r="K1660" s="2">
        <v>47</v>
      </c>
      <c r="L1660" s="2">
        <v>0</v>
      </c>
      <c r="M1660" s="2"/>
      <c r="N1660" s="8">
        <v>40790.030509259261</v>
      </c>
      <c r="O1660" s="4"/>
      <c r="P1660" s="3" t="s">
        <v>3376</v>
      </c>
      <c r="Q1660" s="4"/>
      <c r="R1660" s="4"/>
      <c r="S1660" s="9" t="str">
        <f>HYPERLINK("https://pbs.twimg.com/profile_images/1044989557593255936/FtjDDbuw.jpg","View")</f>
        <v>View</v>
      </c>
    </row>
    <row r="1661" spans="1:19" ht="12.5">
      <c r="A1661" s="8">
        <v>43370.503414351857</v>
      </c>
      <c r="B1661" s="11" t="str">
        <f>HYPERLINK("https://twitter.com/FalschNote","@FalschNote")</f>
        <v>@FalschNote</v>
      </c>
      <c r="C1661" s="6" t="s">
        <v>3375</v>
      </c>
      <c r="D1661" s="5" t="s">
        <v>3374</v>
      </c>
      <c r="E1661" s="9" t="str">
        <f>HYPERLINK("https://twitter.com/FalschNote/status/1045230291009384448","1045230291009384448")</f>
        <v>1045230291009384448</v>
      </c>
      <c r="F1661" s="4"/>
      <c r="G1661" s="4"/>
      <c r="H1661" s="4"/>
      <c r="I1661" s="10" t="str">
        <f>HYPERLINK("http://twitter.com","Twitter Web Client")</f>
        <v>Twitter Web Client</v>
      </c>
      <c r="J1661" s="2">
        <v>276</v>
      </c>
      <c r="K1661" s="2">
        <v>410</v>
      </c>
      <c r="L1661" s="2">
        <v>11</v>
      </c>
      <c r="M1661" s="2"/>
      <c r="N1661" s="8">
        <v>41243.698379629626</v>
      </c>
      <c r="O1661" s="4" t="s">
        <v>3373</v>
      </c>
      <c r="P1661" s="3" t="s">
        <v>3372</v>
      </c>
      <c r="Q1661" s="4"/>
      <c r="R1661" s="4"/>
      <c r="S1661" s="9" t="str">
        <f>HYPERLINK("https://pbs.twimg.com/profile_images/2914845867/a8379b340d1a666d0e6dbcff42236ce3.jpeg","View")</f>
        <v>View</v>
      </c>
    </row>
    <row r="1662" spans="1:19" ht="40">
      <c r="A1662" s="8">
        <v>43370.503391203703</v>
      </c>
      <c r="B1662" s="11" t="str">
        <f>HYPERLINK("https://twitter.com/Gorbehnare","@Gorbehnare")</f>
        <v>@Gorbehnare</v>
      </c>
      <c r="C1662" s="6" t="s">
        <v>3371</v>
      </c>
      <c r="D1662" s="5" t="s">
        <v>3370</v>
      </c>
      <c r="E1662" s="9" t="str">
        <f>HYPERLINK("https://twitter.com/Gorbehnare/status/1045230280695369729","1045230280695369729")</f>
        <v>1045230280695369729</v>
      </c>
      <c r="F1662" s="4"/>
      <c r="G1662" s="4"/>
      <c r="H1662" s="4"/>
      <c r="I1662" s="10" t="str">
        <f>HYPERLINK("http://twitter.com","Twitter Web Client")</f>
        <v>Twitter Web Client</v>
      </c>
      <c r="J1662" s="2">
        <v>2679</v>
      </c>
      <c r="K1662" s="2">
        <v>2541</v>
      </c>
      <c r="L1662" s="2">
        <v>0</v>
      </c>
      <c r="M1662" s="2"/>
      <c r="N1662" s="8">
        <v>43221.925752314812</v>
      </c>
      <c r="O1662" s="4" t="s">
        <v>170</v>
      </c>
      <c r="P1662" s="3" t="s">
        <v>3369</v>
      </c>
      <c r="Q1662" s="4"/>
      <c r="R1662" s="4"/>
      <c r="S1662" s="9" t="str">
        <f>HYPERLINK("https://pbs.twimg.com/profile_images/1016769987132952576/U43Easfc.jpg","View")</f>
        <v>View</v>
      </c>
    </row>
    <row r="1663" spans="1:19" ht="30">
      <c r="A1663" s="8">
        <v>43370.503136574072</v>
      </c>
      <c r="B1663" s="11" t="str">
        <f>HYPERLINK("https://twitter.com/Gorge_Siyah","@Gorge_Siyah")</f>
        <v>@Gorge_Siyah</v>
      </c>
      <c r="C1663" s="6" t="s">
        <v>3368</v>
      </c>
      <c r="D1663" s="5" t="s">
        <v>3367</v>
      </c>
      <c r="E1663" s="9" t="str">
        <f>HYPERLINK("https://twitter.com/Gorge_Siyah/status/1045230191491076096","1045230191491076096")</f>
        <v>1045230191491076096</v>
      </c>
      <c r="F1663" s="4"/>
      <c r="G1663" s="4"/>
      <c r="H1663" s="4"/>
      <c r="I1663" s="10" t="str">
        <f>HYPERLINK("http://twitter.com","Twitter Web Client")</f>
        <v>Twitter Web Client</v>
      </c>
      <c r="J1663" s="2">
        <v>455</v>
      </c>
      <c r="K1663" s="2">
        <v>529</v>
      </c>
      <c r="L1663" s="2">
        <v>0</v>
      </c>
      <c r="M1663" s="2"/>
      <c r="N1663" s="8">
        <v>40997.02107638889</v>
      </c>
      <c r="O1663" s="4"/>
      <c r="P1663" s="3" t="s">
        <v>3366</v>
      </c>
      <c r="Q1663" s="4"/>
      <c r="R1663" s="4"/>
      <c r="S1663" s="9" t="str">
        <f>HYPERLINK("https://pbs.twimg.com/profile_images/487923242829484032/543hXfKP.jpeg","View")</f>
        <v>View</v>
      </c>
    </row>
    <row r="1664" spans="1:19" ht="20">
      <c r="A1664" s="8">
        <v>43370.502916666665</v>
      </c>
      <c r="B1664" s="11" t="str">
        <f>HYPERLINK("https://twitter.com/amir_m_reza","@amir_m_reza")</f>
        <v>@amir_m_reza</v>
      </c>
      <c r="C1664" s="6" t="s">
        <v>2734</v>
      </c>
      <c r="D1664" s="5" t="s">
        <v>3365</v>
      </c>
      <c r="E1664" s="9" t="str">
        <f>HYPERLINK("https://twitter.com/amir_m_reza/status/1045230109375057920","1045230109375057920")</f>
        <v>1045230109375057920</v>
      </c>
      <c r="F1664" s="4"/>
      <c r="G1664" s="4"/>
      <c r="H1664" s="4"/>
      <c r="I1664" s="10" t="str">
        <f>HYPERLINK("http://twitter.com/download/iphone","Twitter for iPhone")</f>
        <v>Twitter for iPhone</v>
      </c>
      <c r="J1664" s="2">
        <v>369</v>
      </c>
      <c r="K1664" s="2">
        <v>350</v>
      </c>
      <c r="L1664" s="2">
        <v>0</v>
      </c>
      <c r="M1664" s="2"/>
      <c r="N1664" s="8">
        <v>42509.61309027778</v>
      </c>
      <c r="O1664" s="4" t="s">
        <v>2732</v>
      </c>
      <c r="P1664" s="3" t="s">
        <v>2731</v>
      </c>
      <c r="Q1664" s="4"/>
      <c r="R1664" s="4"/>
      <c r="S1664" s="9" t="str">
        <f>HYPERLINK("https://pbs.twimg.com/profile_images/1041600369607036928/pNCb5LUu.jpg","View")</f>
        <v>View</v>
      </c>
    </row>
    <row r="1665" spans="1:19" ht="50">
      <c r="A1665" s="8">
        <v>43370.502037037033</v>
      </c>
      <c r="B1665" s="11" t="str">
        <f>HYPERLINK("https://twitter.com/psafipur","@psafipur")</f>
        <v>@psafipur</v>
      </c>
      <c r="C1665" s="6" t="s">
        <v>3364</v>
      </c>
      <c r="D1665" s="5" t="s">
        <v>3363</v>
      </c>
      <c r="E1665" s="9" t="str">
        <f>HYPERLINK("https://twitter.com/psafipur/status/1045229790259810306","1045229790259810306")</f>
        <v>1045229790259810306</v>
      </c>
      <c r="F1665" s="4"/>
      <c r="G1665" s="4"/>
      <c r="H1665" s="4"/>
      <c r="I1665" s="10" t="str">
        <f>HYPERLINK("http://twitter.com/download/android","Twitter for Android")</f>
        <v>Twitter for Android</v>
      </c>
      <c r="J1665" s="2">
        <v>105</v>
      </c>
      <c r="K1665" s="2">
        <v>174</v>
      </c>
      <c r="L1665" s="2">
        <v>0</v>
      </c>
      <c r="M1665" s="2"/>
      <c r="N1665" s="8">
        <v>43295.075335648144</v>
      </c>
      <c r="O1665" s="4"/>
      <c r="P1665" s="3"/>
      <c r="Q1665" s="4"/>
      <c r="R1665" s="4"/>
      <c r="S1665" s="9" t="str">
        <f>HYPERLINK("https://pbs.twimg.com/profile_images/1030155812579303426/RsZ2DYk9.jpg","View")</f>
        <v>View</v>
      </c>
    </row>
    <row r="1666" spans="1:19" ht="20">
      <c r="A1666" s="8">
        <v>43370.50199074074</v>
      </c>
      <c r="B1666" s="11" t="str">
        <f>HYPERLINK("https://twitter.com/abraindeadc","@abraindeadc")</f>
        <v>@abraindeadc</v>
      </c>
      <c r="C1666" s="6" t="s">
        <v>3362</v>
      </c>
      <c r="D1666" s="5" t="s">
        <v>3361</v>
      </c>
      <c r="E1666" s="9" t="str">
        <f>HYPERLINK("https://twitter.com/abraindeadc/status/1045229773381914625","1045229773381914625")</f>
        <v>1045229773381914625</v>
      </c>
      <c r="F1666" s="4"/>
      <c r="G1666" s="10" t="s">
        <v>3360</v>
      </c>
      <c r="H1666" s="4"/>
      <c r="I1666" s="10" t="str">
        <f>HYPERLINK("http://twitter.com/download/android","Twitter for Android")</f>
        <v>Twitter for Android</v>
      </c>
      <c r="J1666" s="2">
        <v>572</v>
      </c>
      <c r="K1666" s="2">
        <v>941</v>
      </c>
      <c r="L1666" s="2">
        <v>0</v>
      </c>
      <c r="M1666" s="2"/>
      <c r="N1666" s="8">
        <v>41841.399131944447</v>
      </c>
      <c r="O1666" s="4" t="s">
        <v>3359</v>
      </c>
      <c r="P1666" s="3" t="s">
        <v>3358</v>
      </c>
      <c r="Q1666" s="4"/>
      <c r="R1666" s="4"/>
      <c r="S1666" s="9" t="str">
        <f>HYPERLINK("https://pbs.twimg.com/profile_images/1013731837326385153/BSO4aSik.jpg","View")</f>
        <v>View</v>
      </c>
    </row>
    <row r="1667" spans="1:19" ht="30">
      <c r="A1667" s="8">
        <v>43370.501979166671</v>
      </c>
      <c r="B1667" s="11" t="str">
        <f>HYPERLINK("https://twitter.com/bankvarzesh","@bankvarzesh")</f>
        <v>@bankvarzesh</v>
      </c>
      <c r="C1667" s="6" t="s">
        <v>3343</v>
      </c>
      <c r="D1667" s="5" t="s">
        <v>3357</v>
      </c>
      <c r="E1667" s="9" t="str">
        <f>HYPERLINK("https://twitter.com/bankvarzesh/status/1045229770743717888","1045229770743717888")</f>
        <v>1045229770743717888</v>
      </c>
      <c r="F1667" s="4"/>
      <c r="G1667" s="4"/>
      <c r="H1667" s="4"/>
      <c r="I1667" s="10" t="str">
        <f>HYPERLINK("http://twitter.com/download/android","Twitter for Android")</f>
        <v>Twitter for Android</v>
      </c>
      <c r="J1667" s="2">
        <v>333</v>
      </c>
      <c r="K1667" s="2">
        <v>86</v>
      </c>
      <c r="L1667" s="2">
        <v>0</v>
      </c>
      <c r="M1667" s="2"/>
      <c r="N1667" s="8">
        <v>42143.733622685184</v>
      </c>
      <c r="O1667" s="4"/>
      <c r="P1667" s="3" t="s">
        <v>3341</v>
      </c>
      <c r="Q1667" s="10" t="s">
        <v>3340</v>
      </c>
      <c r="R1667" s="4"/>
      <c r="S1667" s="9" t="str">
        <f>HYPERLINK("https://pbs.twimg.com/profile_images/1042759041007710208/jRKOV5Ze.jpg","View")</f>
        <v>View</v>
      </c>
    </row>
    <row r="1668" spans="1:19" ht="20">
      <c r="A1668" s="8">
        <v>43370.501493055555</v>
      </c>
      <c r="B1668" s="11" t="str">
        <f>HYPERLINK("https://twitter.com/boy77ka","@boy77ka")</f>
        <v>@boy77ka</v>
      </c>
      <c r="C1668" s="6" t="s">
        <v>3356</v>
      </c>
      <c r="D1668" s="5" t="s">
        <v>3355</v>
      </c>
      <c r="E1668" s="9" t="str">
        <f>HYPERLINK("https://twitter.com/boy77ka/status/1045229595295985664","1045229595295985664")</f>
        <v>1045229595295985664</v>
      </c>
      <c r="F1668" s="4"/>
      <c r="G1668" s="4"/>
      <c r="H1668" s="4"/>
      <c r="I1668" s="10" t="str">
        <f>HYPERLINK("http://twitter.com/download/iphone","Twitter for iPhone")</f>
        <v>Twitter for iPhone</v>
      </c>
      <c r="J1668" s="2">
        <v>288</v>
      </c>
      <c r="K1668" s="2">
        <v>429</v>
      </c>
      <c r="L1668" s="2">
        <v>0</v>
      </c>
      <c r="M1668" s="2"/>
      <c r="N1668" s="8">
        <v>42691.488425925927</v>
      </c>
      <c r="O1668" s="4"/>
      <c r="P1668" s="3" t="s">
        <v>3354</v>
      </c>
      <c r="Q1668" s="4"/>
      <c r="R1668" s="4"/>
      <c r="S1668" s="9" t="str">
        <f>HYPERLINK("https://pbs.twimg.com/profile_images/881882477501059072/mhiAllCn.jpg","View")</f>
        <v>View</v>
      </c>
    </row>
    <row r="1669" spans="1:19" ht="30">
      <c r="A1669" s="8">
        <v>43370.501041666663</v>
      </c>
      <c r="B1669" s="11" t="str">
        <f>HYPERLINK("https://twitter.com/rassool1359","@rassool1359")</f>
        <v>@rassool1359</v>
      </c>
      <c r="C1669" s="6" t="s">
        <v>3353</v>
      </c>
      <c r="D1669" s="5" t="s">
        <v>3352</v>
      </c>
      <c r="E1669" s="9" t="str">
        <f>HYPERLINK("https://twitter.com/rassool1359/status/1045229430539505664","1045229430539505664")</f>
        <v>1045229430539505664</v>
      </c>
      <c r="F1669" s="4"/>
      <c r="G1669" s="4"/>
      <c r="H1669" s="4"/>
      <c r="I1669" s="10" t="str">
        <f>HYPERLINK("https://mobile.twitter.com","Mobile Web (M2)")</f>
        <v>Mobile Web (M2)</v>
      </c>
      <c r="J1669" s="2">
        <v>781</v>
      </c>
      <c r="K1669" s="2">
        <v>231</v>
      </c>
      <c r="L1669" s="2">
        <v>2</v>
      </c>
      <c r="M1669" s="2"/>
      <c r="N1669" s="8">
        <v>42703.92701388889</v>
      </c>
      <c r="O1669" s="4"/>
      <c r="P1669" s="3"/>
      <c r="Q1669" s="4"/>
      <c r="R1669" s="4"/>
      <c r="S1669" s="9" t="str">
        <f>HYPERLINK("https://pbs.twimg.com/profile_images/955771338391683072/UsYcWSiy.jpg","View")</f>
        <v>View</v>
      </c>
    </row>
    <row r="1670" spans="1:19" ht="40">
      <c r="A1670" s="8">
        <v>43370.500833333332</v>
      </c>
      <c r="B1670" s="11" t="str">
        <f>HYPERLINK("https://twitter.com/madsbehi","@madsbehi")</f>
        <v>@madsbehi</v>
      </c>
      <c r="C1670" s="6" t="s">
        <v>3351</v>
      </c>
      <c r="D1670" s="5" t="s">
        <v>3350</v>
      </c>
      <c r="E1670" s="9" t="str">
        <f>HYPERLINK("https://twitter.com/madsbehi/status/1045229355838959616","1045229355838959616")</f>
        <v>1045229355838959616</v>
      </c>
      <c r="F1670" s="4"/>
      <c r="G1670" s="4"/>
      <c r="H1670" s="4"/>
      <c r="I1670" s="10" t="str">
        <f>HYPERLINK("http://twitter.com/download/android","Twitter for Android")</f>
        <v>Twitter for Android</v>
      </c>
      <c r="J1670" s="2">
        <v>562</v>
      </c>
      <c r="K1670" s="2">
        <v>565</v>
      </c>
      <c r="L1670" s="2">
        <v>1</v>
      </c>
      <c r="M1670" s="2"/>
      <c r="N1670" s="8">
        <v>42294.452013888891</v>
      </c>
      <c r="O1670" s="4"/>
      <c r="P1670" s="3" t="s">
        <v>3349</v>
      </c>
      <c r="Q1670" s="10" t="s">
        <v>3348</v>
      </c>
      <c r="R1670" s="4"/>
      <c r="S1670" s="9" t="str">
        <f>HYPERLINK("https://pbs.twimg.com/profile_images/919088277537394688/hd4TxUhG.jpg","View")</f>
        <v>View</v>
      </c>
    </row>
    <row r="1671" spans="1:19" ht="20">
      <c r="A1671" s="8">
        <v>43370.500775462962</v>
      </c>
      <c r="B1671" s="11" t="str">
        <f>HYPERLINK("https://twitter.com/giaalis","@giaalis")</f>
        <v>@giaalis</v>
      </c>
      <c r="C1671" s="6" t="s">
        <v>3347</v>
      </c>
      <c r="D1671" s="5" t="s">
        <v>3346</v>
      </c>
      <c r="E1671" s="9" t="str">
        <f>HYPERLINK("https://twitter.com/giaalis/status/1045229336675192833","1045229336675192833")</f>
        <v>1045229336675192833</v>
      </c>
      <c r="F1671" s="4"/>
      <c r="G1671" s="4"/>
      <c r="H1671" s="4"/>
      <c r="I1671" s="10" t="str">
        <f>HYPERLINK("http://twitter.com/download/iphone","Twitter for iPhone")</f>
        <v>Twitter for iPhone</v>
      </c>
      <c r="J1671" s="2">
        <v>769</v>
      </c>
      <c r="K1671" s="2">
        <v>753</v>
      </c>
      <c r="L1671" s="2">
        <v>1</v>
      </c>
      <c r="M1671" s="2"/>
      <c r="N1671" s="8">
        <v>43123.496736111112</v>
      </c>
      <c r="O1671" s="4"/>
      <c r="P1671" s="3" t="s">
        <v>3345</v>
      </c>
      <c r="Q1671" s="4"/>
      <c r="R1671" s="4"/>
      <c r="S1671" s="9" t="str">
        <f>HYPERLINK("https://pbs.twimg.com/profile_images/1044909303327526913/NIa4ZjQV.jpg","View")</f>
        <v>View</v>
      </c>
    </row>
    <row r="1672" spans="1:19" ht="30">
      <c r="A1672" s="8">
        <v>43370.499479166669</v>
      </c>
      <c r="B1672" s="11" t="str">
        <f>HYPERLINK("https://twitter.com/Exprri","@Exprri")</f>
        <v>@Exprri</v>
      </c>
      <c r="C1672" s="6" t="s">
        <v>3267</v>
      </c>
      <c r="D1672" s="5" t="s">
        <v>3344</v>
      </c>
      <c r="E1672" s="9" t="str">
        <f>HYPERLINK("https://twitter.com/Exprri/status/1045228865050890240","1045228865050890240")</f>
        <v>1045228865050890240</v>
      </c>
      <c r="F1672" s="4"/>
      <c r="G1672" s="4"/>
      <c r="H1672" s="4"/>
      <c r="I1672" s="10" t="str">
        <f>HYPERLINK("http://twitter.com/download/android","Twitter for Android")</f>
        <v>Twitter for Android</v>
      </c>
      <c r="J1672" s="2">
        <v>1280</v>
      </c>
      <c r="K1672" s="2">
        <v>155</v>
      </c>
      <c r="L1672" s="2">
        <v>15</v>
      </c>
      <c r="M1672" s="2"/>
      <c r="N1672" s="8">
        <v>42426.072812500002</v>
      </c>
      <c r="O1672" s="4" t="s">
        <v>3265</v>
      </c>
      <c r="P1672" s="3" t="s">
        <v>3264</v>
      </c>
      <c r="Q1672" s="10" t="s">
        <v>3263</v>
      </c>
      <c r="R1672" s="4"/>
      <c r="S1672" s="9" t="str">
        <f>HYPERLINK("https://pbs.twimg.com/profile_images/1042248418318602240/_vMMZIrU.jpg","View")</f>
        <v>View</v>
      </c>
    </row>
    <row r="1673" spans="1:19" ht="30">
      <c r="A1673" s="8">
        <v>43370.49899305556</v>
      </c>
      <c r="B1673" s="11" t="str">
        <f>HYPERLINK("https://twitter.com/bankvarzesh","@bankvarzesh")</f>
        <v>@bankvarzesh</v>
      </c>
      <c r="C1673" s="6" t="s">
        <v>3343</v>
      </c>
      <c r="D1673" s="5" t="s">
        <v>3342</v>
      </c>
      <c r="E1673" s="9" t="str">
        <f>HYPERLINK("https://twitter.com/bankvarzesh/status/1045228690580418561","1045228690580418561")</f>
        <v>1045228690580418561</v>
      </c>
      <c r="F1673" s="4"/>
      <c r="G1673" s="4"/>
      <c r="H1673" s="4"/>
      <c r="I1673" s="10" t="str">
        <f>HYPERLINK("http://twitter.com/download/android","Twitter for Android")</f>
        <v>Twitter for Android</v>
      </c>
      <c r="J1673" s="2">
        <v>333</v>
      </c>
      <c r="K1673" s="2">
        <v>86</v>
      </c>
      <c r="L1673" s="2">
        <v>0</v>
      </c>
      <c r="M1673" s="2"/>
      <c r="N1673" s="8">
        <v>42143.733622685184</v>
      </c>
      <c r="O1673" s="4"/>
      <c r="P1673" s="3" t="s">
        <v>3341</v>
      </c>
      <c r="Q1673" s="10" t="s">
        <v>3340</v>
      </c>
      <c r="R1673" s="4"/>
      <c r="S1673" s="9" t="str">
        <f>HYPERLINK("https://pbs.twimg.com/profile_images/1042759041007710208/jRKOV5Ze.jpg","View")</f>
        <v>View</v>
      </c>
    </row>
    <row r="1674" spans="1:19" ht="12.5">
      <c r="A1674" s="8">
        <v>43370.498437499999</v>
      </c>
      <c r="B1674" s="11" t="str">
        <f>HYPERLINK("https://twitter.com/shogerdadi","@shogerdadi")</f>
        <v>@shogerdadi</v>
      </c>
      <c r="C1674" s="6" t="s">
        <v>3339</v>
      </c>
      <c r="D1674" s="5" t="s">
        <v>3338</v>
      </c>
      <c r="E1674" s="9" t="str">
        <f>HYPERLINK("https://twitter.com/shogerdadi/status/1045228488356179968","1045228488356179968")</f>
        <v>1045228488356179968</v>
      </c>
      <c r="F1674" s="4"/>
      <c r="G1674" s="4"/>
      <c r="H1674" s="4"/>
      <c r="I1674" s="10" t="str">
        <f>HYPERLINK("http://twitter.com/download/android","Twitter for Android")</f>
        <v>Twitter for Android</v>
      </c>
      <c r="J1674" s="2">
        <v>3861</v>
      </c>
      <c r="K1674" s="2">
        <v>989</v>
      </c>
      <c r="L1674" s="2">
        <v>12</v>
      </c>
      <c r="M1674" s="2"/>
      <c r="N1674" s="8">
        <v>42876.64335648148</v>
      </c>
      <c r="O1674" s="4" t="s">
        <v>3337</v>
      </c>
      <c r="P1674" s="3" t="s">
        <v>3336</v>
      </c>
      <c r="Q1674" s="10" t="s">
        <v>3335</v>
      </c>
      <c r="R1674" s="4"/>
      <c r="S1674" s="9" t="str">
        <f>HYPERLINK("https://pbs.twimg.com/profile_images/1044593280586010626/LmVfmrTm.jpg","View")</f>
        <v>View</v>
      </c>
    </row>
    <row r="1675" spans="1:19" ht="20">
      <c r="A1675" s="8">
        <v>43370.498437499999</v>
      </c>
      <c r="B1675" s="11" t="str">
        <f>HYPERLINK("https://twitter.com/Navidop","@Navidop")</f>
        <v>@Navidop</v>
      </c>
      <c r="C1675" s="6" t="s">
        <v>3332</v>
      </c>
      <c r="D1675" s="5" t="s">
        <v>3334</v>
      </c>
      <c r="E1675" s="9" t="str">
        <f>HYPERLINK("https://twitter.com/Navidop/status/1045228485961113600","1045228485961113600")</f>
        <v>1045228485961113600</v>
      </c>
      <c r="F1675" s="4"/>
      <c r="G1675" s="4"/>
      <c r="H1675" s="4"/>
      <c r="I1675" s="10" t="str">
        <f>HYPERLINK("http://twitter.com/download/iphone","Twitter for iPhone")</f>
        <v>Twitter for iPhone</v>
      </c>
      <c r="J1675" s="2">
        <v>289</v>
      </c>
      <c r="K1675" s="2">
        <v>139</v>
      </c>
      <c r="L1675" s="2">
        <v>5</v>
      </c>
      <c r="M1675" s="2"/>
      <c r="N1675" s="8">
        <v>40418.986331018517</v>
      </c>
      <c r="O1675" s="4" t="s">
        <v>3333</v>
      </c>
      <c r="P1675" s="3" t="s">
        <v>3332</v>
      </c>
      <c r="Q1675" s="4"/>
      <c r="R1675" s="4"/>
      <c r="S1675" s="9" t="str">
        <f>HYPERLINK("https://pbs.twimg.com/profile_images/481265286515937281/DyLh0z6I.jpeg","View")</f>
        <v>View</v>
      </c>
    </row>
    <row r="1676" spans="1:19" ht="12.5">
      <c r="A1676" s="8">
        <v>43370.49763888889</v>
      </c>
      <c r="B1676" s="11" t="str">
        <f>HYPERLINK("https://twitter.com/EParvizi","@EParvizi")</f>
        <v>@EParvizi</v>
      </c>
      <c r="C1676" s="6" t="s">
        <v>1606</v>
      </c>
      <c r="D1676" s="5" t="s">
        <v>3331</v>
      </c>
      <c r="E1676" s="9" t="str">
        <f>HYPERLINK("https://twitter.com/EParvizi/status/1045228196726075392","1045228196726075392")</f>
        <v>1045228196726075392</v>
      </c>
      <c r="F1676" s="4"/>
      <c r="G1676" s="10" t="s">
        <v>3330</v>
      </c>
      <c r="H1676" s="4"/>
      <c r="I1676" s="10" t="str">
        <f>HYPERLINK("http://twitter.com","Twitter Web Client")</f>
        <v>Twitter Web Client</v>
      </c>
      <c r="J1676" s="2">
        <v>161</v>
      </c>
      <c r="K1676" s="2">
        <v>286</v>
      </c>
      <c r="L1676" s="2">
        <v>0</v>
      </c>
      <c r="M1676" s="2"/>
      <c r="N1676" s="8">
        <v>40977.027222222227</v>
      </c>
      <c r="O1676" s="4" t="s">
        <v>414</v>
      </c>
      <c r="P1676" s="3" t="s">
        <v>1604</v>
      </c>
      <c r="Q1676" s="4"/>
      <c r="R1676" s="4"/>
      <c r="S1676" s="9" t="str">
        <f>HYPERLINK("https://pbs.twimg.com/profile_images/1015348509183053824/fKWrWIAP.jpg","View")</f>
        <v>View</v>
      </c>
    </row>
    <row r="1677" spans="1:19" ht="20">
      <c r="A1677" s="8">
        <v>43370.497210648144</v>
      </c>
      <c r="B1677" s="11" t="str">
        <f>HYPERLINK("https://twitter.com/alidadaaaaaa","@alidadaaaaaa")</f>
        <v>@alidadaaaaaa</v>
      </c>
      <c r="C1677" s="6" t="s">
        <v>2144</v>
      </c>
      <c r="D1677" s="5" t="s">
        <v>3329</v>
      </c>
      <c r="E1677" s="9" t="str">
        <f>HYPERLINK("https://twitter.com/alidadaaaaaa/status/1045228044938612736","1045228044938612736")</f>
        <v>1045228044938612736</v>
      </c>
      <c r="F1677" s="4"/>
      <c r="G1677" s="4"/>
      <c r="H1677" s="4"/>
      <c r="I1677" s="10" t="str">
        <f>HYPERLINK("http://twitter.com/download/iphone","Twitter for iPhone")</f>
        <v>Twitter for iPhone</v>
      </c>
      <c r="J1677" s="2">
        <v>7</v>
      </c>
      <c r="K1677" s="2">
        <v>76</v>
      </c>
      <c r="L1677" s="2">
        <v>0</v>
      </c>
      <c r="M1677" s="2"/>
      <c r="N1677" s="8">
        <v>43367.972395833334</v>
      </c>
      <c r="O1677" s="4"/>
      <c r="P1677" s="3"/>
      <c r="Q1677" s="4"/>
      <c r="R1677" s="4"/>
      <c r="S1677" s="9" t="str">
        <f>HYPERLINK("https://pbs.twimg.com/profile_images/1044316091311419392/sFG9SMB3.jpg","View")</f>
        <v>View</v>
      </c>
    </row>
    <row r="1678" spans="1:19" ht="20">
      <c r="A1678" s="8">
        <v>43370.497129629628</v>
      </c>
      <c r="B1678" s="11" t="str">
        <f>HYPERLINK("https://twitter.com/Hsabetnezhad","@Hsabetnezhad")</f>
        <v>@Hsabetnezhad</v>
      </c>
      <c r="C1678" s="6" t="s">
        <v>3328</v>
      </c>
      <c r="D1678" s="5" t="s">
        <v>3327</v>
      </c>
      <c r="E1678" s="9" t="str">
        <f>HYPERLINK("https://twitter.com/Hsabetnezhad/status/1045228014290841601","1045228014290841601")</f>
        <v>1045228014290841601</v>
      </c>
      <c r="F1678" s="4"/>
      <c r="G1678" s="4"/>
      <c r="H1678" s="4"/>
      <c r="I1678" s="10" t="str">
        <f>HYPERLINK("http://twitter.com/download/android","Twitter for Android")</f>
        <v>Twitter for Android</v>
      </c>
      <c r="J1678" s="2">
        <v>5</v>
      </c>
      <c r="K1678" s="2">
        <v>5</v>
      </c>
      <c r="L1678" s="2">
        <v>0</v>
      </c>
      <c r="M1678" s="2"/>
      <c r="N1678" s="8">
        <v>43312.482604166667</v>
      </c>
      <c r="O1678" s="4"/>
      <c r="P1678" s="3" t="s">
        <v>3326</v>
      </c>
      <c r="Q1678" s="4"/>
      <c r="R1678" s="4"/>
      <c r="S1678" s="9" t="str">
        <f>HYPERLINK("https://pbs.twimg.com/profile_images/1024191985555521538/exTqhQio.jpg","View")</f>
        <v>View</v>
      </c>
    </row>
    <row r="1679" spans="1:19" ht="20">
      <c r="A1679" s="8">
        <v>43370.49664351852</v>
      </c>
      <c r="B1679" s="11" t="str">
        <f>HYPERLINK("https://twitter.com/bebluepink","@bebluepink")</f>
        <v>@bebluepink</v>
      </c>
      <c r="C1679" s="6" t="s">
        <v>2610</v>
      </c>
      <c r="D1679" s="5" t="s">
        <v>3325</v>
      </c>
      <c r="E1679" s="9" t="str">
        <f>HYPERLINK("https://twitter.com/bebluepink/status/1045227835877728257","1045227835877728257")</f>
        <v>1045227835877728257</v>
      </c>
      <c r="F1679" s="4"/>
      <c r="G1679" s="4"/>
      <c r="H1679" s="4"/>
      <c r="I1679" s="10" t="str">
        <f>HYPERLINK("http://twitter.com/download/android","Twitter for Android")</f>
        <v>Twitter for Android</v>
      </c>
      <c r="J1679" s="2">
        <v>3115</v>
      </c>
      <c r="K1679" s="2">
        <v>685</v>
      </c>
      <c r="L1679" s="2">
        <v>16</v>
      </c>
      <c r="M1679" s="2"/>
      <c r="N1679" s="8">
        <v>43153.524976851855</v>
      </c>
      <c r="O1679" s="4" t="s">
        <v>2608</v>
      </c>
      <c r="P1679" s="3" t="s">
        <v>2607</v>
      </c>
      <c r="Q1679" s="4"/>
      <c r="R1679" s="4"/>
      <c r="S1679" s="9" t="str">
        <f>HYPERLINK("https://pbs.twimg.com/profile_images/1045187748158672896/UxRdCVB9.jpg","View")</f>
        <v>View</v>
      </c>
    </row>
    <row r="1680" spans="1:19" ht="20">
      <c r="A1680" s="8">
        <v>43370.496319444443</v>
      </c>
      <c r="B1680" s="11" t="str">
        <f>HYPERLINK("https://twitter.com/Jandaghof","@Jandaghof")</f>
        <v>@Jandaghof</v>
      </c>
      <c r="C1680" s="6" t="s">
        <v>3324</v>
      </c>
      <c r="D1680" s="5" t="s">
        <v>3323</v>
      </c>
      <c r="E1680" s="9" t="str">
        <f>HYPERLINK("https://twitter.com/Jandaghof/status/1045227720140095491","1045227720140095491")</f>
        <v>1045227720140095491</v>
      </c>
      <c r="F1680" s="4"/>
      <c r="G1680" s="4"/>
      <c r="H1680" s="4"/>
      <c r="I1680" s="10" t="str">
        <f>HYPERLINK("http://twitter.com/download/iphone","Twitter for iPhone")</f>
        <v>Twitter for iPhone</v>
      </c>
      <c r="J1680" s="2">
        <v>3140</v>
      </c>
      <c r="K1680" s="2">
        <v>282</v>
      </c>
      <c r="L1680" s="2">
        <v>24</v>
      </c>
      <c r="M1680" s="2"/>
      <c r="N1680" s="8">
        <v>42595.070104166662</v>
      </c>
      <c r="O1680" s="4"/>
      <c r="P1680" s="3" t="s">
        <v>3322</v>
      </c>
      <c r="Q1680" s="4"/>
      <c r="R1680" s="4"/>
      <c r="S1680" s="9" t="str">
        <f>HYPERLINK("https://pbs.twimg.com/profile_images/1030484885499244546/aDPlaz4F.jpg","View")</f>
        <v>View</v>
      </c>
    </row>
    <row r="1681" spans="1:19" ht="12.5">
      <c r="A1681" s="8">
        <v>43370.496076388888</v>
      </c>
      <c r="B1681" s="11" t="str">
        <f>HYPERLINK("https://twitter.com/dara_nesari","@dara_nesari")</f>
        <v>@dara_nesari</v>
      </c>
      <c r="C1681" s="6" t="s">
        <v>3321</v>
      </c>
      <c r="D1681" s="5" t="s">
        <v>3320</v>
      </c>
      <c r="E1681" s="9" t="str">
        <f>HYPERLINK("https://twitter.com/dara_nesari/status/1045227633221480449","1045227633221480449")</f>
        <v>1045227633221480449</v>
      </c>
      <c r="F1681" s="4"/>
      <c r="G1681" s="4"/>
      <c r="H1681" s="4"/>
      <c r="I1681" s="10" t="str">
        <f>HYPERLINK("http://twitter.com/download/iphone","Twitter for iPhone")</f>
        <v>Twitter for iPhone</v>
      </c>
      <c r="J1681" s="2">
        <v>388</v>
      </c>
      <c r="K1681" s="2">
        <v>161</v>
      </c>
      <c r="L1681" s="2">
        <v>0</v>
      </c>
      <c r="M1681" s="2"/>
      <c r="N1681" s="8">
        <v>42923.019687499997</v>
      </c>
      <c r="O1681" s="4"/>
      <c r="P1681" s="3" t="s">
        <v>3319</v>
      </c>
      <c r="Q1681" s="4"/>
      <c r="R1681" s="4"/>
      <c r="S1681" s="9" t="str">
        <f>HYPERLINK("https://pbs.twimg.com/profile_images/883053806560399360/uzm-_OCM.jpg","View")</f>
        <v>View</v>
      </c>
    </row>
    <row r="1682" spans="1:19" ht="40">
      <c r="A1682" s="8">
        <v>43370.495821759258</v>
      </c>
      <c r="B1682" s="11" t="str">
        <f>HYPERLINK("https://twitter.com/valerian_2018","@valerian_2018")</f>
        <v>@valerian_2018</v>
      </c>
      <c r="C1682" s="6" t="s">
        <v>1931</v>
      </c>
      <c r="D1682" s="5" t="s">
        <v>3318</v>
      </c>
      <c r="E1682" s="9" t="str">
        <f>HYPERLINK("https://twitter.com/valerian_2018/status/1045227539961122816","1045227539961122816")</f>
        <v>1045227539961122816</v>
      </c>
      <c r="F1682" s="4"/>
      <c r="G1682" s="4"/>
      <c r="H1682" s="4"/>
      <c r="I1682" s="10" t="str">
        <f>HYPERLINK("http://twitter.com/download/android","Twitter for Android")</f>
        <v>Twitter for Android</v>
      </c>
      <c r="J1682" s="2">
        <v>324</v>
      </c>
      <c r="K1682" s="2">
        <v>244</v>
      </c>
      <c r="L1682" s="2">
        <v>1</v>
      </c>
      <c r="M1682" s="2"/>
      <c r="N1682" s="8">
        <v>43321.443287037036</v>
      </c>
      <c r="O1682" s="4"/>
      <c r="P1682" s="3" t="s">
        <v>1927</v>
      </c>
      <c r="Q1682" s="4"/>
      <c r="R1682" s="4"/>
      <c r="S1682" s="9" t="str">
        <f>HYPERLINK("https://pbs.twimg.com/profile_images/1039790514252537856/pNpGX6Nr.jpg","View")</f>
        <v>View</v>
      </c>
    </row>
    <row r="1683" spans="1:19" ht="30">
      <c r="A1683" s="8">
        <v>43370.495763888888</v>
      </c>
      <c r="B1683" s="11" t="str">
        <f>HYPERLINK("https://twitter.com/Gilmour_Pedram","@Gilmour_Pedram")</f>
        <v>@Gilmour_Pedram</v>
      </c>
      <c r="C1683" s="6" t="s">
        <v>3317</v>
      </c>
      <c r="D1683" s="5" t="s">
        <v>3316</v>
      </c>
      <c r="E1683" s="9" t="str">
        <f>HYPERLINK("https://twitter.com/Gilmour_Pedram/status/1045227516749914118","1045227516749914118")</f>
        <v>1045227516749914118</v>
      </c>
      <c r="F1683" s="4"/>
      <c r="G1683" s="4"/>
      <c r="H1683" s="4"/>
      <c r="I1683" s="10" t="str">
        <f>HYPERLINK("http://twitter.com/download/iphone","Twitter for iPhone")</f>
        <v>Twitter for iPhone</v>
      </c>
      <c r="J1683" s="2">
        <v>401</v>
      </c>
      <c r="K1683" s="2">
        <v>650</v>
      </c>
      <c r="L1683" s="2">
        <v>7</v>
      </c>
      <c r="M1683" s="2"/>
      <c r="N1683" s="8">
        <v>42483.976979166662</v>
      </c>
      <c r="O1683" s="4"/>
      <c r="P1683" s="3" t="s">
        <v>3315</v>
      </c>
      <c r="Q1683" s="4"/>
      <c r="R1683" s="4"/>
      <c r="S1683" s="9" t="str">
        <f>HYPERLINK("https://pbs.twimg.com/profile_images/950590181450633216/ckmLtqV0.jpg","View")</f>
        <v>View</v>
      </c>
    </row>
    <row r="1684" spans="1:19" ht="20">
      <c r="A1684" s="8">
        <v>43370.495648148149</v>
      </c>
      <c r="B1684" s="11" t="str">
        <f>HYPERLINK("https://twitter.com/entezar_1991","@entezar_1991")</f>
        <v>@entezar_1991</v>
      </c>
      <c r="C1684" s="6" t="s">
        <v>3314</v>
      </c>
      <c r="D1684" s="5" t="s">
        <v>3313</v>
      </c>
      <c r="E1684" s="9" t="str">
        <f>HYPERLINK("https://twitter.com/entezar_1991/status/1045227477126320128","1045227477126320128")</f>
        <v>1045227477126320128</v>
      </c>
      <c r="F1684" s="4"/>
      <c r="G1684" s="4"/>
      <c r="H1684" s="4"/>
      <c r="I1684" s="10" t="str">
        <f>HYPERLINK("http://twitter.com/download/android","Twitter for Android")</f>
        <v>Twitter for Android</v>
      </c>
      <c r="J1684" s="2">
        <v>1483</v>
      </c>
      <c r="K1684" s="2">
        <v>984</v>
      </c>
      <c r="L1684" s="2">
        <v>9</v>
      </c>
      <c r="M1684" s="2"/>
      <c r="N1684" s="8">
        <v>42917.917511574073</v>
      </c>
      <c r="O1684" s="4" t="s">
        <v>3312</v>
      </c>
      <c r="P1684" s="3" t="s">
        <v>3311</v>
      </c>
      <c r="Q1684" s="4"/>
      <c r="R1684" s="4"/>
      <c r="S1684" s="9" t="str">
        <f>HYPERLINK("https://pbs.twimg.com/profile_images/1035796328721379328/At8R4fnO.jpg","View")</f>
        <v>View</v>
      </c>
    </row>
    <row r="1685" spans="1:19" ht="12.5">
      <c r="A1685" s="8">
        <v>43370.495104166665</v>
      </c>
      <c r="B1685" s="11" t="str">
        <f>HYPERLINK("https://twitter.com/Sohani_Amir","@Sohani_Amir")</f>
        <v>@Sohani_Amir</v>
      </c>
      <c r="C1685" s="6" t="s">
        <v>3310</v>
      </c>
      <c r="D1685" s="5" t="s">
        <v>3309</v>
      </c>
      <c r="E1685" s="9" t="str">
        <f>HYPERLINK("https://twitter.com/Sohani_Amir/status/1045227280602222592","1045227280602222592")</f>
        <v>1045227280602222592</v>
      </c>
      <c r="F1685" s="4"/>
      <c r="G1685" s="4"/>
      <c r="H1685" s="4"/>
      <c r="I1685" s="10" t="str">
        <f>HYPERLINK("http://twitter.com/download/iphone","Twitter for iPhone")</f>
        <v>Twitter for iPhone</v>
      </c>
      <c r="J1685" s="2">
        <v>246</v>
      </c>
      <c r="K1685" s="2">
        <v>258</v>
      </c>
      <c r="L1685" s="2">
        <v>2</v>
      </c>
      <c r="M1685" s="2"/>
      <c r="N1685" s="8">
        <v>41258.960370370369</v>
      </c>
      <c r="O1685" s="4" t="s">
        <v>3308</v>
      </c>
      <c r="P1685" s="3"/>
      <c r="Q1685" s="4"/>
      <c r="R1685" s="4"/>
      <c r="S1685" s="9" t="str">
        <f>HYPERLINK("https://pbs.twimg.com/profile_images/1014496147518435328/skJfx2Wi.jpg","View")</f>
        <v>View</v>
      </c>
    </row>
    <row r="1686" spans="1:19" ht="20">
      <c r="A1686" s="8">
        <v>43370.494537037041</v>
      </c>
      <c r="B1686" s="11" t="str">
        <f>HYPERLINK("https://twitter.com/kheng7496","@kheng7496")</f>
        <v>@kheng7496</v>
      </c>
      <c r="C1686" s="6" t="s">
        <v>3307</v>
      </c>
      <c r="D1686" s="5" t="s">
        <v>3306</v>
      </c>
      <c r="E1686" s="9" t="str">
        <f>HYPERLINK("https://twitter.com/kheng7496/status/1045227075119067136","1045227075119067136")</f>
        <v>1045227075119067136</v>
      </c>
      <c r="F1686" s="4"/>
      <c r="G1686" s="4"/>
      <c r="H1686" s="4"/>
      <c r="I1686" s="10" t="str">
        <f>HYPERLINK("http://twitter.com/download/android","Twitter for Android")</f>
        <v>Twitter for Android</v>
      </c>
      <c r="J1686" s="2">
        <v>52</v>
      </c>
      <c r="K1686" s="2">
        <v>50</v>
      </c>
      <c r="L1686" s="2">
        <v>0</v>
      </c>
      <c r="M1686" s="2"/>
      <c r="N1686" s="8">
        <v>43357.926168981481</v>
      </c>
      <c r="O1686" s="4" t="s">
        <v>10</v>
      </c>
      <c r="P1686" s="3"/>
      <c r="Q1686" s="4"/>
      <c r="R1686" s="4"/>
      <c r="S1686" s="9" t="str">
        <f>HYPERLINK("https://pbs.twimg.com/profile_images/1043191325976403968/jqFx0GlA.jpg","View")</f>
        <v>View</v>
      </c>
    </row>
    <row r="1687" spans="1:19" ht="20">
      <c r="A1687" s="8">
        <v>43370.493993055556</v>
      </c>
      <c r="B1687" s="11" t="str">
        <f>HYPERLINK("https://twitter.com/BazareShabake","@BazareShabake")</f>
        <v>@BazareShabake</v>
      </c>
      <c r="C1687" s="6" t="s">
        <v>3305</v>
      </c>
      <c r="D1687" s="5" t="s">
        <v>3304</v>
      </c>
      <c r="E1687" s="9" t="str">
        <f>HYPERLINK("https://twitter.com/BazareShabake/status/1045226876497788929","1045226876497788929")</f>
        <v>1045226876497788929</v>
      </c>
      <c r="F1687" s="4"/>
      <c r="G1687" s="4"/>
      <c r="H1687" s="4"/>
      <c r="I1687" s="10" t="str">
        <f>HYPERLINK("http://twitter.com","Twitter Web Client")</f>
        <v>Twitter Web Client</v>
      </c>
      <c r="J1687" s="2">
        <v>16</v>
      </c>
      <c r="K1687" s="2">
        <v>125</v>
      </c>
      <c r="L1687" s="2">
        <v>0</v>
      </c>
      <c r="M1687" s="2"/>
      <c r="N1687" s="8">
        <v>41006.004861111112</v>
      </c>
      <c r="O1687" s="4" t="s">
        <v>62</v>
      </c>
      <c r="P1687" s="3" t="s">
        <v>3303</v>
      </c>
      <c r="Q1687" s="10" t="s">
        <v>3302</v>
      </c>
      <c r="R1687" s="4"/>
      <c r="S1687" s="9" t="str">
        <f>HYPERLINK("https://pbs.twimg.com/profile_images/1038128316350455809/8ao5MIKk.jpg","View")</f>
        <v>View</v>
      </c>
    </row>
    <row r="1688" spans="1:19" ht="12.5">
      <c r="A1688" s="8">
        <v>43370.493715277778</v>
      </c>
      <c r="B1688" s="11" t="str">
        <f>HYPERLINK("https://twitter.com/alireza1370_na","@alireza1370_na")</f>
        <v>@alireza1370_na</v>
      </c>
      <c r="C1688" s="6" t="s">
        <v>3301</v>
      </c>
      <c r="D1688" s="5" t="s">
        <v>3300</v>
      </c>
      <c r="E1688" s="9" t="str">
        <f>HYPERLINK("https://twitter.com/alireza1370_na/status/1045226775834492928","1045226775834492928")</f>
        <v>1045226775834492928</v>
      </c>
      <c r="F1688" s="4"/>
      <c r="G1688" s="4"/>
      <c r="H1688" s="4"/>
      <c r="I1688" s="10" t="str">
        <f>HYPERLINK("http://twitter.com","Twitter Web Client")</f>
        <v>Twitter Web Client</v>
      </c>
      <c r="J1688" s="2">
        <v>579</v>
      </c>
      <c r="K1688" s="2">
        <v>1270</v>
      </c>
      <c r="L1688" s="2">
        <v>0</v>
      </c>
      <c r="M1688" s="2"/>
      <c r="N1688" s="8">
        <v>43270.714942129634</v>
      </c>
      <c r="O1688" s="4" t="s">
        <v>55</v>
      </c>
      <c r="P1688" s="3" t="s">
        <v>3299</v>
      </c>
      <c r="Q1688" s="4"/>
      <c r="R1688" s="4"/>
      <c r="S1688" s="9" t="str">
        <f>HYPERLINK("https://pbs.twimg.com/profile_images/1044543400614055942/IXpi4w1t.jpg","View")</f>
        <v>View</v>
      </c>
    </row>
    <row r="1689" spans="1:19" ht="20">
      <c r="A1689" s="8">
        <v>43370.49355324074</v>
      </c>
      <c r="B1689" s="11" t="str">
        <f>HYPERLINK("https://twitter.com/alef_ein_alef","@alef_ein_alef")</f>
        <v>@alef_ein_alef</v>
      </c>
      <c r="C1689" s="6" t="s">
        <v>3298</v>
      </c>
      <c r="D1689" s="5" t="s">
        <v>3297</v>
      </c>
      <c r="E1689" s="9" t="str">
        <f>HYPERLINK("https://twitter.com/alef_ein_alef/status/1045226715625279488","1045226715625279488")</f>
        <v>1045226715625279488</v>
      </c>
      <c r="F1689" s="4"/>
      <c r="G1689" s="4"/>
      <c r="H1689" s="4"/>
      <c r="I1689" s="10" t="str">
        <f>HYPERLINK("http://twitter.com/download/android","Twitter for Android")</f>
        <v>Twitter for Android</v>
      </c>
      <c r="J1689" s="2">
        <v>102</v>
      </c>
      <c r="K1689" s="2">
        <v>349</v>
      </c>
      <c r="L1689" s="2">
        <v>0</v>
      </c>
      <c r="M1689" s="2"/>
      <c r="N1689" s="8">
        <v>43106.115266203706</v>
      </c>
      <c r="O1689" s="4"/>
      <c r="P1689" s="3" t="s">
        <v>3296</v>
      </c>
      <c r="Q1689" s="4"/>
      <c r="R1689" s="4"/>
      <c r="S1689" s="9" t="str">
        <f>HYPERLINK("https://pbs.twimg.com/profile_images/949420788087689216/cEbTOMqe.jpg","View")</f>
        <v>View</v>
      </c>
    </row>
    <row r="1690" spans="1:19" ht="20">
      <c r="A1690" s="8">
        <v>43370.493379629625</v>
      </c>
      <c r="B1690" s="11" t="str">
        <f>HYPERLINK("https://twitter.com/EBI_moradad","@EBI_moradad")</f>
        <v>@EBI_moradad</v>
      </c>
      <c r="C1690" s="6" t="s">
        <v>3295</v>
      </c>
      <c r="D1690" s="5" t="s">
        <v>3294</v>
      </c>
      <c r="E1690" s="9" t="str">
        <f>HYPERLINK("https://twitter.com/EBI_moradad/status/1045226654673588229","1045226654673588229")</f>
        <v>1045226654673588229</v>
      </c>
      <c r="F1690" s="4"/>
      <c r="G1690" s="4"/>
      <c r="H1690" s="4"/>
      <c r="I1690" s="10" t="str">
        <f>HYPERLINK("http://twitter.com/download/android","Twitter for Android")</f>
        <v>Twitter for Android</v>
      </c>
      <c r="J1690" s="2">
        <v>5</v>
      </c>
      <c r="K1690" s="2">
        <v>57</v>
      </c>
      <c r="L1690" s="2">
        <v>0</v>
      </c>
      <c r="M1690" s="2"/>
      <c r="N1690" s="8">
        <v>42990.077418981484</v>
      </c>
      <c r="O1690" s="4" t="s">
        <v>62</v>
      </c>
      <c r="P1690" s="3" t="s">
        <v>3293</v>
      </c>
      <c r="Q1690" s="4"/>
      <c r="R1690" s="4"/>
      <c r="S1690" s="9" t="str">
        <f>HYPERLINK("https://pbs.twimg.com/profile_images/952308657143808000/xgDBRdBe.jpg","View")</f>
        <v>View</v>
      </c>
    </row>
    <row r="1691" spans="1:19" ht="20">
      <c r="A1691" s="8">
        <v>43370.492835648147</v>
      </c>
      <c r="B1691" s="11" t="str">
        <f>HYPERLINK("https://twitter.com/SMPrfa","@SMPrfa")</f>
        <v>@SMPrfa</v>
      </c>
      <c r="C1691" s="6" t="s">
        <v>1681</v>
      </c>
      <c r="D1691" s="5" t="s">
        <v>3292</v>
      </c>
      <c r="E1691" s="9" t="str">
        <f>HYPERLINK("https://twitter.com/SMPrfa/status/1045226455670632448","1045226455670632448")</f>
        <v>1045226455670632448</v>
      </c>
      <c r="F1691" s="4"/>
      <c r="G1691" s="4"/>
      <c r="H1691" s="4"/>
      <c r="I1691" s="10" t="str">
        <f>HYPERLINK("http://twitter.com/download/android","Twitter for Android")</f>
        <v>Twitter for Android</v>
      </c>
      <c r="J1691" s="2">
        <v>881</v>
      </c>
      <c r="K1691" s="2">
        <v>858</v>
      </c>
      <c r="L1691" s="2">
        <v>0</v>
      </c>
      <c r="M1691" s="2"/>
      <c r="N1691" s="8">
        <v>41640.805601851855</v>
      </c>
      <c r="O1691" s="4" t="s">
        <v>1679</v>
      </c>
      <c r="P1691" s="3" t="s">
        <v>1678</v>
      </c>
      <c r="Q1691" s="4"/>
      <c r="R1691" s="4"/>
      <c r="S1691" s="9" t="str">
        <f>HYPERLINK("https://pbs.twimg.com/profile_images/1043802255240105984/_1lAMvO8.jpg","View")</f>
        <v>View</v>
      </c>
    </row>
    <row r="1692" spans="1:19" ht="12.5">
      <c r="A1692" s="8">
        <v>43370.492627314816</v>
      </c>
      <c r="B1692" s="11" t="str">
        <f>HYPERLINK("https://twitter.com/sorena_87","@sorena_87")</f>
        <v>@sorena_87</v>
      </c>
      <c r="C1692" s="6" t="s">
        <v>3291</v>
      </c>
      <c r="D1692" s="5" t="s">
        <v>3290</v>
      </c>
      <c r="E1692" s="9" t="str">
        <f>HYPERLINK("https://twitter.com/sorena_87/status/1045226380429012992","1045226380429012992")</f>
        <v>1045226380429012992</v>
      </c>
      <c r="F1692" s="4"/>
      <c r="G1692" s="10" t="s">
        <v>3289</v>
      </c>
      <c r="H1692" s="4"/>
      <c r="I1692" s="10" t="str">
        <f>HYPERLINK("http://twitter.com/download/android","Twitter for Android")</f>
        <v>Twitter for Android</v>
      </c>
      <c r="J1692" s="2">
        <v>913</v>
      </c>
      <c r="K1692" s="2">
        <v>344</v>
      </c>
      <c r="L1692" s="2">
        <v>2</v>
      </c>
      <c r="M1692" s="2"/>
      <c r="N1692" s="8">
        <v>43259.198703703703</v>
      </c>
      <c r="O1692" s="4" t="s">
        <v>3288</v>
      </c>
      <c r="P1692" s="3" t="s">
        <v>3287</v>
      </c>
      <c r="Q1692" s="4"/>
      <c r="R1692" s="4"/>
      <c r="S1692" s="9" t="str">
        <f>HYPERLINK("https://pbs.twimg.com/profile_images/1038855406251122691/HJdxLX0O.jpg","View")</f>
        <v>View</v>
      </c>
    </row>
    <row r="1693" spans="1:19" ht="20">
      <c r="A1693" s="8">
        <v>43370.492615740739</v>
      </c>
      <c r="B1693" s="11" t="str">
        <f>HYPERLINK("https://twitter.com/viyagraa","@viyagraa")</f>
        <v>@viyagraa</v>
      </c>
      <c r="C1693" s="6" t="s">
        <v>3286</v>
      </c>
      <c r="D1693" s="5" t="s">
        <v>3285</v>
      </c>
      <c r="E1693" s="9" t="str">
        <f>HYPERLINK("https://twitter.com/viyagraa/status/1045226376813375490","1045226376813375490")</f>
        <v>1045226376813375490</v>
      </c>
      <c r="F1693" s="4"/>
      <c r="G1693" s="4"/>
      <c r="H1693" s="4"/>
      <c r="I1693" s="10" t="str">
        <f>HYPERLINK("http://twitter.com","Twitter Web Client")</f>
        <v>Twitter Web Client</v>
      </c>
      <c r="J1693" s="2">
        <v>149</v>
      </c>
      <c r="K1693" s="2">
        <v>1046</v>
      </c>
      <c r="L1693" s="2">
        <v>0</v>
      </c>
      <c r="M1693" s="2"/>
      <c r="N1693" s="8">
        <v>42914.156643518523</v>
      </c>
      <c r="O1693" s="4"/>
      <c r="P1693" s="3" t="s">
        <v>3284</v>
      </c>
      <c r="Q1693" s="4"/>
      <c r="R1693" s="4"/>
      <c r="S1693" s="9" t="str">
        <f>HYPERLINK("https://pbs.twimg.com/profile_images/1044266019819270144/c7V6Snk7.jpg","View")</f>
        <v>View</v>
      </c>
    </row>
    <row r="1694" spans="1:19" ht="12.5">
      <c r="A1694" s="8">
        <v>43370.492523148147</v>
      </c>
      <c r="B1694" s="11" t="str">
        <f>HYPERLINK("https://twitter.com/Amirhossein8Zh","@Amirhossein8Zh")</f>
        <v>@Amirhossein8Zh</v>
      </c>
      <c r="C1694" s="6" t="s">
        <v>3283</v>
      </c>
      <c r="D1694" s="5" t="s">
        <v>3282</v>
      </c>
      <c r="E1694" s="9" t="str">
        <f>HYPERLINK("https://twitter.com/Amirhossein8Zh/status/1045226345314373632","1045226345314373632")</f>
        <v>1045226345314373632</v>
      </c>
      <c r="F1694" s="4"/>
      <c r="G1694" s="10" t="s">
        <v>3281</v>
      </c>
      <c r="H1694" s="4"/>
      <c r="I1694" s="10" t="str">
        <f>HYPERLINK("http://twitter.com/download/android","Twitter for Android")</f>
        <v>Twitter for Android</v>
      </c>
      <c r="J1694" s="2">
        <v>315</v>
      </c>
      <c r="K1694" s="2">
        <v>292</v>
      </c>
      <c r="L1694" s="2">
        <v>0</v>
      </c>
      <c r="M1694" s="2"/>
      <c r="N1694" s="8">
        <v>42920.694930555561</v>
      </c>
      <c r="O1694" s="4" t="s">
        <v>3280</v>
      </c>
      <c r="P1694" s="3" t="s">
        <v>3279</v>
      </c>
      <c r="Q1694" s="4"/>
      <c r="R1694" s="4"/>
      <c r="S1694" s="9" t="str">
        <f>HYPERLINK("https://pbs.twimg.com/profile_images/1025144496571461632/DA656dOI.jpg","View")</f>
        <v>View</v>
      </c>
    </row>
    <row r="1695" spans="1:19" ht="12.5">
      <c r="A1695" s="8">
        <v>43370.492407407408</v>
      </c>
      <c r="B1695" s="11" t="str">
        <f>HYPERLINK("https://twitter.com/kiamehr136272","@kiamehr136272")</f>
        <v>@kiamehr136272</v>
      </c>
      <c r="C1695" s="6" t="s">
        <v>3278</v>
      </c>
      <c r="D1695" s="5" t="s">
        <v>3277</v>
      </c>
      <c r="E1695" s="9" t="str">
        <f>HYPERLINK("https://twitter.com/kiamehr136272/status/1045226300410089472","1045226300410089472")</f>
        <v>1045226300410089472</v>
      </c>
      <c r="F1695" s="4"/>
      <c r="G1695" s="4"/>
      <c r="H1695" s="4"/>
      <c r="I1695" s="10" t="str">
        <f>HYPERLINK("http://twitter.com/download/iphone","Twitter for iPhone")</f>
        <v>Twitter for iPhone</v>
      </c>
      <c r="J1695" s="2">
        <v>12</v>
      </c>
      <c r="K1695" s="2">
        <v>127</v>
      </c>
      <c r="L1695" s="2">
        <v>0</v>
      </c>
      <c r="M1695" s="2"/>
      <c r="N1695" s="8">
        <v>43329.596956018519</v>
      </c>
      <c r="O1695" s="4"/>
      <c r="P1695" s="3" t="s">
        <v>3276</v>
      </c>
      <c r="Q1695" s="4"/>
      <c r="R1695" s="4"/>
      <c r="S1695" s="9" t="str">
        <f>HYPERLINK("https://pbs.twimg.com/profile_images/1030392391440715776/6GG1wX3l.jpg","View")</f>
        <v>View</v>
      </c>
    </row>
    <row r="1696" spans="1:19" ht="30">
      <c r="A1696" s="8">
        <v>43370.491747685184</v>
      </c>
      <c r="B1696" s="11" t="str">
        <f>HYPERLINK("https://twitter.com/0paradoxam0","@0paradoxam0")</f>
        <v>@0paradoxam0</v>
      </c>
      <c r="C1696" s="6" t="s">
        <v>3275</v>
      </c>
      <c r="D1696" s="5" t="s">
        <v>3274</v>
      </c>
      <c r="E1696" s="9" t="str">
        <f>HYPERLINK("https://twitter.com/0paradoxam0/status/1045226064530804736","1045226064530804736")</f>
        <v>1045226064530804736</v>
      </c>
      <c r="F1696" s="4"/>
      <c r="G1696" s="4"/>
      <c r="H1696" s="4"/>
      <c r="I1696" s="10" t="str">
        <f>HYPERLINK("http://twitter.com/download/android","Twitter for Android")</f>
        <v>Twitter for Android</v>
      </c>
      <c r="J1696" s="2">
        <v>393</v>
      </c>
      <c r="K1696" s="2">
        <v>191</v>
      </c>
      <c r="L1696" s="2">
        <v>3</v>
      </c>
      <c r="M1696" s="2"/>
      <c r="N1696" s="8">
        <v>41837.599062499998</v>
      </c>
      <c r="O1696" s="4" t="s">
        <v>3273</v>
      </c>
      <c r="P1696" s="3" t="s">
        <v>3272</v>
      </c>
      <c r="Q1696" s="4"/>
      <c r="R1696" s="4"/>
      <c r="S1696" s="9" t="str">
        <f>HYPERLINK("https://pbs.twimg.com/profile_images/1042348187959341056/g1cF4SJi.jpg","View")</f>
        <v>View</v>
      </c>
    </row>
    <row r="1697" spans="1:19" ht="20">
      <c r="A1697" s="8">
        <v>43370.491435185184</v>
      </c>
      <c r="B1697" s="11" t="str">
        <f>HYPERLINK("https://twitter.com/khanoom_mahi","@khanoom_mahi")</f>
        <v>@khanoom_mahi</v>
      </c>
      <c r="C1697" s="6" t="s">
        <v>3271</v>
      </c>
      <c r="D1697" s="5" t="s">
        <v>3270</v>
      </c>
      <c r="E1697" s="9" t="str">
        <f>HYPERLINK("https://twitter.com/khanoom_mahi/status/1045225949615329280","1045225949615329280")</f>
        <v>1045225949615329280</v>
      </c>
      <c r="F1697" s="4"/>
      <c r="G1697" s="10" t="s">
        <v>3269</v>
      </c>
      <c r="H1697" s="4"/>
      <c r="I1697" s="10" t="str">
        <f>HYPERLINK("http://twitter.com/download/android","Twitter for Android")</f>
        <v>Twitter for Android</v>
      </c>
      <c r="J1697" s="2">
        <v>786</v>
      </c>
      <c r="K1697" s="2">
        <v>1160</v>
      </c>
      <c r="L1697" s="2">
        <v>0</v>
      </c>
      <c r="M1697" s="2"/>
      <c r="N1697" s="8">
        <v>43317.005057870367</v>
      </c>
      <c r="O1697" s="4" t="s">
        <v>200</v>
      </c>
      <c r="P1697" s="3" t="s">
        <v>3268</v>
      </c>
      <c r="Q1697" s="4"/>
      <c r="R1697" s="4"/>
      <c r="S1697" s="9" t="str">
        <f>HYPERLINK("https://pbs.twimg.com/profile_images/1039847277244891136/ppmHftVG.jpg","View")</f>
        <v>View</v>
      </c>
    </row>
    <row r="1698" spans="1:19" ht="12.5">
      <c r="A1698" s="8">
        <v>43370.491354166668</v>
      </c>
      <c r="B1698" s="11" t="str">
        <f>HYPERLINK("https://twitter.com/Exprri","@Exprri")</f>
        <v>@Exprri</v>
      </c>
      <c r="C1698" s="6" t="s">
        <v>3267</v>
      </c>
      <c r="D1698" s="5" t="s">
        <v>3266</v>
      </c>
      <c r="E1698" s="9" t="str">
        <f>HYPERLINK("https://twitter.com/Exprri/status/1045225920435564544","1045225920435564544")</f>
        <v>1045225920435564544</v>
      </c>
      <c r="F1698" s="4"/>
      <c r="G1698" s="4"/>
      <c r="H1698" s="4"/>
      <c r="I1698" s="10" t="str">
        <f>HYPERLINK("http://twitter.com/download/android","Twitter for Android")</f>
        <v>Twitter for Android</v>
      </c>
      <c r="J1698" s="2">
        <v>1280</v>
      </c>
      <c r="K1698" s="2">
        <v>155</v>
      </c>
      <c r="L1698" s="2">
        <v>15</v>
      </c>
      <c r="M1698" s="2"/>
      <c r="N1698" s="8">
        <v>42426.072812500002</v>
      </c>
      <c r="O1698" s="4" t="s">
        <v>3265</v>
      </c>
      <c r="P1698" s="3" t="s">
        <v>3264</v>
      </c>
      <c r="Q1698" s="10" t="s">
        <v>3263</v>
      </c>
      <c r="R1698" s="4"/>
      <c r="S1698" s="9" t="str">
        <f>HYPERLINK("https://pbs.twimg.com/profile_images/1042248418318602240/_vMMZIrU.jpg","View")</f>
        <v>View</v>
      </c>
    </row>
    <row r="1699" spans="1:19" ht="12.5">
      <c r="A1699" s="8">
        <v>43370.490115740744</v>
      </c>
      <c r="B1699" s="11" t="str">
        <f>HYPERLINK("https://twitter.com/Mobina_n1998","@Mobina_n1998")</f>
        <v>@Mobina_n1998</v>
      </c>
      <c r="C1699" s="6" t="s">
        <v>3262</v>
      </c>
      <c r="D1699" s="5" t="s">
        <v>3261</v>
      </c>
      <c r="E1699" s="9" t="str">
        <f>HYPERLINK("https://twitter.com/Mobina_n1998/status/1045225471955357696","1045225471955357696")</f>
        <v>1045225471955357696</v>
      </c>
      <c r="F1699" s="4"/>
      <c r="G1699" s="10" t="s">
        <v>3260</v>
      </c>
      <c r="H1699" s="4"/>
      <c r="I1699" s="10" t="str">
        <f>HYPERLINK("http://twitter.com/download/android","Twitter for Android")</f>
        <v>Twitter for Android</v>
      </c>
      <c r="J1699" s="2">
        <v>67</v>
      </c>
      <c r="K1699" s="2">
        <v>134</v>
      </c>
      <c r="L1699" s="2">
        <v>1</v>
      </c>
      <c r="M1699" s="2"/>
      <c r="N1699" s="8">
        <v>43342.490497685183</v>
      </c>
      <c r="O1699" s="4"/>
      <c r="P1699" s="3" t="s">
        <v>3259</v>
      </c>
      <c r="Q1699" s="4"/>
      <c r="R1699" s="4"/>
      <c r="S1699" s="9" t="str">
        <f>HYPERLINK("https://pbs.twimg.com/profile_images/1042474901779701761/GCq-PpXG.jpg","View")</f>
        <v>View</v>
      </c>
    </row>
    <row r="1700" spans="1:19" ht="30">
      <c r="A1700" s="8">
        <v>43370.49009259259</v>
      </c>
      <c r="B1700" s="11" t="str">
        <f>HYPERLINK("https://twitter.com/merylee91","@merylee91")</f>
        <v>@merylee91</v>
      </c>
      <c r="C1700" s="6" t="s">
        <v>3258</v>
      </c>
      <c r="D1700" s="5" t="s">
        <v>3257</v>
      </c>
      <c r="E1700" s="9" t="str">
        <f>HYPERLINK("https://twitter.com/merylee91/status/1045225465101905920","1045225465101905920")</f>
        <v>1045225465101905920</v>
      </c>
      <c r="F1700" s="4"/>
      <c r="G1700" s="4"/>
      <c r="H1700" s="4"/>
      <c r="I1700" s="10" t="str">
        <f>HYPERLINK("http://twitter.com/download/android","Twitter for Android")</f>
        <v>Twitter for Android</v>
      </c>
      <c r="J1700" s="2">
        <v>575</v>
      </c>
      <c r="K1700" s="2">
        <v>1164</v>
      </c>
      <c r="L1700" s="2">
        <v>4</v>
      </c>
      <c r="M1700" s="2"/>
      <c r="N1700" s="8">
        <v>42458.936747685184</v>
      </c>
      <c r="O1700" s="4" t="s">
        <v>3256</v>
      </c>
      <c r="P1700" s="3" t="s">
        <v>3255</v>
      </c>
      <c r="Q1700" s="4"/>
      <c r="R1700" s="4"/>
      <c r="S1700" s="9" t="str">
        <f>HYPERLINK("https://pbs.twimg.com/profile_images/1037669151429541888/SedC2TO5.jpg","View")</f>
        <v>View</v>
      </c>
    </row>
    <row r="1701" spans="1:19" ht="30">
      <c r="A1701" s="8">
        <v>43370.487974537042</v>
      </c>
      <c r="B1701" s="11" t="str">
        <f>HYPERLINK("https://twitter.com/piroozinews","@piroozinews")</f>
        <v>@piroozinews</v>
      </c>
      <c r="C1701" s="6" t="s">
        <v>764</v>
      </c>
      <c r="D1701" s="5" t="s">
        <v>3254</v>
      </c>
      <c r="E1701" s="9" t="str">
        <f>HYPERLINK("https://twitter.com/piroozinews/status/1045224694096560129","1045224694096560129")</f>
        <v>1045224694096560129</v>
      </c>
      <c r="F1701" s="4"/>
      <c r="G1701" s="4"/>
      <c r="H1701" s="4"/>
      <c r="I1701" s="10" t="str">
        <f>HYPERLINK("http://twitter.com","Twitter Web Client")</f>
        <v>Twitter Web Client</v>
      </c>
      <c r="J1701" s="2">
        <v>28756</v>
      </c>
      <c r="K1701" s="2">
        <v>31</v>
      </c>
      <c r="L1701" s="2">
        <v>245</v>
      </c>
      <c r="M1701" s="2"/>
      <c r="N1701" s="8">
        <v>42343.636840277773</v>
      </c>
      <c r="O1701" s="4" t="s">
        <v>762</v>
      </c>
      <c r="P1701" s="3" t="s">
        <v>761</v>
      </c>
      <c r="Q1701" s="10" t="s">
        <v>760</v>
      </c>
      <c r="R1701" s="4"/>
      <c r="S1701" s="9" t="str">
        <f>HYPERLINK("https://pbs.twimg.com/profile_images/1014483613310570497/0eFAC3lV.jpg","View")</f>
        <v>View</v>
      </c>
    </row>
    <row r="1702" spans="1:19" ht="30">
      <c r="A1702" s="8">
        <v>43370.487662037034</v>
      </c>
      <c r="B1702" s="11" t="str">
        <f>HYPERLINK("https://twitter.com/52Hertz_____","@52Hertz_____")</f>
        <v>@52Hertz_____</v>
      </c>
      <c r="C1702" s="6" t="s">
        <v>3253</v>
      </c>
      <c r="D1702" s="5" t="s">
        <v>3252</v>
      </c>
      <c r="E1702" s="9" t="str">
        <f>HYPERLINK("https://twitter.com/52Hertz_____/status/1045224580745515008","1045224580745515008")</f>
        <v>1045224580745515008</v>
      </c>
      <c r="F1702" s="4"/>
      <c r="G1702" s="4"/>
      <c r="H1702" s="4"/>
      <c r="I1702" s="10" t="str">
        <f>HYPERLINK("http://twitter.com/download/android","Twitter for Android")</f>
        <v>Twitter for Android</v>
      </c>
      <c r="J1702" s="2">
        <v>2</v>
      </c>
      <c r="K1702" s="2">
        <v>9</v>
      </c>
      <c r="L1702" s="2">
        <v>0</v>
      </c>
      <c r="M1702" s="2"/>
      <c r="N1702" s="8">
        <v>43369.501481481479</v>
      </c>
      <c r="O1702" s="4"/>
      <c r="P1702" s="3" t="s">
        <v>3251</v>
      </c>
      <c r="Q1702" s="4"/>
      <c r="R1702" s="4"/>
      <c r="S1702" s="9" t="str">
        <f>HYPERLINK("https://pbs.twimg.com/profile_images/1044884081216028672/CX6m7tOE.jpg","View")</f>
        <v>View</v>
      </c>
    </row>
    <row r="1703" spans="1:19" ht="50">
      <c r="A1703" s="8">
        <v>43370.487256944441</v>
      </c>
      <c r="B1703" s="11" t="str">
        <f>HYPERLINK("https://twitter.com/cafeark1","@cafeark1")</f>
        <v>@cafeark1</v>
      </c>
      <c r="C1703" s="6" t="s">
        <v>3250</v>
      </c>
      <c r="D1703" s="5" t="s">
        <v>3249</v>
      </c>
      <c r="E1703" s="9" t="str">
        <f>HYPERLINK("https://twitter.com/cafeark1/status/1045224435324735488","1045224435324735488")</f>
        <v>1045224435324735488</v>
      </c>
      <c r="F1703" s="10" t="s">
        <v>3248</v>
      </c>
      <c r="G1703" s="10" t="s">
        <v>3212</v>
      </c>
      <c r="H1703" s="4"/>
      <c r="I1703" s="10" t="str">
        <f>HYPERLINK("http://twitter.com/download/iphone","Twitter for iPhone")</f>
        <v>Twitter for iPhone</v>
      </c>
      <c r="J1703" s="2">
        <v>60</v>
      </c>
      <c r="K1703" s="2">
        <v>300</v>
      </c>
      <c r="L1703" s="2">
        <v>0</v>
      </c>
      <c r="M1703" s="2"/>
      <c r="N1703" s="8">
        <v>43368.95994212963</v>
      </c>
      <c r="O1703" s="4" t="s">
        <v>200</v>
      </c>
      <c r="P1703" s="3" t="s">
        <v>3247</v>
      </c>
      <c r="Q1703" s="4"/>
      <c r="R1703" s="4"/>
      <c r="S1703" s="9" t="str">
        <f>HYPERLINK("https://pbs.twimg.com/profile_images/1044672251138838528/qedz6RcS.jpg","View")</f>
        <v>View</v>
      </c>
    </row>
    <row r="1704" spans="1:19" ht="20">
      <c r="A1704" s="8">
        <v>43370.487210648149</v>
      </c>
      <c r="B1704" s="11" t="str">
        <f>HYPERLINK("https://twitter.com/BehnazMoghadas","@BehnazMoghadas")</f>
        <v>@BehnazMoghadas</v>
      </c>
      <c r="C1704" s="6" t="s">
        <v>3246</v>
      </c>
      <c r="D1704" s="5" t="s">
        <v>3245</v>
      </c>
      <c r="E1704" s="9" t="str">
        <f>HYPERLINK("https://twitter.com/BehnazMoghadas/status/1045224420984410112","1045224420984410112")</f>
        <v>1045224420984410112</v>
      </c>
      <c r="F1704" s="4"/>
      <c r="G1704" s="10" t="s">
        <v>3244</v>
      </c>
      <c r="H1704" s="4"/>
      <c r="I1704" s="10" t="str">
        <f>HYPERLINK("http://twitter.com/download/android","Twitter for Android")</f>
        <v>Twitter for Android</v>
      </c>
      <c r="J1704" s="2">
        <v>3575</v>
      </c>
      <c r="K1704" s="2">
        <v>129</v>
      </c>
      <c r="L1704" s="2">
        <v>3</v>
      </c>
      <c r="M1704" s="2"/>
      <c r="N1704" s="8">
        <v>41495.617951388893</v>
      </c>
      <c r="O1704" s="4"/>
      <c r="P1704" s="3" t="s">
        <v>3243</v>
      </c>
      <c r="Q1704" s="4"/>
      <c r="R1704" s="4"/>
      <c r="S1704" s="9" t="str">
        <f>HYPERLINK("https://pbs.twimg.com/profile_images/978593200083480577/dUWEDi7p.jpg","View")</f>
        <v>View</v>
      </c>
    </row>
    <row r="1705" spans="1:19" ht="20">
      <c r="A1705" s="8">
        <v>43370.487199074079</v>
      </c>
      <c r="B1705" s="11" t="str">
        <f>HYPERLINK("https://twitter.com/iamparhamm","@iamparhamm")</f>
        <v>@iamparhamm</v>
      </c>
      <c r="C1705" s="6" t="s">
        <v>1980</v>
      </c>
      <c r="D1705" s="5" t="s">
        <v>3242</v>
      </c>
      <c r="E1705" s="9" t="str">
        <f>HYPERLINK("https://twitter.com/iamparhamm/status/1045224413250154496","1045224413250154496")</f>
        <v>1045224413250154496</v>
      </c>
      <c r="F1705" s="4"/>
      <c r="G1705" s="10" t="s">
        <v>3241</v>
      </c>
      <c r="H1705" s="4"/>
      <c r="I1705" s="10" t="str">
        <f>HYPERLINK("http://twitter.com/download/iphone","Twitter for iPhone")</f>
        <v>Twitter for iPhone</v>
      </c>
      <c r="J1705" s="2">
        <v>3323</v>
      </c>
      <c r="K1705" s="2">
        <v>1230</v>
      </c>
      <c r="L1705" s="2">
        <v>21</v>
      </c>
      <c r="M1705" s="2"/>
      <c r="N1705" s="8">
        <v>41296.694791666669</v>
      </c>
      <c r="O1705" s="4" t="s">
        <v>254</v>
      </c>
      <c r="P1705" s="3" t="s">
        <v>1979</v>
      </c>
      <c r="Q1705" s="4"/>
      <c r="R1705" s="4"/>
      <c r="S1705" s="9" t="str">
        <f>HYPERLINK("https://pbs.twimg.com/profile_images/1023840240736366592/JpNNjF5R.jpg","View")</f>
        <v>View</v>
      </c>
    </row>
    <row r="1706" spans="1:19" ht="40">
      <c r="A1706" s="8">
        <v>43370.487083333333</v>
      </c>
      <c r="B1706" s="11" t="str">
        <f>HYPERLINK("https://twitter.com/Sajiofficial","@Sajiofficial")</f>
        <v>@Sajiofficial</v>
      </c>
      <c r="C1706" s="6" t="s">
        <v>3138</v>
      </c>
      <c r="D1706" s="5" t="s">
        <v>3240</v>
      </c>
      <c r="E1706" s="9" t="str">
        <f>HYPERLINK("https://twitter.com/Sajiofficial/status/1045224372741591041","1045224372741591041")</f>
        <v>1045224372741591041</v>
      </c>
      <c r="F1706" s="4"/>
      <c r="G1706" s="4"/>
      <c r="H1706" s="4"/>
      <c r="I1706" s="10" t="str">
        <f>HYPERLINK("http://twitter.com/download/android","Twitter for Android")</f>
        <v>Twitter for Android</v>
      </c>
      <c r="J1706" s="2">
        <v>68</v>
      </c>
      <c r="K1706" s="2">
        <v>172</v>
      </c>
      <c r="L1706" s="2">
        <v>0</v>
      </c>
      <c r="M1706" s="2"/>
      <c r="N1706" s="8">
        <v>43089.502071759256</v>
      </c>
      <c r="O1706" s="4" t="s">
        <v>3136</v>
      </c>
      <c r="P1706" s="3" t="s">
        <v>3135</v>
      </c>
      <c r="Q1706" s="4"/>
      <c r="R1706" s="4"/>
      <c r="S1706" s="9" t="str">
        <f>HYPERLINK("https://pbs.twimg.com/profile_images/999243152979456000/xwbLGIVd.jpg","View")</f>
        <v>View</v>
      </c>
    </row>
    <row r="1707" spans="1:19" ht="20">
      <c r="A1707" s="8">
        <v>43370.486412037033</v>
      </c>
      <c r="B1707" s="11" t="str">
        <f>HYPERLINK("https://twitter.com/ParsaShin","@ParsaShin")</f>
        <v>@ParsaShin</v>
      </c>
      <c r="C1707" s="6" t="s">
        <v>3227</v>
      </c>
      <c r="D1707" s="5" t="s">
        <v>3239</v>
      </c>
      <c r="E1707" s="9" t="str">
        <f>HYPERLINK("https://twitter.com/ParsaShin/status/1045224130696675329","1045224130696675329")</f>
        <v>1045224130696675329</v>
      </c>
      <c r="F1707" s="4"/>
      <c r="G1707" s="10" t="s">
        <v>3238</v>
      </c>
      <c r="H1707" s="4"/>
      <c r="I1707" s="10" t="str">
        <f>HYPERLINK("http://twitter.com/download/android","Twitter for Android")</f>
        <v>Twitter for Android</v>
      </c>
      <c r="J1707" s="2">
        <v>10</v>
      </c>
      <c r="K1707" s="2">
        <v>67</v>
      </c>
      <c r="L1707" s="2">
        <v>0</v>
      </c>
      <c r="M1707" s="2"/>
      <c r="N1707" s="8">
        <v>43327.500300925924</v>
      </c>
      <c r="O1707" s="4"/>
      <c r="P1707" s="3" t="s">
        <v>3225</v>
      </c>
      <c r="Q1707" s="4"/>
      <c r="R1707" s="4"/>
      <c r="S1707" s="9" t="str">
        <f>HYPERLINK("https://pbs.twimg.com/profile_images/1044670981023965184/5oMfBD2O.jpg","View")</f>
        <v>View</v>
      </c>
    </row>
    <row r="1708" spans="1:19" ht="20">
      <c r="A1708" s="8">
        <v>43370.48609953704</v>
      </c>
      <c r="B1708" s="11" t="str">
        <f>HYPERLINK("https://twitter.com/akrmix","@akrmix")</f>
        <v>@akrmix</v>
      </c>
      <c r="C1708" s="6" t="s">
        <v>3237</v>
      </c>
      <c r="D1708" s="5" t="s">
        <v>3236</v>
      </c>
      <c r="E1708" s="9" t="str">
        <f>HYPERLINK("https://twitter.com/akrmix/status/1045224017563652096","1045224017563652096")</f>
        <v>1045224017563652096</v>
      </c>
      <c r="F1708" s="4"/>
      <c r="G1708" s="4"/>
      <c r="H1708" s="4"/>
      <c r="I1708" s="10" t="str">
        <f>HYPERLINK("http://twitter.com/download/iphone","Twitter for iPhone")</f>
        <v>Twitter for iPhone</v>
      </c>
      <c r="J1708" s="2">
        <v>8</v>
      </c>
      <c r="K1708" s="2">
        <v>5</v>
      </c>
      <c r="L1708" s="2">
        <v>0</v>
      </c>
      <c r="M1708" s="2"/>
      <c r="N1708" s="8">
        <v>43042.544224537036</v>
      </c>
      <c r="O1708" s="4" t="s">
        <v>3235</v>
      </c>
      <c r="P1708" s="3" t="s">
        <v>3234</v>
      </c>
      <c r="Q1708" s="4"/>
      <c r="R1708" s="4"/>
      <c r="S1708" s="9" t="str">
        <f>HYPERLINK("https://pbs.twimg.com/profile_images/1028528078400700416/KPqPmdeo.jpg","View")</f>
        <v>View</v>
      </c>
    </row>
    <row r="1709" spans="1:19" ht="12.5">
      <c r="A1709" s="8">
        <v>43370.485833333332</v>
      </c>
      <c r="B1709" s="11" t="str">
        <f>HYPERLINK("https://twitter.com/payamhdd","@payamhdd")</f>
        <v>@payamhdd</v>
      </c>
      <c r="C1709" s="6" t="s">
        <v>3233</v>
      </c>
      <c r="D1709" s="5" t="s">
        <v>3232</v>
      </c>
      <c r="E1709" s="9" t="str">
        <f>HYPERLINK("https://twitter.com/payamhdd/status/1045223920796753920","1045223920796753920")</f>
        <v>1045223920796753920</v>
      </c>
      <c r="F1709" s="4"/>
      <c r="G1709" s="4"/>
      <c r="H1709" s="4"/>
      <c r="I1709" s="10" t="str">
        <f>HYPERLINK("http://twitter.com/download/android","Twitter for Android")</f>
        <v>Twitter for Android</v>
      </c>
      <c r="J1709" s="2">
        <v>17</v>
      </c>
      <c r="K1709" s="2">
        <v>76</v>
      </c>
      <c r="L1709" s="2">
        <v>0</v>
      </c>
      <c r="M1709" s="2"/>
      <c r="N1709" s="8">
        <v>41595.413611111115</v>
      </c>
      <c r="O1709" s="4" t="s">
        <v>200</v>
      </c>
      <c r="P1709" s="3"/>
      <c r="Q1709" s="4"/>
      <c r="R1709" s="4"/>
      <c r="S1709" s="2" t="s">
        <v>259</v>
      </c>
    </row>
    <row r="1710" spans="1:19" ht="20">
      <c r="A1710" s="8">
        <v>43370.484988425931</v>
      </c>
      <c r="B1710" s="11" t="str">
        <f>HYPERLINK("https://twitter.com/Bar00nNamNam","@Bar00nNamNam")</f>
        <v>@Bar00nNamNam</v>
      </c>
      <c r="C1710" s="6" t="s">
        <v>3217</v>
      </c>
      <c r="D1710" s="5" t="s">
        <v>3231</v>
      </c>
      <c r="E1710" s="9" t="str">
        <f>HYPERLINK("https://twitter.com/Bar00nNamNam/status/1045223612444233728","1045223612444233728")</f>
        <v>1045223612444233728</v>
      </c>
      <c r="F1710" s="4"/>
      <c r="G1710" s="4"/>
      <c r="H1710" s="4"/>
      <c r="I1710" s="10" t="str">
        <f>HYPERLINK("http://twitter.com/download/iphone","Twitter for iPhone")</f>
        <v>Twitter for iPhone</v>
      </c>
      <c r="J1710" s="2">
        <v>33</v>
      </c>
      <c r="K1710" s="2">
        <v>54</v>
      </c>
      <c r="L1710" s="2">
        <v>0</v>
      </c>
      <c r="M1710" s="2"/>
      <c r="N1710" s="8">
        <v>43277.977141203708</v>
      </c>
      <c r="O1710" s="4"/>
      <c r="P1710" s="3" t="s">
        <v>3215</v>
      </c>
      <c r="Q1710" s="4"/>
      <c r="R1710" s="4"/>
      <c r="S1710" s="9" t="str">
        <f>HYPERLINK("https://pbs.twimg.com/profile_images/1044899748677910534/HqN3P5Ea.jpg","View")</f>
        <v>View</v>
      </c>
    </row>
    <row r="1711" spans="1:19" ht="40">
      <c r="A1711" s="8">
        <v>43370.484803240739</v>
      </c>
      <c r="B1711" s="11" t="str">
        <f>HYPERLINK("https://twitter.com/Sahartpa","@Sahartpa")</f>
        <v>@Sahartpa</v>
      </c>
      <c r="C1711" s="6" t="s">
        <v>3230</v>
      </c>
      <c r="D1711" s="5" t="s">
        <v>3229</v>
      </c>
      <c r="E1711" s="9" t="str">
        <f>HYPERLINK("https://twitter.com/Sahartpa/status/1045223547470315521","1045223547470315521")</f>
        <v>1045223547470315521</v>
      </c>
      <c r="F1711" s="4"/>
      <c r="G1711" s="4"/>
      <c r="H1711" s="4"/>
      <c r="I1711" s="10" t="str">
        <f>HYPERLINK("http://twitter.com/download/android","Twitter for Android")</f>
        <v>Twitter for Android</v>
      </c>
      <c r="J1711" s="2">
        <v>293</v>
      </c>
      <c r="K1711" s="2">
        <v>239</v>
      </c>
      <c r="L1711" s="2">
        <v>0</v>
      </c>
      <c r="M1711" s="2"/>
      <c r="N1711" s="8">
        <v>43077.823807870373</v>
      </c>
      <c r="O1711" s="4" t="s">
        <v>200</v>
      </c>
      <c r="P1711" s="3" t="s">
        <v>3228</v>
      </c>
      <c r="Q1711" s="4"/>
      <c r="R1711" s="4"/>
      <c r="S1711" s="9" t="str">
        <f>HYPERLINK("https://pbs.twimg.com/profile_images/1035002016752254976/G63Ean5S.jpg","View")</f>
        <v>View</v>
      </c>
    </row>
    <row r="1712" spans="1:19" ht="20">
      <c r="A1712" s="8">
        <v>43370.484791666662</v>
      </c>
      <c r="B1712" s="11" t="str">
        <f>HYPERLINK("https://twitter.com/ParsaShin","@ParsaShin")</f>
        <v>@ParsaShin</v>
      </c>
      <c r="C1712" s="6" t="s">
        <v>3227</v>
      </c>
      <c r="D1712" s="5" t="s">
        <v>3226</v>
      </c>
      <c r="E1712" s="9" t="str">
        <f>HYPERLINK("https://twitter.com/ParsaShin/status/1045223543489875968","1045223543489875968")</f>
        <v>1045223543489875968</v>
      </c>
      <c r="F1712" s="4"/>
      <c r="G1712" s="4"/>
      <c r="H1712" s="4"/>
      <c r="I1712" s="10" t="str">
        <f>HYPERLINK("http://twitter.com/download/android","Twitter for Android")</f>
        <v>Twitter for Android</v>
      </c>
      <c r="J1712" s="2">
        <v>10</v>
      </c>
      <c r="K1712" s="2">
        <v>67</v>
      </c>
      <c r="L1712" s="2">
        <v>0</v>
      </c>
      <c r="M1712" s="2"/>
      <c r="N1712" s="8">
        <v>43327.500300925924</v>
      </c>
      <c r="O1712" s="4"/>
      <c r="P1712" s="3" t="s">
        <v>3225</v>
      </c>
      <c r="Q1712" s="4"/>
      <c r="R1712" s="4"/>
      <c r="S1712" s="9" t="str">
        <f>HYPERLINK("https://pbs.twimg.com/profile_images/1044670981023965184/5oMfBD2O.jpg","View")</f>
        <v>View</v>
      </c>
    </row>
    <row r="1713" spans="1:19" ht="30">
      <c r="A1713" s="8">
        <v>43370.484780092593</v>
      </c>
      <c r="B1713" s="11" t="str">
        <f>HYPERLINK("https://twitter.com/Ali_naghibi_999","@Ali_naghibi_999")</f>
        <v>@Ali_naghibi_999</v>
      </c>
      <c r="C1713" s="6" t="s">
        <v>3224</v>
      </c>
      <c r="D1713" s="5" t="s">
        <v>3223</v>
      </c>
      <c r="E1713" s="9" t="str">
        <f>HYPERLINK("https://twitter.com/Ali_naghibi_999/status/1045223537722691584","1045223537722691584")</f>
        <v>1045223537722691584</v>
      </c>
      <c r="F1713" s="4"/>
      <c r="G1713" s="4"/>
      <c r="H1713" s="4"/>
      <c r="I1713" s="10" t="str">
        <f>HYPERLINK("http://twitter.com/download/android","Twitter for Android")</f>
        <v>Twitter for Android</v>
      </c>
      <c r="J1713" s="2">
        <v>218</v>
      </c>
      <c r="K1713" s="2">
        <v>310</v>
      </c>
      <c r="L1713" s="2">
        <v>0</v>
      </c>
      <c r="M1713" s="2"/>
      <c r="N1713" s="8">
        <v>43260.980717592596</v>
      </c>
      <c r="O1713" s="4"/>
      <c r="P1713" s="3" t="s">
        <v>3222</v>
      </c>
      <c r="Q1713" s="4"/>
      <c r="R1713" s="4"/>
      <c r="S1713" s="9" t="str">
        <f>HYPERLINK("https://pbs.twimg.com/profile_images/1045224174820691968/ovl_0Zgg.jpg","View")</f>
        <v>View</v>
      </c>
    </row>
    <row r="1714" spans="1:19" ht="20">
      <c r="A1714" s="8">
        <v>43370.483969907407</v>
      </c>
      <c r="B1714" s="11" t="str">
        <f>HYPERLINK("https://twitter.com/ArmanMehriTV","@ArmanMehriTV")</f>
        <v>@ArmanMehriTV</v>
      </c>
      <c r="C1714" s="6" t="s">
        <v>3221</v>
      </c>
      <c r="D1714" s="5" t="s">
        <v>3220</v>
      </c>
      <c r="E1714" s="9" t="str">
        <f>HYPERLINK("https://twitter.com/ArmanMehriTV/status/1045223244771528704","1045223244771528704")</f>
        <v>1045223244771528704</v>
      </c>
      <c r="F1714" s="4"/>
      <c r="G1714" s="4"/>
      <c r="H1714" s="4"/>
      <c r="I1714" s="10" t="str">
        <f>HYPERLINK("http://twitter.com/download/android","Twitter for Android")</f>
        <v>Twitter for Android</v>
      </c>
      <c r="J1714" s="2">
        <v>808</v>
      </c>
      <c r="K1714" s="2">
        <v>989</v>
      </c>
      <c r="L1714" s="2">
        <v>1</v>
      </c>
      <c r="M1714" s="2"/>
      <c r="N1714" s="8">
        <v>43120.590810185182</v>
      </c>
      <c r="O1714" s="4" t="s">
        <v>72</v>
      </c>
      <c r="P1714" s="3" t="s">
        <v>3219</v>
      </c>
      <c r="Q1714" s="10" t="s">
        <v>3218</v>
      </c>
      <c r="R1714" s="4"/>
      <c r="S1714" s="9" t="str">
        <f>HYPERLINK("https://pbs.twimg.com/profile_images/1044221584083431424/UR-r_hMa.jpg","View")</f>
        <v>View</v>
      </c>
    </row>
    <row r="1715" spans="1:19" ht="20">
      <c r="A1715" s="8">
        <v>43370.483414351853</v>
      </c>
      <c r="B1715" s="11" t="str">
        <f>HYPERLINK("https://twitter.com/Bar00nNamNam","@Bar00nNamNam")</f>
        <v>@Bar00nNamNam</v>
      </c>
      <c r="C1715" s="6" t="s">
        <v>3217</v>
      </c>
      <c r="D1715" s="5" t="s">
        <v>3216</v>
      </c>
      <c r="E1715" s="9" t="str">
        <f>HYPERLINK("https://twitter.com/Bar00nNamNam/status/1045223042828382208","1045223042828382208")</f>
        <v>1045223042828382208</v>
      </c>
      <c r="F1715" s="4"/>
      <c r="G1715" s="4"/>
      <c r="H1715" s="4"/>
      <c r="I1715" s="10" t="str">
        <f>HYPERLINK("http://twitter.com/download/iphone","Twitter for iPhone")</f>
        <v>Twitter for iPhone</v>
      </c>
      <c r="J1715" s="2">
        <v>33</v>
      </c>
      <c r="K1715" s="2">
        <v>54</v>
      </c>
      <c r="L1715" s="2">
        <v>0</v>
      </c>
      <c r="M1715" s="2"/>
      <c r="N1715" s="8">
        <v>43277.977141203708</v>
      </c>
      <c r="O1715" s="4"/>
      <c r="P1715" s="3" t="s">
        <v>3215</v>
      </c>
      <c r="Q1715" s="4"/>
      <c r="R1715" s="4"/>
      <c r="S1715" s="9" t="str">
        <f>HYPERLINK("https://pbs.twimg.com/profile_images/1044899748677910534/HqN3P5Ea.jpg","View")</f>
        <v>View</v>
      </c>
    </row>
    <row r="1716" spans="1:19" ht="40">
      <c r="A1716" s="8">
        <v>43370.483171296291</v>
      </c>
      <c r="B1716" s="11" t="str">
        <f>HYPERLINK("https://twitter.com/ehsan_rastgar","@ehsan_rastgar")</f>
        <v>@ehsan_rastgar</v>
      </c>
      <c r="C1716" s="6" t="s">
        <v>3214</v>
      </c>
      <c r="D1716" s="5" t="s">
        <v>3213</v>
      </c>
      <c r="E1716" s="9" t="str">
        <f>HYPERLINK("https://twitter.com/ehsan_rastgar/status/1045222954227904512","1045222954227904512")</f>
        <v>1045222954227904512</v>
      </c>
      <c r="F1716" s="4"/>
      <c r="G1716" s="10" t="s">
        <v>3212</v>
      </c>
      <c r="H1716" s="4"/>
      <c r="I1716" s="10" t="str">
        <f>HYPERLINK("http://twitter.com/download/iphone","Twitter for iPhone")</f>
        <v>Twitter for iPhone</v>
      </c>
      <c r="J1716" s="2">
        <v>25363</v>
      </c>
      <c r="K1716" s="2">
        <v>16498</v>
      </c>
      <c r="L1716" s="2">
        <v>84</v>
      </c>
      <c r="M1716" s="2"/>
      <c r="N1716" s="8">
        <v>41924.946435185186</v>
      </c>
      <c r="O1716" s="4" t="s">
        <v>10</v>
      </c>
      <c r="P1716" s="3" t="s">
        <v>3211</v>
      </c>
      <c r="Q1716" s="10" t="s">
        <v>3210</v>
      </c>
      <c r="R1716" s="4"/>
      <c r="S1716" s="9" t="str">
        <f>HYPERLINK("https://pbs.twimg.com/profile_images/864110040806035457/JAqs6HgK.jpg","View")</f>
        <v>View</v>
      </c>
    </row>
    <row r="1717" spans="1:19" ht="20">
      <c r="A1717" s="8">
        <v>43370.482465277775</v>
      </c>
      <c r="B1717" s="11" t="str">
        <f>HYPERLINK("https://twitter.com/dokhtararyaee","@dokhtararyaee")</f>
        <v>@dokhtararyaee</v>
      </c>
      <c r="C1717" s="6" t="s">
        <v>972</v>
      </c>
      <c r="D1717" s="5" t="s">
        <v>3209</v>
      </c>
      <c r="E1717" s="9" t="str">
        <f>HYPERLINK("https://twitter.com/dokhtararyaee/status/1045222701038809088","1045222701038809088")</f>
        <v>1045222701038809088</v>
      </c>
      <c r="F1717" s="4"/>
      <c r="G1717" s="4"/>
      <c r="H1717" s="4"/>
      <c r="I1717" s="10" t="str">
        <f>HYPERLINK("https://mobile.twitter.com","Twitter Lite")</f>
        <v>Twitter Lite</v>
      </c>
      <c r="J1717" s="2">
        <v>8</v>
      </c>
      <c r="K1717" s="2">
        <v>26</v>
      </c>
      <c r="L1717" s="2">
        <v>0</v>
      </c>
      <c r="M1717" s="2"/>
      <c r="N1717" s="8">
        <v>43244.229722222226</v>
      </c>
      <c r="O1717" s="4"/>
      <c r="P1717" s="3"/>
      <c r="Q1717" s="4"/>
      <c r="R1717" s="4"/>
      <c r="S1717" s="9" t="str">
        <f>HYPERLINK("https://pbs.twimg.com/profile_images/1008834123480346627/NyYMn5UQ.jpg","View")</f>
        <v>View</v>
      </c>
    </row>
    <row r="1718" spans="1:19" ht="12.5">
      <c r="A1718" s="8">
        <v>43370.482291666667</v>
      </c>
      <c r="B1718" s="11" t="str">
        <f>HYPERLINK("https://twitter.com/saeed_d_7","@saeed_d_7")</f>
        <v>@saeed_d_7</v>
      </c>
      <c r="C1718" s="6" t="s">
        <v>3208</v>
      </c>
      <c r="D1718" s="5" t="s">
        <v>3207</v>
      </c>
      <c r="E1718" s="9" t="str">
        <f>HYPERLINK("https://twitter.com/saeed_d_7/status/1045222638065524736","1045222638065524736")</f>
        <v>1045222638065524736</v>
      </c>
      <c r="F1718" s="4"/>
      <c r="G1718" s="4"/>
      <c r="H1718" s="4"/>
      <c r="I1718" s="10" t="str">
        <f>HYPERLINK("http://twitter.com/download/android","Twitter for Android")</f>
        <v>Twitter for Android</v>
      </c>
      <c r="J1718" s="2">
        <v>289</v>
      </c>
      <c r="K1718" s="2">
        <v>277</v>
      </c>
      <c r="L1718" s="2">
        <v>2</v>
      </c>
      <c r="M1718" s="2"/>
      <c r="N1718" s="8">
        <v>42919.932129629626</v>
      </c>
      <c r="O1718" s="4" t="s">
        <v>10</v>
      </c>
      <c r="P1718" s="3" t="s">
        <v>3206</v>
      </c>
      <c r="Q1718" s="4"/>
      <c r="R1718" s="4"/>
      <c r="S1718" s="9" t="str">
        <f>HYPERLINK("https://pbs.twimg.com/profile_images/1041218636311134208/hRoUjwcV.jpg","View")</f>
        <v>View</v>
      </c>
    </row>
    <row r="1719" spans="1:19" ht="40">
      <c r="A1719" s="8">
        <v>43370.482025462959</v>
      </c>
      <c r="B1719" s="11" t="str">
        <f>HYPERLINK("https://twitter.com/nima_farzaneh","@nima_farzaneh")</f>
        <v>@nima_farzaneh</v>
      </c>
      <c r="C1719" s="6" t="s">
        <v>3205</v>
      </c>
      <c r="D1719" s="5" t="s">
        <v>3204</v>
      </c>
      <c r="E1719" s="9" t="str">
        <f>HYPERLINK("https://twitter.com/nima_farzaneh/status/1045222541760114688","1045222541760114688")</f>
        <v>1045222541760114688</v>
      </c>
      <c r="F1719" s="4"/>
      <c r="G1719" s="4"/>
      <c r="H1719" s="4"/>
      <c r="I1719" s="10" t="str">
        <f>HYPERLINK("http://twitter.com/download/android","Twitter for Android")</f>
        <v>Twitter for Android</v>
      </c>
      <c r="J1719" s="2">
        <v>1651</v>
      </c>
      <c r="K1719" s="2">
        <v>865</v>
      </c>
      <c r="L1719" s="2">
        <v>20</v>
      </c>
      <c r="M1719" s="2"/>
      <c r="N1719" s="8">
        <v>40938.422326388885</v>
      </c>
      <c r="O1719" s="4"/>
      <c r="P1719" s="3" t="s">
        <v>3203</v>
      </c>
      <c r="Q1719" s="4"/>
      <c r="R1719" s="4"/>
      <c r="S1719" s="9" t="str">
        <f>HYPERLINK("https://pbs.twimg.com/profile_images/1043694373391749120/y5xeQ3oD.jpg","View")</f>
        <v>View</v>
      </c>
    </row>
    <row r="1720" spans="1:19" ht="20">
      <c r="A1720" s="8">
        <v>43370.481990740736</v>
      </c>
      <c r="B1720" s="11" t="str">
        <f>HYPERLINK("https://twitter.com/amin_assadi71","@amin_assadi71")</f>
        <v>@amin_assadi71</v>
      </c>
      <c r="C1720" s="6" t="s">
        <v>3202</v>
      </c>
      <c r="D1720" s="5" t="s">
        <v>3201</v>
      </c>
      <c r="E1720" s="9" t="str">
        <f>HYPERLINK("https://twitter.com/amin_assadi71/status/1045222528380276736","1045222528380276736")</f>
        <v>1045222528380276736</v>
      </c>
      <c r="F1720" s="4"/>
      <c r="G1720" s="4"/>
      <c r="H1720" s="4"/>
      <c r="I1720" s="10" t="str">
        <f>HYPERLINK("http://twitter.com/download/android","Twitter for Android")</f>
        <v>Twitter for Android</v>
      </c>
      <c r="J1720" s="2">
        <v>5536</v>
      </c>
      <c r="K1720" s="2">
        <v>3075</v>
      </c>
      <c r="L1720" s="2">
        <v>6</v>
      </c>
      <c r="M1720" s="2"/>
      <c r="N1720" s="8">
        <v>43117.973912037036</v>
      </c>
      <c r="O1720" s="4" t="s">
        <v>200</v>
      </c>
      <c r="P1720" s="3" t="s">
        <v>3200</v>
      </c>
      <c r="Q1720" s="10" t="s">
        <v>3199</v>
      </c>
      <c r="R1720" s="4"/>
      <c r="S1720" s="9" t="str">
        <f>HYPERLINK("https://pbs.twimg.com/profile_images/1038811069219840001/zyUBuejj.jpg","View")</f>
        <v>View</v>
      </c>
    </row>
    <row r="1721" spans="1:19" ht="20">
      <c r="A1721" s="8">
        <v>43370.481736111113</v>
      </c>
      <c r="B1721" s="11" t="str">
        <f>HYPERLINK("https://twitter.com/moeinmoltafet","@moeinmoltafet")</f>
        <v>@moeinmoltafet</v>
      </c>
      <c r="C1721" s="6" t="s">
        <v>302</v>
      </c>
      <c r="D1721" s="5" t="s">
        <v>3198</v>
      </c>
      <c r="E1721" s="9" t="str">
        <f>HYPERLINK("https://twitter.com/moeinmoltafet/status/1045222436927680512","1045222436927680512")</f>
        <v>1045222436927680512</v>
      </c>
      <c r="F1721" s="4"/>
      <c r="G1721" s="4"/>
      <c r="H1721" s="4"/>
      <c r="I1721" s="10" t="str">
        <f>HYPERLINK("http://twitter.com/download/android","Twitter for Android")</f>
        <v>Twitter for Android</v>
      </c>
      <c r="J1721" s="2">
        <v>619</v>
      </c>
      <c r="K1721" s="2">
        <v>296</v>
      </c>
      <c r="L1721" s="2">
        <v>6</v>
      </c>
      <c r="M1721" s="2"/>
      <c r="N1721" s="8">
        <v>41942.503171296295</v>
      </c>
      <c r="O1721" s="4" t="s">
        <v>299</v>
      </c>
      <c r="P1721" s="3" t="s">
        <v>298</v>
      </c>
      <c r="Q1721" s="4"/>
      <c r="R1721" s="4"/>
      <c r="S1721" s="9" t="str">
        <f>HYPERLINK("https://pbs.twimg.com/profile_images/1018434499405860866/Kw-YYkGf.jpg","View")</f>
        <v>View</v>
      </c>
    </row>
    <row r="1722" spans="1:19" ht="20">
      <c r="A1722" s="8">
        <v>43370.481157407412</v>
      </c>
      <c r="B1722" s="11" t="str">
        <f>HYPERLINK("https://twitter.com/h_rozhyar","@h_rozhyar")</f>
        <v>@h_rozhyar</v>
      </c>
      <c r="C1722" s="6" t="s">
        <v>3173</v>
      </c>
      <c r="D1722" s="5" t="s">
        <v>3197</v>
      </c>
      <c r="E1722" s="9" t="str">
        <f>HYPERLINK("https://twitter.com/h_rozhyar/status/1045222227426324480","1045222227426324480")</f>
        <v>1045222227426324480</v>
      </c>
      <c r="F1722" s="4"/>
      <c r="G1722" s="4"/>
      <c r="H1722" s="4"/>
      <c r="I1722" s="10" t="str">
        <f>HYPERLINK("http://twitter.com","Twitter Web Client")</f>
        <v>Twitter Web Client</v>
      </c>
      <c r="J1722" s="2">
        <v>650</v>
      </c>
      <c r="K1722" s="2">
        <v>421</v>
      </c>
      <c r="L1722" s="2">
        <v>3</v>
      </c>
      <c r="M1722" s="2"/>
      <c r="N1722" s="8">
        <v>42701.606226851851</v>
      </c>
      <c r="O1722" s="4" t="s">
        <v>3170</v>
      </c>
      <c r="P1722" s="3" t="s">
        <v>3169</v>
      </c>
      <c r="Q1722" s="4"/>
      <c r="R1722" s="4"/>
      <c r="S1722" s="9" t="str">
        <f>HYPERLINK("https://pbs.twimg.com/profile_images/1031068878603001856/J_srxDpX.jpg","View")</f>
        <v>View</v>
      </c>
    </row>
    <row r="1723" spans="1:19" ht="20">
      <c r="A1723" s="8">
        <v>43370.480937500004</v>
      </c>
      <c r="B1723" s="11" t="str">
        <f>HYPERLINK("https://twitter.com/Javad_blue","@Javad_blue")</f>
        <v>@Javad_blue</v>
      </c>
      <c r="C1723" s="6" t="s">
        <v>3196</v>
      </c>
      <c r="D1723" s="5" t="s">
        <v>3195</v>
      </c>
      <c r="E1723" s="9" t="str">
        <f>HYPERLINK("https://twitter.com/Javad_blue/status/1045222144051990528","1045222144051990528")</f>
        <v>1045222144051990528</v>
      </c>
      <c r="F1723" s="4"/>
      <c r="G1723" s="4"/>
      <c r="H1723" s="4"/>
      <c r="I1723" s="10" t="str">
        <f>HYPERLINK("http://twitter.com/download/android","Twitter for Android")</f>
        <v>Twitter for Android</v>
      </c>
      <c r="J1723" s="2">
        <v>442</v>
      </c>
      <c r="K1723" s="2">
        <v>299</v>
      </c>
      <c r="L1723" s="2">
        <v>0</v>
      </c>
      <c r="M1723" s="2"/>
      <c r="N1723" s="8">
        <v>42951.677199074074</v>
      </c>
      <c r="O1723" s="4"/>
      <c r="P1723" s="3" t="s">
        <v>3194</v>
      </c>
      <c r="Q1723" s="4"/>
      <c r="R1723" s="4"/>
      <c r="S1723" s="9" t="str">
        <f>HYPERLINK("https://pbs.twimg.com/profile_images/1044638441936424961/JjcW4uYr.jpg","View")</f>
        <v>View</v>
      </c>
    </row>
    <row r="1724" spans="1:19" ht="30">
      <c r="A1724" s="8">
        <v>43370.480902777781</v>
      </c>
      <c r="B1724" s="11" t="str">
        <f>HYPERLINK("https://twitter.com/ZahraAliee","@ZahraAliee")</f>
        <v>@ZahraAliee</v>
      </c>
      <c r="C1724" s="6" t="s">
        <v>3148</v>
      </c>
      <c r="D1724" s="5" t="s">
        <v>3193</v>
      </c>
      <c r="E1724" s="9" t="str">
        <f>HYPERLINK("https://twitter.com/ZahraAliee/status/1045222134036000769","1045222134036000769")</f>
        <v>1045222134036000769</v>
      </c>
      <c r="F1724" s="4"/>
      <c r="G1724" s="4"/>
      <c r="H1724" s="4"/>
      <c r="I1724" s="10" t="str">
        <f>HYPERLINK("http://twitter.com/download/iphone","Twitter for iPhone")</f>
        <v>Twitter for iPhone</v>
      </c>
      <c r="J1724" s="2">
        <v>195</v>
      </c>
      <c r="K1724" s="2">
        <v>127</v>
      </c>
      <c r="L1724" s="2">
        <v>1</v>
      </c>
      <c r="M1724" s="2"/>
      <c r="N1724" s="8">
        <v>41638.846828703703</v>
      </c>
      <c r="O1724" s="4" t="s">
        <v>72</v>
      </c>
      <c r="P1724" s="3" t="s">
        <v>3146</v>
      </c>
      <c r="Q1724" s="4"/>
      <c r="R1724" s="4"/>
      <c r="S1724" s="9" t="str">
        <f>HYPERLINK("https://pbs.twimg.com/profile_images/1029808163489570816/pj9EaWQl.jpg","View")</f>
        <v>View</v>
      </c>
    </row>
    <row r="1725" spans="1:19" ht="20">
      <c r="A1725" s="8">
        <v>43370.479432870372</v>
      </c>
      <c r="B1725" s="11" t="str">
        <f>HYPERLINK("https://twitter.com/UnemployedPhD1","@UnemployedPhD1")</f>
        <v>@UnemployedPhD1</v>
      </c>
      <c r="C1725" s="6" t="s">
        <v>3192</v>
      </c>
      <c r="D1725" s="5" t="s">
        <v>3191</v>
      </c>
      <c r="E1725" s="9" t="str">
        <f>HYPERLINK("https://twitter.com/UnemployedPhD1/status/1045221598729564161","1045221598729564161")</f>
        <v>1045221598729564161</v>
      </c>
      <c r="F1725" s="4"/>
      <c r="G1725" s="4"/>
      <c r="H1725" s="4"/>
      <c r="I1725" s="10" t="str">
        <f>HYPERLINK("http://twitter.com/download/android","Twitter for Android")</f>
        <v>Twitter for Android</v>
      </c>
      <c r="J1725" s="2">
        <v>329</v>
      </c>
      <c r="K1725" s="2">
        <v>221</v>
      </c>
      <c r="L1725" s="2">
        <v>1</v>
      </c>
      <c r="M1725" s="2"/>
      <c r="N1725" s="8">
        <v>42589.083449074074</v>
      </c>
      <c r="O1725" s="4"/>
      <c r="P1725" s="3" t="s">
        <v>3190</v>
      </c>
      <c r="Q1725" s="4"/>
      <c r="R1725" s="4"/>
      <c r="S1725" s="9" t="str">
        <f>HYPERLINK("https://pbs.twimg.com/profile_images/960818869110759424/tHavh42x.jpg","View")</f>
        <v>View</v>
      </c>
    </row>
    <row r="1726" spans="1:19" ht="12.5">
      <c r="A1726" s="8">
        <v>43370.479374999995</v>
      </c>
      <c r="B1726" s="11" t="str">
        <f>HYPERLINK("https://twitter.com/mahii_10","@mahii_10")</f>
        <v>@mahii_10</v>
      </c>
      <c r="C1726" s="6" t="s">
        <v>3189</v>
      </c>
      <c r="D1726" s="5" t="s">
        <v>3188</v>
      </c>
      <c r="E1726" s="9" t="str">
        <f>HYPERLINK("https://twitter.com/mahii_10/status/1045221578013904896","1045221578013904896")</f>
        <v>1045221578013904896</v>
      </c>
      <c r="F1726" s="4"/>
      <c r="G1726" s="4"/>
      <c r="H1726" s="4"/>
      <c r="I1726" s="10" t="str">
        <f>HYPERLINK("http://twitter.com/download/android","Twitter for Android")</f>
        <v>Twitter for Android</v>
      </c>
      <c r="J1726" s="2">
        <v>792</v>
      </c>
      <c r="K1726" s="2">
        <v>381</v>
      </c>
      <c r="L1726" s="2">
        <v>4</v>
      </c>
      <c r="M1726" s="2"/>
      <c r="N1726" s="8">
        <v>42647.626932870371</v>
      </c>
      <c r="O1726" s="4" t="s">
        <v>3187</v>
      </c>
      <c r="P1726" s="3" t="s">
        <v>3186</v>
      </c>
      <c r="Q1726" s="4"/>
      <c r="R1726" s="4"/>
      <c r="S1726" s="9" t="str">
        <f>HYPERLINK("https://pbs.twimg.com/profile_images/1044305551025418240/BRyyFicu.jpg","View")</f>
        <v>View</v>
      </c>
    </row>
    <row r="1727" spans="1:19" ht="12.5">
      <c r="A1727" s="8">
        <v>43370.479305555556</v>
      </c>
      <c r="B1727" s="11" t="str">
        <f>HYPERLINK("https://twitter.com/salar_ghesmati","@salar_ghesmati")</f>
        <v>@salar_ghesmati</v>
      </c>
      <c r="C1727" s="6" t="s">
        <v>3185</v>
      </c>
      <c r="D1727" s="5" t="s">
        <v>3184</v>
      </c>
      <c r="E1727" s="9" t="str">
        <f>HYPERLINK("https://twitter.com/salar_ghesmati/status/1045221556211904512","1045221556211904512")</f>
        <v>1045221556211904512</v>
      </c>
      <c r="F1727" s="4"/>
      <c r="G1727" s="10" t="s">
        <v>3183</v>
      </c>
      <c r="H1727" s="4"/>
      <c r="I1727" s="10" t="str">
        <f>HYPERLINK("http://twitter.com/download/iphone","Twitter for iPhone")</f>
        <v>Twitter for iPhone</v>
      </c>
      <c r="J1727" s="2">
        <v>246</v>
      </c>
      <c r="K1727" s="2">
        <v>104</v>
      </c>
      <c r="L1727" s="2">
        <v>0</v>
      </c>
      <c r="M1727" s="2"/>
      <c r="N1727" s="8">
        <v>41025.885335648149</v>
      </c>
      <c r="O1727" s="4" t="s">
        <v>3182</v>
      </c>
      <c r="P1727" s="3" t="s">
        <v>3181</v>
      </c>
      <c r="Q1727" s="4"/>
      <c r="R1727" s="4"/>
      <c r="S1727" s="9" t="str">
        <f>HYPERLINK("https://pbs.twimg.com/profile_images/921651042202169344/B-svmT15.jpg","View")</f>
        <v>View</v>
      </c>
    </row>
    <row r="1728" spans="1:19" ht="20">
      <c r="A1728" s="8">
        <v>43370.479305555556</v>
      </c>
      <c r="B1728" s="11" t="str">
        <f>HYPERLINK("https://twitter.com/TheRealSamuel__","@TheRealSamuel__")</f>
        <v>@TheRealSamuel__</v>
      </c>
      <c r="C1728" s="6" t="s">
        <v>3180</v>
      </c>
      <c r="D1728" s="5" t="s">
        <v>3179</v>
      </c>
      <c r="E1728" s="9" t="str">
        <f>HYPERLINK("https://twitter.com/TheRealSamuel__/status/1045221555708596224","1045221555708596224")</f>
        <v>1045221555708596224</v>
      </c>
      <c r="F1728" s="4"/>
      <c r="G1728" s="10" t="s">
        <v>3178</v>
      </c>
      <c r="H1728" s="4"/>
      <c r="I1728" s="10" t="str">
        <f>HYPERLINK("http://twitter.com/download/android","Twitter for Android")</f>
        <v>Twitter for Android</v>
      </c>
      <c r="J1728" s="2">
        <v>104</v>
      </c>
      <c r="K1728" s="2">
        <v>122</v>
      </c>
      <c r="L1728" s="2">
        <v>2</v>
      </c>
      <c r="M1728" s="2"/>
      <c r="N1728" s="8">
        <v>42963.81313657407</v>
      </c>
      <c r="O1728" s="4"/>
      <c r="P1728" s="3" t="s">
        <v>3177</v>
      </c>
      <c r="Q1728" s="4"/>
      <c r="R1728" s="4"/>
      <c r="S1728" s="9" t="str">
        <f>HYPERLINK("https://pbs.twimg.com/profile_images/990987258734968834/ioORcPUu.jpg","View")</f>
        <v>View</v>
      </c>
    </row>
    <row r="1729" spans="1:19" ht="12.5">
      <c r="A1729" s="8">
        <v>43370.479004629626</v>
      </c>
      <c r="B1729" s="11" t="str">
        <f>HYPERLINK("https://twitter.com/MeeDNite","@MeeDNite")</f>
        <v>@MeeDNite</v>
      </c>
      <c r="C1729" s="6" t="s">
        <v>3176</v>
      </c>
      <c r="D1729" s="5" t="s">
        <v>3175</v>
      </c>
      <c r="E1729" s="9" t="str">
        <f>HYPERLINK("https://twitter.com/MeeDNite/status/1045221445960445952","1045221445960445952")</f>
        <v>1045221445960445952</v>
      </c>
      <c r="F1729" s="4"/>
      <c r="G1729" s="10" t="s">
        <v>3174</v>
      </c>
      <c r="H1729" s="4"/>
      <c r="I1729" s="10" t="str">
        <f>HYPERLINK("http://twitter.com/download/android","Twitter for Android")</f>
        <v>Twitter for Android</v>
      </c>
      <c r="J1729" s="2">
        <v>60</v>
      </c>
      <c r="K1729" s="2">
        <v>157</v>
      </c>
      <c r="L1729" s="2">
        <v>2</v>
      </c>
      <c r="M1729" s="2"/>
      <c r="N1729" s="8">
        <v>39952.946030092593</v>
      </c>
      <c r="O1729" s="4" t="s">
        <v>10</v>
      </c>
      <c r="P1729" s="3"/>
      <c r="Q1729" s="4"/>
      <c r="R1729" s="4"/>
      <c r="S1729" s="9" t="str">
        <f>HYPERLINK("https://pbs.twimg.com/profile_images/721424750841565185/SAdX4_Tt.jpg","View")</f>
        <v>View</v>
      </c>
    </row>
    <row r="1730" spans="1:19" ht="12.5">
      <c r="A1730" s="8">
        <v>43370.478449074071</v>
      </c>
      <c r="B1730" s="11" t="str">
        <f>HYPERLINK("https://twitter.com/h_rozhyar","@h_rozhyar")</f>
        <v>@h_rozhyar</v>
      </c>
      <c r="C1730" s="6" t="s">
        <v>3173</v>
      </c>
      <c r="D1730" s="5" t="s">
        <v>3172</v>
      </c>
      <c r="E1730" s="9" t="str">
        <f>HYPERLINK("https://twitter.com/h_rozhyar/status/1045221244185071616","1045221244185071616")</f>
        <v>1045221244185071616</v>
      </c>
      <c r="F1730" s="4"/>
      <c r="G1730" s="10" t="s">
        <v>3171</v>
      </c>
      <c r="H1730" s="4"/>
      <c r="I1730" s="10" t="str">
        <f>HYPERLINK("http://twitter.com","Twitter Web Client")</f>
        <v>Twitter Web Client</v>
      </c>
      <c r="J1730" s="2">
        <v>650</v>
      </c>
      <c r="K1730" s="2">
        <v>421</v>
      </c>
      <c r="L1730" s="2">
        <v>3</v>
      </c>
      <c r="M1730" s="2"/>
      <c r="N1730" s="8">
        <v>42701.606226851851</v>
      </c>
      <c r="O1730" s="4" t="s">
        <v>3170</v>
      </c>
      <c r="P1730" s="3" t="s">
        <v>3169</v>
      </c>
      <c r="Q1730" s="4"/>
      <c r="R1730" s="4"/>
      <c r="S1730" s="9" t="str">
        <f>HYPERLINK("https://pbs.twimg.com/profile_images/1031068878603001856/J_srxDpX.jpg","View")</f>
        <v>View</v>
      </c>
    </row>
    <row r="1731" spans="1:19" ht="40">
      <c r="A1731" s="8">
        <v>43370.478101851855</v>
      </c>
      <c r="B1731" s="11" t="str">
        <f>HYPERLINK("https://twitter.com/aydamesbahi","@aydamesbahi")</f>
        <v>@aydamesbahi</v>
      </c>
      <c r="C1731" s="6" t="s">
        <v>3168</v>
      </c>
      <c r="D1731" s="5" t="s">
        <v>3167</v>
      </c>
      <c r="E1731" s="9" t="str">
        <f>HYPERLINK("https://twitter.com/aydamesbahi/status/1045221117458358273","1045221117458358273")</f>
        <v>1045221117458358273</v>
      </c>
      <c r="F1731" s="4"/>
      <c r="G1731" s="4"/>
      <c r="H1731" s="4"/>
      <c r="I1731" s="10" t="str">
        <f>HYPERLINK("http://twitter.com/download/iphone","Twitter for iPhone")</f>
        <v>Twitter for iPhone</v>
      </c>
      <c r="J1731" s="2">
        <v>1857</v>
      </c>
      <c r="K1731" s="2">
        <v>116</v>
      </c>
      <c r="L1731" s="2">
        <v>6</v>
      </c>
      <c r="M1731" s="2"/>
      <c r="N1731" s="8">
        <v>40546.145150462966</v>
      </c>
      <c r="O1731" s="4"/>
      <c r="P1731" s="3" t="s">
        <v>3166</v>
      </c>
      <c r="Q1731" s="4"/>
      <c r="R1731" s="4"/>
      <c r="S1731" s="9" t="str">
        <f>HYPERLINK("https://pbs.twimg.com/profile_images/962453558972092416/LjHhx4I-.jpg","View")</f>
        <v>View</v>
      </c>
    </row>
    <row r="1732" spans="1:19" ht="30">
      <c r="A1732" s="8">
        <v>43370.477488425924</v>
      </c>
      <c r="B1732" s="11" t="str">
        <f>HYPERLINK("https://twitter.com/ZakariaRazi87","@ZakariaRazi87")</f>
        <v>@ZakariaRazi87</v>
      </c>
      <c r="C1732" s="6" t="s">
        <v>1055</v>
      </c>
      <c r="D1732" s="5" t="s">
        <v>3165</v>
      </c>
      <c r="E1732" s="9" t="str">
        <f>HYPERLINK("https://twitter.com/ZakariaRazi87/status/1045220894543663105","1045220894543663105")</f>
        <v>1045220894543663105</v>
      </c>
      <c r="F1732" s="4"/>
      <c r="G1732" s="4"/>
      <c r="H1732" s="4"/>
      <c r="I1732" s="10" t="str">
        <f>HYPERLINK("http://twitter.com","Twitter Web Client")</f>
        <v>Twitter Web Client</v>
      </c>
      <c r="J1732" s="2">
        <v>97</v>
      </c>
      <c r="K1732" s="2">
        <v>165</v>
      </c>
      <c r="L1732" s="2">
        <v>0</v>
      </c>
      <c r="M1732" s="2"/>
      <c r="N1732" s="8">
        <v>43119.052812499998</v>
      </c>
      <c r="O1732" s="4"/>
      <c r="P1732" s="3" t="s">
        <v>3164</v>
      </c>
      <c r="Q1732" s="4"/>
      <c r="R1732" s="4"/>
      <c r="S1732" s="9" t="str">
        <f>HYPERLINK("https://pbs.twimg.com/profile_images/1013157806235480064/htowL4M0.jpg","View")</f>
        <v>View</v>
      </c>
    </row>
    <row r="1733" spans="1:19" ht="50">
      <c r="A1733" s="8">
        <v>43370.476967592593</v>
      </c>
      <c r="B1733" s="11" t="str">
        <f>HYPERLINK("https://twitter.com/theguyufallfor","@theguyufallfor")</f>
        <v>@theguyufallfor</v>
      </c>
      <c r="C1733" s="6" t="s">
        <v>3163</v>
      </c>
      <c r="D1733" s="5" t="s">
        <v>3162</v>
      </c>
      <c r="E1733" s="9" t="str">
        <f>HYPERLINK("https://twitter.com/theguyufallfor/status/1045220706873724928","1045220706873724928")</f>
        <v>1045220706873724928</v>
      </c>
      <c r="F1733" s="10" t="s">
        <v>3161</v>
      </c>
      <c r="G1733" s="4"/>
      <c r="H1733" s="4"/>
      <c r="I1733" s="10" t="str">
        <f>HYPERLINK("http://twitter.com/download/iphone","Twitter for iPhone")</f>
        <v>Twitter for iPhone</v>
      </c>
      <c r="J1733" s="2">
        <v>101</v>
      </c>
      <c r="K1733" s="2">
        <v>361</v>
      </c>
      <c r="L1733" s="2">
        <v>1</v>
      </c>
      <c r="M1733" s="2"/>
      <c r="N1733" s="8">
        <v>43230.389803240745</v>
      </c>
      <c r="O1733" s="4" t="s">
        <v>3160</v>
      </c>
      <c r="P1733" s="3" t="s">
        <v>3159</v>
      </c>
      <c r="Q1733" s="4"/>
      <c r="R1733" s="4"/>
      <c r="S1733" s="9" t="str">
        <f>HYPERLINK("https://pbs.twimg.com/profile_images/1023784748135731200/DsKD--p6.jpg","View")</f>
        <v>View</v>
      </c>
    </row>
    <row r="1734" spans="1:19" ht="12.5">
      <c r="A1734" s="8">
        <v>43370.476608796293</v>
      </c>
      <c r="B1734" s="11" t="str">
        <f>HYPERLINK("https://twitter.com/iranjaviidan","@iranjaviidan")</f>
        <v>@iranjaviidan</v>
      </c>
      <c r="C1734" s="6" t="s">
        <v>1350</v>
      </c>
      <c r="D1734" s="5" t="s">
        <v>3158</v>
      </c>
      <c r="E1734" s="9" t="str">
        <f>HYPERLINK("https://twitter.com/iranjaviidan/status/1045220576632197121","1045220576632197121")</f>
        <v>1045220576632197121</v>
      </c>
      <c r="F1734" s="4"/>
      <c r="G1734" s="10" t="s">
        <v>3157</v>
      </c>
      <c r="H1734" s="4"/>
      <c r="I1734" s="10" t="str">
        <f>HYPERLINK("http://twitter.com/download/android","Twitter for Android")</f>
        <v>Twitter for Android</v>
      </c>
      <c r="J1734" s="2">
        <v>479</v>
      </c>
      <c r="K1734" s="2">
        <v>366</v>
      </c>
      <c r="L1734" s="2">
        <v>2</v>
      </c>
      <c r="M1734" s="2"/>
      <c r="N1734" s="8">
        <v>43127.93236111111</v>
      </c>
      <c r="O1734" s="4"/>
      <c r="P1734" s="3"/>
      <c r="Q1734" s="4"/>
      <c r="R1734" s="4"/>
      <c r="S1734" s="9" t="str">
        <f>HYPERLINK("https://pbs.twimg.com/profile_images/1037655912180137984/pM3teOOh.jpg","View")</f>
        <v>View</v>
      </c>
    </row>
    <row r="1735" spans="1:19" ht="30">
      <c r="A1735" s="8">
        <v>43370.47655092593</v>
      </c>
      <c r="B1735" s="11" t="str">
        <f>HYPERLINK("https://twitter.com/meysametammar","@meysametammar")</f>
        <v>@meysametammar</v>
      </c>
      <c r="C1735" s="6" t="s">
        <v>3049</v>
      </c>
      <c r="D1735" s="5" t="s">
        <v>3156</v>
      </c>
      <c r="E1735" s="9" t="str">
        <f>HYPERLINK("https://twitter.com/meysametammar/status/1045220555534864384","1045220555534864384")</f>
        <v>1045220555534864384</v>
      </c>
      <c r="F1735" s="10" t="s">
        <v>3155</v>
      </c>
      <c r="G1735" s="4"/>
      <c r="H1735" s="4"/>
      <c r="I1735" s="10" t="str">
        <f>HYPERLINK("http://twitter.com/download/android","Twitter for Android")</f>
        <v>Twitter for Android</v>
      </c>
      <c r="J1735" s="2">
        <v>4882</v>
      </c>
      <c r="K1735" s="2">
        <v>5149</v>
      </c>
      <c r="L1735" s="2">
        <v>13</v>
      </c>
      <c r="M1735" s="2"/>
      <c r="N1735" s="8">
        <v>43152.743263888886</v>
      </c>
      <c r="O1735" s="4" t="s">
        <v>62</v>
      </c>
      <c r="P1735" s="3" t="s">
        <v>3047</v>
      </c>
      <c r="Q1735" s="4"/>
      <c r="R1735" s="4"/>
      <c r="S1735" s="9" t="str">
        <f>HYPERLINK("https://pbs.twimg.com/profile_images/1010595828493365256/LlIOiiCI.jpg","View")</f>
        <v>View</v>
      </c>
    </row>
    <row r="1736" spans="1:19" ht="30">
      <c r="A1736" s="8">
        <v>43370.476238425923</v>
      </c>
      <c r="B1736" s="11" t="str">
        <f>HYPERLINK("https://twitter.com/_rezam_","@_rezam_")</f>
        <v>@_rezam_</v>
      </c>
      <c r="C1736" s="6" t="s">
        <v>3154</v>
      </c>
      <c r="D1736" s="5" t="s">
        <v>3153</v>
      </c>
      <c r="E1736" s="9" t="str">
        <f>HYPERLINK("https://twitter.com/_rezam_/status/1045220444926869504","1045220444926869504")</f>
        <v>1045220444926869504</v>
      </c>
      <c r="F1736" s="4"/>
      <c r="G1736" s="4"/>
      <c r="H1736" s="4"/>
      <c r="I1736" s="10" t="str">
        <f>HYPERLINK("http://twitter.com/download/android","Twitter for Android")</f>
        <v>Twitter for Android</v>
      </c>
      <c r="J1736" s="2">
        <v>63</v>
      </c>
      <c r="K1736" s="2">
        <v>31</v>
      </c>
      <c r="L1736" s="2">
        <v>1</v>
      </c>
      <c r="M1736" s="2"/>
      <c r="N1736" s="8">
        <v>42764.316307870366</v>
      </c>
      <c r="O1736" s="4" t="s">
        <v>36</v>
      </c>
      <c r="P1736" s="3"/>
      <c r="Q1736" s="4"/>
      <c r="R1736" s="4"/>
      <c r="S1736" s="9" t="str">
        <f>HYPERLINK("https://pbs.twimg.com/profile_images/1045232600158261248/iraeRfj8.jpg","View")</f>
        <v>View</v>
      </c>
    </row>
    <row r="1737" spans="1:19" ht="40">
      <c r="A1737" s="8">
        <v>43370.4762037037</v>
      </c>
      <c r="B1737" s="11" t="str">
        <f>HYPERLINK("https://twitter.com/journalistnavid","@journalistnavid")</f>
        <v>@journalistnavid</v>
      </c>
      <c r="C1737" s="6" t="s">
        <v>3152</v>
      </c>
      <c r="D1737" s="5" t="s">
        <v>3151</v>
      </c>
      <c r="E1737" s="9" t="str">
        <f>HYPERLINK("https://twitter.com/journalistnavid/status/1045220430347259904","1045220430347259904")</f>
        <v>1045220430347259904</v>
      </c>
      <c r="F1737" s="4"/>
      <c r="G1737" s="10" t="s">
        <v>3150</v>
      </c>
      <c r="H1737" s="4"/>
      <c r="I1737" s="10" t="str">
        <f>HYPERLINK("http://twitter.com","Twitter Web Client")</f>
        <v>Twitter Web Client</v>
      </c>
      <c r="J1737" s="2">
        <v>421</v>
      </c>
      <c r="K1737" s="2">
        <v>855</v>
      </c>
      <c r="L1737" s="2">
        <v>0</v>
      </c>
      <c r="M1737" s="2"/>
      <c r="N1737" s="8">
        <v>42934.756724537037</v>
      </c>
      <c r="O1737" s="4"/>
      <c r="P1737" s="3" t="s">
        <v>3149</v>
      </c>
      <c r="Q1737" s="4"/>
      <c r="R1737" s="4"/>
      <c r="S1737" s="9" t="str">
        <f>HYPERLINK("https://pbs.twimg.com/profile_images/1035658061053083648/FQyJutf8.jpg","View")</f>
        <v>View</v>
      </c>
    </row>
    <row r="1738" spans="1:19" ht="30">
      <c r="A1738" s="8">
        <v>43370.471192129626</v>
      </c>
      <c r="B1738" s="11" t="str">
        <f>HYPERLINK("https://twitter.com/ZahraAliee","@ZahraAliee")</f>
        <v>@ZahraAliee</v>
      </c>
      <c r="C1738" s="6" t="s">
        <v>3148</v>
      </c>
      <c r="D1738" s="5" t="s">
        <v>3147</v>
      </c>
      <c r="E1738" s="9" t="str">
        <f>HYPERLINK("https://twitter.com/ZahraAliee/status/1045218613991559168","1045218613991559168")</f>
        <v>1045218613991559168</v>
      </c>
      <c r="F1738" s="4"/>
      <c r="G1738" s="4"/>
      <c r="H1738" s="4"/>
      <c r="I1738" s="10" t="str">
        <f>HYPERLINK("http://twitter.com/download/iphone","Twitter for iPhone")</f>
        <v>Twitter for iPhone</v>
      </c>
      <c r="J1738" s="2">
        <v>195</v>
      </c>
      <c r="K1738" s="2">
        <v>127</v>
      </c>
      <c r="L1738" s="2">
        <v>1</v>
      </c>
      <c r="M1738" s="2"/>
      <c r="N1738" s="8">
        <v>41638.846828703703</v>
      </c>
      <c r="O1738" s="4" t="s">
        <v>72</v>
      </c>
      <c r="P1738" s="3" t="s">
        <v>3146</v>
      </c>
      <c r="Q1738" s="4"/>
      <c r="R1738" s="4"/>
      <c r="S1738" s="9" t="str">
        <f>HYPERLINK("https://pbs.twimg.com/profile_images/1029808163489570816/pj9EaWQl.jpg","View")</f>
        <v>View</v>
      </c>
    </row>
    <row r="1739" spans="1:19" ht="20">
      <c r="A1739" s="8">
        <v>43370.470879629633</v>
      </c>
      <c r="B1739" s="11" t="str">
        <f>HYPERLINK("https://twitter.com/shivaariamehr","@shivaariamehr")</f>
        <v>@shivaariamehr</v>
      </c>
      <c r="C1739" s="6" t="s">
        <v>3145</v>
      </c>
      <c r="D1739" s="5" t="s">
        <v>3144</v>
      </c>
      <c r="E1739" s="9" t="str">
        <f>HYPERLINK("https://twitter.com/shivaariamehr/status/1045218500975972352","1045218500975972352")</f>
        <v>1045218500975972352</v>
      </c>
      <c r="F1739" s="4"/>
      <c r="G1739" s="4"/>
      <c r="H1739" s="4"/>
      <c r="I1739" s="10" t="str">
        <f>HYPERLINK("http://twitter.com/download/iphone","Twitter for iPhone")</f>
        <v>Twitter for iPhone</v>
      </c>
      <c r="J1739" s="2">
        <v>36</v>
      </c>
      <c r="K1739" s="2">
        <v>72</v>
      </c>
      <c r="L1739" s="2">
        <v>0</v>
      </c>
      <c r="M1739" s="2"/>
      <c r="N1739" s="8">
        <v>43248.787175925929</v>
      </c>
      <c r="O1739" s="4"/>
      <c r="P1739" s="3"/>
      <c r="Q1739" s="4"/>
      <c r="R1739" s="4"/>
      <c r="S1739" s="9" t="str">
        <f>HYPERLINK("https://pbs.twimg.com/profile_images/1012748093266292737/llFShHaq.jpg","View")</f>
        <v>View</v>
      </c>
    </row>
    <row r="1740" spans="1:19" ht="30">
      <c r="A1740" s="8">
        <v>43370.470289351855</v>
      </c>
      <c r="B1740" s="11" t="str">
        <f>HYPERLINK("https://twitter.com/saramosavi8","@saramosavi8")</f>
        <v>@saramosavi8</v>
      </c>
      <c r="C1740" s="6" t="s">
        <v>3143</v>
      </c>
      <c r="D1740" s="5" t="s">
        <v>3142</v>
      </c>
      <c r="E1740" s="9" t="str">
        <f>HYPERLINK("https://twitter.com/saramosavi8/status/1045218288727470080","1045218288727470080")</f>
        <v>1045218288727470080</v>
      </c>
      <c r="F1740" s="4"/>
      <c r="G1740" s="4"/>
      <c r="H1740" s="4"/>
      <c r="I1740" s="10" t="str">
        <f>HYPERLINK("https://mobile.twitter.com","Twitter Lite")</f>
        <v>Twitter Lite</v>
      </c>
      <c r="J1740" s="2">
        <v>15033</v>
      </c>
      <c r="K1740" s="2">
        <v>7660</v>
      </c>
      <c r="L1740" s="2">
        <v>18</v>
      </c>
      <c r="M1740" s="2"/>
      <c r="N1740" s="8">
        <v>43003.401770833334</v>
      </c>
      <c r="O1740" s="4" t="s">
        <v>3141</v>
      </c>
      <c r="P1740" s="3" t="s">
        <v>3140</v>
      </c>
      <c r="Q1740" s="10" t="s">
        <v>3139</v>
      </c>
      <c r="R1740" s="4"/>
      <c r="S1740" s="9" t="str">
        <f>HYPERLINK("https://pbs.twimg.com/profile_images/973498544882626561/xkuQAOIH.jpg","View")</f>
        <v>View</v>
      </c>
    </row>
    <row r="1741" spans="1:19" ht="40">
      <c r="A1741" s="8">
        <v>43370.470046296294</v>
      </c>
      <c r="B1741" s="11" t="str">
        <f>HYPERLINK("https://twitter.com/Sajiofficial","@Sajiofficial")</f>
        <v>@Sajiofficial</v>
      </c>
      <c r="C1741" s="6" t="s">
        <v>3138</v>
      </c>
      <c r="D1741" s="5" t="s">
        <v>3137</v>
      </c>
      <c r="E1741" s="9" t="str">
        <f>HYPERLINK("https://twitter.com/Sajiofficial/status/1045218199426519040","1045218199426519040")</f>
        <v>1045218199426519040</v>
      </c>
      <c r="F1741" s="4"/>
      <c r="G1741" s="4"/>
      <c r="H1741" s="4"/>
      <c r="I1741" s="10" t="str">
        <f>HYPERLINK("http://twitter.com/download/android","Twitter for Android")</f>
        <v>Twitter for Android</v>
      </c>
      <c r="J1741" s="2">
        <v>68</v>
      </c>
      <c r="K1741" s="2">
        <v>163</v>
      </c>
      <c r="L1741" s="2">
        <v>0</v>
      </c>
      <c r="M1741" s="2"/>
      <c r="N1741" s="8">
        <v>43089.502071759256</v>
      </c>
      <c r="O1741" s="4" t="s">
        <v>3136</v>
      </c>
      <c r="P1741" s="3" t="s">
        <v>3135</v>
      </c>
      <c r="Q1741" s="4"/>
      <c r="R1741" s="4"/>
      <c r="S1741" s="9" t="str">
        <f>HYPERLINK("https://pbs.twimg.com/profile_images/999243152979456000/xwbLGIVd.jpg","View")</f>
        <v>View</v>
      </c>
    </row>
    <row r="1742" spans="1:19" ht="30">
      <c r="A1742" s="8">
        <v>43370.470034722224</v>
      </c>
      <c r="B1742" s="11" t="str">
        <f>HYPERLINK("https://twitter.com/javadsalavat","@javadsalavat")</f>
        <v>@javadsalavat</v>
      </c>
      <c r="C1742" s="6" t="s">
        <v>3134</v>
      </c>
      <c r="D1742" s="5" t="s">
        <v>3133</v>
      </c>
      <c r="E1742" s="9" t="str">
        <f>HYPERLINK("https://twitter.com/javadsalavat/status/1045218194405953536","1045218194405953536")</f>
        <v>1045218194405953536</v>
      </c>
      <c r="F1742" s="4"/>
      <c r="G1742" s="4"/>
      <c r="H1742" s="4"/>
      <c r="I1742" s="10" t="str">
        <f>HYPERLINK("http://twitter.com/download/android","Twitter for Android")</f>
        <v>Twitter for Android</v>
      </c>
      <c r="J1742" s="2">
        <v>1910</v>
      </c>
      <c r="K1742" s="2">
        <v>2769</v>
      </c>
      <c r="L1742" s="2">
        <v>2</v>
      </c>
      <c r="M1742" s="2"/>
      <c r="N1742" s="8">
        <v>43312.987650462965</v>
      </c>
      <c r="O1742" s="4" t="s">
        <v>1592</v>
      </c>
      <c r="P1742" s="3" t="s">
        <v>3132</v>
      </c>
      <c r="Q1742" s="4"/>
      <c r="R1742" s="4"/>
      <c r="S1742" s="9" t="str">
        <f>HYPERLINK("https://pbs.twimg.com/profile_images/1024375745978748928/JDOqXzmQ.jpg","View")</f>
        <v>View</v>
      </c>
    </row>
    <row r="1743" spans="1:19" ht="12.5">
      <c r="A1743" s="8">
        <v>43370.469513888893</v>
      </c>
      <c r="B1743" s="11" t="str">
        <f>HYPERLINK("https://twitter.com/karamimojtaba74","@karamimojtaba74")</f>
        <v>@karamimojtaba74</v>
      </c>
      <c r="C1743" s="6" t="s">
        <v>3131</v>
      </c>
      <c r="D1743" s="5" t="s">
        <v>3130</v>
      </c>
      <c r="E1743" s="9" t="str">
        <f>HYPERLINK("https://twitter.com/karamimojtaba74/status/1045218005154770944","1045218005154770944")</f>
        <v>1045218005154770944</v>
      </c>
      <c r="F1743" s="4"/>
      <c r="G1743" s="4"/>
      <c r="H1743" s="4"/>
      <c r="I1743" s="10" t="str">
        <f>HYPERLINK("http://twitter.com/download/android","Twitter for Android")</f>
        <v>Twitter for Android</v>
      </c>
      <c r="J1743" s="2">
        <v>154</v>
      </c>
      <c r="K1743" s="2">
        <v>284</v>
      </c>
      <c r="L1743" s="2">
        <v>0</v>
      </c>
      <c r="M1743" s="2"/>
      <c r="N1743" s="8">
        <v>43322.953009259261</v>
      </c>
      <c r="O1743" s="4" t="s">
        <v>1525</v>
      </c>
      <c r="P1743" s="3" t="s">
        <v>3129</v>
      </c>
      <c r="Q1743" s="4"/>
      <c r="R1743" s="4"/>
      <c r="S1743" s="9" t="str">
        <f>HYPERLINK("https://pbs.twimg.com/profile_images/1039984669394124800/xk7pYp84.jpg","View")</f>
        <v>View</v>
      </c>
    </row>
    <row r="1744" spans="1:19" ht="12.5">
      <c r="A1744" s="8">
        <v>43370.469155092593</v>
      </c>
      <c r="B1744" s="11" t="str">
        <f>HYPERLINK("https://twitter.com/meysametammar","@meysametammar")</f>
        <v>@meysametammar</v>
      </c>
      <c r="C1744" s="6" t="s">
        <v>3049</v>
      </c>
      <c r="D1744" s="5" t="s">
        <v>3128</v>
      </c>
      <c r="E1744" s="9" t="str">
        <f>HYPERLINK("https://twitter.com/meysametammar/status/1045217876607676416","1045217876607676416")</f>
        <v>1045217876607676416</v>
      </c>
      <c r="F1744" s="4"/>
      <c r="G1744" s="4"/>
      <c r="H1744" s="4"/>
      <c r="I1744" s="10" t="str">
        <f>HYPERLINK("http://twitter.com/download/android","Twitter for Android")</f>
        <v>Twitter for Android</v>
      </c>
      <c r="J1744" s="2">
        <v>4880</v>
      </c>
      <c r="K1744" s="2">
        <v>5149</v>
      </c>
      <c r="L1744" s="2">
        <v>13</v>
      </c>
      <c r="M1744" s="2"/>
      <c r="N1744" s="8">
        <v>43152.743263888886</v>
      </c>
      <c r="O1744" s="4" t="s">
        <v>62</v>
      </c>
      <c r="P1744" s="3" t="s">
        <v>3047</v>
      </c>
      <c r="Q1744" s="4"/>
      <c r="R1744" s="4"/>
      <c r="S1744" s="9" t="str">
        <f>HYPERLINK("https://pbs.twimg.com/profile_images/1010595828493365256/LlIOiiCI.jpg","View")</f>
        <v>View</v>
      </c>
    </row>
    <row r="1745" spans="1:19" ht="20">
      <c r="A1745" s="8">
        <v>43370.469097222223</v>
      </c>
      <c r="B1745" s="11" t="str">
        <f>HYPERLINK("https://twitter.com/mohajer__ir","@mohajer__ir")</f>
        <v>@mohajer__ir</v>
      </c>
      <c r="C1745" s="6" t="s">
        <v>3127</v>
      </c>
      <c r="D1745" s="5" t="s">
        <v>3126</v>
      </c>
      <c r="E1745" s="9" t="str">
        <f>HYPERLINK("https://twitter.com/mohajer__ir/status/1045217854692491264","1045217854692491264")</f>
        <v>1045217854692491264</v>
      </c>
      <c r="F1745" s="4"/>
      <c r="G1745" s="4"/>
      <c r="H1745" s="4"/>
      <c r="I1745" s="10" t="str">
        <f>HYPERLINK("http://twitter.com/download/android","Twitter for Android")</f>
        <v>Twitter for Android</v>
      </c>
      <c r="J1745" s="2">
        <v>404</v>
      </c>
      <c r="K1745" s="2">
        <v>87</v>
      </c>
      <c r="L1745" s="2">
        <v>4</v>
      </c>
      <c r="M1745" s="2"/>
      <c r="N1745" s="8">
        <v>43110.542893518519</v>
      </c>
      <c r="O1745" s="4" t="s">
        <v>3125</v>
      </c>
      <c r="P1745" s="3" t="s">
        <v>3124</v>
      </c>
      <c r="Q1745" s="4"/>
      <c r="R1745" s="4"/>
      <c r="S1745" s="9" t="str">
        <f>HYPERLINK("https://pbs.twimg.com/profile_images/1039147142856761345/Q-3wbhIS.jpg","View")</f>
        <v>View</v>
      </c>
    </row>
    <row r="1746" spans="1:19" ht="20">
      <c r="A1746" s="8">
        <v>43370.468680555554</v>
      </c>
      <c r="B1746" s="11" t="str">
        <f>HYPERLINK("https://twitter.com/debugger8867","@debugger8867")</f>
        <v>@debugger8867</v>
      </c>
      <c r="C1746" s="6" t="s">
        <v>3123</v>
      </c>
      <c r="D1746" s="5" t="s">
        <v>3122</v>
      </c>
      <c r="E1746" s="9" t="str">
        <f>HYPERLINK("https://twitter.com/debugger8867/status/1045217704259571712","1045217704259571712")</f>
        <v>1045217704259571712</v>
      </c>
      <c r="F1746" s="4"/>
      <c r="G1746" s="10" t="s">
        <v>3121</v>
      </c>
      <c r="H1746" s="4"/>
      <c r="I1746" s="10" t="str">
        <f>HYPERLINK("http://twitter.com","Twitter Web Client")</f>
        <v>Twitter Web Client</v>
      </c>
      <c r="J1746" s="2">
        <v>2259</v>
      </c>
      <c r="K1746" s="2">
        <v>231</v>
      </c>
      <c r="L1746" s="2">
        <v>22</v>
      </c>
      <c r="M1746" s="2"/>
      <c r="N1746" s="8">
        <v>42799.377581018518</v>
      </c>
      <c r="O1746" s="4" t="s">
        <v>254</v>
      </c>
      <c r="P1746" s="3" t="s">
        <v>3120</v>
      </c>
      <c r="Q1746" s="4"/>
      <c r="R1746" s="4"/>
      <c r="S1746" s="9" t="str">
        <f>HYPERLINK("https://pbs.twimg.com/profile_images/1020918093923733504/cHfIa9kg.jpg","View")</f>
        <v>View</v>
      </c>
    </row>
    <row r="1747" spans="1:19" ht="20">
      <c r="A1747" s="8">
        <v>43370.468310185184</v>
      </c>
      <c r="B1747" s="11" t="str">
        <f>HYPERLINK("https://twitter.com/Mashal_3232","@Mashal_3232")</f>
        <v>@Mashal_3232</v>
      </c>
      <c r="C1747" s="6" t="s">
        <v>3119</v>
      </c>
      <c r="D1747" s="5" t="s">
        <v>3118</v>
      </c>
      <c r="E1747" s="9" t="str">
        <f>HYPERLINK("https://twitter.com/Mashal_3232/status/1045217571891548160","1045217571891548160")</f>
        <v>1045217571891548160</v>
      </c>
      <c r="F1747" s="4"/>
      <c r="G1747" s="4"/>
      <c r="H1747" s="4"/>
      <c r="I1747" s="10" t="str">
        <f>HYPERLINK("http://twitter.com/download/android","Twitter for Android")</f>
        <v>Twitter for Android</v>
      </c>
      <c r="J1747" s="2">
        <v>1045</v>
      </c>
      <c r="K1747" s="2">
        <v>1008</v>
      </c>
      <c r="L1747" s="2">
        <v>1</v>
      </c>
      <c r="M1747" s="2"/>
      <c r="N1747" s="8">
        <v>43239.59443287037</v>
      </c>
      <c r="O1747" s="4" t="s">
        <v>414</v>
      </c>
      <c r="P1747" s="3" t="s">
        <v>3117</v>
      </c>
      <c r="Q1747" s="4"/>
      <c r="R1747" s="4"/>
      <c r="S1747" s="9" t="str">
        <f>HYPERLINK("https://pbs.twimg.com/profile_images/1037450257234386950/piiBHiEI.jpg","View")</f>
        <v>View</v>
      </c>
    </row>
    <row r="1748" spans="1:19" ht="20">
      <c r="A1748" s="8">
        <v>43370.467511574076</v>
      </c>
      <c r="B1748" s="11" t="str">
        <f>HYPERLINK("https://twitter.com/PersianQueen96","@PersianQueen96")</f>
        <v>@PersianQueen96</v>
      </c>
      <c r="C1748" s="6" t="s">
        <v>3086</v>
      </c>
      <c r="D1748" s="5" t="s">
        <v>3116</v>
      </c>
      <c r="E1748" s="9" t="str">
        <f>HYPERLINK("https://twitter.com/PersianQueen96/status/1045217278470615040","1045217278470615040")</f>
        <v>1045217278470615040</v>
      </c>
      <c r="F1748" s="4"/>
      <c r="G1748" s="4"/>
      <c r="H1748" s="4"/>
      <c r="I1748" s="10" t="str">
        <f>HYPERLINK("http://twitter.com/download/iphone","Twitter for iPhone")</f>
        <v>Twitter for iPhone</v>
      </c>
      <c r="J1748" s="2">
        <v>1405</v>
      </c>
      <c r="K1748" s="2">
        <v>870</v>
      </c>
      <c r="L1748" s="2">
        <v>15</v>
      </c>
      <c r="M1748" s="2"/>
      <c r="N1748" s="8">
        <v>42856.365208333329</v>
      </c>
      <c r="O1748" s="4" t="s">
        <v>3083</v>
      </c>
      <c r="P1748" s="3" t="s">
        <v>3082</v>
      </c>
      <c r="Q1748" s="4"/>
      <c r="R1748" s="4"/>
      <c r="S1748" s="9" t="str">
        <f>HYPERLINK("https://pbs.twimg.com/profile_images/1020243034871656449/aWWS_W8S.jpg","View")</f>
        <v>View</v>
      </c>
    </row>
    <row r="1749" spans="1:19" ht="20">
      <c r="A1749" s="8">
        <v>43370.467256944445</v>
      </c>
      <c r="B1749" s="11" t="str">
        <f>HYPERLINK("https://twitter.com/mhd3_alz","@mhd3_alz")</f>
        <v>@mhd3_alz</v>
      </c>
      <c r="C1749" s="6" t="s">
        <v>3115</v>
      </c>
      <c r="D1749" s="5" t="s">
        <v>3114</v>
      </c>
      <c r="E1749" s="9" t="str">
        <f>HYPERLINK("https://twitter.com/mhd3_alz/status/1045217186971877377","1045217186971877377")</f>
        <v>1045217186971877377</v>
      </c>
      <c r="F1749" s="4"/>
      <c r="G1749" s="4"/>
      <c r="H1749" s="4"/>
      <c r="I1749" s="10" t="str">
        <f>HYPERLINK("http://twitter.com/download/android","Twitter for Android")</f>
        <v>Twitter for Android</v>
      </c>
      <c r="J1749" s="2">
        <v>82</v>
      </c>
      <c r="K1749" s="2">
        <v>40</v>
      </c>
      <c r="L1749" s="2">
        <v>0</v>
      </c>
      <c r="M1749" s="2"/>
      <c r="N1749" s="8">
        <v>43170.588923611111</v>
      </c>
      <c r="O1749" s="4"/>
      <c r="P1749" s="3" t="s">
        <v>3113</v>
      </c>
      <c r="Q1749" s="4"/>
      <c r="R1749" s="4"/>
      <c r="S1749" s="9" t="str">
        <f>HYPERLINK("https://pbs.twimg.com/profile_images/1023605276652589057/3zCE3-F_.jpg","View")</f>
        <v>View</v>
      </c>
    </row>
    <row r="1750" spans="1:19" ht="30">
      <c r="A1750" s="8">
        <v>43370.467245370368</v>
      </c>
      <c r="B1750" s="11" t="str">
        <f>HYPERLINK("https://twitter.com/helenaaaarf","@helenaaaarf")</f>
        <v>@helenaaaarf</v>
      </c>
      <c r="C1750" s="6" t="s">
        <v>3112</v>
      </c>
      <c r="D1750" s="5" t="s">
        <v>3111</v>
      </c>
      <c r="E1750" s="9" t="str">
        <f>HYPERLINK("https://twitter.com/helenaaaarf/status/1045217185898139648","1045217185898139648")</f>
        <v>1045217185898139648</v>
      </c>
      <c r="F1750" s="4"/>
      <c r="G1750" s="4"/>
      <c r="H1750" s="4"/>
      <c r="I1750" s="10" t="str">
        <f>HYPERLINK("https://mobile.twitter.com","Mobile Web (M2)")</f>
        <v>Mobile Web (M2)</v>
      </c>
      <c r="J1750" s="2">
        <v>23</v>
      </c>
      <c r="K1750" s="2">
        <v>92</v>
      </c>
      <c r="L1750" s="2">
        <v>0</v>
      </c>
      <c r="M1750" s="2"/>
      <c r="N1750" s="8">
        <v>42941.936990740738</v>
      </c>
      <c r="O1750" s="4"/>
      <c r="P1750" s="3" t="s">
        <v>3110</v>
      </c>
      <c r="Q1750" s="4"/>
      <c r="R1750" s="4"/>
      <c r="S1750" s="9" t="str">
        <f>HYPERLINK("https://pbs.twimg.com/profile_images/992034411658076160/r56Ea_2W.jpg","View")</f>
        <v>View</v>
      </c>
    </row>
    <row r="1751" spans="1:19" ht="20">
      <c r="A1751" s="8">
        <v>43370.466909722221</v>
      </c>
      <c r="B1751" s="11" t="str">
        <f>HYPERLINK("https://twitter.com/redgirl_samira","@redgirl_samira")</f>
        <v>@redgirl_samira</v>
      </c>
      <c r="C1751" s="6" t="s">
        <v>321</v>
      </c>
      <c r="D1751" s="5" t="s">
        <v>3109</v>
      </c>
      <c r="E1751" s="9" t="str">
        <f>HYPERLINK("https://twitter.com/redgirl_samira/status/1045217061234987008","1045217061234987008")</f>
        <v>1045217061234987008</v>
      </c>
      <c r="F1751" s="4"/>
      <c r="G1751" s="4"/>
      <c r="H1751" s="4"/>
      <c r="I1751" s="10" t="str">
        <f>HYPERLINK("http://twitter.com/download/android","Twitter for Android")</f>
        <v>Twitter for Android</v>
      </c>
      <c r="J1751" s="2">
        <v>30</v>
      </c>
      <c r="K1751" s="2">
        <v>51</v>
      </c>
      <c r="L1751" s="2">
        <v>0</v>
      </c>
      <c r="M1751" s="2"/>
      <c r="N1751" s="8">
        <v>43080.140219907407</v>
      </c>
      <c r="O1751" s="4" t="s">
        <v>318</v>
      </c>
      <c r="P1751" s="3" t="s">
        <v>317</v>
      </c>
      <c r="Q1751" s="4"/>
      <c r="R1751" s="4"/>
      <c r="S1751" s="9" t="str">
        <f>HYPERLINK("https://pbs.twimg.com/profile_images/1041269033524449280/N2p9S43i.jpg","View")</f>
        <v>View</v>
      </c>
    </row>
    <row r="1752" spans="1:19" ht="30">
      <c r="A1752" s="8">
        <v>43370.466770833329</v>
      </c>
      <c r="B1752" s="11" t="str">
        <f>HYPERLINK("https://twitter.com/MHemmatiBo","@MHemmatiBo")</f>
        <v>@MHemmatiBo</v>
      </c>
      <c r="C1752" s="6" t="s">
        <v>3108</v>
      </c>
      <c r="D1752" s="5" t="s">
        <v>3107</v>
      </c>
      <c r="E1752" s="9" t="str">
        <f>HYPERLINK("https://twitter.com/MHemmatiBo/status/1045217011591270400","1045217011591270400")</f>
        <v>1045217011591270400</v>
      </c>
      <c r="F1752" s="4"/>
      <c r="G1752" s="4"/>
      <c r="H1752" s="4"/>
      <c r="I1752" s="10" t="str">
        <f>HYPERLINK("http://twitter.com","Twitter Web Client")</f>
        <v>Twitter Web Client</v>
      </c>
      <c r="J1752" s="2">
        <v>155</v>
      </c>
      <c r="K1752" s="2">
        <v>131</v>
      </c>
      <c r="L1752" s="2">
        <v>0</v>
      </c>
      <c r="M1752" s="2"/>
      <c r="N1752" s="8">
        <v>43336.599722222221</v>
      </c>
      <c r="O1752" s="4"/>
      <c r="P1752" s="3" t="s">
        <v>3106</v>
      </c>
      <c r="Q1752" s="10" t="s">
        <v>3105</v>
      </c>
      <c r="R1752" s="4"/>
      <c r="S1752" s="9" t="str">
        <f>HYPERLINK("https://pbs.twimg.com/profile_images/1032930469460017157/-Mbl4urY.jpg","View")</f>
        <v>View</v>
      </c>
    </row>
    <row r="1753" spans="1:19" ht="30">
      <c r="A1753" s="8">
        <v>43370.466678240744</v>
      </c>
      <c r="B1753" s="11" t="str">
        <f>HYPERLINK("https://twitter.com/sara_khorram","@sara_khorram")</f>
        <v>@sara_khorram</v>
      </c>
      <c r="C1753" s="6" t="s">
        <v>3104</v>
      </c>
      <c r="D1753" s="5" t="s">
        <v>3103</v>
      </c>
      <c r="E1753" s="9" t="str">
        <f>HYPERLINK("https://twitter.com/sara_khorram/status/1045216976430403585","1045216976430403585")</f>
        <v>1045216976430403585</v>
      </c>
      <c r="F1753" s="4"/>
      <c r="G1753" s="4"/>
      <c r="H1753" s="4"/>
      <c r="I1753" s="10" t="str">
        <f>HYPERLINK("http://twitter.com/download/android","Twitter for Android")</f>
        <v>Twitter for Android</v>
      </c>
      <c r="J1753" s="2">
        <v>1380</v>
      </c>
      <c r="K1753" s="2">
        <v>604</v>
      </c>
      <c r="L1753" s="2">
        <v>0</v>
      </c>
      <c r="M1753" s="2"/>
      <c r="N1753" s="8">
        <v>41533.73609953704</v>
      </c>
      <c r="O1753" s="4" t="s">
        <v>200</v>
      </c>
      <c r="P1753" s="3" t="s">
        <v>3102</v>
      </c>
      <c r="Q1753" s="4"/>
      <c r="R1753" s="4"/>
      <c r="S1753" s="9" t="str">
        <f>HYPERLINK("https://pbs.twimg.com/profile_images/1044523243514867713/5KUDe131.jpg","View")</f>
        <v>View</v>
      </c>
    </row>
    <row r="1754" spans="1:19" ht="12.5">
      <c r="A1754" s="8">
        <v>43370.465358796297</v>
      </c>
      <c r="B1754" s="11" t="str">
        <f>HYPERLINK("https://twitter.com/behrooz_Ac","@behrooz_Ac")</f>
        <v>@behrooz_Ac</v>
      </c>
      <c r="C1754" s="6" t="s">
        <v>187</v>
      </c>
      <c r="D1754" s="5" t="s">
        <v>3101</v>
      </c>
      <c r="E1754" s="9" t="str">
        <f>HYPERLINK("https://twitter.com/behrooz_Ac/status/1045216502306222080","1045216502306222080")</f>
        <v>1045216502306222080</v>
      </c>
      <c r="F1754" s="4"/>
      <c r="G1754" s="10" t="s">
        <v>3100</v>
      </c>
      <c r="H1754" s="4"/>
      <c r="I1754" s="10" t="str">
        <f>HYPERLINK("http://twitter.com/download/android","Twitter for Android")</f>
        <v>Twitter for Android</v>
      </c>
      <c r="J1754" s="2">
        <v>585</v>
      </c>
      <c r="K1754" s="2">
        <v>217</v>
      </c>
      <c r="L1754" s="2">
        <v>3</v>
      </c>
      <c r="M1754" s="2"/>
      <c r="N1754" s="8">
        <v>42016.718506944446</v>
      </c>
      <c r="O1754" s="4" t="s">
        <v>185</v>
      </c>
      <c r="P1754" s="3" t="s">
        <v>184</v>
      </c>
      <c r="Q1754" s="10" t="s">
        <v>183</v>
      </c>
      <c r="R1754" s="4"/>
      <c r="S1754" s="9" t="str">
        <f>HYPERLINK("https://pbs.twimg.com/profile_images/1043127120942252033/MOt2Eo2Y.jpg","View")</f>
        <v>View</v>
      </c>
    </row>
    <row r="1755" spans="1:19" ht="12.5">
      <c r="A1755" s="8">
        <v>43370.465219907404</v>
      </c>
      <c r="B1755" s="11" t="str">
        <f>HYPERLINK("https://twitter.com/M_Ghulaami","@M_Ghulaami")</f>
        <v>@M_Ghulaami</v>
      </c>
      <c r="C1755" s="6" t="s">
        <v>3099</v>
      </c>
      <c r="D1755" s="5" t="s">
        <v>3098</v>
      </c>
      <c r="E1755" s="9" t="str">
        <f>HYPERLINK("https://twitter.com/M_Ghulaami/status/1045216448359145472","1045216448359145472")</f>
        <v>1045216448359145472</v>
      </c>
      <c r="F1755" s="4"/>
      <c r="G1755" s="4"/>
      <c r="H1755" s="4"/>
      <c r="I1755" s="10" t="str">
        <f>HYPERLINK("http://twitter.com/download/android","Twitter for Android")</f>
        <v>Twitter for Android</v>
      </c>
      <c r="J1755" s="2">
        <v>779</v>
      </c>
      <c r="K1755" s="2">
        <v>510</v>
      </c>
      <c r="L1755" s="2">
        <v>5</v>
      </c>
      <c r="M1755" s="2"/>
      <c r="N1755" s="8">
        <v>42991.00881944444</v>
      </c>
      <c r="O1755" s="4" t="s">
        <v>200</v>
      </c>
      <c r="P1755" s="3" t="s">
        <v>3097</v>
      </c>
      <c r="Q1755" s="4"/>
      <c r="R1755" s="4"/>
      <c r="S1755" s="9" t="str">
        <f>HYPERLINK("https://pbs.twimg.com/profile_images/1038508887761149952/oLN8U05o.jpg","View")</f>
        <v>View</v>
      </c>
    </row>
    <row r="1756" spans="1:19" ht="40">
      <c r="A1756" s="8">
        <v>43370.464733796296</v>
      </c>
      <c r="B1756" s="11" t="str">
        <f>HYPERLINK("https://twitter.com/mim_azad68","@mim_azad68")</f>
        <v>@mim_azad68</v>
      </c>
      <c r="C1756" s="6" t="s">
        <v>3096</v>
      </c>
      <c r="D1756" s="5" t="s">
        <v>3095</v>
      </c>
      <c r="E1756" s="9" t="str">
        <f>HYPERLINK("https://twitter.com/mim_azad68/status/1045216273553117185","1045216273553117185")</f>
        <v>1045216273553117185</v>
      </c>
      <c r="F1756" s="4"/>
      <c r="G1756" s="10" t="s">
        <v>3094</v>
      </c>
      <c r="H1756" s="4"/>
      <c r="I1756" s="10" t="str">
        <f>HYPERLINK("http://twitter.com","Twitter Web Client")</f>
        <v>Twitter Web Client</v>
      </c>
      <c r="J1756" s="2">
        <v>3841</v>
      </c>
      <c r="K1756" s="2">
        <v>4098</v>
      </c>
      <c r="L1756" s="2">
        <v>4</v>
      </c>
      <c r="M1756" s="2"/>
      <c r="N1756" s="8">
        <v>42365.335138888884</v>
      </c>
      <c r="O1756" s="4" t="s">
        <v>62</v>
      </c>
      <c r="P1756" s="3" t="s">
        <v>3093</v>
      </c>
      <c r="Q1756" s="10" t="s">
        <v>3092</v>
      </c>
      <c r="R1756" s="4"/>
      <c r="S1756" s="9" t="str">
        <f>HYPERLINK("https://pbs.twimg.com/profile_images/1039378118438477824/IZwua0qY.jpg","View")</f>
        <v>View</v>
      </c>
    </row>
    <row r="1757" spans="1:19" ht="30">
      <c r="A1757" s="8">
        <v>43370.464340277773</v>
      </c>
      <c r="B1757" s="11" t="str">
        <f>HYPERLINK("https://twitter.com/farzamf2","@farzamf2")</f>
        <v>@farzamf2</v>
      </c>
      <c r="C1757" s="6" t="s">
        <v>3091</v>
      </c>
      <c r="D1757" s="5" t="s">
        <v>3090</v>
      </c>
      <c r="E1757" s="9" t="str">
        <f>HYPERLINK("https://twitter.com/farzamf2/status/1045216132926504960","1045216132926504960")</f>
        <v>1045216132926504960</v>
      </c>
      <c r="F1757" s="4"/>
      <c r="G1757" s="4"/>
      <c r="H1757" s="4"/>
      <c r="I1757" s="10" t="str">
        <f>HYPERLINK("http://twitter.com/download/iphone","Twitter for iPhone")</f>
        <v>Twitter for iPhone</v>
      </c>
      <c r="J1757" s="2">
        <v>192</v>
      </c>
      <c r="K1757" s="2">
        <v>54</v>
      </c>
      <c r="L1757" s="2">
        <v>0</v>
      </c>
      <c r="M1757" s="2"/>
      <c r="N1757" s="8">
        <v>42862.455254629633</v>
      </c>
      <c r="O1757" s="4"/>
      <c r="P1757" s="3" t="s">
        <v>3089</v>
      </c>
      <c r="Q1757" s="4"/>
      <c r="R1757" s="4"/>
      <c r="S1757" s="9" t="str">
        <f>HYPERLINK("https://pbs.twimg.com/profile_images/1042833091910356999/XNdlnuY8.jpg","View")</f>
        <v>View</v>
      </c>
    </row>
    <row r="1758" spans="1:19" ht="20">
      <c r="A1758" s="8">
        <v>43370.464004629626</v>
      </c>
      <c r="B1758" s="11" t="str">
        <f>HYPERLINK("https://twitter.com/Aliarya1999","@Aliarya1999")</f>
        <v>@Aliarya1999</v>
      </c>
      <c r="C1758" s="6" t="s">
        <v>3088</v>
      </c>
      <c r="D1758" s="5" t="s">
        <v>3087</v>
      </c>
      <c r="E1758" s="9" t="str">
        <f>HYPERLINK("https://twitter.com/Aliarya1999/status/1045216011157467136","1045216011157467136")</f>
        <v>1045216011157467136</v>
      </c>
      <c r="F1758" s="4"/>
      <c r="G1758" s="4"/>
      <c r="H1758" s="4"/>
      <c r="I1758" s="10" t="str">
        <f>HYPERLINK("http://twitter.com/download/android","Twitter for Android")</f>
        <v>Twitter for Android</v>
      </c>
      <c r="J1758" s="2">
        <v>4</v>
      </c>
      <c r="K1758" s="2">
        <v>22</v>
      </c>
      <c r="L1758" s="2">
        <v>0</v>
      </c>
      <c r="M1758" s="2"/>
      <c r="N1758" s="8">
        <v>43358.966261574074</v>
      </c>
      <c r="O1758" s="4"/>
      <c r="P1758" s="3"/>
      <c r="Q1758" s="4"/>
      <c r="R1758" s="4"/>
      <c r="S1758" s="9" t="str">
        <f>HYPERLINK("https://pbs.twimg.com/profile_images/1041036521527230465/D77hUVwY.jpg","View")</f>
        <v>View</v>
      </c>
    </row>
    <row r="1759" spans="1:19" ht="20">
      <c r="A1759" s="8">
        <v>43370.463923611111</v>
      </c>
      <c r="B1759" s="11" t="str">
        <f>HYPERLINK("https://twitter.com/PersianQueen96","@PersianQueen96")</f>
        <v>@PersianQueen96</v>
      </c>
      <c r="C1759" s="6" t="s">
        <v>3086</v>
      </c>
      <c r="D1759" s="5" t="s">
        <v>3085</v>
      </c>
      <c r="E1759" s="9" t="str">
        <f>HYPERLINK("https://twitter.com/PersianQueen96/status/1045215980941651968","1045215980941651968")</f>
        <v>1045215980941651968</v>
      </c>
      <c r="F1759" s="4"/>
      <c r="G1759" s="10" t="s">
        <v>3084</v>
      </c>
      <c r="H1759" s="4"/>
      <c r="I1759" s="10" t="str">
        <f>HYPERLINK("http://twitter.com/download/iphone","Twitter for iPhone")</f>
        <v>Twitter for iPhone</v>
      </c>
      <c r="J1759" s="2">
        <v>1405</v>
      </c>
      <c r="K1759" s="2">
        <v>870</v>
      </c>
      <c r="L1759" s="2">
        <v>15</v>
      </c>
      <c r="M1759" s="2"/>
      <c r="N1759" s="8">
        <v>42856.365208333329</v>
      </c>
      <c r="O1759" s="4" t="s">
        <v>3083</v>
      </c>
      <c r="P1759" s="3" t="s">
        <v>3082</v>
      </c>
      <c r="Q1759" s="4"/>
      <c r="R1759" s="4"/>
      <c r="S1759" s="9" t="str">
        <f>HYPERLINK("https://pbs.twimg.com/profile_images/1020243034871656449/aWWS_W8S.jpg","View")</f>
        <v>View</v>
      </c>
    </row>
    <row r="1760" spans="1:19" ht="20">
      <c r="A1760" s="8">
        <v>43370.463622685187</v>
      </c>
      <c r="B1760" s="11" t="str">
        <f>HYPERLINK("https://twitter.com/peka1355","@peka1355")</f>
        <v>@peka1355</v>
      </c>
      <c r="C1760" s="6" t="s">
        <v>2753</v>
      </c>
      <c r="D1760" s="5" t="s">
        <v>3081</v>
      </c>
      <c r="E1760" s="9" t="str">
        <f>HYPERLINK("https://twitter.com/peka1355/status/1045215871575048192","1045215871575048192")</f>
        <v>1045215871575048192</v>
      </c>
      <c r="F1760" s="4"/>
      <c r="G1760" s="4"/>
      <c r="H1760" s="4"/>
      <c r="I1760" s="10" t="str">
        <f>HYPERLINK("http://twitter.com/download/android","Twitter for Android")</f>
        <v>Twitter for Android</v>
      </c>
      <c r="J1760" s="2">
        <v>4057</v>
      </c>
      <c r="K1760" s="2">
        <v>897</v>
      </c>
      <c r="L1760" s="2">
        <v>39</v>
      </c>
      <c r="M1760" s="2"/>
      <c r="N1760" s="8">
        <v>40385.574490740742</v>
      </c>
      <c r="O1760" s="4" t="s">
        <v>2751</v>
      </c>
      <c r="P1760" s="3" t="s">
        <v>2750</v>
      </c>
      <c r="Q1760" s="4"/>
      <c r="R1760" s="4"/>
      <c r="S1760" s="9" t="str">
        <f>HYPERLINK("https://pbs.twimg.com/profile_images/1002534065772417024/CN_WtlmB.jpg","View")</f>
        <v>View</v>
      </c>
    </row>
    <row r="1761" spans="1:19" ht="20">
      <c r="A1761" s="8">
        <v>43370.463229166664</v>
      </c>
      <c r="B1761" s="11" t="str">
        <f>HYPERLINK("https://twitter.com/Kopernik_twt","@Kopernik_twt")</f>
        <v>@Kopernik_twt</v>
      </c>
      <c r="C1761" s="6" t="s">
        <v>3080</v>
      </c>
      <c r="D1761" s="5" t="s">
        <v>3079</v>
      </c>
      <c r="E1761" s="9" t="str">
        <f>HYPERLINK("https://twitter.com/Kopernik_twt/status/1045215727035305984","1045215727035305984")</f>
        <v>1045215727035305984</v>
      </c>
      <c r="F1761" s="4"/>
      <c r="G1761" s="10" t="s">
        <v>3078</v>
      </c>
      <c r="H1761" s="4"/>
      <c r="I1761" s="10" t="str">
        <f>HYPERLINK("http://twitter.com/download/android","Twitter for Android")</f>
        <v>Twitter for Android</v>
      </c>
      <c r="J1761" s="2">
        <v>1472</v>
      </c>
      <c r="K1761" s="2">
        <v>3687</v>
      </c>
      <c r="L1761" s="2">
        <v>0</v>
      </c>
      <c r="M1761" s="2"/>
      <c r="N1761" s="8">
        <v>43353.474803240737</v>
      </c>
      <c r="O1761" s="4"/>
      <c r="P1761" s="3" t="s">
        <v>3077</v>
      </c>
      <c r="Q1761" s="4"/>
      <c r="R1761" s="4"/>
      <c r="S1761" s="9" t="str">
        <f>HYPERLINK("https://pbs.twimg.com/profile_images/1039106314046078977/907QiWN5.jpg","View")</f>
        <v>View</v>
      </c>
    </row>
    <row r="1762" spans="1:19" ht="12.5">
      <c r="A1762" s="8">
        <v>43370.463136574079</v>
      </c>
      <c r="B1762" s="11" t="str">
        <f>HYPERLINK("https://twitter.com/badboy6_9","@badboy6_9")</f>
        <v>@badboy6_9</v>
      </c>
      <c r="C1762" s="6" t="s">
        <v>3076</v>
      </c>
      <c r="D1762" s="5" t="s">
        <v>3075</v>
      </c>
      <c r="E1762" s="9" t="str">
        <f>HYPERLINK("https://twitter.com/badboy6_9/status/1045215692855955456","1045215692855955456")</f>
        <v>1045215692855955456</v>
      </c>
      <c r="F1762" s="4"/>
      <c r="G1762" s="4"/>
      <c r="H1762" s="4"/>
      <c r="I1762" s="10" t="str">
        <f>HYPERLINK("http://twitter.com/download/android","Twitter for Android")</f>
        <v>Twitter for Android</v>
      </c>
      <c r="J1762" s="2">
        <v>105</v>
      </c>
      <c r="K1762" s="2">
        <v>34</v>
      </c>
      <c r="L1762" s="2">
        <v>4</v>
      </c>
      <c r="M1762" s="2"/>
      <c r="N1762" s="8">
        <v>42469.582754629635</v>
      </c>
      <c r="O1762" s="4" t="s">
        <v>3074</v>
      </c>
      <c r="P1762" s="3" t="s">
        <v>3073</v>
      </c>
      <c r="Q1762" s="10" t="s">
        <v>3072</v>
      </c>
      <c r="R1762" s="4"/>
      <c r="S1762" s="9" t="str">
        <f>HYPERLINK("https://pbs.twimg.com/profile_images/964487227815415808/gP3N44k7.jpg","View")</f>
        <v>View</v>
      </c>
    </row>
    <row r="1763" spans="1:19" ht="12.5">
      <c r="A1763" s="8">
        <v>43370.462685185186</v>
      </c>
      <c r="B1763" s="11" t="str">
        <f>HYPERLINK("https://twitter.com/hasssanmohamadi","@hasssanmohamadi")</f>
        <v>@hasssanmohamadi</v>
      </c>
      <c r="C1763" s="6" t="s">
        <v>3071</v>
      </c>
      <c r="D1763" s="5" t="s">
        <v>3070</v>
      </c>
      <c r="E1763" s="9" t="str">
        <f>HYPERLINK("https://twitter.com/hasssanmohamadi/status/1045215532667076610","1045215532667076610")</f>
        <v>1045215532667076610</v>
      </c>
      <c r="F1763" s="4"/>
      <c r="G1763" s="4"/>
      <c r="H1763" s="4"/>
      <c r="I1763" s="10" t="str">
        <f>HYPERLINK("http://twitter.com","Twitter Web Client")</f>
        <v>Twitter Web Client</v>
      </c>
      <c r="J1763" s="2">
        <v>48</v>
      </c>
      <c r="K1763" s="2">
        <v>112</v>
      </c>
      <c r="L1763" s="2">
        <v>1</v>
      </c>
      <c r="M1763" s="2"/>
      <c r="N1763" s="8">
        <v>42486.006886574076</v>
      </c>
      <c r="O1763" s="4" t="s">
        <v>3069</v>
      </c>
      <c r="P1763" s="3"/>
      <c r="Q1763" s="4"/>
      <c r="R1763" s="4"/>
      <c r="S1763" s="9" t="str">
        <f>HYPERLINK("https://pbs.twimg.com/profile_images/732679432540917761/68TH1B4q.jpg","View")</f>
        <v>View</v>
      </c>
    </row>
    <row r="1764" spans="1:19" ht="12.5">
      <c r="A1764" s="8">
        <v>43370.462511574078</v>
      </c>
      <c r="B1764" s="11" t="str">
        <f>HYPERLINK("https://twitter.com/amirhdo","@amirhdo")</f>
        <v>@amirhdo</v>
      </c>
      <c r="C1764" s="6" t="s">
        <v>3068</v>
      </c>
      <c r="D1764" s="5" t="s">
        <v>3067</v>
      </c>
      <c r="E1764" s="9" t="str">
        <f>HYPERLINK("https://twitter.com/amirhdo/status/1045215470436188160","1045215470436188160")</f>
        <v>1045215470436188160</v>
      </c>
      <c r="F1764" s="4"/>
      <c r="G1764" s="4"/>
      <c r="H1764" s="4"/>
      <c r="I1764" s="10" t="str">
        <f>HYPERLINK("http://twitter.com/download/iphone","Twitter for iPhone")</f>
        <v>Twitter for iPhone</v>
      </c>
      <c r="J1764" s="2">
        <v>1216</v>
      </c>
      <c r="K1764" s="2">
        <v>1225</v>
      </c>
      <c r="L1764" s="2">
        <v>0</v>
      </c>
      <c r="M1764" s="2"/>
      <c r="N1764" s="8">
        <v>43294.502847222218</v>
      </c>
      <c r="O1764" s="4" t="s">
        <v>10</v>
      </c>
      <c r="P1764" s="3" t="s">
        <v>3066</v>
      </c>
      <c r="Q1764" s="10" t="s">
        <v>3065</v>
      </c>
      <c r="R1764" s="4"/>
      <c r="S1764" s="9" t="str">
        <f>HYPERLINK("https://pbs.twimg.com/profile_images/1035479549742444544/wt91FOLV.jpg","View")</f>
        <v>View</v>
      </c>
    </row>
    <row r="1765" spans="1:19" ht="50">
      <c r="A1765" s="8">
        <v>43370.46092592593</v>
      </c>
      <c r="B1765" s="11" t="str">
        <f>HYPERLINK("https://twitter.com/Mas0udii","@Mas0udii")</f>
        <v>@Mas0udii</v>
      </c>
      <c r="C1765" s="6" t="s">
        <v>3064</v>
      </c>
      <c r="D1765" s="5" t="s">
        <v>3063</v>
      </c>
      <c r="E1765" s="9" t="str">
        <f>HYPERLINK("https://twitter.com/Mas0udii/status/1045214893534838784","1045214893534838784")</f>
        <v>1045214893534838784</v>
      </c>
      <c r="F1765" s="10" t="s">
        <v>3062</v>
      </c>
      <c r="G1765" s="4"/>
      <c r="H1765" s="4"/>
      <c r="I1765" s="10" t="str">
        <f>HYPERLINK("http://twitter.com","Twitter Web Client")</f>
        <v>Twitter Web Client</v>
      </c>
      <c r="J1765" s="2">
        <v>2005</v>
      </c>
      <c r="K1765" s="2">
        <v>2026</v>
      </c>
      <c r="L1765" s="2">
        <v>5</v>
      </c>
      <c r="M1765" s="2"/>
      <c r="N1765" s="8">
        <v>41398.998831018514</v>
      </c>
      <c r="O1765" s="4" t="s">
        <v>3061</v>
      </c>
      <c r="P1765" s="3" t="s">
        <v>3060</v>
      </c>
      <c r="Q1765" s="4"/>
      <c r="R1765" s="4"/>
      <c r="S1765" s="9" t="str">
        <f>HYPERLINK("https://pbs.twimg.com/profile_images/1033411265723596805/Rq8BGa4k.jpg","View")</f>
        <v>View</v>
      </c>
    </row>
    <row r="1766" spans="1:19" ht="12.5">
      <c r="A1766" s="8">
        <v>43370.460439814815</v>
      </c>
      <c r="B1766" s="11" t="str">
        <f>HYPERLINK("https://twitter.com/FarsNews_Agency","@FarsNews_Agency")</f>
        <v>@FarsNews_Agency</v>
      </c>
      <c r="C1766" s="6" t="s">
        <v>3059</v>
      </c>
      <c r="D1766" s="5" t="s">
        <v>3058</v>
      </c>
      <c r="E1766" s="9" t="str">
        <f>HYPERLINK("https://twitter.com/FarsNews_Agency/status/1045214717697036288","1045214717697036288")</f>
        <v>1045214717697036288</v>
      </c>
      <c r="F1766" s="4"/>
      <c r="G1766" s="10" t="s">
        <v>3057</v>
      </c>
      <c r="H1766" s="4"/>
      <c r="I1766" s="10" t="str">
        <f>HYPERLINK("http://twitter.com","Twitter Web Client")</f>
        <v>Twitter Web Client</v>
      </c>
      <c r="J1766" s="2">
        <v>56035</v>
      </c>
      <c r="K1766" s="2">
        <v>1</v>
      </c>
      <c r="L1766" s="2">
        <v>367</v>
      </c>
      <c r="M1766" s="2" t="s">
        <v>1701</v>
      </c>
      <c r="N1766" s="8">
        <v>41779.409398148149</v>
      </c>
      <c r="O1766" s="4" t="s">
        <v>3056</v>
      </c>
      <c r="P1766" s="3" t="s">
        <v>3055</v>
      </c>
      <c r="Q1766" s="10" t="s">
        <v>3054</v>
      </c>
      <c r="R1766" s="4"/>
      <c r="S1766" s="9" t="str">
        <f>HYPERLINK("https://pbs.twimg.com/profile_images/1039452936206725120/4u9-3we7.jpg","View")</f>
        <v>View</v>
      </c>
    </row>
    <row r="1767" spans="1:19" ht="30">
      <c r="A1767" s="8">
        <v>43370.460127314815</v>
      </c>
      <c r="B1767" s="11" t="str">
        <f>HYPERLINK("https://twitter.com/hnooraninejad","@hnooraninejad")</f>
        <v>@hnooraninejad</v>
      </c>
      <c r="C1767" s="6" t="s">
        <v>3053</v>
      </c>
      <c r="D1767" s="5" t="s">
        <v>3052</v>
      </c>
      <c r="E1767" s="9" t="str">
        <f>HYPERLINK("https://twitter.com/hnooraninejad/status/1045214603179954177","1045214603179954177")</f>
        <v>1045214603179954177</v>
      </c>
      <c r="F1767" s="4"/>
      <c r="G1767" s="10" t="s">
        <v>3051</v>
      </c>
      <c r="H1767" s="4"/>
      <c r="I1767" s="10" t="str">
        <f>HYPERLINK("http://twitter.com/download/iphone","Twitter for iPhone")</f>
        <v>Twitter for iPhone</v>
      </c>
      <c r="J1767" s="2">
        <v>7678</v>
      </c>
      <c r="K1767" s="2">
        <v>446</v>
      </c>
      <c r="L1767" s="2">
        <v>30</v>
      </c>
      <c r="M1767" s="2"/>
      <c r="N1767" s="8">
        <v>42725.74113425926</v>
      </c>
      <c r="O1767" s="4"/>
      <c r="P1767" s="3" t="s">
        <v>3050</v>
      </c>
      <c r="Q1767" s="4"/>
      <c r="R1767" s="4"/>
      <c r="S1767" s="9" t="str">
        <f>HYPERLINK("https://pbs.twimg.com/profile_images/811579656008671232/z_zEGIhp.jpg","View")</f>
        <v>View</v>
      </c>
    </row>
    <row r="1768" spans="1:19" ht="20">
      <c r="A1768" s="8">
        <v>43370.459918981476</v>
      </c>
      <c r="B1768" s="11" t="str">
        <f>HYPERLINK("https://twitter.com/meysametammar","@meysametammar")</f>
        <v>@meysametammar</v>
      </c>
      <c r="C1768" s="6" t="s">
        <v>3049</v>
      </c>
      <c r="D1768" s="5" t="s">
        <v>3048</v>
      </c>
      <c r="E1768" s="9" t="str">
        <f>HYPERLINK("https://twitter.com/meysametammar/status/1045214526847815681","1045214526847815681")</f>
        <v>1045214526847815681</v>
      </c>
      <c r="F1768" s="4"/>
      <c r="G1768" s="4"/>
      <c r="H1768" s="4"/>
      <c r="I1768" s="10" t="str">
        <f>HYPERLINK("http://twitter.com/download/android","Twitter for Android")</f>
        <v>Twitter for Android</v>
      </c>
      <c r="J1768" s="2">
        <v>4880</v>
      </c>
      <c r="K1768" s="2">
        <v>5149</v>
      </c>
      <c r="L1768" s="2">
        <v>13</v>
      </c>
      <c r="M1768" s="2"/>
      <c r="N1768" s="8">
        <v>43152.743263888886</v>
      </c>
      <c r="O1768" s="4" t="s">
        <v>62</v>
      </c>
      <c r="P1768" s="3" t="s">
        <v>3047</v>
      </c>
      <c r="Q1768" s="4"/>
      <c r="R1768" s="4"/>
      <c r="S1768" s="9" t="str">
        <f>HYPERLINK("https://pbs.twimg.com/profile_images/1010595828493365256/LlIOiiCI.jpg","View")</f>
        <v>View</v>
      </c>
    </row>
    <row r="1769" spans="1:19" ht="20">
      <c r="A1769" s="8">
        <v>43370.459780092591</v>
      </c>
      <c r="B1769" s="11" t="str">
        <f>HYPERLINK("https://twitter.com/mjkh_j","@mjkh_j")</f>
        <v>@mjkh_j</v>
      </c>
      <c r="C1769" s="6" t="s">
        <v>3046</v>
      </c>
      <c r="D1769" s="5" t="s">
        <v>3045</v>
      </c>
      <c r="E1769" s="9" t="str">
        <f>HYPERLINK("https://twitter.com/mjkh_j/status/1045214477698945024","1045214477698945024")</f>
        <v>1045214477698945024</v>
      </c>
      <c r="F1769" s="4"/>
      <c r="G1769" s="4"/>
      <c r="H1769" s="4"/>
      <c r="I1769" s="10" t="str">
        <f>HYPERLINK("http://twitter.com/download/android","Twitter for Android")</f>
        <v>Twitter for Android</v>
      </c>
      <c r="J1769" s="2">
        <v>335</v>
      </c>
      <c r="K1769" s="2">
        <v>467</v>
      </c>
      <c r="L1769" s="2">
        <v>1</v>
      </c>
      <c r="M1769" s="2"/>
      <c r="N1769" s="8">
        <v>42212.584791666668</v>
      </c>
      <c r="O1769" s="4"/>
      <c r="P1769" s="3" t="s">
        <v>3044</v>
      </c>
      <c r="Q1769" s="4"/>
      <c r="R1769" s="4"/>
      <c r="S1769" s="9" t="str">
        <f>HYPERLINK("https://pbs.twimg.com/profile_images/985076707823677440/ZoDvQlIm.jpg","View")</f>
        <v>View</v>
      </c>
    </row>
    <row r="1770" spans="1:19" ht="20">
      <c r="A1770" s="8">
        <v>43370.45957175926</v>
      </c>
      <c r="B1770" s="11" t="str">
        <f>HYPERLINK("https://twitter.com/EsteghlalTehFC","@EsteghlalTehFC")</f>
        <v>@EsteghlalTehFC</v>
      </c>
      <c r="C1770" s="6" t="s">
        <v>3043</v>
      </c>
      <c r="D1770" s="5" t="s">
        <v>3042</v>
      </c>
      <c r="E1770" s="9" t="str">
        <f>HYPERLINK("https://twitter.com/EsteghlalTehFC/status/1045214401752649728","1045214401752649728")</f>
        <v>1045214401752649728</v>
      </c>
      <c r="F1770" s="4"/>
      <c r="G1770" s="4"/>
      <c r="H1770" s="4"/>
      <c r="I1770" s="10" t="str">
        <f>HYPERLINK("https://about.twitter.com/products/tweetdeck","TweetDeck")</f>
        <v>TweetDeck</v>
      </c>
      <c r="J1770" s="2">
        <v>10975</v>
      </c>
      <c r="K1770" s="2">
        <v>16</v>
      </c>
      <c r="L1770" s="2">
        <v>35</v>
      </c>
      <c r="M1770" s="2"/>
      <c r="N1770" s="8">
        <v>41016.844317129631</v>
      </c>
      <c r="O1770" s="4" t="s">
        <v>2944</v>
      </c>
      <c r="P1770" s="3" t="s">
        <v>3041</v>
      </c>
      <c r="Q1770" s="10" t="s">
        <v>2577</v>
      </c>
      <c r="R1770" s="4"/>
      <c r="S1770" s="9" t="str">
        <f>HYPERLINK("https://pbs.twimg.com/profile_images/1018931327599628288/EP7JzcFn.jpg","View")</f>
        <v>View</v>
      </c>
    </row>
    <row r="1771" spans="1:19" ht="20">
      <c r="A1771" s="8">
        <v>43370.459201388891</v>
      </c>
      <c r="B1771" s="11" t="str">
        <f>HYPERLINK("https://twitter.com/xAx93","@xAx93")</f>
        <v>@xAx93</v>
      </c>
      <c r="C1771" s="6" t="s">
        <v>3040</v>
      </c>
      <c r="D1771" s="5" t="s">
        <v>3039</v>
      </c>
      <c r="E1771" s="9" t="str">
        <f>HYPERLINK("https://twitter.com/xAx93/status/1045214268885487616","1045214268885487616")</f>
        <v>1045214268885487616</v>
      </c>
      <c r="F1771" s="4"/>
      <c r="G1771" s="4"/>
      <c r="H1771" s="4"/>
      <c r="I1771" s="10" t="str">
        <f>HYPERLINK("http://twitter.com","Twitter Web Client")</f>
        <v>Twitter Web Client</v>
      </c>
      <c r="J1771" s="2">
        <v>1045</v>
      </c>
      <c r="K1771" s="2">
        <v>622</v>
      </c>
      <c r="L1771" s="2">
        <v>12</v>
      </c>
      <c r="M1771" s="2"/>
      <c r="N1771" s="8">
        <v>40601.875787037039</v>
      </c>
      <c r="O1771" s="4" t="s">
        <v>3038</v>
      </c>
      <c r="P1771" s="3" t="s">
        <v>3037</v>
      </c>
      <c r="Q1771" s="10" t="s">
        <v>3036</v>
      </c>
      <c r="R1771" s="4"/>
      <c r="S1771" s="9" t="str">
        <f>HYPERLINK("https://pbs.twimg.com/profile_images/1042121649200422913/T2HH4F_X.jpg","View")</f>
        <v>View</v>
      </c>
    </row>
    <row r="1772" spans="1:19" ht="30">
      <c r="A1772" s="8">
        <v>43370.459074074075</v>
      </c>
      <c r="B1772" s="11" t="str">
        <f>HYPERLINK("https://twitter.com/piroozinews","@piroozinews")</f>
        <v>@piroozinews</v>
      </c>
      <c r="C1772" s="6" t="s">
        <v>764</v>
      </c>
      <c r="D1772" s="5" t="s">
        <v>3035</v>
      </c>
      <c r="E1772" s="9" t="str">
        <f>HYPERLINK("https://twitter.com/piroozinews/status/1045214221838032896","1045214221838032896")</f>
        <v>1045214221838032896</v>
      </c>
      <c r="F1772" s="4"/>
      <c r="G1772" s="10" t="s">
        <v>3034</v>
      </c>
      <c r="H1772" s="4"/>
      <c r="I1772" s="10" t="str">
        <f>HYPERLINK("http://twitter.com","Twitter Web Client")</f>
        <v>Twitter Web Client</v>
      </c>
      <c r="J1772" s="2">
        <v>28757</v>
      </c>
      <c r="K1772" s="2">
        <v>31</v>
      </c>
      <c r="L1772" s="2">
        <v>245</v>
      </c>
      <c r="M1772" s="2"/>
      <c r="N1772" s="8">
        <v>42343.636840277773</v>
      </c>
      <c r="O1772" s="4" t="s">
        <v>762</v>
      </c>
      <c r="P1772" s="3" t="s">
        <v>761</v>
      </c>
      <c r="Q1772" s="10" t="s">
        <v>760</v>
      </c>
      <c r="R1772" s="4"/>
      <c r="S1772" s="9" t="str">
        <f>HYPERLINK("https://pbs.twimg.com/profile_images/1014483613310570497/0eFAC3lV.jpg","View")</f>
        <v>View</v>
      </c>
    </row>
    <row r="1773" spans="1:19" ht="20">
      <c r="A1773" s="8">
        <v>43370.459016203706</v>
      </c>
      <c r="B1773" s="11" t="str">
        <f>HYPERLINK("https://twitter.com/Alirezahr","@Alirezahr")</f>
        <v>@Alirezahr</v>
      </c>
      <c r="C1773" s="6" t="s">
        <v>2762</v>
      </c>
      <c r="D1773" s="5" t="s">
        <v>3033</v>
      </c>
      <c r="E1773" s="9" t="str">
        <f>HYPERLINK("https://twitter.com/Alirezahr/status/1045214202812542977","1045214202812542977")</f>
        <v>1045214202812542977</v>
      </c>
      <c r="F1773" s="4"/>
      <c r="G1773" s="4"/>
      <c r="H1773" s="4"/>
      <c r="I1773" s="10" t="str">
        <f>HYPERLINK("http://twitter.com/download/android","Twitter for Android")</f>
        <v>Twitter for Android</v>
      </c>
      <c r="J1773" s="2">
        <v>38</v>
      </c>
      <c r="K1773" s="2">
        <v>127</v>
      </c>
      <c r="L1773" s="2">
        <v>1</v>
      </c>
      <c r="M1773" s="2"/>
      <c r="N1773" s="8">
        <v>39839.984398148146</v>
      </c>
      <c r="O1773" s="4"/>
      <c r="P1773" s="3" t="s">
        <v>2760</v>
      </c>
      <c r="Q1773" s="4"/>
      <c r="R1773" s="4"/>
      <c r="S1773" s="9" t="str">
        <f>HYPERLINK("https://pbs.twimg.com/profile_images/378800000416438625/7ff80651006ea05a792ec2764d159699.jpeg","View")</f>
        <v>View</v>
      </c>
    </row>
    <row r="1774" spans="1:19" ht="30">
      <c r="A1774" s="8">
        <v>43370.458981481483</v>
      </c>
      <c r="B1774" s="11" t="str">
        <f>HYPERLINK("https://twitter.com/AmirSedighi1","@AmirSedighi1")</f>
        <v>@AmirSedighi1</v>
      </c>
      <c r="C1774" s="6" t="s">
        <v>3032</v>
      </c>
      <c r="D1774" s="5" t="s">
        <v>3031</v>
      </c>
      <c r="E1774" s="9" t="str">
        <f>HYPERLINK("https://twitter.com/AmirSedighi1/status/1045214190821150720","1045214190821150720")</f>
        <v>1045214190821150720</v>
      </c>
      <c r="F1774" s="4"/>
      <c r="G1774" s="10" t="s">
        <v>3030</v>
      </c>
      <c r="H1774" s="4"/>
      <c r="I1774" s="10" t="str">
        <f>HYPERLINK("http://twitter.com/download/iphone","Twitter for iPhone")</f>
        <v>Twitter for iPhone</v>
      </c>
      <c r="J1774" s="2">
        <v>335</v>
      </c>
      <c r="K1774" s="2">
        <v>930</v>
      </c>
      <c r="L1774" s="2">
        <v>6</v>
      </c>
      <c r="M1774" s="2"/>
      <c r="N1774" s="8">
        <v>40887.068923611107</v>
      </c>
      <c r="O1774" s="4" t="s">
        <v>311</v>
      </c>
      <c r="P1774" s="3" t="s">
        <v>3029</v>
      </c>
      <c r="Q1774" s="4"/>
      <c r="R1774" s="4"/>
      <c r="S1774" s="9" t="str">
        <f>HYPERLINK("https://pbs.twimg.com/profile_images/916374561037455361/uLkmoNE-.jpg","View")</f>
        <v>View</v>
      </c>
    </row>
    <row r="1775" spans="1:19" ht="20">
      <c r="A1775" s="8">
        <v>43370.458981481483</v>
      </c>
      <c r="B1775" s="11" t="str">
        <f>HYPERLINK("https://twitter.com/mahdidt67","@mahdidt67")</f>
        <v>@mahdidt67</v>
      </c>
      <c r="C1775" s="6" t="s">
        <v>531</v>
      </c>
      <c r="D1775" s="5" t="s">
        <v>3028</v>
      </c>
      <c r="E1775" s="9" t="str">
        <f>HYPERLINK("https://twitter.com/mahdidt67/status/1045214190355578880","1045214190355578880")</f>
        <v>1045214190355578880</v>
      </c>
      <c r="F1775" s="4"/>
      <c r="G1775" s="4"/>
      <c r="H1775" s="4"/>
      <c r="I1775" s="10" t="str">
        <f>HYPERLINK("http://twitter.com/download/android","Twitter for Android")</f>
        <v>Twitter for Android</v>
      </c>
      <c r="J1775" s="2">
        <v>97</v>
      </c>
      <c r="K1775" s="2">
        <v>67</v>
      </c>
      <c r="L1775" s="2">
        <v>3</v>
      </c>
      <c r="M1775" s="2"/>
      <c r="N1775" s="8">
        <v>42320.953680555554</v>
      </c>
      <c r="O1775" s="4" t="s">
        <v>10</v>
      </c>
      <c r="P1775" s="3" t="s">
        <v>3027</v>
      </c>
      <c r="Q1775" s="4"/>
      <c r="R1775" s="4"/>
      <c r="S1775" s="9" t="str">
        <f>HYPERLINK("https://pbs.twimg.com/profile_images/1006393390127345664/aady7j3Y.jpg","View")</f>
        <v>View</v>
      </c>
    </row>
    <row r="1776" spans="1:19" ht="20">
      <c r="A1776" s="8">
        <v>43370.458831018521</v>
      </c>
      <c r="B1776" s="11" t="str">
        <f>HYPERLINK("https://twitter.com/_Astigmat_","@_Astigmat_")</f>
        <v>@_Astigmat_</v>
      </c>
      <c r="C1776" s="6" t="s">
        <v>3026</v>
      </c>
      <c r="D1776" s="5" t="s">
        <v>3025</v>
      </c>
      <c r="E1776" s="9" t="str">
        <f>HYPERLINK("https://twitter.com/_Astigmat_/status/1045214133170425856","1045214133170425856")</f>
        <v>1045214133170425856</v>
      </c>
      <c r="F1776" s="4"/>
      <c r="G1776" s="4"/>
      <c r="H1776" s="4"/>
      <c r="I1776" s="10" t="str">
        <f>HYPERLINK("http://twitter.com/download/android","Twitter for Android")</f>
        <v>Twitter for Android</v>
      </c>
      <c r="J1776" s="2">
        <v>875</v>
      </c>
      <c r="K1776" s="2">
        <v>565</v>
      </c>
      <c r="L1776" s="2">
        <v>4</v>
      </c>
      <c r="M1776" s="2"/>
      <c r="N1776" s="8">
        <v>43303.990497685183</v>
      </c>
      <c r="O1776" s="4" t="s">
        <v>3024</v>
      </c>
      <c r="P1776" s="3" t="s">
        <v>3023</v>
      </c>
      <c r="Q1776" s="4"/>
      <c r="R1776" s="4"/>
      <c r="S1776" s="9" t="str">
        <f>HYPERLINK("https://pbs.twimg.com/profile_images/1038705634399715328/TWs-g9h_.jpg","View")</f>
        <v>View</v>
      </c>
    </row>
    <row r="1777" spans="1:19" ht="12.5">
      <c r="A1777" s="8">
        <v>43370.458506944444</v>
      </c>
      <c r="B1777" s="11" t="str">
        <f>HYPERLINK("https://twitter.com/dari_varii","@dari_varii")</f>
        <v>@dari_varii</v>
      </c>
      <c r="C1777" s="6" t="s">
        <v>3022</v>
      </c>
      <c r="D1777" s="5" t="s">
        <v>3021</v>
      </c>
      <c r="E1777" s="9" t="str">
        <f>HYPERLINK("https://twitter.com/dari_varii/status/1045214018720460800","1045214018720460800")</f>
        <v>1045214018720460800</v>
      </c>
      <c r="F1777" s="4"/>
      <c r="G1777" s="10" t="s">
        <v>3020</v>
      </c>
      <c r="H1777" s="4"/>
      <c r="I1777" s="10" t="str">
        <f>HYPERLINK("http://twitter.com/download/android","Twitter for Android")</f>
        <v>Twitter for Android</v>
      </c>
      <c r="J1777" s="2">
        <v>425</v>
      </c>
      <c r="K1777" s="2">
        <v>410</v>
      </c>
      <c r="L1777" s="2">
        <v>0</v>
      </c>
      <c r="M1777" s="2"/>
      <c r="N1777" s="8">
        <v>42907.60659722222</v>
      </c>
      <c r="O1777" s="4" t="s">
        <v>55</v>
      </c>
      <c r="P1777" s="3" t="s">
        <v>3019</v>
      </c>
      <c r="Q1777" s="4"/>
      <c r="R1777" s="4"/>
      <c r="S1777" s="9" t="str">
        <f>HYPERLINK("https://pbs.twimg.com/profile_images/1044514110552117248/kNOYHF9P.jpg","View")</f>
        <v>View</v>
      </c>
    </row>
    <row r="1778" spans="1:19" ht="30">
      <c r="A1778" s="8">
        <v>43370.458437499998</v>
      </c>
      <c r="B1778" s="11" t="str">
        <f>HYPERLINK("https://twitter.com/toomadj","@toomadj")</f>
        <v>@toomadj</v>
      </c>
      <c r="C1778" s="6" t="s">
        <v>1240</v>
      </c>
      <c r="D1778" s="5" t="s">
        <v>3018</v>
      </c>
      <c r="E1778" s="9" t="str">
        <f>HYPERLINK("https://twitter.com/toomadj/status/1045213993466560513","1045213993466560513")</f>
        <v>1045213993466560513</v>
      </c>
      <c r="F1778" s="4"/>
      <c r="G1778" s="10" t="s">
        <v>3017</v>
      </c>
      <c r="H1778" s="4"/>
      <c r="I1778" s="10" t="str">
        <f>HYPERLINK("http://twitter.com","Twitter Web Client")</f>
        <v>Twitter Web Client</v>
      </c>
      <c r="J1778" s="2">
        <v>2130</v>
      </c>
      <c r="K1778" s="2">
        <v>1179</v>
      </c>
      <c r="L1778" s="2">
        <v>13</v>
      </c>
      <c r="M1778" s="2"/>
      <c r="N1778" s="8">
        <v>39884.637615740743</v>
      </c>
      <c r="O1778" s="4"/>
      <c r="P1778" s="3" t="s">
        <v>1238</v>
      </c>
      <c r="Q1778" s="4"/>
      <c r="R1778" s="4"/>
      <c r="S1778" s="9" t="str">
        <f>HYPERLINK("https://pbs.twimg.com/profile_images/824277971456376832/I941WXSV.jpg","View")</f>
        <v>View</v>
      </c>
    </row>
    <row r="1779" spans="1:19" ht="30">
      <c r="A1779" s="8">
        <v>43370.458344907413</v>
      </c>
      <c r="B1779" s="11" t="str">
        <f>HYPERLINK("https://twitter.com/ssallsabiill","@ssallsabiill")</f>
        <v>@ssallsabiill</v>
      </c>
      <c r="C1779" s="6" t="s">
        <v>3016</v>
      </c>
      <c r="D1779" s="5" t="s">
        <v>3015</v>
      </c>
      <c r="E1779" s="9" t="str">
        <f>HYPERLINK("https://twitter.com/ssallsabiill/status/1045213958829985797","1045213958829985797")</f>
        <v>1045213958829985797</v>
      </c>
      <c r="F1779" s="4"/>
      <c r="G1779" s="4"/>
      <c r="H1779" s="4"/>
      <c r="I1779" s="10" t="str">
        <f>HYPERLINK("http://twitter.com/download/iphone","Twitter for iPhone")</f>
        <v>Twitter for iPhone</v>
      </c>
      <c r="J1779" s="2">
        <v>690</v>
      </c>
      <c r="K1779" s="2">
        <v>675</v>
      </c>
      <c r="L1779" s="2">
        <v>1</v>
      </c>
      <c r="M1779" s="2"/>
      <c r="N1779" s="8">
        <v>41133.924791666665</v>
      </c>
      <c r="O1779" s="4" t="s">
        <v>3014</v>
      </c>
      <c r="P1779" s="3" t="s">
        <v>3013</v>
      </c>
      <c r="Q1779" s="4"/>
      <c r="R1779" s="4"/>
      <c r="S1779" s="9" t="str">
        <f>HYPERLINK("https://pbs.twimg.com/profile_images/1007618064559558658/qwJMBU9r.jpg","View")</f>
        <v>View</v>
      </c>
    </row>
    <row r="1780" spans="1:19" ht="12.5">
      <c r="A1780" s="8">
        <v>43370.458333333328</v>
      </c>
      <c r="B1780" s="11" t="str">
        <f>HYPERLINK("https://twitter.com/MforMobin","@MforMobin")</f>
        <v>@MforMobin</v>
      </c>
      <c r="C1780" s="6" t="s">
        <v>3012</v>
      </c>
      <c r="D1780" s="5" t="s">
        <v>3011</v>
      </c>
      <c r="E1780" s="9" t="str">
        <f>HYPERLINK("https://twitter.com/MforMobin/status/1045213953809297409","1045213953809297409")</f>
        <v>1045213953809297409</v>
      </c>
      <c r="F1780" s="4"/>
      <c r="G1780" s="4"/>
      <c r="H1780" s="4"/>
      <c r="I1780" s="10" t="str">
        <f>HYPERLINK("http://twitter.com","Twitter Web Client")</f>
        <v>Twitter Web Client</v>
      </c>
      <c r="J1780" s="2">
        <v>33</v>
      </c>
      <c r="K1780" s="2">
        <v>173</v>
      </c>
      <c r="L1780" s="2">
        <v>0</v>
      </c>
      <c r="M1780" s="2"/>
      <c r="N1780" s="8">
        <v>43363.57913194444</v>
      </c>
      <c r="O1780" s="4" t="s">
        <v>200</v>
      </c>
      <c r="P1780" s="3" t="s">
        <v>3010</v>
      </c>
      <c r="Q1780" s="10" t="s">
        <v>3009</v>
      </c>
      <c r="R1780" s="4"/>
      <c r="S1780" s="9" t="str">
        <f>HYPERLINK("https://pbs.twimg.com/profile_images/1042730407043596289/rWrGBgXH.jpg","View")</f>
        <v>View</v>
      </c>
    </row>
    <row r="1781" spans="1:19" ht="20">
      <c r="A1781" s="8">
        <v>43370.458090277782</v>
      </c>
      <c r="B1781" s="11" t="str">
        <f>HYPERLINK("https://twitter.com/arash_whoAmI","@arash_whoAmI")</f>
        <v>@arash_whoAmI</v>
      </c>
      <c r="C1781" s="6" t="s">
        <v>3008</v>
      </c>
      <c r="D1781" s="5" t="s">
        <v>3007</v>
      </c>
      <c r="E1781" s="9" t="str">
        <f>HYPERLINK("https://twitter.com/arash_whoAmI/status/1045213868031705089","1045213868031705089")</f>
        <v>1045213868031705089</v>
      </c>
      <c r="F1781" s="4"/>
      <c r="G1781" s="4"/>
      <c r="H1781" s="4"/>
      <c r="I1781" s="10" t="str">
        <f>HYPERLINK("https://mobile.twitter.com","Twitter Lite")</f>
        <v>Twitter Lite</v>
      </c>
      <c r="J1781" s="2">
        <v>454</v>
      </c>
      <c r="K1781" s="2">
        <v>417</v>
      </c>
      <c r="L1781" s="2">
        <v>0</v>
      </c>
      <c r="M1781" s="2"/>
      <c r="N1781" s="8">
        <v>41688.910775462966</v>
      </c>
      <c r="O1781" s="4"/>
      <c r="P1781" s="3" t="s">
        <v>3006</v>
      </c>
      <c r="Q1781" s="4"/>
      <c r="R1781" s="4"/>
      <c r="S1781" s="9" t="str">
        <f>HYPERLINK("https://pbs.twimg.com/profile_images/1001385850196946944/uGd58kg9.jpg","View")</f>
        <v>View</v>
      </c>
    </row>
    <row r="1782" spans="1:19" ht="30">
      <c r="A1782" s="8">
        <v>43370.457291666666</v>
      </c>
      <c r="B1782" s="11" t="str">
        <f>HYPERLINK("https://twitter.com/Exorcist4U","@Exorcist4U")</f>
        <v>@Exorcist4U</v>
      </c>
      <c r="C1782" s="6" t="s">
        <v>3005</v>
      </c>
      <c r="D1782" s="5" t="s">
        <v>3004</v>
      </c>
      <c r="E1782" s="9" t="str">
        <f>HYPERLINK("https://twitter.com/Exorcist4U/status/1045213574921105413","1045213574921105413")</f>
        <v>1045213574921105413</v>
      </c>
      <c r="F1782" s="4"/>
      <c r="G1782" s="4"/>
      <c r="H1782" s="4"/>
      <c r="I1782" s="10" t="str">
        <f>HYPERLINK("http://twitter.com","Twitter Web Client")</f>
        <v>Twitter Web Client</v>
      </c>
      <c r="J1782" s="2">
        <v>2246</v>
      </c>
      <c r="K1782" s="2">
        <v>2746</v>
      </c>
      <c r="L1782" s="2">
        <v>1</v>
      </c>
      <c r="M1782" s="2"/>
      <c r="N1782" s="8">
        <v>43265.543124999997</v>
      </c>
      <c r="O1782" s="4"/>
      <c r="P1782" s="3" t="s">
        <v>3003</v>
      </c>
      <c r="Q1782" s="4"/>
      <c r="R1782" s="4"/>
      <c r="S1782" s="9" t="str">
        <f>HYPERLINK("https://pbs.twimg.com/profile_images/1029855903623864323/ElTQuvmE.jpg","View")</f>
        <v>View</v>
      </c>
    </row>
    <row r="1783" spans="1:19" ht="30">
      <c r="A1783" s="8">
        <v>43370.456712962958</v>
      </c>
      <c r="B1783" s="11" t="str">
        <f>HYPERLINK("https://twitter.com/_DoeR_","@_DoeR_")</f>
        <v>@_DoeR_</v>
      </c>
      <c r="C1783" s="6" t="s">
        <v>3002</v>
      </c>
      <c r="D1783" s="5" t="s">
        <v>3001</v>
      </c>
      <c r="E1783" s="9" t="str">
        <f>HYPERLINK("https://twitter.com/_DoeR_/status/1045213369190543360","1045213369190543360")</f>
        <v>1045213369190543360</v>
      </c>
      <c r="F1783" s="4"/>
      <c r="G1783" s="4"/>
      <c r="H1783" s="4"/>
      <c r="I1783" s="10" t="str">
        <f>HYPERLINK("http://twitter.com/download/android","Twitter for Android")</f>
        <v>Twitter for Android</v>
      </c>
      <c r="J1783" s="2">
        <v>2272</v>
      </c>
      <c r="K1783" s="2">
        <v>461</v>
      </c>
      <c r="L1783" s="2">
        <v>27</v>
      </c>
      <c r="M1783" s="2"/>
      <c r="N1783" s="8">
        <v>41663.934062500004</v>
      </c>
      <c r="O1783" s="4" t="s">
        <v>366</v>
      </c>
      <c r="P1783" s="3" t="s">
        <v>3000</v>
      </c>
      <c r="Q1783" s="10" t="s">
        <v>2999</v>
      </c>
      <c r="R1783" s="4"/>
      <c r="S1783" s="9" t="str">
        <f>HYPERLINK("https://pbs.twimg.com/profile_images/1038401888755089408/BVNBKur0.jpg","View")</f>
        <v>View</v>
      </c>
    </row>
    <row r="1784" spans="1:19" ht="20">
      <c r="A1784" s="8">
        <v>43370.456550925926</v>
      </c>
      <c r="B1784" s="11" t="str">
        <f>HYPERLINK("https://twitter.com/yousefpour","@yousefpour")</f>
        <v>@yousefpour</v>
      </c>
      <c r="C1784" s="6" t="s">
        <v>1114</v>
      </c>
      <c r="D1784" s="5" t="s">
        <v>2998</v>
      </c>
      <c r="E1784" s="9" t="str">
        <f>HYPERLINK("https://twitter.com/yousefpour/status/1045213309958606848","1045213309958606848")</f>
        <v>1045213309958606848</v>
      </c>
      <c r="F1784" s="4"/>
      <c r="G1784" s="4"/>
      <c r="H1784" s="4"/>
      <c r="I1784" s="10" t="str">
        <f>HYPERLINK("http://twitter.com/download/android","Twitter for Android")</f>
        <v>Twitter for Android</v>
      </c>
      <c r="J1784" s="2">
        <v>1604</v>
      </c>
      <c r="K1784" s="2">
        <v>782</v>
      </c>
      <c r="L1784" s="2">
        <v>8</v>
      </c>
      <c r="M1784" s="2"/>
      <c r="N1784" s="8">
        <v>39998.643657407403</v>
      </c>
      <c r="O1784" s="4" t="s">
        <v>10</v>
      </c>
      <c r="P1784" s="3" t="s">
        <v>1112</v>
      </c>
      <c r="Q1784" s="4"/>
      <c r="R1784" s="4"/>
      <c r="S1784" s="9" t="str">
        <f>HYPERLINK("https://pbs.twimg.com/profile_images/958067078224928768/5SdRvojn.jpg","View")</f>
        <v>View</v>
      </c>
    </row>
    <row r="1785" spans="1:19" ht="30">
      <c r="A1785" s="8">
        <v>43370.455335648148</v>
      </c>
      <c r="B1785" s="11" t="str">
        <f>HYPERLINK("https://twitter.com/SarmashghnewsC","@SarmashghnewsC")</f>
        <v>@SarmashghnewsC</v>
      </c>
      <c r="C1785" s="11" t="s">
        <v>2997</v>
      </c>
      <c r="D1785" s="5" t="s">
        <v>2996</v>
      </c>
      <c r="E1785" s="9" t="str">
        <f>HYPERLINK("https://twitter.com/SarmashghnewsC/status/1045212867472117760","1045212867472117760")</f>
        <v>1045212867472117760</v>
      </c>
      <c r="F1785" s="4"/>
      <c r="G1785" s="10" t="s">
        <v>2995</v>
      </c>
      <c r="H1785" s="4"/>
      <c r="I1785" s="10" t="str">
        <f>HYPERLINK("http://twitter.com/download/android","Twitter for Android")</f>
        <v>Twitter for Android</v>
      </c>
      <c r="J1785" s="2">
        <v>540</v>
      </c>
      <c r="K1785" s="2">
        <v>98</v>
      </c>
      <c r="L1785" s="2">
        <v>10</v>
      </c>
      <c r="M1785" s="2"/>
      <c r="N1785" s="8">
        <v>43254.445173611108</v>
      </c>
      <c r="O1785" s="4" t="s">
        <v>200</v>
      </c>
      <c r="P1785" s="3" t="s">
        <v>2994</v>
      </c>
      <c r="Q1785" s="4"/>
      <c r="R1785" s="4"/>
      <c r="S1785" s="9" t="str">
        <f>HYPERLINK("https://pbs.twimg.com/profile_images/1003160757314482178/iWzZHh0l.jpg","View")</f>
        <v>View</v>
      </c>
    </row>
    <row r="1786" spans="1:19" ht="12.5">
      <c r="A1786" s="8">
        <v>43370.455023148148</v>
      </c>
      <c r="B1786" s="11" t="str">
        <f>HYPERLINK("https://twitter.com/mahsajasbi","@mahsajasbi")</f>
        <v>@mahsajasbi</v>
      </c>
      <c r="C1786" s="6" t="s">
        <v>2993</v>
      </c>
      <c r="D1786" s="5" t="s">
        <v>2992</v>
      </c>
      <c r="E1786" s="9" t="str">
        <f>HYPERLINK("https://twitter.com/mahsajasbi/status/1045212753902927873","1045212753902927873")</f>
        <v>1045212753902927873</v>
      </c>
      <c r="F1786" s="4"/>
      <c r="G1786" s="4"/>
      <c r="H1786" s="4"/>
      <c r="I1786" s="10" t="str">
        <f>HYPERLINK("http://twitter.com/download/android","Twitter for Android")</f>
        <v>Twitter for Android</v>
      </c>
      <c r="J1786" s="2">
        <v>332</v>
      </c>
      <c r="K1786" s="2">
        <v>168</v>
      </c>
      <c r="L1786" s="2">
        <v>2</v>
      </c>
      <c r="M1786" s="2"/>
      <c r="N1786" s="8">
        <v>41877.530682870369</v>
      </c>
      <c r="O1786" s="4" t="s">
        <v>311</v>
      </c>
      <c r="P1786" s="3" t="s">
        <v>2991</v>
      </c>
      <c r="Q1786" s="10" t="s">
        <v>2990</v>
      </c>
      <c r="R1786" s="4"/>
      <c r="S1786" s="9" t="str">
        <f>HYPERLINK("https://pbs.twimg.com/profile_images/1045215331596337152/w-rVsyVz.jpg","View")</f>
        <v>View</v>
      </c>
    </row>
    <row r="1787" spans="1:19" ht="20">
      <c r="A1787" s="8">
        <v>43370.454722222217</v>
      </c>
      <c r="B1787" s="11" t="str">
        <f>HYPERLINK("https://twitter.com/mrmado25","@mrmado25")</f>
        <v>@mrmado25</v>
      </c>
      <c r="C1787" s="6" t="s">
        <v>1257</v>
      </c>
      <c r="D1787" s="5" t="s">
        <v>2989</v>
      </c>
      <c r="E1787" s="9" t="str">
        <f>HYPERLINK("https://twitter.com/mrmado25/status/1045212644083462144","1045212644083462144")</f>
        <v>1045212644083462144</v>
      </c>
      <c r="F1787" s="4"/>
      <c r="G1787" s="4"/>
      <c r="H1787" s="4"/>
      <c r="I1787" s="10" t="str">
        <f>HYPERLINK("http://twitter.com/download/iphone","Twitter for iPhone")</f>
        <v>Twitter for iPhone</v>
      </c>
      <c r="J1787" s="2">
        <v>9138</v>
      </c>
      <c r="K1787" s="2">
        <v>7168</v>
      </c>
      <c r="L1787" s="2">
        <v>22</v>
      </c>
      <c r="M1787" s="2"/>
      <c r="N1787" s="8">
        <v>42856.686458333337</v>
      </c>
      <c r="O1787" s="4" t="s">
        <v>1255</v>
      </c>
      <c r="P1787" s="3" t="s">
        <v>1254</v>
      </c>
      <c r="Q1787" s="4"/>
      <c r="R1787" s="4"/>
      <c r="S1787" s="9" t="str">
        <f>HYPERLINK("https://pbs.twimg.com/profile_images/879048583454044160/Uylr5nIz.jpg","View")</f>
        <v>View</v>
      </c>
    </row>
    <row r="1788" spans="1:19" ht="20">
      <c r="A1788" s="8">
        <v>43370.454641203702</v>
      </c>
      <c r="B1788" s="11" t="str">
        <f>HYPERLINK("https://twitter.com/afshiin___","@afshiin___")</f>
        <v>@afshiin___</v>
      </c>
      <c r="C1788" s="6" t="s">
        <v>2988</v>
      </c>
      <c r="D1788" s="5" t="s">
        <v>2987</v>
      </c>
      <c r="E1788" s="9" t="str">
        <f>HYPERLINK("https://twitter.com/afshiin___/status/1045212617873281024","1045212617873281024")</f>
        <v>1045212617873281024</v>
      </c>
      <c r="F1788" s="4"/>
      <c r="G1788" s="4"/>
      <c r="H1788" s="4"/>
      <c r="I1788" s="10" t="str">
        <f>HYPERLINK("http://twitter.com/download/android","Twitter for Android")</f>
        <v>Twitter for Android</v>
      </c>
      <c r="J1788" s="2">
        <v>95</v>
      </c>
      <c r="K1788" s="2">
        <v>100</v>
      </c>
      <c r="L1788" s="2">
        <v>0</v>
      </c>
      <c r="M1788" s="2"/>
      <c r="N1788" s="8">
        <v>43233.673981481479</v>
      </c>
      <c r="O1788" s="4" t="s">
        <v>10</v>
      </c>
      <c r="P1788" s="3" t="s">
        <v>2986</v>
      </c>
      <c r="Q1788" s="10" t="s">
        <v>2985</v>
      </c>
      <c r="R1788" s="4"/>
      <c r="S1788" s="9" t="str">
        <f>HYPERLINK("https://pbs.twimg.com/profile_images/1043116879739539456/OFwwzuHG.jpg","View")</f>
        <v>View</v>
      </c>
    </row>
    <row r="1789" spans="1:19" ht="20">
      <c r="A1789" s="8">
        <v>43370.454571759255</v>
      </c>
      <c r="B1789" s="11" t="str">
        <f>HYPERLINK("https://twitter.com/Mr_Daddy94","@Mr_Daddy94")</f>
        <v>@Mr_Daddy94</v>
      </c>
      <c r="C1789" s="6" t="s">
        <v>2984</v>
      </c>
      <c r="D1789" s="5" t="s">
        <v>2983</v>
      </c>
      <c r="E1789" s="9" t="str">
        <f>HYPERLINK("https://twitter.com/Mr_Daddy94/status/1045212592766103552","1045212592766103552")</f>
        <v>1045212592766103552</v>
      </c>
      <c r="F1789" s="4"/>
      <c r="G1789" s="10" t="s">
        <v>2982</v>
      </c>
      <c r="H1789" s="4"/>
      <c r="I1789" s="10" t="str">
        <f>HYPERLINK("http://twitter.com/download/iphone","Twitter for iPhone")</f>
        <v>Twitter for iPhone</v>
      </c>
      <c r="J1789" s="2">
        <v>232</v>
      </c>
      <c r="K1789" s="2">
        <v>291</v>
      </c>
      <c r="L1789" s="2">
        <v>0</v>
      </c>
      <c r="M1789" s="2"/>
      <c r="N1789" s="8">
        <v>43112.119849537034</v>
      </c>
      <c r="O1789" s="4" t="s">
        <v>2981</v>
      </c>
      <c r="P1789" s="3" t="s">
        <v>2980</v>
      </c>
      <c r="Q1789" s="10" t="s">
        <v>2979</v>
      </c>
      <c r="R1789" s="4"/>
      <c r="S1789" s="9" t="str">
        <f>HYPERLINK("https://pbs.twimg.com/profile_images/1043243255138320385/cfwv6crh.jpg","View")</f>
        <v>View</v>
      </c>
    </row>
    <row r="1790" spans="1:19" ht="12.5">
      <c r="A1790" s="8">
        <v>43370.454548611116</v>
      </c>
      <c r="B1790" s="11" t="str">
        <f>HYPERLINK("https://twitter.com/Agha_Milaad","@Agha_Milaad")</f>
        <v>@Agha_Milaad</v>
      </c>
      <c r="C1790" s="6" t="s">
        <v>2978</v>
      </c>
      <c r="D1790" s="5" t="s">
        <v>2977</v>
      </c>
      <c r="E1790" s="9" t="str">
        <f>HYPERLINK("https://twitter.com/Agha_Milaad/status/1045212580967583744","1045212580967583744")</f>
        <v>1045212580967583744</v>
      </c>
      <c r="F1790" s="4"/>
      <c r="G1790" s="10" t="s">
        <v>2976</v>
      </c>
      <c r="H1790" s="4"/>
      <c r="I1790" s="10" t="str">
        <f>HYPERLINK("http://twitter.com/download/android","Twitter for Android")</f>
        <v>Twitter for Android</v>
      </c>
      <c r="J1790" s="2">
        <v>726</v>
      </c>
      <c r="K1790" s="2">
        <v>668</v>
      </c>
      <c r="L1790" s="2">
        <v>0</v>
      </c>
      <c r="M1790" s="2"/>
      <c r="N1790" s="8">
        <v>43277.16196759259</v>
      </c>
      <c r="O1790" s="4"/>
      <c r="P1790" s="3" t="s">
        <v>2975</v>
      </c>
      <c r="Q1790" s="4"/>
      <c r="R1790" s="4"/>
      <c r="S1790" s="9" t="str">
        <f>HYPERLINK("https://pbs.twimg.com/profile_images/1011494301149335552/uWGDwzQ-.jpg","View")</f>
        <v>View</v>
      </c>
    </row>
    <row r="1791" spans="1:19" ht="12.5">
      <c r="A1791" s="8">
        <v>43370.454363425924</v>
      </c>
      <c r="B1791" s="11" t="str">
        <f>HYPERLINK("https://twitter.com/holu_P","@holu_P")</f>
        <v>@holu_P</v>
      </c>
      <c r="C1791" s="6" t="s">
        <v>2974</v>
      </c>
      <c r="D1791" s="5" t="s">
        <v>2973</v>
      </c>
      <c r="E1791" s="9" t="str">
        <f>HYPERLINK("https://twitter.com/holu_P/status/1045212517453230080","1045212517453230080")</f>
        <v>1045212517453230080</v>
      </c>
      <c r="F1791" s="4"/>
      <c r="G1791" s="4"/>
      <c r="H1791" s="4"/>
      <c r="I1791" s="10" t="str">
        <f>HYPERLINK("http://twitter.com/download/android","Twitter for Android")</f>
        <v>Twitter for Android</v>
      </c>
      <c r="J1791" s="2">
        <v>106</v>
      </c>
      <c r="K1791" s="2">
        <v>58</v>
      </c>
      <c r="L1791" s="2">
        <v>0</v>
      </c>
      <c r="M1791" s="2"/>
      <c r="N1791" s="8">
        <v>43306.495057870372</v>
      </c>
      <c r="O1791" s="4"/>
      <c r="P1791" s="3" t="s">
        <v>2972</v>
      </c>
      <c r="Q1791" s="4"/>
      <c r="R1791" s="4"/>
      <c r="S1791" s="9" t="str">
        <f>HYPERLINK("https://pbs.twimg.com/profile_images/1022039596153090048/AaqGADUK.jpg","View")</f>
        <v>View</v>
      </c>
    </row>
    <row r="1792" spans="1:19" ht="20">
      <c r="A1792" s="8">
        <v>43370.453773148147</v>
      </c>
      <c r="B1792" s="11" t="str">
        <f>HYPERLINK("https://twitter.com/Sheykhi110","@Sheykhi110")</f>
        <v>@Sheykhi110</v>
      </c>
      <c r="C1792" s="6" t="s">
        <v>2971</v>
      </c>
      <c r="D1792" s="5" t="s">
        <v>2970</v>
      </c>
      <c r="E1792" s="9" t="str">
        <f>HYPERLINK("https://twitter.com/Sheykhi110/status/1045212302872641536","1045212302872641536")</f>
        <v>1045212302872641536</v>
      </c>
      <c r="F1792" s="4"/>
      <c r="G1792" s="4"/>
      <c r="H1792" s="4"/>
      <c r="I1792" s="10" t="str">
        <f>HYPERLINK("http://twitter.com/download/iphone","Twitter for iPhone")</f>
        <v>Twitter for iPhone</v>
      </c>
      <c r="J1792" s="2">
        <v>72</v>
      </c>
      <c r="K1792" s="2">
        <v>68</v>
      </c>
      <c r="L1792" s="2">
        <v>0</v>
      </c>
      <c r="M1792" s="2"/>
      <c r="N1792" s="8">
        <v>43363.783877314811</v>
      </c>
      <c r="O1792" s="4" t="s">
        <v>200</v>
      </c>
      <c r="P1792" s="3" t="s">
        <v>2969</v>
      </c>
      <c r="Q1792" s="10" t="s">
        <v>2968</v>
      </c>
      <c r="R1792" s="4"/>
      <c r="S1792" s="9" t="str">
        <f>HYPERLINK("https://pbs.twimg.com/profile_images/1042780476447105028/nMpWSbjc.jpg","View")</f>
        <v>View</v>
      </c>
    </row>
    <row r="1793" spans="1:19" ht="30">
      <c r="A1793" s="8">
        <v>43370.452905092592</v>
      </c>
      <c r="B1793" s="11" t="str">
        <f>HYPERLINK("https://twitter.com/jafar_usf","@jafar_usf")</f>
        <v>@jafar_usf</v>
      </c>
      <c r="C1793" s="6" t="s">
        <v>2967</v>
      </c>
      <c r="D1793" s="5" t="s">
        <v>2966</v>
      </c>
      <c r="E1793" s="9" t="str">
        <f>HYPERLINK("https://twitter.com/jafar_usf/status/1045211986995421184","1045211986995421184")</f>
        <v>1045211986995421184</v>
      </c>
      <c r="F1793" s="4"/>
      <c r="G1793" s="4"/>
      <c r="H1793" s="4"/>
      <c r="I1793" s="10" t="str">
        <f>HYPERLINK("http://twitter.com/download/android","Twitter for Android")</f>
        <v>Twitter for Android</v>
      </c>
      <c r="J1793" s="2">
        <v>7960</v>
      </c>
      <c r="K1793" s="2">
        <v>8063</v>
      </c>
      <c r="L1793" s="2">
        <v>9</v>
      </c>
      <c r="M1793" s="2"/>
      <c r="N1793" s="8">
        <v>42771.078472222223</v>
      </c>
      <c r="O1793" s="4" t="s">
        <v>648</v>
      </c>
      <c r="P1793" s="3" t="s">
        <v>2965</v>
      </c>
      <c r="Q1793" s="10" t="s">
        <v>2964</v>
      </c>
      <c r="R1793" s="4"/>
      <c r="S1793" s="9" t="str">
        <f>HYPERLINK("https://pbs.twimg.com/profile_images/1039106677717585921/3mBbeHIv.jpg","View")</f>
        <v>View</v>
      </c>
    </row>
    <row r="1794" spans="1:19" ht="70">
      <c r="A1794" s="8">
        <v>43370.452453703707</v>
      </c>
      <c r="B1794" s="11" t="str">
        <f>HYPERLINK("https://twitter.com/ImperialGrdIR","@ImperialGrdIR")</f>
        <v>@ImperialGrdIR</v>
      </c>
      <c r="C1794" s="6" t="s">
        <v>2941</v>
      </c>
      <c r="D1794" s="5" t="s">
        <v>2963</v>
      </c>
      <c r="E1794" s="9" t="str">
        <f>HYPERLINK("https://twitter.com/ImperialGrdIR/status/1045211824176746496","1045211824176746496")</f>
        <v>1045211824176746496</v>
      </c>
      <c r="F1794" s="10" t="s">
        <v>2962</v>
      </c>
      <c r="G1794" s="10" t="s">
        <v>2939</v>
      </c>
      <c r="H1794" s="4"/>
      <c r="I1794" s="10" t="str">
        <f>HYPERLINK("http://twitter.com","Twitter Web Client")</f>
        <v>Twitter Web Client</v>
      </c>
      <c r="J1794" s="2">
        <v>131</v>
      </c>
      <c r="K1794" s="2">
        <v>219</v>
      </c>
      <c r="L1794" s="2">
        <v>0</v>
      </c>
      <c r="M1794" s="2"/>
      <c r="N1794" s="8">
        <v>43109.151770833334</v>
      </c>
      <c r="O1794" s="4" t="s">
        <v>2938</v>
      </c>
      <c r="P1794" s="3" t="s">
        <v>2937</v>
      </c>
      <c r="Q1794" s="10" t="s">
        <v>2936</v>
      </c>
      <c r="R1794" s="4"/>
      <c r="S1794" s="9" t="str">
        <f>HYPERLINK("https://pbs.twimg.com/profile_images/997649940695408641/3CuJpw5f.jpg","View")</f>
        <v>View</v>
      </c>
    </row>
    <row r="1795" spans="1:19" ht="30">
      <c r="A1795" s="8">
        <v>43370.452048611114</v>
      </c>
      <c r="B1795" s="11" t="str">
        <f>HYPERLINK("https://twitter.com/SEsteghlali","@SEsteghlali")</f>
        <v>@SEsteghlali</v>
      </c>
      <c r="C1795" s="6" t="s">
        <v>2961</v>
      </c>
      <c r="D1795" s="5" t="s">
        <v>2960</v>
      </c>
      <c r="E1795" s="9" t="str">
        <f>HYPERLINK("https://twitter.com/SEsteghlali/status/1045211677887737856","1045211677887737856")</f>
        <v>1045211677887737856</v>
      </c>
      <c r="F1795" s="4"/>
      <c r="G1795" s="4"/>
      <c r="H1795" s="4"/>
      <c r="I1795" s="10" t="str">
        <f>HYPERLINK("http://twitter.com/download/android","Twitter for Android")</f>
        <v>Twitter for Android</v>
      </c>
      <c r="J1795" s="2">
        <v>381</v>
      </c>
      <c r="K1795" s="2">
        <v>285</v>
      </c>
      <c r="L1795" s="2">
        <v>3</v>
      </c>
      <c r="M1795" s="2"/>
      <c r="N1795" s="8">
        <v>43315.864837962959</v>
      </c>
      <c r="O1795" s="4" t="s">
        <v>2959</v>
      </c>
      <c r="P1795" s="3" t="s">
        <v>2958</v>
      </c>
      <c r="Q1795" s="4"/>
      <c r="R1795" s="4"/>
      <c r="S1795" s="9" t="str">
        <f>HYPERLINK("https://pbs.twimg.com/profile_images/1045215100293042176/UQykbtbA.jpg","View")</f>
        <v>View</v>
      </c>
    </row>
    <row r="1796" spans="1:19" ht="20">
      <c r="A1796" s="8">
        <v>43370.451921296291</v>
      </c>
      <c r="B1796" s="11" t="str">
        <f>HYPERLINK("https://twitter.com/reza_vd031","@reza_vd031")</f>
        <v>@reza_vd031</v>
      </c>
      <c r="C1796" s="6" t="s">
        <v>2957</v>
      </c>
      <c r="D1796" s="5" t="s">
        <v>2956</v>
      </c>
      <c r="E1796" s="9" t="str">
        <f>HYPERLINK("https://twitter.com/reza_vd031/status/1045211631595253760","1045211631595253760")</f>
        <v>1045211631595253760</v>
      </c>
      <c r="F1796" s="4"/>
      <c r="G1796" s="4"/>
      <c r="H1796" s="4"/>
      <c r="I1796" s="10" t="str">
        <f>HYPERLINK("http://twitter.com/download/android","Twitter for Android")</f>
        <v>Twitter for Android</v>
      </c>
      <c r="J1796" s="2">
        <v>134</v>
      </c>
      <c r="K1796" s="2">
        <v>218</v>
      </c>
      <c r="L1796" s="2">
        <v>0</v>
      </c>
      <c r="M1796" s="2"/>
      <c r="N1796" s="8">
        <v>42430.455000000002</v>
      </c>
      <c r="O1796" s="4" t="s">
        <v>2955</v>
      </c>
      <c r="P1796" s="3" t="s">
        <v>2954</v>
      </c>
      <c r="Q1796" s="4"/>
      <c r="R1796" s="4"/>
      <c r="S1796" s="9" t="str">
        <f>HYPERLINK("https://pbs.twimg.com/profile_images/1043206187842322432/QbXInw8w.jpg","View")</f>
        <v>View</v>
      </c>
    </row>
    <row r="1797" spans="1:19" ht="12.5">
      <c r="A1797" s="8">
        <v>43370.450335648144</v>
      </c>
      <c r="B1797" s="11" t="str">
        <f>HYPERLINK("https://twitter.com/BigCrow5","@BigCrow5")</f>
        <v>@BigCrow5</v>
      </c>
      <c r="C1797" s="6" t="s">
        <v>2953</v>
      </c>
      <c r="D1797" s="5" t="s">
        <v>2952</v>
      </c>
      <c r="E1797" s="9" t="str">
        <f>HYPERLINK("https://twitter.com/BigCrow5/status/1045211057638133760","1045211057638133760")</f>
        <v>1045211057638133760</v>
      </c>
      <c r="F1797" s="4"/>
      <c r="G1797" s="10" t="s">
        <v>2951</v>
      </c>
      <c r="H1797" s="4"/>
      <c r="I1797" s="10" t="str">
        <f>HYPERLINK("http://twitter.com/download/android","Twitter for Android")</f>
        <v>Twitter for Android</v>
      </c>
      <c r="J1797" s="2">
        <v>55</v>
      </c>
      <c r="K1797" s="2">
        <v>66</v>
      </c>
      <c r="L1797" s="2">
        <v>0</v>
      </c>
      <c r="M1797" s="2"/>
      <c r="N1797" s="8">
        <v>42927.704432870371</v>
      </c>
      <c r="O1797" s="4"/>
      <c r="P1797" s="3" t="s">
        <v>2950</v>
      </c>
      <c r="Q1797" s="4"/>
      <c r="R1797" s="4"/>
      <c r="S1797" s="9" t="str">
        <f>HYPERLINK("https://pbs.twimg.com/profile_images/1042519185245388800/DFq7pu4e.jpg","View")</f>
        <v>View</v>
      </c>
    </row>
    <row r="1798" spans="1:19" ht="12.5">
      <c r="A1798" s="8">
        <v>43370.450115740736</v>
      </c>
      <c r="B1798" s="11" t="str">
        <f>HYPERLINK("https://twitter.com/smhhosseini","@smhhosseini")</f>
        <v>@smhhosseini</v>
      </c>
      <c r="C1798" s="6" t="s">
        <v>2949</v>
      </c>
      <c r="D1798" s="5" t="s">
        <v>2948</v>
      </c>
      <c r="E1798" s="9" t="str">
        <f>HYPERLINK("https://twitter.com/smhhosseini/status/1045210976398790656","1045210976398790656")</f>
        <v>1045210976398790656</v>
      </c>
      <c r="F1798" s="4"/>
      <c r="G1798" s="4"/>
      <c r="H1798" s="4"/>
      <c r="I1798" s="10" t="str">
        <f>HYPERLINK("http://twitter.com/download/android","Twitter for Android")</f>
        <v>Twitter for Android</v>
      </c>
      <c r="J1798" s="2">
        <v>1502</v>
      </c>
      <c r="K1798" s="2">
        <v>142</v>
      </c>
      <c r="L1798" s="2">
        <v>7</v>
      </c>
      <c r="M1798" s="2"/>
      <c r="N1798" s="8">
        <v>42154.866840277777</v>
      </c>
      <c r="O1798" s="4"/>
      <c r="P1798" s="3" t="s">
        <v>2947</v>
      </c>
      <c r="Q1798" s="4"/>
      <c r="R1798" s="4"/>
      <c r="S1798" s="9" t="str">
        <f>HYPERLINK("https://pbs.twimg.com/profile_images/886329744647745537/wFR49bh_.jpg","View")</f>
        <v>View</v>
      </c>
    </row>
    <row r="1799" spans="1:19" ht="30">
      <c r="A1799" s="8">
        <v>43370.45003472222</v>
      </c>
      <c r="B1799" s="11" t="str">
        <f>HYPERLINK("https://twitter.com/khvaziri","@khvaziri")</f>
        <v>@khvaziri</v>
      </c>
      <c r="C1799" s="6" t="s">
        <v>2946</v>
      </c>
      <c r="D1799" s="5" t="s">
        <v>2945</v>
      </c>
      <c r="E1799" s="9" t="str">
        <f>HYPERLINK("https://twitter.com/khvaziri/status/1045210948276027397","1045210948276027397")</f>
        <v>1045210948276027397</v>
      </c>
      <c r="F1799" s="4"/>
      <c r="G1799" s="4"/>
      <c r="H1799" s="4"/>
      <c r="I1799" s="10" t="str">
        <f>HYPERLINK("http://twitter.com/download/android","Twitter for Android")</f>
        <v>Twitter for Android</v>
      </c>
      <c r="J1799" s="2">
        <v>253</v>
      </c>
      <c r="K1799" s="2">
        <v>477</v>
      </c>
      <c r="L1799" s="2">
        <v>2</v>
      </c>
      <c r="M1799" s="2"/>
      <c r="N1799" s="8">
        <v>40633.657314814816</v>
      </c>
      <c r="O1799" s="4" t="s">
        <v>2944</v>
      </c>
      <c r="P1799" s="3" t="s">
        <v>2943</v>
      </c>
      <c r="Q1799" s="10" t="s">
        <v>2942</v>
      </c>
      <c r="R1799" s="4"/>
      <c r="S1799" s="9" t="str">
        <f>HYPERLINK("https://pbs.twimg.com/profile_images/1009831644537217027/GlzgZCUB.jpg","View")</f>
        <v>View</v>
      </c>
    </row>
    <row r="1800" spans="1:19" ht="50">
      <c r="A1800" s="8">
        <v>43370.449444444443</v>
      </c>
      <c r="B1800" s="11" t="str">
        <f>HYPERLINK("https://twitter.com/ImperialGrdIR","@ImperialGrdIR")</f>
        <v>@ImperialGrdIR</v>
      </c>
      <c r="C1800" s="6" t="s">
        <v>2941</v>
      </c>
      <c r="D1800" s="5" t="s">
        <v>2940</v>
      </c>
      <c r="E1800" s="9" t="str">
        <f>HYPERLINK("https://twitter.com/ImperialGrdIR/status/1045210733900951553","1045210733900951553")</f>
        <v>1045210733900951553</v>
      </c>
      <c r="F1800" s="4"/>
      <c r="G1800" s="10" t="s">
        <v>2939</v>
      </c>
      <c r="H1800" s="4"/>
      <c r="I1800" s="10" t="str">
        <f>HYPERLINK("http://twitter.com","Twitter Web Client")</f>
        <v>Twitter Web Client</v>
      </c>
      <c r="J1800" s="2">
        <v>131</v>
      </c>
      <c r="K1800" s="2">
        <v>219</v>
      </c>
      <c r="L1800" s="2">
        <v>0</v>
      </c>
      <c r="M1800" s="2"/>
      <c r="N1800" s="8">
        <v>43109.151770833334</v>
      </c>
      <c r="O1800" s="4" t="s">
        <v>2938</v>
      </c>
      <c r="P1800" s="3" t="s">
        <v>2937</v>
      </c>
      <c r="Q1800" s="10" t="s">
        <v>2936</v>
      </c>
      <c r="R1800" s="4"/>
      <c r="S1800" s="9" t="str">
        <f>HYPERLINK("https://pbs.twimg.com/profile_images/997649940695408641/3CuJpw5f.jpg","View")</f>
        <v>View</v>
      </c>
    </row>
    <row r="1801" spans="1:19" ht="30">
      <c r="A1801" s="8">
        <v>43370.448773148149</v>
      </c>
      <c r="B1801" s="11" t="str">
        <f>HYPERLINK("https://twitter.com/axprintcom","@axprintcom")</f>
        <v>@axprintcom</v>
      </c>
      <c r="C1801" s="6" t="s">
        <v>2935</v>
      </c>
      <c r="D1801" s="5" t="s">
        <v>2934</v>
      </c>
      <c r="E1801" s="9" t="str">
        <f>HYPERLINK("https://twitter.com/axprintcom/status/1045210487816949761","1045210487816949761")</f>
        <v>1045210487816949761</v>
      </c>
      <c r="F1801" s="4"/>
      <c r="G1801" s="4"/>
      <c r="H1801" s="4"/>
      <c r="I1801" s="10" t="str">
        <f>HYPERLINK("http://twitter.com","Twitter Web Client")</f>
        <v>Twitter Web Client</v>
      </c>
      <c r="J1801" s="2">
        <v>553</v>
      </c>
      <c r="K1801" s="2">
        <v>8</v>
      </c>
      <c r="L1801" s="2">
        <v>6</v>
      </c>
      <c r="M1801" s="2"/>
      <c r="N1801" s="8">
        <v>40471.374930555554</v>
      </c>
      <c r="O1801" s="4" t="s">
        <v>2933</v>
      </c>
      <c r="P1801" s="3" t="s">
        <v>2932</v>
      </c>
      <c r="Q1801" s="10" t="s">
        <v>2931</v>
      </c>
      <c r="R1801" s="4"/>
      <c r="S1801" s="9" t="str">
        <f>HYPERLINK("https://pbs.twimg.com/profile_images/795513425010884608/pIreQgMS.jpg","View")</f>
        <v>View</v>
      </c>
    </row>
    <row r="1802" spans="1:19" ht="30">
      <c r="A1802" s="8">
        <v>43370.448738425926</v>
      </c>
      <c r="B1802" s="11" t="str">
        <f>HYPERLINK("https://twitter.com/raminkantalll","@raminkantalll")</f>
        <v>@raminkantalll</v>
      </c>
      <c r="C1802" s="6" t="s">
        <v>2930</v>
      </c>
      <c r="D1802" s="5" t="s">
        <v>2929</v>
      </c>
      <c r="E1802" s="9" t="str">
        <f>HYPERLINK("https://twitter.com/raminkantalll/status/1045210476039335936","1045210476039335936")</f>
        <v>1045210476039335936</v>
      </c>
      <c r="F1802" s="10" t="s">
        <v>2928</v>
      </c>
      <c r="G1802" s="10" t="s">
        <v>2892</v>
      </c>
      <c r="H1802" s="4"/>
      <c r="I1802" s="10" t="str">
        <f>HYPERLINK("http://twitter.com/download/android","Twitter for Android")</f>
        <v>Twitter for Android</v>
      </c>
      <c r="J1802" s="2">
        <v>1581</v>
      </c>
      <c r="K1802" s="2">
        <v>3374</v>
      </c>
      <c r="L1802" s="2">
        <v>1</v>
      </c>
      <c r="M1802" s="2"/>
      <c r="N1802" s="8">
        <v>42929.978946759264</v>
      </c>
      <c r="O1802" s="4" t="s">
        <v>2927</v>
      </c>
      <c r="P1802" s="3" t="s">
        <v>2926</v>
      </c>
      <c r="Q1802" s="4"/>
      <c r="R1802" s="4"/>
      <c r="S1802" s="9" t="str">
        <f>HYPERLINK("https://pbs.twimg.com/profile_images/885578036208422912/IlSbaxb4.jpg","View")</f>
        <v>View</v>
      </c>
    </row>
    <row r="1803" spans="1:19" ht="12.5">
      <c r="A1803" s="8">
        <v>43370.448078703703</v>
      </c>
      <c r="B1803" s="11" t="str">
        <f>HYPERLINK("https://twitter.com/Veganwolf08","@Veganwolf08")</f>
        <v>@Veganwolf08</v>
      </c>
      <c r="C1803" s="6" t="s">
        <v>2925</v>
      </c>
      <c r="D1803" s="5" t="s">
        <v>2924</v>
      </c>
      <c r="E1803" s="9" t="str">
        <f>HYPERLINK("https://twitter.com/Veganwolf08/status/1045210236859092992","1045210236859092992")</f>
        <v>1045210236859092992</v>
      </c>
      <c r="F1803" s="4"/>
      <c r="G1803" s="4"/>
      <c r="H1803" s="4"/>
      <c r="I1803" s="10" t="str">
        <f>HYPERLINK("https://mobile.twitter.com","Twitter Lite")</f>
        <v>Twitter Lite</v>
      </c>
      <c r="J1803" s="2">
        <v>66</v>
      </c>
      <c r="K1803" s="2">
        <v>117</v>
      </c>
      <c r="L1803" s="2">
        <v>0</v>
      </c>
      <c r="M1803" s="2"/>
      <c r="N1803" s="8">
        <v>43102.106967592597</v>
      </c>
      <c r="O1803" s="4" t="s">
        <v>1650</v>
      </c>
      <c r="P1803" s="3" t="s">
        <v>2923</v>
      </c>
      <c r="Q1803" s="4"/>
      <c r="R1803" s="4"/>
      <c r="S1803" s="9" t="str">
        <f>HYPERLINK("https://pbs.twimg.com/profile_images/963000529822593024/DGULHkzW.jpg","View")</f>
        <v>View</v>
      </c>
    </row>
    <row r="1804" spans="1:19" ht="20">
      <c r="A1804" s="8">
        <v>43370.447916666672</v>
      </c>
      <c r="B1804" s="11" t="str">
        <f>HYPERLINK("https://twitter.com/Mustafi_ii","@Mustafi_ii")</f>
        <v>@Mustafi_ii</v>
      </c>
      <c r="C1804" s="6" t="s">
        <v>2922</v>
      </c>
      <c r="D1804" s="5" t="s">
        <v>2921</v>
      </c>
      <c r="E1804" s="9" t="str">
        <f>HYPERLINK("https://twitter.com/Mustafi_ii/status/1045210177815957505","1045210177815957505")</f>
        <v>1045210177815957505</v>
      </c>
      <c r="F1804" s="4"/>
      <c r="G1804" s="4"/>
      <c r="H1804" s="4"/>
      <c r="I1804" s="10" t="str">
        <f>HYPERLINK("http://twitter.com/download/android","Twitter for Android")</f>
        <v>Twitter for Android</v>
      </c>
      <c r="J1804" s="2">
        <v>329</v>
      </c>
      <c r="K1804" s="2">
        <v>450</v>
      </c>
      <c r="L1804" s="2">
        <v>0</v>
      </c>
      <c r="M1804" s="2"/>
      <c r="N1804" s="8">
        <v>43216.683020833334</v>
      </c>
      <c r="O1804" s="4" t="s">
        <v>2920</v>
      </c>
      <c r="P1804" s="3" t="s">
        <v>2919</v>
      </c>
      <c r="Q1804" s="4"/>
      <c r="R1804" s="4"/>
      <c r="S1804" s="9" t="str">
        <f>HYPERLINK("https://pbs.twimg.com/profile_images/999596312285798400/6bL9MBnO.jpg","View")</f>
        <v>View</v>
      </c>
    </row>
    <row r="1805" spans="1:19" ht="40">
      <c r="A1805" s="8">
        <v>43370.447731481487</v>
      </c>
      <c r="B1805" s="11" t="str">
        <f>HYPERLINK("https://twitter.com/Maloomolhaal","@Maloomolhaal")</f>
        <v>@Maloomolhaal</v>
      </c>
      <c r="C1805" s="6" t="s">
        <v>2918</v>
      </c>
      <c r="D1805" s="5" t="s">
        <v>2917</v>
      </c>
      <c r="E1805" s="9" t="str">
        <f>HYPERLINK("https://twitter.com/Maloomolhaal/status/1045210113961684992","1045210113961684992")</f>
        <v>1045210113961684992</v>
      </c>
      <c r="F1805" s="4"/>
      <c r="G1805" s="4"/>
      <c r="H1805" s="4"/>
      <c r="I1805" s="10" t="str">
        <f>HYPERLINK("http://twitter.com","Twitter Web Client")</f>
        <v>Twitter Web Client</v>
      </c>
      <c r="J1805" s="2">
        <v>145</v>
      </c>
      <c r="K1805" s="2">
        <v>395</v>
      </c>
      <c r="L1805" s="2">
        <v>1</v>
      </c>
      <c r="M1805" s="2"/>
      <c r="N1805" s="8">
        <v>42998.214201388888</v>
      </c>
      <c r="O1805" s="4" t="s">
        <v>2916</v>
      </c>
      <c r="P1805" s="3" t="s">
        <v>2915</v>
      </c>
      <c r="Q1805" s="4"/>
      <c r="R1805" s="4"/>
      <c r="S1805" s="9" t="str">
        <f>HYPERLINK("https://pbs.twimg.com/profile_images/992192010676154369/9s_vE7tI.jpg","View")</f>
        <v>View</v>
      </c>
    </row>
    <row r="1806" spans="1:19" ht="20">
      <c r="A1806" s="8">
        <v>43370.447662037041</v>
      </c>
      <c r="B1806" s="11" t="str">
        <f>HYPERLINK("https://twitter.com/Aarash24","@Aarash24")</f>
        <v>@Aarash24</v>
      </c>
      <c r="C1806" s="6" t="s">
        <v>220</v>
      </c>
      <c r="D1806" s="5" t="s">
        <v>2914</v>
      </c>
      <c r="E1806" s="9" t="str">
        <f>HYPERLINK("https://twitter.com/Aarash24/status/1045210085138604032","1045210085138604032")</f>
        <v>1045210085138604032</v>
      </c>
      <c r="F1806" s="4"/>
      <c r="G1806" s="4"/>
      <c r="H1806" s="4"/>
      <c r="I1806" s="10" t="str">
        <f>HYPERLINK("http://twitter.com","Twitter Web Client")</f>
        <v>Twitter Web Client</v>
      </c>
      <c r="J1806" s="2">
        <v>347</v>
      </c>
      <c r="K1806" s="2">
        <v>496</v>
      </c>
      <c r="L1806" s="2">
        <v>0</v>
      </c>
      <c r="M1806" s="2"/>
      <c r="N1806" s="8">
        <v>42866.45957175926</v>
      </c>
      <c r="O1806" s="4" t="s">
        <v>10</v>
      </c>
      <c r="P1806" s="3" t="s">
        <v>218</v>
      </c>
      <c r="Q1806" s="4"/>
      <c r="R1806" s="4"/>
      <c r="S1806" s="9" t="str">
        <f>HYPERLINK("https://pbs.twimg.com/profile_images/973917524071993345/dLScUKvD.jpg","View")</f>
        <v>View</v>
      </c>
    </row>
    <row r="1807" spans="1:19" ht="20">
      <c r="A1807" s="8">
        <v>43370.447557870371</v>
      </c>
      <c r="B1807" s="11" t="str">
        <f>HYPERLINK("https://twitter.com/FMahshid","@FMahshid")</f>
        <v>@FMahshid</v>
      </c>
      <c r="C1807" s="6" t="s">
        <v>2913</v>
      </c>
      <c r="D1807" s="5" t="s">
        <v>2912</v>
      </c>
      <c r="E1807" s="9" t="str">
        <f>HYPERLINK("https://twitter.com/FMahshid/status/1045210048459362304","1045210048459362304")</f>
        <v>1045210048459362304</v>
      </c>
      <c r="F1807" s="4"/>
      <c r="G1807" s="4"/>
      <c r="H1807" s="4"/>
      <c r="I1807" s="10" t="str">
        <f>HYPERLINK("http://twitter.com/download/android","Twitter for Android")</f>
        <v>Twitter for Android</v>
      </c>
      <c r="J1807" s="2">
        <v>428</v>
      </c>
      <c r="K1807" s="2">
        <v>483</v>
      </c>
      <c r="L1807" s="2">
        <v>1</v>
      </c>
      <c r="M1807" s="2"/>
      <c r="N1807" s="8">
        <v>41159.878206018519</v>
      </c>
      <c r="O1807" s="4"/>
      <c r="P1807" s="3" t="s">
        <v>2911</v>
      </c>
      <c r="Q1807" s="4"/>
      <c r="R1807" s="4"/>
      <c r="S1807" s="9" t="str">
        <f>HYPERLINK("https://pbs.twimg.com/profile_images/1028695391175417856/cXTBSxX7.jpg","View")</f>
        <v>View</v>
      </c>
    </row>
    <row r="1808" spans="1:19" ht="30">
      <c r="A1808" s="8">
        <v>43370.447199074071</v>
      </c>
      <c r="B1808" s="11" t="str">
        <f>HYPERLINK("https://twitter.com/Jz_hossein","@Jz_hossein")</f>
        <v>@Jz_hossein</v>
      </c>
      <c r="C1808" s="6" t="s">
        <v>2910</v>
      </c>
      <c r="D1808" s="5" t="s">
        <v>2909</v>
      </c>
      <c r="E1808" s="9" t="str">
        <f>HYPERLINK("https://twitter.com/Jz_hossein/status/1045209920084283392","1045209920084283392")</f>
        <v>1045209920084283392</v>
      </c>
      <c r="F1808" s="4"/>
      <c r="G1808" s="4"/>
      <c r="H1808" s="4"/>
      <c r="I1808" s="10" t="str">
        <f>HYPERLINK("http://twitter.com/download/android","Twitter for Android")</f>
        <v>Twitter for Android</v>
      </c>
      <c r="J1808" s="2">
        <v>3206</v>
      </c>
      <c r="K1808" s="2">
        <v>2343</v>
      </c>
      <c r="L1808" s="2">
        <v>6</v>
      </c>
      <c r="M1808" s="2"/>
      <c r="N1808" s="8">
        <v>43073.032465277778</v>
      </c>
      <c r="O1808" s="4"/>
      <c r="P1808" s="3" t="s">
        <v>2908</v>
      </c>
      <c r="Q1808" s="4"/>
      <c r="R1808" s="4"/>
      <c r="S1808" s="9" t="str">
        <f>HYPERLINK("https://pbs.twimg.com/profile_images/1033108795197669376/wbtHswFn.jpg","View")</f>
        <v>View</v>
      </c>
    </row>
    <row r="1809" spans="1:19" ht="30">
      <c r="A1809" s="8">
        <v>43370.446354166663</v>
      </c>
      <c r="B1809" s="11" t="str">
        <f>HYPERLINK("https://twitter.com/Ned_Ned_","@Ned_Ned_")</f>
        <v>@Ned_Ned_</v>
      </c>
      <c r="C1809" s="6" t="s">
        <v>2907</v>
      </c>
      <c r="D1809" s="5" t="s">
        <v>2906</v>
      </c>
      <c r="E1809" s="9" t="str">
        <f>HYPERLINK("https://twitter.com/Ned_Ned_/status/1045209614164348930","1045209614164348930")</f>
        <v>1045209614164348930</v>
      </c>
      <c r="F1809" s="4"/>
      <c r="G1809" s="4"/>
      <c r="H1809" s="4"/>
      <c r="I1809" s="10" t="str">
        <f>HYPERLINK("http://twitter.com/download/iphone","Twitter for iPhone")</f>
        <v>Twitter for iPhone</v>
      </c>
      <c r="J1809" s="2">
        <v>182</v>
      </c>
      <c r="K1809" s="2">
        <v>399</v>
      </c>
      <c r="L1809" s="2">
        <v>0</v>
      </c>
      <c r="M1809" s="2"/>
      <c r="N1809" s="8">
        <v>41278.716990740737</v>
      </c>
      <c r="O1809" s="4"/>
      <c r="P1809" s="3"/>
      <c r="Q1809" s="4"/>
      <c r="R1809" s="4"/>
      <c r="S1809" s="9" t="str">
        <f>HYPERLINK("https://pbs.twimg.com/profile_images/873498455120990208/Ceipnqyt.jpg","View")</f>
        <v>View</v>
      </c>
    </row>
    <row r="1810" spans="1:19" ht="20">
      <c r="A1810" s="8">
        <v>43370.445763888885</v>
      </c>
      <c r="B1810" s="11" t="str">
        <f>HYPERLINK("https://twitter.com/mrkavousi","@mrkavousi")</f>
        <v>@mrkavousi</v>
      </c>
      <c r="C1810" s="6" t="s">
        <v>2905</v>
      </c>
      <c r="D1810" s="5" t="s">
        <v>2904</v>
      </c>
      <c r="E1810" s="9" t="str">
        <f>HYPERLINK("https://twitter.com/mrkavousi/status/1045209401106272256","1045209401106272256")</f>
        <v>1045209401106272256</v>
      </c>
      <c r="F1810" s="4"/>
      <c r="G1810" s="4"/>
      <c r="H1810" s="4"/>
      <c r="I1810" s="10" t="str">
        <f>HYPERLINK("http://twitter.com","Twitter Web Client")</f>
        <v>Twitter Web Client</v>
      </c>
      <c r="J1810" s="2">
        <v>4072</v>
      </c>
      <c r="K1810" s="2">
        <v>671</v>
      </c>
      <c r="L1810" s="2">
        <v>56</v>
      </c>
      <c r="M1810" s="2"/>
      <c r="N1810" s="8">
        <v>39891.912106481483</v>
      </c>
      <c r="O1810" s="4" t="s">
        <v>513</v>
      </c>
      <c r="P1810" s="3" t="s">
        <v>2903</v>
      </c>
      <c r="Q1810" s="10" t="s">
        <v>2902</v>
      </c>
      <c r="R1810" s="4"/>
      <c r="S1810" s="9" t="str">
        <f>HYPERLINK("https://pbs.twimg.com/profile_images/1037406677979615234/tzuib_fY.jpg","View")</f>
        <v>View</v>
      </c>
    </row>
    <row r="1811" spans="1:19" ht="40">
      <c r="A1811" s="8">
        <v>43370.445659722223</v>
      </c>
      <c r="B1811" s="11" t="str">
        <f>HYPERLINK("https://twitter.com/moghaddaseh","@moghaddaseh")</f>
        <v>@moghaddaseh</v>
      </c>
      <c r="C1811" s="6" t="s">
        <v>2901</v>
      </c>
      <c r="D1811" s="5" t="s">
        <v>2900</v>
      </c>
      <c r="E1811" s="9" t="str">
        <f>HYPERLINK("https://twitter.com/moghaddaseh/status/1045209360031461377","1045209360031461377")</f>
        <v>1045209360031461377</v>
      </c>
      <c r="F1811" s="4"/>
      <c r="G1811" s="4"/>
      <c r="H1811" s="4"/>
      <c r="I1811" s="10" t="str">
        <f>HYPERLINK("http://twitter.com/download/android","Twitter for Android")</f>
        <v>Twitter for Android</v>
      </c>
      <c r="J1811" s="2">
        <v>360</v>
      </c>
      <c r="K1811" s="2">
        <v>229</v>
      </c>
      <c r="L1811" s="2">
        <v>1</v>
      </c>
      <c r="M1811" s="2"/>
      <c r="N1811" s="8">
        <v>43241.701712962968</v>
      </c>
      <c r="O1811" s="4" t="s">
        <v>414</v>
      </c>
      <c r="P1811" s="3" t="s">
        <v>2899</v>
      </c>
      <c r="Q1811" s="10" t="s">
        <v>2898</v>
      </c>
      <c r="R1811" s="4"/>
      <c r="S1811" s="9" t="str">
        <f>HYPERLINK("https://pbs.twimg.com/profile_images/1025083095232462848/rq1cCINL.jpg","View")</f>
        <v>View</v>
      </c>
    </row>
    <row r="1812" spans="1:19" ht="20">
      <c r="A1812" s="8">
        <v>43370.445625</v>
      </c>
      <c r="B1812" s="11" t="str">
        <f>HYPERLINK("https://twitter.com/mamadeshoonm","@mamadeshoonm")</f>
        <v>@mamadeshoonm</v>
      </c>
      <c r="C1812" s="6" t="s">
        <v>2897</v>
      </c>
      <c r="D1812" s="5" t="s">
        <v>2896</v>
      </c>
      <c r="E1812" s="9" t="str">
        <f>HYPERLINK("https://twitter.com/mamadeshoonm/status/1045209347377307648","1045209347377307648")</f>
        <v>1045209347377307648</v>
      </c>
      <c r="F1812" s="4"/>
      <c r="G1812" s="4"/>
      <c r="H1812" s="4"/>
      <c r="I1812" s="10" t="str">
        <f>HYPERLINK("http://twitter.com/download/android","Twitter for Android")</f>
        <v>Twitter for Android</v>
      </c>
      <c r="J1812" s="2">
        <v>198</v>
      </c>
      <c r="K1812" s="2">
        <v>275</v>
      </c>
      <c r="L1812" s="2">
        <v>0</v>
      </c>
      <c r="M1812" s="2"/>
      <c r="N1812" s="8">
        <v>43279.017523148148</v>
      </c>
      <c r="O1812" s="4" t="s">
        <v>1183</v>
      </c>
      <c r="P1812" s="3" t="s">
        <v>2895</v>
      </c>
      <c r="Q1812" s="10" t="s">
        <v>2894</v>
      </c>
      <c r="R1812" s="4"/>
      <c r="S1812" s="9" t="str">
        <f>HYPERLINK("https://pbs.twimg.com/profile_images/1038374198442438657/zq5yvz67.jpg","View")</f>
        <v>View</v>
      </c>
    </row>
    <row r="1813" spans="1:19" ht="30">
      <c r="A1813" s="8">
        <v>43370.44532407407</v>
      </c>
      <c r="B1813" s="11" t="str">
        <f>HYPERLINK("https://twitter.com/piroozinews","@piroozinews")</f>
        <v>@piroozinews</v>
      </c>
      <c r="C1813" s="6" t="s">
        <v>764</v>
      </c>
      <c r="D1813" s="5" t="s">
        <v>2893</v>
      </c>
      <c r="E1813" s="9" t="str">
        <f>HYPERLINK("https://twitter.com/piroozinews/status/1045209238463815680","1045209238463815680")</f>
        <v>1045209238463815680</v>
      </c>
      <c r="F1813" s="4"/>
      <c r="G1813" s="10" t="s">
        <v>2892</v>
      </c>
      <c r="H1813" s="4"/>
      <c r="I1813" s="10" t="str">
        <f>HYPERLINK("http://twitter.com","Twitter Web Client")</f>
        <v>Twitter Web Client</v>
      </c>
      <c r="J1813" s="2">
        <v>28757</v>
      </c>
      <c r="K1813" s="2">
        <v>31</v>
      </c>
      <c r="L1813" s="2">
        <v>245</v>
      </c>
      <c r="M1813" s="2"/>
      <c r="N1813" s="8">
        <v>42343.636840277773</v>
      </c>
      <c r="O1813" s="4" t="s">
        <v>762</v>
      </c>
      <c r="P1813" s="3" t="s">
        <v>761</v>
      </c>
      <c r="Q1813" s="10" t="s">
        <v>760</v>
      </c>
      <c r="R1813" s="4"/>
      <c r="S1813" s="9" t="str">
        <f>HYPERLINK("https://pbs.twimg.com/profile_images/1014483613310570497/0eFAC3lV.jpg","View")</f>
        <v>View</v>
      </c>
    </row>
    <row r="1814" spans="1:19" ht="40">
      <c r="A1814" s="8">
        <v>43370.444328703699</v>
      </c>
      <c r="B1814" s="11" t="str">
        <f>HYPERLINK("https://twitter.com/m_zamani1362","@m_zamani1362")</f>
        <v>@m_zamani1362</v>
      </c>
      <c r="C1814" s="6" t="s">
        <v>2891</v>
      </c>
      <c r="D1814" s="5" t="s">
        <v>2890</v>
      </c>
      <c r="E1814" s="9" t="str">
        <f>HYPERLINK("https://twitter.com/m_zamani1362/status/1045208879825653760","1045208879825653760")</f>
        <v>1045208879825653760</v>
      </c>
      <c r="F1814" s="4"/>
      <c r="G1814" s="10" t="s">
        <v>2889</v>
      </c>
      <c r="H1814" s="4"/>
      <c r="I1814" s="10" t="str">
        <f>HYPERLINK("http://twitter.com/download/android","Twitter for Android")</f>
        <v>Twitter for Android</v>
      </c>
      <c r="J1814" s="2">
        <v>18</v>
      </c>
      <c r="K1814" s="2">
        <v>24</v>
      </c>
      <c r="L1814" s="2">
        <v>0</v>
      </c>
      <c r="M1814" s="2"/>
      <c r="N1814" s="8">
        <v>43241.798275462963</v>
      </c>
      <c r="O1814" s="4"/>
      <c r="P1814" s="3" t="s">
        <v>2888</v>
      </c>
      <c r="Q1814" s="4"/>
      <c r="R1814" s="4"/>
      <c r="S1814" s="9" t="str">
        <f>HYPERLINK("https://pbs.twimg.com/profile_images/998640443138101248/HSlW56b9.jpg","View")</f>
        <v>View</v>
      </c>
    </row>
    <row r="1815" spans="1:19" ht="12.5">
      <c r="A1815" s="8">
        <v>43370.443726851852</v>
      </c>
      <c r="B1815" s="11" t="str">
        <f>HYPERLINK("https://twitter.com/Mehrant12","@Mehrant12")</f>
        <v>@Mehrant12</v>
      </c>
      <c r="C1815" s="6" t="s">
        <v>2887</v>
      </c>
      <c r="D1815" s="5" t="s">
        <v>2886</v>
      </c>
      <c r="E1815" s="9" t="str">
        <f>HYPERLINK("https://twitter.com/Mehrant12/status/1045208659565973504","1045208659565973504")</f>
        <v>1045208659565973504</v>
      </c>
      <c r="F1815" s="4"/>
      <c r="G1815" s="10" t="s">
        <v>2885</v>
      </c>
      <c r="H1815" s="4"/>
      <c r="I1815" s="10" t="str">
        <f>HYPERLINK("http://twitter.com/download/android","Twitter for Android")</f>
        <v>Twitter for Android</v>
      </c>
      <c r="J1815" s="2">
        <v>359</v>
      </c>
      <c r="K1815" s="2">
        <v>351</v>
      </c>
      <c r="L1815" s="2">
        <v>0</v>
      </c>
      <c r="M1815" s="2"/>
      <c r="N1815" s="8">
        <v>43275.669502314813</v>
      </c>
      <c r="O1815" s="4" t="s">
        <v>2884</v>
      </c>
      <c r="P1815" s="3" t="s">
        <v>2883</v>
      </c>
      <c r="Q1815" s="4"/>
      <c r="R1815" s="4"/>
      <c r="S1815" s="9" t="str">
        <f>HYPERLINK("https://pbs.twimg.com/profile_images/1041330323685027840/4MloKotW.jpg","View")</f>
        <v>View</v>
      </c>
    </row>
    <row r="1816" spans="1:19" ht="20">
      <c r="A1816" s="8">
        <v>43370.443182870367</v>
      </c>
      <c r="B1816" s="11" t="str">
        <f>HYPERLINK("https://twitter.com/__shahryari__","@__shahryari__")</f>
        <v>@__shahryari__</v>
      </c>
      <c r="C1816" s="6" t="s">
        <v>2537</v>
      </c>
      <c r="D1816" s="5" t="s">
        <v>2882</v>
      </c>
      <c r="E1816" s="9" t="str">
        <f>HYPERLINK("https://twitter.com/__shahryari__/status/1045208465747181568","1045208465747181568")</f>
        <v>1045208465747181568</v>
      </c>
      <c r="F1816" s="4"/>
      <c r="G1816" s="4"/>
      <c r="H1816" s="4"/>
      <c r="I1816" s="10" t="str">
        <f>HYPERLINK("http://twitter.com/download/android","Twitter for Android")</f>
        <v>Twitter for Android</v>
      </c>
      <c r="J1816" s="2">
        <v>769</v>
      </c>
      <c r="K1816" s="2">
        <v>2049</v>
      </c>
      <c r="L1816" s="2">
        <v>2</v>
      </c>
      <c r="M1816" s="2"/>
      <c r="N1816" s="8">
        <v>42760.336701388893</v>
      </c>
      <c r="O1816" s="4" t="s">
        <v>254</v>
      </c>
      <c r="P1816" s="3" t="s">
        <v>2535</v>
      </c>
      <c r="Q1816" s="4"/>
      <c r="R1816" s="4"/>
      <c r="S1816" s="9" t="str">
        <f>HYPERLINK("https://pbs.twimg.com/profile_images/824117286592253955/a4adXBPW.jpg","View")</f>
        <v>View</v>
      </c>
    </row>
    <row r="1817" spans="1:19" ht="20">
      <c r="A1817" s="8">
        <v>43370.442557870367</v>
      </c>
      <c r="B1817" s="11" t="str">
        <f>HYPERLINK("https://twitter.com/12Marjaf","@12Marjaf")</f>
        <v>@12Marjaf</v>
      </c>
      <c r="C1817" s="6" t="s">
        <v>2881</v>
      </c>
      <c r="D1817" s="5" t="s">
        <v>2880</v>
      </c>
      <c r="E1817" s="9" t="str">
        <f>HYPERLINK("https://twitter.com/12Marjaf/status/1045208237958725632","1045208237958725632")</f>
        <v>1045208237958725632</v>
      </c>
      <c r="F1817" s="4"/>
      <c r="G1817" s="4"/>
      <c r="H1817" s="4"/>
      <c r="I1817" s="10" t="str">
        <f>HYPERLINK("http://twitter.com/download/iphone","Twitter for iPhone")</f>
        <v>Twitter for iPhone</v>
      </c>
      <c r="J1817" s="2">
        <v>275</v>
      </c>
      <c r="K1817" s="2">
        <v>157</v>
      </c>
      <c r="L1817" s="2">
        <v>1</v>
      </c>
      <c r="M1817" s="2"/>
      <c r="N1817" s="8">
        <v>42734.740810185191</v>
      </c>
      <c r="O1817" s="4" t="s">
        <v>1650</v>
      </c>
      <c r="P1817" s="3" t="s">
        <v>2879</v>
      </c>
      <c r="Q1817" s="10" t="s">
        <v>2878</v>
      </c>
      <c r="R1817" s="4"/>
      <c r="S1817" s="9" t="str">
        <f>HYPERLINK("https://pbs.twimg.com/profile_images/1042257909298671616/Jb_WxMsa.jpg","View")</f>
        <v>View</v>
      </c>
    </row>
    <row r="1818" spans="1:19" ht="30">
      <c r="A1818" s="8">
        <v>43370.439884259264</v>
      </c>
      <c r="B1818" s="11" t="str">
        <f>HYPERLINK("https://twitter.com/Daei_esi","@Daei_esi")</f>
        <v>@Daei_esi</v>
      </c>
      <c r="C1818" s="6" t="s">
        <v>2877</v>
      </c>
      <c r="D1818" s="5" t="s">
        <v>2876</v>
      </c>
      <c r="E1818" s="9" t="str">
        <f>HYPERLINK("https://twitter.com/Daei_esi/status/1045207267199594498","1045207267199594498")</f>
        <v>1045207267199594498</v>
      </c>
      <c r="F1818" s="4"/>
      <c r="G1818" s="10" t="s">
        <v>2875</v>
      </c>
      <c r="H1818" s="4"/>
      <c r="I1818" s="10" t="str">
        <f>HYPERLINK("http://twitter.com/download/android","Twitter for Android")</f>
        <v>Twitter for Android</v>
      </c>
      <c r="J1818" s="2">
        <v>26</v>
      </c>
      <c r="K1818" s="2">
        <v>56</v>
      </c>
      <c r="L1818" s="2">
        <v>0</v>
      </c>
      <c r="M1818" s="2"/>
      <c r="N1818" s="8">
        <v>43355.141273148147</v>
      </c>
      <c r="O1818" s="4"/>
      <c r="P1818" s="3" t="s">
        <v>2874</v>
      </c>
      <c r="Q1818" s="4"/>
      <c r="R1818" s="4"/>
      <c r="S1818" s="9" t="str">
        <f>HYPERLINK("https://pbs.twimg.com/profile_images/1039650149906173953/gO6rvKH6.jpg","View")</f>
        <v>View</v>
      </c>
    </row>
    <row r="1819" spans="1:19" ht="20">
      <c r="A1819" s="8">
        <v>43370.43885416667</v>
      </c>
      <c r="B1819" s="11" t="str">
        <f>HYPERLINK("https://twitter.com/JamesAlddin","@JamesAlddin")</f>
        <v>@JamesAlddin</v>
      </c>
      <c r="C1819" s="6" t="s">
        <v>2873</v>
      </c>
      <c r="D1819" s="5" t="s">
        <v>2872</v>
      </c>
      <c r="E1819" s="9" t="str">
        <f>HYPERLINK("https://twitter.com/JamesAlddin/status/1045206895030665216","1045206895030665216")</f>
        <v>1045206895030665216</v>
      </c>
      <c r="F1819" s="4"/>
      <c r="G1819" s="10" t="s">
        <v>2871</v>
      </c>
      <c r="H1819" s="4"/>
      <c r="I1819" s="10" t="str">
        <f>HYPERLINK("http://twitter.com/download/android","Twitter for Android")</f>
        <v>Twitter for Android</v>
      </c>
      <c r="J1819" s="2">
        <v>4</v>
      </c>
      <c r="K1819" s="2">
        <v>13</v>
      </c>
      <c r="L1819" s="2">
        <v>0</v>
      </c>
      <c r="M1819" s="2"/>
      <c r="N1819" s="8">
        <v>43355.454699074078</v>
      </c>
      <c r="O1819" s="4" t="s">
        <v>2870</v>
      </c>
      <c r="P1819" s="3" t="s">
        <v>2869</v>
      </c>
      <c r="Q1819" s="4"/>
      <c r="R1819" s="4"/>
      <c r="S1819" s="9" t="str">
        <f>HYPERLINK("https://pbs.twimg.com/profile_images/1040606447082647552/xRUwJjem.jpg","View")</f>
        <v>View</v>
      </c>
    </row>
    <row r="1820" spans="1:19" ht="12.5">
      <c r="A1820" s="8">
        <v>43370.437638888892</v>
      </c>
      <c r="B1820" s="11" t="str">
        <f>HYPERLINK("https://twitter.com/MoHAMAD2258","@MoHAMAD2258")</f>
        <v>@MoHAMAD2258</v>
      </c>
      <c r="C1820" s="6" t="s">
        <v>2618</v>
      </c>
      <c r="D1820" s="5" t="s">
        <v>2868</v>
      </c>
      <c r="E1820" s="9" t="str">
        <f>HYPERLINK("https://twitter.com/MoHAMAD2258/status/1045206455689900032","1045206455689900032")</f>
        <v>1045206455689900032</v>
      </c>
      <c r="F1820" s="4"/>
      <c r="G1820" s="4"/>
      <c r="H1820" s="4"/>
      <c r="I1820" s="10" t="str">
        <f>HYPERLINK("http://twitter.com/download/android","Twitter for Android")</f>
        <v>Twitter for Android</v>
      </c>
      <c r="J1820" s="2">
        <v>2230</v>
      </c>
      <c r="K1820" s="2">
        <v>3125</v>
      </c>
      <c r="L1820" s="2">
        <v>4</v>
      </c>
      <c r="M1820" s="2"/>
      <c r="N1820" s="8">
        <v>43166.441747685181</v>
      </c>
      <c r="O1820" s="4" t="s">
        <v>200</v>
      </c>
      <c r="P1820" s="3" t="s">
        <v>2615</v>
      </c>
      <c r="Q1820" s="4"/>
      <c r="R1820" s="4"/>
      <c r="S1820" s="9" t="str">
        <f>HYPERLINK("https://pbs.twimg.com/profile_images/1039547145156734976/srNAozaB.jpg","View")</f>
        <v>View</v>
      </c>
    </row>
    <row r="1821" spans="1:19" ht="20">
      <c r="A1821" s="8">
        <v>43370.43644675926</v>
      </c>
      <c r="B1821" s="11" t="str">
        <f>HYPERLINK("https://twitter.com/mananniam","@mananniam")</f>
        <v>@mananniam</v>
      </c>
      <c r="C1821" s="6" t="s">
        <v>2867</v>
      </c>
      <c r="D1821" s="5" t="s">
        <v>2866</v>
      </c>
      <c r="E1821" s="9" t="str">
        <f>HYPERLINK("https://twitter.com/mananniam/status/1045206024662265856","1045206024662265856")</f>
        <v>1045206024662265856</v>
      </c>
      <c r="F1821" s="4"/>
      <c r="G1821" s="4"/>
      <c r="H1821" s="4"/>
      <c r="I1821" s="10" t="str">
        <f>HYPERLINK("http://twitter.com/download/android","Twitter for Android")</f>
        <v>Twitter for Android</v>
      </c>
      <c r="J1821" s="2">
        <v>1031</v>
      </c>
      <c r="K1821" s="2">
        <v>484</v>
      </c>
      <c r="L1821" s="2">
        <v>3</v>
      </c>
      <c r="M1821" s="2"/>
      <c r="N1821" s="8">
        <v>42695.641006944439</v>
      </c>
      <c r="O1821" s="4"/>
      <c r="P1821" s="3" t="s">
        <v>2865</v>
      </c>
      <c r="Q1821" s="10" t="s">
        <v>2864</v>
      </c>
      <c r="R1821" s="4"/>
      <c r="S1821" s="9" t="str">
        <f>HYPERLINK("https://pbs.twimg.com/profile_images/941348530945437696/t_5FOd1t.jpg","View")</f>
        <v>View</v>
      </c>
    </row>
    <row r="1822" spans="1:19" ht="20">
      <c r="A1822" s="8">
        <v>43370.436319444445</v>
      </c>
      <c r="B1822" s="11" t="str">
        <f>HYPERLINK("https://twitter.com/soheil_mrz","@soheil_mrz")</f>
        <v>@soheil_mrz</v>
      </c>
      <c r="C1822" s="6" t="s">
        <v>2863</v>
      </c>
      <c r="D1822" s="5" t="s">
        <v>2862</v>
      </c>
      <c r="E1822" s="9" t="str">
        <f>HYPERLINK("https://twitter.com/soheil_mrz/status/1045205976415174656","1045205976415174656")</f>
        <v>1045205976415174656</v>
      </c>
      <c r="F1822" s="4"/>
      <c r="G1822" s="4"/>
      <c r="H1822" s="4"/>
      <c r="I1822" s="10" t="str">
        <f>HYPERLINK("http://twitter.com/download/iphone","Twitter for iPhone")</f>
        <v>Twitter for iPhone</v>
      </c>
      <c r="J1822" s="2">
        <v>463</v>
      </c>
      <c r="K1822" s="2">
        <v>352</v>
      </c>
      <c r="L1822" s="2">
        <v>2</v>
      </c>
      <c r="M1822" s="2"/>
      <c r="N1822" s="8">
        <v>42520.579872685186</v>
      </c>
      <c r="O1822" s="4" t="s">
        <v>2861</v>
      </c>
      <c r="P1822" s="3" t="s">
        <v>2860</v>
      </c>
      <c r="Q1822" s="4"/>
      <c r="R1822" s="4"/>
      <c r="S1822" s="9" t="str">
        <f>HYPERLINK("https://pbs.twimg.com/profile_images/1040510280776736769/fjxxZ6vn.jpg","View")</f>
        <v>View</v>
      </c>
    </row>
    <row r="1823" spans="1:19" ht="12.5">
      <c r="A1823" s="8">
        <v>43370.436157407406</v>
      </c>
      <c r="B1823" s="11" t="str">
        <f>HYPERLINK("https://twitter.com/tamjidi_78","@tamjidi_78")</f>
        <v>@tamjidi_78</v>
      </c>
      <c r="C1823" s="6" t="s">
        <v>2859</v>
      </c>
      <c r="D1823" s="5" t="s">
        <v>2858</v>
      </c>
      <c r="E1823" s="9" t="str">
        <f>HYPERLINK("https://twitter.com/tamjidi_78/status/1045205917199945729","1045205917199945729")</f>
        <v>1045205917199945729</v>
      </c>
      <c r="F1823" s="4"/>
      <c r="G1823" s="4"/>
      <c r="H1823" s="4"/>
      <c r="I1823" s="10" t="str">
        <f>HYPERLINK("http://twitter.com/download/android","Twitter for Android")</f>
        <v>Twitter for Android</v>
      </c>
      <c r="J1823" s="2">
        <v>175</v>
      </c>
      <c r="K1823" s="2">
        <v>58</v>
      </c>
      <c r="L1823" s="2">
        <v>0</v>
      </c>
      <c r="M1823" s="2"/>
      <c r="N1823" s="8">
        <v>42954.786423611113</v>
      </c>
      <c r="O1823" s="4" t="s">
        <v>2857</v>
      </c>
      <c r="P1823" s="3" t="s">
        <v>2856</v>
      </c>
      <c r="Q1823" s="4"/>
      <c r="R1823" s="4"/>
      <c r="S1823" s="9" t="str">
        <f>HYPERLINK("https://pbs.twimg.com/profile_images/1044901935818502144/JH-lJxOo.jpg","View")</f>
        <v>View</v>
      </c>
    </row>
    <row r="1824" spans="1:19" ht="20">
      <c r="A1824" s="8">
        <v>43370.43613425926</v>
      </c>
      <c r="B1824" s="11" t="str">
        <f>HYPERLINK("https://twitter.com/Salehp","@Salehp")</f>
        <v>@Salehp</v>
      </c>
      <c r="C1824" s="6" t="s">
        <v>2855</v>
      </c>
      <c r="D1824" s="5" t="s">
        <v>2854</v>
      </c>
      <c r="E1824" s="9" t="str">
        <f>HYPERLINK("https://twitter.com/Salehp/status/1045205910640111616","1045205910640111616")</f>
        <v>1045205910640111616</v>
      </c>
      <c r="F1824" s="4"/>
      <c r="G1824" s="4"/>
      <c r="H1824" s="4"/>
      <c r="I1824" s="10" t="str">
        <f>HYPERLINK("http://twitter.com/download/iphone","Twitter for iPhone")</f>
        <v>Twitter for iPhone</v>
      </c>
      <c r="J1824" s="2">
        <v>366</v>
      </c>
      <c r="K1824" s="2">
        <v>687</v>
      </c>
      <c r="L1824" s="2">
        <v>5</v>
      </c>
      <c r="M1824" s="2"/>
      <c r="N1824" s="8">
        <v>39981.185763888891</v>
      </c>
      <c r="O1824" s="4" t="s">
        <v>1019</v>
      </c>
      <c r="P1824" s="3" t="s">
        <v>2853</v>
      </c>
      <c r="Q1824" s="4"/>
      <c r="R1824" s="4"/>
      <c r="S1824" s="9" t="str">
        <f>HYPERLINK("https://pbs.twimg.com/profile_images/1029407383011946497/5fRtdKmb.jpg","View")</f>
        <v>View</v>
      </c>
    </row>
    <row r="1825" spans="1:19" ht="30">
      <c r="A1825" s="8">
        <v>43370.435624999998</v>
      </c>
      <c r="B1825" s="11" t="str">
        <f>HYPERLINK("https://twitter.com/hosseinsharr666","@hosseinsharr666")</f>
        <v>@hosseinsharr666</v>
      </c>
      <c r="C1825" s="6" t="s">
        <v>1171</v>
      </c>
      <c r="D1825" s="5" t="s">
        <v>2852</v>
      </c>
      <c r="E1825" s="9" t="str">
        <f>HYPERLINK("https://twitter.com/hosseinsharr666/status/1045205723964157952","1045205723964157952")</f>
        <v>1045205723964157952</v>
      </c>
      <c r="F1825" s="4"/>
      <c r="G1825" s="4"/>
      <c r="H1825" s="4"/>
      <c r="I1825" s="10" t="str">
        <f>HYPERLINK("http://twitter.com/download/android","Twitter for Android")</f>
        <v>Twitter for Android</v>
      </c>
      <c r="J1825" s="2">
        <v>953</v>
      </c>
      <c r="K1825" s="2">
        <v>416</v>
      </c>
      <c r="L1825" s="2">
        <v>3</v>
      </c>
      <c r="M1825" s="2"/>
      <c r="N1825" s="8">
        <v>43198.975069444445</v>
      </c>
      <c r="O1825" s="4" t="s">
        <v>272</v>
      </c>
      <c r="P1825" s="3" t="s">
        <v>1170</v>
      </c>
      <c r="Q1825" s="4"/>
      <c r="R1825" s="4"/>
      <c r="S1825" s="9" t="str">
        <f>HYPERLINK("https://pbs.twimg.com/profile_images/1038464083526336513/P_1jlXJn.jpg","View")</f>
        <v>View</v>
      </c>
    </row>
    <row r="1826" spans="1:19" ht="40">
      <c r="A1826" s="8">
        <v>43370.435081018513</v>
      </c>
      <c r="B1826" s="11" t="str">
        <f>HYPERLINK("https://twitter.com/saminmohajerani","@saminmohajerani")</f>
        <v>@saminmohajerani</v>
      </c>
      <c r="C1826" s="6" t="s">
        <v>2851</v>
      </c>
      <c r="D1826" s="5" t="s">
        <v>2850</v>
      </c>
      <c r="E1826" s="9" t="str">
        <f>HYPERLINK("https://twitter.com/saminmohajerani/status/1045205526571872258","1045205526571872258")</f>
        <v>1045205526571872258</v>
      </c>
      <c r="F1826" s="4"/>
      <c r="G1826" s="4"/>
      <c r="H1826" s="4"/>
      <c r="I1826" s="10" t="str">
        <f>HYPERLINK("http://twitter.com/download/iphone","Twitter for iPhone")</f>
        <v>Twitter for iPhone</v>
      </c>
      <c r="J1826" s="2">
        <v>2467</v>
      </c>
      <c r="K1826" s="2">
        <v>278</v>
      </c>
      <c r="L1826" s="2">
        <v>17</v>
      </c>
      <c r="M1826" s="2"/>
      <c r="N1826" s="8">
        <v>42770.991597222222</v>
      </c>
      <c r="O1826" s="4" t="s">
        <v>1283</v>
      </c>
      <c r="P1826" s="3" t="s">
        <v>2849</v>
      </c>
      <c r="Q1826" s="4"/>
      <c r="R1826" s="4"/>
      <c r="S1826" s="9" t="str">
        <f>HYPERLINK("https://pbs.twimg.com/profile_images/941042044973322240/RoQoXzoi.jpg","View")</f>
        <v>View</v>
      </c>
    </row>
    <row r="1827" spans="1:19" ht="40">
      <c r="A1827" s="8">
        <v>43370.434976851851</v>
      </c>
      <c r="B1827" s="11" t="str">
        <f>HYPERLINK("https://twitter.com/KhodNeviss","@KhodNeviss")</f>
        <v>@KhodNeviss</v>
      </c>
      <c r="C1827" s="6" t="s">
        <v>987</v>
      </c>
      <c r="D1827" s="5" t="s">
        <v>2848</v>
      </c>
      <c r="E1827" s="9" t="str">
        <f>HYPERLINK("https://twitter.com/KhodNeviss/status/1045205489045385216","1045205489045385216")</f>
        <v>1045205489045385216</v>
      </c>
      <c r="F1827" s="4"/>
      <c r="G1827" s="10" t="s">
        <v>2847</v>
      </c>
      <c r="H1827" s="4"/>
      <c r="I1827" s="10" t="str">
        <f>HYPERLINK("http://twitter.com","Twitter Web Client")</f>
        <v>Twitter Web Client</v>
      </c>
      <c r="J1827" s="2">
        <v>5044</v>
      </c>
      <c r="K1827" s="2">
        <v>296</v>
      </c>
      <c r="L1827" s="2">
        <v>52</v>
      </c>
      <c r="M1827" s="2"/>
      <c r="N1827" s="8">
        <v>40795.913888888885</v>
      </c>
      <c r="O1827" s="4" t="s">
        <v>985</v>
      </c>
      <c r="P1827" s="3" t="s">
        <v>984</v>
      </c>
      <c r="Q1827" s="10" t="s">
        <v>983</v>
      </c>
      <c r="R1827" s="4"/>
      <c r="S1827" s="9" t="str">
        <f>HYPERLINK("https://pbs.twimg.com/profile_images/1039387795570216962/6LEe-sRU.jpg","View")</f>
        <v>View</v>
      </c>
    </row>
    <row r="1828" spans="1:19" ht="30">
      <c r="A1828" s="8">
        <v>43370.434953703705</v>
      </c>
      <c r="B1828" s="11" t="str">
        <f>HYPERLINK("https://twitter.com/KhodNeviss","@KhodNeviss")</f>
        <v>@KhodNeviss</v>
      </c>
      <c r="C1828" s="6" t="s">
        <v>987</v>
      </c>
      <c r="D1828" s="5" t="s">
        <v>2846</v>
      </c>
      <c r="E1828" s="9" t="str">
        <f>HYPERLINK("https://twitter.com/KhodNeviss/status/1045205482867236864","1045205482867236864")</f>
        <v>1045205482867236864</v>
      </c>
      <c r="F1828" s="4"/>
      <c r="G1828" s="10" t="s">
        <v>2845</v>
      </c>
      <c r="H1828" s="4"/>
      <c r="I1828" s="10" t="str">
        <f>HYPERLINK("http://twitter.com","Twitter Web Client")</f>
        <v>Twitter Web Client</v>
      </c>
      <c r="J1828" s="2">
        <v>5044</v>
      </c>
      <c r="K1828" s="2">
        <v>296</v>
      </c>
      <c r="L1828" s="2">
        <v>52</v>
      </c>
      <c r="M1828" s="2"/>
      <c r="N1828" s="8">
        <v>40795.913888888885</v>
      </c>
      <c r="O1828" s="4" t="s">
        <v>985</v>
      </c>
      <c r="P1828" s="3" t="s">
        <v>984</v>
      </c>
      <c r="Q1828" s="10" t="s">
        <v>983</v>
      </c>
      <c r="R1828" s="4"/>
      <c r="S1828" s="9" t="str">
        <f>HYPERLINK("https://pbs.twimg.com/profile_images/1039387795570216962/6LEe-sRU.jpg","View")</f>
        <v>View</v>
      </c>
    </row>
    <row r="1829" spans="1:19" ht="30">
      <c r="A1829" s="8">
        <v>43370.434374999997</v>
      </c>
      <c r="B1829" s="11" t="str">
        <f>HYPERLINK("https://twitter.com/zahramirzae","@zahramirzae")</f>
        <v>@zahramirzae</v>
      </c>
      <c r="C1829" s="6" t="s">
        <v>2844</v>
      </c>
      <c r="D1829" s="5" t="s">
        <v>2843</v>
      </c>
      <c r="E1829" s="9" t="str">
        <f>HYPERLINK("https://twitter.com/zahramirzae/status/1045205273667866628","1045205273667866628")</f>
        <v>1045205273667866628</v>
      </c>
      <c r="F1829" s="4"/>
      <c r="G1829" s="4"/>
      <c r="H1829" s="4"/>
      <c r="I1829" s="10" t="str">
        <f>HYPERLINK("http://twitter.com/download/iphone","Twitter for iPhone")</f>
        <v>Twitter for iPhone</v>
      </c>
      <c r="J1829" s="2">
        <v>94</v>
      </c>
      <c r="K1829" s="2">
        <v>95</v>
      </c>
      <c r="L1829" s="2">
        <v>1</v>
      </c>
      <c r="M1829" s="2"/>
      <c r="N1829" s="8">
        <v>43053.990520833337</v>
      </c>
      <c r="O1829" s="4" t="s">
        <v>2842</v>
      </c>
      <c r="P1829" s="3" t="s">
        <v>2841</v>
      </c>
      <c r="Q1829" s="4"/>
      <c r="R1829" s="4"/>
      <c r="S1829" s="9" t="str">
        <f>HYPERLINK("https://pbs.twimg.com/profile_images/1038339347114799104/mi1OITGl.jpg","View")</f>
        <v>View</v>
      </c>
    </row>
    <row r="1830" spans="1:19" ht="20">
      <c r="A1830" s="8">
        <v>43370.434212962966</v>
      </c>
      <c r="B1830" s="11" t="str">
        <f>HYPERLINK("https://twitter.com/elahetwiiter","@elahetwiiter")</f>
        <v>@elahetwiiter</v>
      </c>
      <c r="C1830" s="6" t="s">
        <v>2840</v>
      </c>
      <c r="D1830" s="5" t="s">
        <v>2839</v>
      </c>
      <c r="E1830" s="9" t="str">
        <f>HYPERLINK("https://twitter.com/elahetwiiter/status/1045205211718012928","1045205211718012928")</f>
        <v>1045205211718012928</v>
      </c>
      <c r="F1830" s="4"/>
      <c r="G1830" s="4"/>
      <c r="H1830" s="4"/>
      <c r="I1830" s="10" t="str">
        <f>HYPERLINK("http://twitter.com/download/iphone","Twitter for iPhone")</f>
        <v>Twitter for iPhone</v>
      </c>
      <c r="J1830" s="2">
        <v>24219</v>
      </c>
      <c r="K1830" s="2">
        <v>471</v>
      </c>
      <c r="L1830" s="2">
        <v>95</v>
      </c>
      <c r="M1830" s="2"/>
      <c r="N1830" s="8">
        <v>42456.139340277776</v>
      </c>
      <c r="O1830" s="4" t="s">
        <v>2838</v>
      </c>
      <c r="P1830" s="3" t="s">
        <v>2837</v>
      </c>
      <c r="Q1830" s="4"/>
      <c r="R1830" s="4"/>
      <c r="S1830" s="9" t="str">
        <f>HYPERLINK("https://pbs.twimg.com/profile_images/1015462882291650562/hxONDf5j.jpg","View")</f>
        <v>View</v>
      </c>
    </row>
    <row r="1831" spans="1:19" ht="20">
      <c r="A1831" s="8">
        <v>43370.434039351851</v>
      </c>
      <c r="B1831" s="11" t="str">
        <f>HYPERLINK("https://twitter.com/jeffition","@jeffition")</f>
        <v>@jeffition</v>
      </c>
      <c r="C1831" s="6" t="s">
        <v>2836</v>
      </c>
      <c r="D1831" s="5" t="s">
        <v>2835</v>
      </c>
      <c r="E1831" s="9" t="str">
        <f>HYPERLINK("https://twitter.com/jeffition/status/1045205149034131456","1045205149034131456")</f>
        <v>1045205149034131456</v>
      </c>
      <c r="F1831" s="4"/>
      <c r="G1831" s="4"/>
      <c r="H1831" s="4"/>
      <c r="I1831" s="10" t="str">
        <f>HYPERLINK("http://twitter.com/download/iphone","Twitter for iPhone")</f>
        <v>Twitter for iPhone</v>
      </c>
      <c r="J1831" s="2">
        <v>9</v>
      </c>
      <c r="K1831" s="2">
        <v>8</v>
      </c>
      <c r="L1831" s="2">
        <v>0</v>
      </c>
      <c r="M1831" s="2"/>
      <c r="N1831" s="8">
        <v>42795.011736111112</v>
      </c>
      <c r="O1831" s="4" t="s">
        <v>200</v>
      </c>
      <c r="P1831" s="3"/>
      <c r="Q1831" s="4"/>
      <c r="R1831" s="4"/>
      <c r="S1831" s="9" t="str">
        <f>HYPERLINK("https://pbs.twimg.com/profile_images/1045205956932632581/BKwmotuK.jpg","View")</f>
        <v>View</v>
      </c>
    </row>
    <row r="1832" spans="1:19" ht="40">
      <c r="A1832" s="8">
        <v>43370.432638888888</v>
      </c>
      <c r="B1832" s="11" t="str">
        <f>HYPERLINK("https://twitter.com/Del__bi","@Del__bi")</f>
        <v>@Del__bi</v>
      </c>
      <c r="C1832" s="6" t="s">
        <v>2461</v>
      </c>
      <c r="D1832" s="5" t="s">
        <v>2464</v>
      </c>
      <c r="E1832" s="9" t="str">
        <f>HYPERLINK("https://twitter.com/Del__bi/status/1045204644782329857","1045204644782329857")</f>
        <v>1045204644782329857</v>
      </c>
      <c r="F1832" s="4"/>
      <c r="G1832" s="4"/>
      <c r="H1832" s="4"/>
      <c r="I1832" s="10" t="str">
        <f>HYPERLINK("http://twitter.com/download/android","Twitter for Android")</f>
        <v>Twitter for Android</v>
      </c>
      <c r="J1832" s="2">
        <v>783</v>
      </c>
      <c r="K1832" s="2">
        <v>355</v>
      </c>
      <c r="L1832" s="2">
        <v>2</v>
      </c>
      <c r="M1832" s="2"/>
      <c r="N1832" s="8">
        <v>40977.770555555559</v>
      </c>
      <c r="O1832" s="4"/>
      <c r="P1832" s="3" t="s">
        <v>2459</v>
      </c>
      <c r="Q1832" s="4"/>
      <c r="R1832" s="4"/>
      <c r="S1832" s="9" t="str">
        <f>HYPERLINK("https://pbs.twimg.com/profile_images/1044192773954523136/EgWbhRdH.jpg","View")</f>
        <v>View</v>
      </c>
    </row>
    <row r="1833" spans="1:19" ht="12.5">
      <c r="A1833" s="8">
        <v>43370.432604166665</v>
      </c>
      <c r="B1833" s="11" t="str">
        <f>HYPERLINK("https://twitter.com/khatibi1112","@khatibi1112")</f>
        <v>@khatibi1112</v>
      </c>
      <c r="C1833" s="6" t="s">
        <v>1329</v>
      </c>
      <c r="D1833" s="5" t="s">
        <v>2834</v>
      </c>
      <c r="E1833" s="9" t="str">
        <f>HYPERLINK("https://twitter.com/khatibi1112/status/1045204632140681216","1045204632140681216")</f>
        <v>1045204632140681216</v>
      </c>
      <c r="F1833" s="4"/>
      <c r="G1833" s="4"/>
      <c r="H1833" s="4"/>
      <c r="I1833" s="10" t="str">
        <f>HYPERLINK("http://twitter.com/download/android","Twitter for Android")</f>
        <v>Twitter for Android</v>
      </c>
      <c r="J1833" s="2">
        <v>71</v>
      </c>
      <c r="K1833" s="2">
        <v>71</v>
      </c>
      <c r="L1833" s="2">
        <v>0</v>
      </c>
      <c r="M1833" s="2"/>
      <c r="N1833" s="8">
        <v>43367.044328703705</v>
      </c>
      <c r="O1833" s="4"/>
      <c r="P1833" s="3" t="s">
        <v>1327</v>
      </c>
      <c r="Q1833" s="4"/>
      <c r="R1833" s="4"/>
      <c r="S1833" s="9" t="str">
        <f>HYPERLINK("https://pbs.twimg.com/profile_images/1044342926476750848/6Oxcv3Ku.jpg","View")</f>
        <v>View</v>
      </c>
    </row>
    <row r="1834" spans="1:19" ht="40">
      <c r="A1834" s="8">
        <v>43370.432129629626</v>
      </c>
      <c r="B1834" s="11" t="str">
        <f>HYPERLINK("https://twitter.com/jani911s","@jani911s")</f>
        <v>@jani911s</v>
      </c>
      <c r="C1834" s="6" t="s">
        <v>2833</v>
      </c>
      <c r="D1834" s="5" t="s">
        <v>2832</v>
      </c>
      <c r="E1834" s="9" t="str">
        <f>HYPERLINK("https://twitter.com/jani911s/status/1045204459725316096","1045204459725316096")</f>
        <v>1045204459725316096</v>
      </c>
      <c r="F1834" s="4"/>
      <c r="G1834" s="4"/>
      <c r="H1834" s="4"/>
      <c r="I1834" s="10" t="str">
        <f>HYPERLINK("http://twitter.com","Twitter Web Client")</f>
        <v>Twitter Web Client</v>
      </c>
      <c r="J1834" s="2">
        <v>14</v>
      </c>
      <c r="K1834" s="2">
        <v>8</v>
      </c>
      <c r="L1834" s="2">
        <v>0</v>
      </c>
      <c r="M1834" s="2"/>
      <c r="N1834" s="8">
        <v>42567.807164351849</v>
      </c>
      <c r="O1834" s="4" t="s">
        <v>200</v>
      </c>
      <c r="P1834" s="3" t="s">
        <v>2831</v>
      </c>
      <c r="Q1834" s="4"/>
      <c r="R1834" s="4"/>
      <c r="S1834" s="9" t="str">
        <f>HYPERLINK("https://pbs.twimg.com/profile_images/890628158197702658/DkNKLQeO.jpg","View")</f>
        <v>View</v>
      </c>
    </row>
    <row r="1835" spans="1:19" ht="20">
      <c r="A1835" s="8">
        <v>43370.431342592594</v>
      </c>
      <c r="B1835" s="11" t="str">
        <f>HYPERLINK("https://twitter.com/samiioss","@samiioss")</f>
        <v>@samiioss</v>
      </c>
      <c r="C1835" s="6" t="s">
        <v>2830</v>
      </c>
      <c r="D1835" s="5" t="s">
        <v>2829</v>
      </c>
      <c r="E1835" s="9" t="str">
        <f>HYPERLINK("https://twitter.com/samiioss/status/1045204175057870848","1045204175057870848")</f>
        <v>1045204175057870848</v>
      </c>
      <c r="F1835" s="4"/>
      <c r="G1835" s="4"/>
      <c r="H1835" s="4"/>
      <c r="I1835" s="10" t="str">
        <f>HYPERLINK("http://twitter.com/download/iphone","Twitter for iPhone")</f>
        <v>Twitter for iPhone</v>
      </c>
      <c r="J1835" s="2">
        <v>451</v>
      </c>
      <c r="K1835" s="2">
        <v>582</v>
      </c>
      <c r="L1835" s="2">
        <v>2</v>
      </c>
      <c r="M1835" s="2"/>
      <c r="N1835" s="8">
        <v>40713.575046296297</v>
      </c>
      <c r="O1835" s="4" t="s">
        <v>31</v>
      </c>
      <c r="P1835" s="3" t="s">
        <v>2828</v>
      </c>
      <c r="Q1835" s="4"/>
      <c r="R1835" s="4"/>
      <c r="S1835" s="9" t="str">
        <f>HYPERLINK("https://pbs.twimg.com/profile_images/1012384722226274305/rV4IgGhD.jpg","View")</f>
        <v>View</v>
      </c>
    </row>
    <row r="1836" spans="1:19" ht="30">
      <c r="A1836" s="8">
        <v>43370.431111111116</v>
      </c>
      <c r="B1836" s="11" t="str">
        <f>HYPERLINK("https://twitter.com/roadtounity","@roadtounity")</f>
        <v>@roadtounity</v>
      </c>
      <c r="C1836" s="6" t="s">
        <v>2827</v>
      </c>
      <c r="D1836" s="5" t="s">
        <v>2826</v>
      </c>
      <c r="E1836" s="9" t="str">
        <f>HYPERLINK("https://twitter.com/roadtounity/status/1045204088206454784","1045204088206454784")</f>
        <v>1045204088206454784</v>
      </c>
      <c r="F1836" s="4"/>
      <c r="G1836" s="4"/>
      <c r="H1836" s="4"/>
      <c r="I1836" s="10" t="str">
        <f>HYPERLINK("http://twitter.com/download/android","Twitter for Android")</f>
        <v>Twitter for Android</v>
      </c>
      <c r="J1836" s="2">
        <v>0</v>
      </c>
      <c r="K1836" s="2">
        <v>0</v>
      </c>
      <c r="L1836" s="2">
        <v>0</v>
      </c>
      <c r="M1836" s="2"/>
      <c r="N1836" s="8">
        <v>43370.408900462964</v>
      </c>
      <c r="O1836" s="4"/>
      <c r="P1836" s="3"/>
      <c r="Q1836" s="4"/>
      <c r="R1836" s="4"/>
      <c r="S1836" s="9" t="str">
        <f>HYPERLINK("https://pbs.twimg.com/profile_images/1045201780764631040/R089lHg4.jpg","View")</f>
        <v>View</v>
      </c>
    </row>
    <row r="1837" spans="1:19" ht="40">
      <c r="A1837" s="8">
        <v>43370.431018518517</v>
      </c>
      <c r="B1837" s="11" t="str">
        <f>HYPERLINK("https://twitter.com/_a_nargesi","@_a_nargesi")</f>
        <v>@_a_nargesi</v>
      </c>
      <c r="C1837" s="6" t="s">
        <v>2825</v>
      </c>
      <c r="D1837" s="5" t="s">
        <v>2824</v>
      </c>
      <c r="E1837" s="9" t="str">
        <f>HYPERLINK("https://twitter.com/_a_nargesi/status/1045204056506028033","1045204056506028033")</f>
        <v>1045204056506028033</v>
      </c>
      <c r="F1837" s="4"/>
      <c r="G1837" s="4"/>
      <c r="H1837" s="4"/>
      <c r="I1837" s="10" t="str">
        <f>HYPERLINK("http://twitter.com/download/android","Twitter for Android")</f>
        <v>Twitter for Android</v>
      </c>
      <c r="J1837" s="2">
        <v>1006</v>
      </c>
      <c r="K1837" s="2">
        <v>801</v>
      </c>
      <c r="L1837" s="2">
        <v>2</v>
      </c>
      <c r="M1837" s="2"/>
      <c r="N1837" s="8">
        <v>43285.607812499999</v>
      </c>
      <c r="O1837" s="4" t="s">
        <v>2823</v>
      </c>
      <c r="P1837" s="3" t="s">
        <v>2822</v>
      </c>
      <c r="Q1837" s="10" t="s">
        <v>2821</v>
      </c>
      <c r="R1837" s="4"/>
      <c r="S1837" s="9" t="str">
        <f>HYPERLINK("https://pbs.twimg.com/profile_images/1045071343857934342/wDyaM28S.jpg","View")</f>
        <v>View</v>
      </c>
    </row>
    <row r="1838" spans="1:19" ht="20">
      <c r="A1838" s="8">
        <v>43370.429386574076</v>
      </c>
      <c r="B1838" s="11" t="str">
        <f>HYPERLINK("https://twitter.com/tomcruze99","@tomcruze99")</f>
        <v>@tomcruze99</v>
      </c>
      <c r="C1838" s="6" t="s">
        <v>2820</v>
      </c>
      <c r="D1838" s="5" t="s">
        <v>2819</v>
      </c>
      <c r="E1838" s="9" t="str">
        <f>HYPERLINK("https://twitter.com/tomcruze99/status/1045203463284699137","1045203463284699137")</f>
        <v>1045203463284699137</v>
      </c>
      <c r="F1838" s="4"/>
      <c r="G1838" s="4"/>
      <c r="H1838" s="4"/>
      <c r="I1838" s="10" t="str">
        <f>HYPERLINK("https://mobile.twitter.com","Twitter Lite")</f>
        <v>Twitter Lite</v>
      </c>
      <c r="J1838" s="2">
        <v>88</v>
      </c>
      <c r="K1838" s="2">
        <v>220</v>
      </c>
      <c r="L1838" s="2">
        <v>1</v>
      </c>
      <c r="M1838" s="2"/>
      <c r="N1838" s="8">
        <v>42870.691828703704</v>
      </c>
      <c r="O1838" s="4" t="s">
        <v>2818</v>
      </c>
      <c r="P1838" s="3" t="s">
        <v>2817</v>
      </c>
      <c r="Q1838" s="4"/>
      <c r="R1838" s="4"/>
      <c r="S1838" s="9" t="str">
        <f>HYPERLINK("https://pbs.twimg.com/profile_images/1032281904102424577/te9gGlTj.jpg","View")</f>
        <v>View</v>
      </c>
    </row>
    <row r="1839" spans="1:19" ht="30">
      <c r="A1839" s="8">
        <v>43370.428576388891</v>
      </c>
      <c r="B1839" s="11" t="str">
        <f>HYPERLINK("https://twitter.com/NahidPo","@NahidPo")</f>
        <v>@NahidPo</v>
      </c>
      <c r="C1839" s="6" t="s">
        <v>2816</v>
      </c>
      <c r="D1839" s="5" t="s">
        <v>2815</v>
      </c>
      <c r="E1839" s="9" t="str">
        <f>HYPERLINK("https://twitter.com/NahidPo/status/1045203168748015616","1045203168748015616")</f>
        <v>1045203168748015616</v>
      </c>
      <c r="F1839" s="4"/>
      <c r="G1839" s="4"/>
      <c r="H1839" s="4"/>
      <c r="I1839" s="10" t="str">
        <f>HYPERLINK("http://twitter.com","Twitter Web Client")</f>
        <v>Twitter Web Client</v>
      </c>
      <c r="J1839" s="2">
        <v>5658</v>
      </c>
      <c r="K1839" s="2">
        <v>2886</v>
      </c>
      <c r="L1839" s="2">
        <v>11</v>
      </c>
      <c r="M1839" s="2"/>
      <c r="N1839" s="8">
        <v>42837.405081018514</v>
      </c>
      <c r="O1839" s="4"/>
      <c r="P1839" s="3" t="s">
        <v>2814</v>
      </c>
      <c r="Q1839" s="4"/>
      <c r="R1839" s="4"/>
      <c r="S1839" s="9" t="str">
        <f>HYPERLINK("https://pbs.twimg.com/profile_images/873884795847266304/SBcrW_y8.jpg","View")</f>
        <v>View</v>
      </c>
    </row>
    <row r="1840" spans="1:19" ht="30">
      <c r="A1840" s="8">
        <v>43370.428414351853</v>
      </c>
      <c r="B1840" s="11" t="str">
        <f>HYPERLINK("https://twitter.com/yjcagency","@yjcagency")</f>
        <v>@yjcagency</v>
      </c>
      <c r="C1840" s="6" t="s">
        <v>88</v>
      </c>
      <c r="D1840" s="5" t="s">
        <v>2813</v>
      </c>
      <c r="E1840" s="9" t="str">
        <f>HYPERLINK("https://twitter.com/yjcagency/status/1045203111860740096","1045203111860740096")</f>
        <v>1045203111860740096</v>
      </c>
      <c r="F1840" s="10" t="s">
        <v>2812</v>
      </c>
      <c r="G1840" s="10" t="s">
        <v>2811</v>
      </c>
      <c r="H1840" s="4"/>
      <c r="I1840" s="10" t="str">
        <f>HYPERLINK("http://twitter.com/download/android","Twitter for Android")</f>
        <v>Twitter for Android</v>
      </c>
      <c r="J1840" s="2">
        <v>11361</v>
      </c>
      <c r="K1840" s="2">
        <v>3</v>
      </c>
      <c r="L1840" s="2">
        <v>63</v>
      </c>
      <c r="M1840" s="2"/>
      <c r="N1840" s="8">
        <v>42691.645821759259</v>
      </c>
      <c r="O1840" s="4" t="s">
        <v>85</v>
      </c>
      <c r="P1840" s="3" t="s">
        <v>84</v>
      </c>
      <c r="Q1840" s="10" t="s">
        <v>83</v>
      </c>
      <c r="R1840" s="4"/>
      <c r="S1840" s="9" t="str">
        <f>HYPERLINK("https://pbs.twimg.com/profile_images/1039447384940531714/s7Ntm7-U.jpg","View")</f>
        <v>View</v>
      </c>
    </row>
    <row r="1841" spans="1:19" ht="40">
      <c r="A1841" s="8">
        <v>43370.428344907406</v>
      </c>
      <c r="B1841" s="11" t="str">
        <f>HYPERLINK("https://twitter.com/velmar____","@velmar____")</f>
        <v>@velmar____</v>
      </c>
      <c r="C1841" s="6" t="s">
        <v>2810</v>
      </c>
      <c r="D1841" s="5" t="s">
        <v>2809</v>
      </c>
      <c r="E1841" s="9" t="str">
        <f>HYPERLINK("https://twitter.com/velmar____/status/1045203085042339840","1045203085042339840")</f>
        <v>1045203085042339840</v>
      </c>
      <c r="F1841" s="10" t="s">
        <v>2808</v>
      </c>
      <c r="G1841" s="4"/>
      <c r="H1841" s="4"/>
      <c r="I1841" s="10" t="str">
        <f>HYPERLINK("http://twitter.com/download/android","Twitter for Android")</f>
        <v>Twitter for Android</v>
      </c>
      <c r="J1841" s="2">
        <v>665</v>
      </c>
      <c r="K1841" s="2">
        <v>585</v>
      </c>
      <c r="L1841" s="2">
        <v>0</v>
      </c>
      <c r="M1841" s="2"/>
      <c r="N1841" s="8">
        <v>43319.805254629631</v>
      </c>
      <c r="O1841" s="4" t="s">
        <v>2807</v>
      </c>
      <c r="P1841" s="3" t="s">
        <v>2806</v>
      </c>
      <c r="Q1841" s="4"/>
      <c r="R1841" s="4"/>
      <c r="S1841" s="9" t="str">
        <f>HYPERLINK("https://pbs.twimg.com/profile_images/1036207757521813504/xTZUJjQK.jpg","View")</f>
        <v>View</v>
      </c>
    </row>
    <row r="1842" spans="1:19" ht="12.5">
      <c r="A1842" s="8">
        <v>43370.427997685183</v>
      </c>
      <c r="B1842" s="11" t="str">
        <f>HYPERLINK("https://twitter.com/rez0oli","@rez0oli")</f>
        <v>@rez0oli</v>
      </c>
      <c r="C1842" s="6" t="s">
        <v>2805</v>
      </c>
      <c r="D1842" s="5" t="s">
        <v>2804</v>
      </c>
      <c r="E1842" s="9" t="str">
        <f>HYPERLINK("https://twitter.com/rez0oli/status/1045202962044395521","1045202962044395521")</f>
        <v>1045202962044395521</v>
      </c>
      <c r="F1842" s="4"/>
      <c r="G1842" s="4"/>
      <c r="H1842" s="4"/>
      <c r="I1842" s="10" t="str">
        <f>HYPERLINK("http://twitter.com/download/android","Twitter for Android")</f>
        <v>Twitter for Android</v>
      </c>
      <c r="J1842" s="2">
        <v>2517</v>
      </c>
      <c r="K1842" s="2">
        <v>180</v>
      </c>
      <c r="L1842" s="2">
        <v>37</v>
      </c>
      <c r="M1842" s="2"/>
      <c r="N1842" s="8">
        <v>41148.040243055555</v>
      </c>
      <c r="O1842" s="4" t="s">
        <v>2803</v>
      </c>
      <c r="P1842" s="3" t="s">
        <v>2802</v>
      </c>
      <c r="Q1842" s="4"/>
      <c r="R1842" s="4"/>
      <c r="S1842" s="9" t="str">
        <f>HYPERLINK("https://pbs.twimg.com/profile_images/1032680876566609926/fxZmaCrv.jpg","View")</f>
        <v>View</v>
      </c>
    </row>
    <row r="1843" spans="1:19" ht="20">
      <c r="A1843" s="8">
        <v>43370.427337962959</v>
      </c>
      <c r="B1843" s="11" t="str">
        <f>HYPERLINK("https://twitter.com/__shahryari__","@__shahryari__")</f>
        <v>@__shahryari__</v>
      </c>
      <c r="C1843" s="6" t="s">
        <v>2537</v>
      </c>
      <c r="D1843" s="13" t="s">
        <v>2801</v>
      </c>
      <c r="E1843" s="9" t="str">
        <f>HYPERLINK("https://twitter.com/__shahryari__/status/1045202720532176896","1045202720532176896")</f>
        <v>1045202720532176896</v>
      </c>
      <c r="F1843" s="4"/>
      <c r="G1843" s="4"/>
      <c r="H1843" s="4"/>
      <c r="I1843" s="10" t="str">
        <f>HYPERLINK("http://twitter.com/download/android","Twitter for Android")</f>
        <v>Twitter for Android</v>
      </c>
      <c r="J1843" s="2">
        <v>745</v>
      </c>
      <c r="K1843" s="2">
        <v>1842</v>
      </c>
      <c r="L1843" s="2">
        <v>2</v>
      </c>
      <c r="M1843" s="2"/>
      <c r="N1843" s="8">
        <v>42760.336701388893</v>
      </c>
      <c r="O1843" s="4" t="s">
        <v>254</v>
      </c>
      <c r="P1843" s="3" t="s">
        <v>2535</v>
      </c>
      <c r="Q1843" s="4"/>
      <c r="R1843" s="4"/>
      <c r="S1843" s="9" t="str">
        <f>HYPERLINK("https://pbs.twimg.com/profile_images/824117286592253955/a4adXBPW.jpg","View")</f>
        <v>View</v>
      </c>
    </row>
    <row r="1844" spans="1:19" ht="20">
      <c r="A1844" s="8">
        <v>43370.427164351851</v>
      </c>
      <c r="B1844" s="11" t="str">
        <f>HYPERLINK("https://twitter.com/AmooTooraj","@AmooTooraj")</f>
        <v>@AmooTooraj</v>
      </c>
      <c r="C1844" s="6" t="s">
        <v>2800</v>
      </c>
      <c r="D1844" s="5" t="s">
        <v>2799</v>
      </c>
      <c r="E1844" s="9" t="str">
        <f>HYPERLINK("https://twitter.com/AmooTooraj/status/1045202660146769920","1045202660146769920")</f>
        <v>1045202660146769920</v>
      </c>
      <c r="F1844" s="4"/>
      <c r="G1844" s="4"/>
      <c r="H1844" s="4"/>
      <c r="I1844" s="10" t="str">
        <f>HYPERLINK("http://twitter.com/download/android","Twitter for Android")</f>
        <v>Twitter for Android</v>
      </c>
      <c r="J1844" s="2">
        <v>35</v>
      </c>
      <c r="K1844" s="2">
        <v>107</v>
      </c>
      <c r="L1844" s="2">
        <v>0</v>
      </c>
      <c r="M1844" s="2"/>
      <c r="N1844" s="8">
        <v>43241.842083333337</v>
      </c>
      <c r="O1844" s="4" t="s">
        <v>10</v>
      </c>
      <c r="P1844" s="3" t="s">
        <v>2798</v>
      </c>
      <c r="Q1844" s="4"/>
      <c r="R1844" s="4"/>
      <c r="S1844" s="9" t="str">
        <f>HYPERLINK("https://pbs.twimg.com/profile_images/1040857103391514624/tuS3R6FX.jpg","View")</f>
        <v>View</v>
      </c>
    </row>
    <row r="1845" spans="1:19" ht="30">
      <c r="A1845" s="8">
        <v>43370.426666666666</v>
      </c>
      <c r="B1845" s="11" t="str">
        <f>HYPERLINK("https://twitter.com/z_key592","@z_key592")</f>
        <v>@z_key592</v>
      </c>
      <c r="C1845" s="6" t="s">
        <v>2797</v>
      </c>
      <c r="D1845" s="5" t="s">
        <v>2796</v>
      </c>
      <c r="E1845" s="9" t="str">
        <f>HYPERLINK("https://twitter.com/z_key592/status/1045202476826324993","1045202476826324993")</f>
        <v>1045202476826324993</v>
      </c>
      <c r="F1845" s="4"/>
      <c r="G1845" s="4"/>
      <c r="H1845" s="4"/>
      <c r="I1845" s="10" t="str">
        <f>HYPERLINK("http://twitter.com/download/android","Twitter for Android")</f>
        <v>Twitter for Android</v>
      </c>
      <c r="J1845" s="2">
        <v>3352</v>
      </c>
      <c r="K1845" s="2">
        <v>3291</v>
      </c>
      <c r="L1845" s="2">
        <v>7</v>
      </c>
      <c r="M1845" s="2"/>
      <c r="N1845" s="8">
        <v>43160.957951388889</v>
      </c>
      <c r="O1845" s="4" t="s">
        <v>2795</v>
      </c>
      <c r="P1845" s="3" t="s">
        <v>2794</v>
      </c>
      <c r="Q1845" s="4"/>
      <c r="R1845" s="4"/>
      <c r="S1845" s="9" t="str">
        <f>HYPERLINK("https://pbs.twimg.com/profile_images/1042886445260726272/W1H46Wr9.jpg","View")</f>
        <v>View</v>
      </c>
    </row>
    <row r="1846" spans="1:19" ht="20">
      <c r="A1846" s="8">
        <v>43370.426168981481</v>
      </c>
      <c r="B1846" s="11" t="str">
        <f>HYPERLINK("https://twitter.com/donatello6060","@donatello6060")</f>
        <v>@donatello6060</v>
      </c>
      <c r="C1846" s="6" t="s">
        <v>2793</v>
      </c>
      <c r="D1846" s="5" t="s">
        <v>2792</v>
      </c>
      <c r="E1846" s="9" t="str">
        <f>HYPERLINK("https://twitter.com/donatello6060/status/1045202297259806720","1045202297259806720")</f>
        <v>1045202297259806720</v>
      </c>
      <c r="F1846" s="4"/>
      <c r="G1846" s="10" t="s">
        <v>2791</v>
      </c>
      <c r="H1846" s="4"/>
      <c r="I1846" s="10" t="str">
        <f>HYPERLINK("http://twitter.com/download/android","Twitter for Android")</f>
        <v>Twitter for Android</v>
      </c>
      <c r="J1846" s="2">
        <v>139</v>
      </c>
      <c r="K1846" s="2">
        <v>78</v>
      </c>
      <c r="L1846" s="2">
        <v>0</v>
      </c>
      <c r="M1846" s="2"/>
      <c r="N1846" s="8">
        <v>43221.461365740739</v>
      </c>
      <c r="O1846" s="4"/>
      <c r="P1846" s="3" t="s">
        <v>2790</v>
      </c>
      <c r="Q1846" s="4"/>
      <c r="R1846" s="4"/>
      <c r="S1846" s="9" t="str">
        <f>HYPERLINK("https://pbs.twimg.com/profile_images/1013859301541253120/1P5QrRuL.jpg","View")</f>
        <v>View</v>
      </c>
    </row>
    <row r="1847" spans="1:19" ht="40">
      <c r="A1847" s="8">
        <v>43370.426006944443</v>
      </c>
      <c r="B1847" s="11" t="str">
        <f>HYPERLINK("https://twitter.com/m_ahmadi13","@m_ahmadi13")</f>
        <v>@m_ahmadi13</v>
      </c>
      <c r="C1847" s="6" t="s">
        <v>2789</v>
      </c>
      <c r="D1847" s="5" t="s">
        <v>2788</v>
      </c>
      <c r="E1847" s="9" t="str">
        <f>HYPERLINK("https://twitter.com/m_ahmadi13/status/1045202237604147200","1045202237604147200")</f>
        <v>1045202237604147200</v>
      </c>
      <c r="F1847" s="4"/>
      <c r="G1847" s="4"/>
      <c r="H1847" s="4"/>
      <c r="I1847" s="10" t="str">
        <f>HYPERLINK("http://twitter.com/download/android","Twitter for Android")</f>
        <v>Twitter for Android</v>
      </c>
      <c r="J1847" s="2">
        <v>194</v>
      </c>
      <c r="K1847" s="2">
        <v>214</v>
      </c>
      <c r="L1847" s="2">
        <v>2</v>
      </c>
      <c r="M1847" s="2"/>
      <c r="N1847" s="8">
        <v>43128.541550925926</v>
      </c>
      <c r="O1847" s="4" t="s">
        <v>2787</v>
      </c>
      <c r="P1847" s="3" t="s">
        <v>2786</v>
      </c>
      <c r="Q1847" s="4"/>
      <c r="R1847" s="4"/>
      <c r="S1847" s="9" t="str">
        <f>HYPERLINK("https://pbs.twimg.com/profile_images/1009903830505611265/AlNKozrJ.jpg","View")</f>
        <v>View</v>
      </c>
    </row>
    <row r="1848" spans="1:19" ht="20">
      <c r="A1848" s="8">
        <v>43370.425706018519</v>
      </c>
      <c r="B1848" s="11" t="str">
        <f>HYPERLINK("https://twitter.com/__shahryari__","@__shahryari__")</f>
        <v>@__shahryari__</v>
      </c>
      <c r="C1848" s="6" t="s">
        <v>2537</v>
      </c>
      <c r="D1848" s="5" t="s">
        <v>2785</v>
      </c>
      <c r="E1848" s="9" t="str">
        <f>HYPERLINK("https://twitter.com/__shahryari__/status/1045202131970592768","1045202131970592768")</f>
        <v>1045202131970592768</v>
      </c>
      <c r="F1848" s="4"/>
      <c r="G1848" s="4"/>
      <c r="H1848" s="4"/>
      <c r="I1848" s="10" t="str">
        <f>HYPERLINK("http://twitter.com/download/android","Twitter for Android")</f>
        <v>Twitter for Android</v>
      </c>
      <c r="J1848" s="2">
        <v>745</v>
      </c>
      <c r="K1848" s="2">
        <v>1842</v>
      </c>
      <c r="L1848" s="2">
        <v>2</v>
      </c>
      <c r="M1848" s="2"/>
      <c r="N1848" s="8">
        <v>42760.336701388893</v>
      </c>
      <c r="O1848" s="4" t="s">
        <v>254</v>
      </c>
      <c r="P1848" s="3" t="s">
        <v>2535</v>
      </c>
      <c r="Q1848" s="4"/>
      <c r="R1848" s="4"/>
      <c r="S1848" s="9" t="str">
        <f>HYPERLINK("https://pbs.twimg.com/profile_images/824117286592253955/a4adXBPW.jpg","View")</f>
        <v>View</v>
      </c>
    </row>
    <row r="1849" spans="1:19" ht="12.5">
      <c r="A1849" s="8">
        <v>43370.42559027778</v>
      </c>
      <c r="B1849" s="11" t="str">
        <f>HYPERLINK("https://twitter.com/abolfazllahmadi","@abolfazllahmadi")</f>
        <v>@abolfazllahmadi</v>
      </c>
      <c r="C1849" s="6" t="s">
        <v>1744</v>
      </c>
      <c r="D1849" s="5" t="s">
        <v>2784</v>
      </c>
      <c r="E1849" s="9" t="str">
        <f>HYPERLINK("https://twitter.com/abolfazllahmadi/status/1045202088278597637","1045202088278597637")</f>
        <v>1045202088278597637</v>
      </c>
      <c r="F1849" s="4"/>
      <c r="G1849" s="4"/>
      <c r="H1849" s="4"/>
      <c r="I1849" s="10" t="str">
        <f>HYPERLINK("http://twitter.com/download/android","Twitter for Android")</f>
        <v>Twitter for Android</v>
      </c>
      <c r="J1849" s="2">
        <v>3873</v>
      </c>
      <c r="K1849" s="2">
        <v>3898</v>
      </c>
      <c r="L1849" s="2">
        <v>4</v>
      </c>
      <c r="M1849" s="2"/>
      <c r="N1849" s="8">
        <v>43248.712060185186</v>
      </c>
      <c r="O1849" s="4" t="s">
        <v>1742</v>
      </c>
      <c r="P1849" s="3" t="s">
        <v>1741</v>
      </c>
      <c r="Q1849" s="4"/>
      <c r="R1849" s="4"/>
      <c r="S1849" s="9" t="str">
        <f>HYPERLINK("https://pbs.twimg.com/profile_images/1031558348242604032/bYuvdMP7.jpg","View")</f>
        <v>View</v>
      </c>
    </row>
    <row r="1850" spans="1:19" ht="30">
      <c r="A1850" s="8">
        <v>43370.425555555557</v>
      </c>
      <c r="B1850" s="11" t="str">
        <f>HYPERLINK("https://twitter.com/pr_davood","@pr_davood")</f>
        <v>@pr_davood</v>
      </c>
      <c r="C1850" s="6" t="s">
        <v>2783</v>
      </c>
      <c r="D1850" s="5" t="s">
        <v>2782</v>
      </c>
      <c r="E1850" s="9" t="str">
        <f>HYPERLINK("https://twitter.com/pr_davood/status/1045202077687959553","1045202077687959553")</f>
        <v>1045202077687959553</v>
      </c>
      <c r="F1850" s="4"/>
      <c r="G1850" s="4"/>
      <c r="H1850" s="4"/>
      <c r="I1850" s="10" t="str">
        <f>HYPERLINK("http://twitter.com/download/android","Twitter for Android")</f>
        <v>Twitter for Android</v>
      </c>
      <c r="J1850" s="2">
        <v>373</v>
      </c>
      <c r="K1850" s="2">
        <v>743</v>
      </c>
      <c r="L1850" s="2">
        <v>0</v>
      </c>
      <c r="M1850" s="2"/>
      <c r="N1850" s="8">
        <v>43093.655532407407</v>
      </c>
      <c r="O1850" s="4"/>
      <c r="P1850" s="3" t="s">
        <v>2781</v>
      </c>
      <c r="Q1850" s="10" t="s">
        <v>2780</v>
      </c>
      <c r="R1850" s="4"/>
      <c r="S1850" s="9" t="str">
        <f>HYPERLINK("https://pbs.twimg.com/profile_images/997262633320370177/5cy0Mc6a.jpg","View")</f>
        <v>View</v>
      </c>
    </row>
    <row r="1851" spans="1:19" ht="20">
      <c r="A1851" s="8">
        <v>43370.425104166672</v>
      </c>
      <c r="B1851" s="11" t="str">
        <f>HYPERLINK("https://twitter.com/CartmanCoonEric","@CartmanCoonEric")</f>
        <v>@CartmanCoonEric</v>
      </c>
      <c r="C1851" s="6" t="s">
        <v>2779</v>
      </c>
      <c r="D1851" s="5" t="s">
        <v>2778</v>
      </c>
      <c r="E1851" s="9" t="str">
        <f>HYPERLINK("https://twitter.com/CartmanCoonEric/status/1045201913870979073","1045201913870979073")</f>
        <v>1045201913870979073</v>
      </c>
      <c r="F1851" s="4"/>
      <c r="G1851" s="4"/>
      <c r="H1851" s="4"/>
      <c r="I1851" s="10" t="str">
        <f>HYPERLINK("http://twitter.com/download/android","Twitter for Android")</f>
        <v>Twitter for Android</v>
      </c>
      <c r="J1851" s="2">
        <v>69</v>
      </c>
      <c r="K1851" s="2">
        <v>169</v>
      </c>
      <c r="L1851" s="2">
        <v>0</v>
      </c>
      <c r="M1851" s="2"/>
      <c r="N1851" s="8">
        <v>41095.985474537039</v>
      </c>
      <c r="O1851" s="4"/>
      <c r="P1851" s="3" t="s">
        <v>2777</v>
      </c>
      <c r="Q1851" s="4"/>
      <c r="R1851" s="4"/>
      <c r="S1851" s="9" t="str">
        <f>HYPERLINK("https://pbs.twimg.com/profile_images/1024305196892123136/cZuaMQI0.jpg","View")</f>
        <v>View</v>
      </c>
    </row>
    <row r="1852" spans="1:19" ht="30">
      <c r="A1852" s="8">
        <v>43370.424814814818</v>
      </c>
      <c r="B1852" s="11" t="str">
        <f>HYPERLINK("https://twitter.com/khorammanesh","@khorammanesh")</f>
        <v>@khorammanesh</v>
      </c>
      <c r="C1852" s="6" t="s">
        <v>2776</v>
      </c>
      <c r="D1852" s="5" t="s">
        <v>2775</v>
      </c>
      <c r="E1852" s="9" t="str">
        <f>HYPERLINK("https://twitter.com/khorammanesh/status/1045201807750950912","1045201807750950912")</f>
        <v>1045201807750950912</v>
      </c>
      <c r="F1852" s="4"/>
      <c r="G1852" s="4"/>
      <c r="H1852" s="4"/>
      <c r="I1852" s="10" t="str">
        <f>HYPERLINK("http://twitter.com/download/android","Twitter for Android")</f>
        <v>Twitter for Android</v>
      </c>
      <c r="J1852" s="2">
        <v>2282</v>
      </c>
      <c r="K1852" s="2">
        <v>2207</v>
      </c>
      <c r="L1852" s="2">
        <v>1</v>
      </c>
      <c r="M1852" s="2"/>
      <c r="N1852" s="8">
        <v>42623.036261574074</v>
      </c>
      <c r="O1852" s="4" t="s">
        <v>2774</v>
      </c>
      <c r="P1852" s="3" t="s">
        <v>2773</v>
      </c>
      <c r="Q1852" s="4"/>
      <c r="R1852" s="4"/>
      <c r="S1852" s="9" t="str">
        <f>HYPERLINK("https://pbs.twimg.com/profile_images/953639125722288128/jy-SC-z5.jpg","View")</f>
        <v>View</v>
      </c>
    </row>
    <row r="1853" spans="1:19" ht="20">
      <c r="A1853" s="8">
        <v>43370.424756944441</v>
      </c>
      <c r="B1853" s="11" t="str">
        <f>HYPERLINK("https://twitter.com/MHN7596","@MHN7596")</f>
        <v>@MHN7596</v>
      </c>
      <c r="C1853" s="6" t="s">
        <v>2772</v>
      </c>
      <c r="D1853" s="5" t="s">
        <v>2771</v>
      </c>
      <c r="E1853" s="9" t="str">
        <f>HYPERLINK("https://twitter.com/MHN7596/status/1045201785105911808","1045201785105911808")</f>
        <v>1045201785105911808</v>
      </c>
      <c r="F1853" s="4"/>
      <c r="G1853" s="10" t="s">
        <v>2770</v>
      </c>
      <c r="H1853" s="4"/>
      <c r="I1853" s="10" t="str">
        <f>HYPERLINK("http://twitter.com/download/android","Twitter for Android")</f>
        <v>Twitter for Android</v>
      </c>
      <c r="J1853" s="2">
        <v>1812</v>
      </c>
      <c r="K1853" s="2">
        <v>265</v>
      </c>
      <c r="L1853" s="2">
        <v>8</v>
      </c>
      <c r="M1853" s="2"/>
      <c r="N1853" s="8">
        <v>42906.003333333334</v>
      </c>
      <c r="O1853" s="4" t="s">
        <v>62</v>
      </c>
      <c r="P1853" s="3" t="s">
        <v>2769</v>
      </c>
      <c r="Q1853" s="4"/>
      <c r="R1853" s="4"/>
      <c r="S1853" s="9" t="str">
        <f>HYPERLINK("https://pbs.twimg.com/profile_images/1038859368769482755/Ttb-oTBa.jpg","View")</f>
        <v>View</v>
      </c>
    </row>
    <row r="1854" spans="1:19" ht="20">
      <c r="A1854" s="8">
        <v>43370.424293981487</v>
      </c>
      <c r="B1854" s="11" t="str">
        <f>HYPERLINK("https://twitter.com/__shahryari__","@__shahryari__")</f>
        <v>@__shahryari__</v>
      </c>
      <c r="C1854" s="6" t="s">
        <v>2537</v>
      </c>
      <c r="D1854" s="5" t="s">
        <v>2768</v>
      </c>
      <c r="E1854" s="9" t="str">
        <f>HYPERLINK("https://twitter.com/__shahryari__/status/1045201620324225024","1045201620324225024")</f>
        <v>1045201620324225024</v>
      </c>
      <c r="F1854" s="4"/>
      <c r="G1854" s="4"/>
      <c r="H1854" s="4"/>
      <c r="I1854" s="10" t="str">
        <f>HYPERLINK("http://twitter.com/download/android","Twitter for Android")</f>
        <v>Twitter for Android</v>
      </c>
      <c r="J1854" s="2">
        <v>745</v>
      </c>
      <c r="K1854" s="2">
        <v>1842</v>
      </c>
      <c r="L1854" s="2">
        <v>2</v>
      </c>
      <c r="M1854" s="2"/>
      <c r="N1854" s="8">
        <v>42760.336701388893</v>
      </c>
      <c r="O1854" s="4" t="s">
        <v>254</v>
      </c>
      <c r="P1854" s="3" t="s">
        <v>2535</v>
      </c>
      <c r="Q1854" s="4"/>
      <c r="R1854" s="4"/>
      <c r="S1854" s="9" t="str">
        <f>HYPERLINK("https://pbs.twimg.com/profile_images/824117286592253955/a4adXBPW.jpg","View")</f>
        <v>View</v>
      </c>
    </row>
    <row r="1855" spans="1:19" ht="20">
      <c r="A1855" s="8">
        <v>43370.424016203702</v>
      </c>
      <c r="B1855" s="11" t="str">
        <f>HYPERLINK("https://twitter.com/sa88ji","@sa88ji")</f>
        <v>@sa88ji</v>
      </c>
      <c r="C1855" s="6" t="s">
        <v>2767</v>
      </c>
      <c r="D1855" s="5" t="s">
        <v>2766</v>
      </c>
      <c r="E1855" s="9" t="str">
        <f>HYPERLINK("https://twitter.com/sa88ji/status/1045201518511697920","1045201518511697920")</f>
        <v>1045201518511697920</v>
      </c>
      <c r="F1855" s="4"/>
      <c r="G1855" s="4"/>
      <c r="H1855" s="4"/>
      <c r="I1855" s="10" t="str">
        <f>HYPERLINK("http://twitter.com/download/android","Twitter for Android")</f>
        <v>Twitter for Android</v>
      </c>
      <c r="J1855" s="2">
        <v>784</v>
      </c>
      <c r="K1855" s="2">
        <v>954</v>
      </c>
      <c r="L1855" s="2">
        <v>2</v>
      </c>
      <c r="M1855" s="2"/>
      <c r="N1855" s="8">
        <v>42469.030914351853</v>
      </c>
      <c r="O1855" s="4" t="s">
        <v>10</v>
      </c>
      <c r="P1855" s="3" t="s">
        <v>2765</v>
      </c>
      <c r="Q1855" s="10" t="s">
        <v>2764</v>
      </c>
      <c r="R1855" s="4"/>
      <c r="S1855" s="9" t="str">
        <f>HYPERLINK("https://pbs.twimg.com/profile_images/1012405192900345856/BK7r3Zcr.jpg","View")</f>
        <v>View</v>
      </c>
    </row>
    <row r="1856" spans="1:19" ht="20">
      <c r="A1856" s="8">
        <v>43370.423333333332</v>
      </c>
      <c r="B1856" s="11" t="str">
        <f>HYPERLINK("https://twitter.com/__shahryari__","@__shahryari__")</f>
        <v>@__shahryari__</v>
      </c>
      <c r="C1856" s="6" t="s">
        <v>2537</v>
      </c>
      <c r="D1856" s="5" t="s">
        <v>2763</v>
      </c>
      <c r="E1856" s="9" t="str">
        <f>HYPERLINK("https://twitter.com/__shahryari__/status/1045201270716469248","1045201270716469248")</f>
        <v>1045201270716469248</v>
      </c>
      <c r="F1856" s="4"/>
      <c r="G1856" s="4"/>
      <c r="H1856" s="4"/>
      <c r="I1856" s="10" t="str">
        <f>HYPERLINK("http://twitter.com/download/android","Twitter for Android")</f>
        <v>Twitter for Android</v>
      </c>
      <c r="J1856" s="2">
        <v>745</v>
      </c>
      <c r="K1856" s="2">
        <v>1842</v>
      </c>
      <c r="L1856" s="2">
        <v>2</v>
      </c>
      <c r="M1856" s="2"/>
      <c r="N1856" s="8">
        <v>42760.336701388893</v>
      </c>
      <c r="O1856" s="4" t="s">
        <v>254</v>
      </c>
      <c r="P1856" s="3" t="s">
        <v>2535</v>
      </c>
      <c r="Q1856" s="4"/>
      <c r="R1856" s="4"/>
      <c r="S1856" s="9" t="str">
        <f>HYPERLINK("https://pbs.twimg.com/profile_images/824117286592253955/a4adXBPW.jpg","View")</f>
        <v>View</v>
      </c>
    </row>
    <row r="1857" spans="1:19" ht="20">
      <c r="A1857" s="8">
        <v>43370.422152777777</v>
      </c>
      <c r="B1857" s="11" t="str">
        <f>HYPERLINK("https://twitter.com/Alirezahr","@Alirezahr")</f>
        <v>@Alirezahr</v>
      </c>
      <c r="C1857" s="6" t="s">
        <v>2762</v>
      </c>
      <c r="D1857" s="5" t="s">
        <v>2761</v>
      </c>
      <c r="E1857" s="9" t="str">
        <f>HYPERLINK("https://twitter.com/Alirezahr/status/1045200840846323713","1045200840846323713")</f>
        <v>1045200840846323713</v>
      </c>
      <c r="F1857" s="4"/>
      <c r="G1857" s="4"/>
      <c r="H1857" s="4"/>
      <c r="I1857" s="10" t="str">
        <f>HYPERLINK("http://twitter.com/download/android","Twitter for Android")</f>
        <v>Twitter for Android</v>
      </c>
      <c r="J1857" s="2">
        <v>38</v>
      </c>
      <c r="K1857" s="2">
        <v>126</v>
      </c>
      <c r="L1857" s="2">
        <v>1</v>
      </c>
      <c r="M1857" s="2"/>
      <c r="N1857" s="8">
        <v>39839.984398148146</v>
      </c>
      <c r="O1857" s="4"/>
      <c r="P1857" s="3" t="s">
        <v>2760</v>
      </c>
      <c r="Q1857" s="4"/>
      <c r="R1857" s="4"/>
      <c r="S1857" s="9" t="str">
        <f>HYPERLINK("https://pbs.twimg.com/profile_images/378800000416438625/7ff80651006ea05a792ec2764d159699.jpeg","View")</f>
        <v>View</v>
      </c>
    </row>
    <row r="1858" spans="1:19" ht="20">
      <c r="A1858" s="8">
        <v>43370.4221412037</v>
      </c>
      <c r="B1858" s="11" t="str">
        <f>HYPERLINK("https://twitter.com/Rouzbeh__K","@Rouzbeh__K")</f>
        <v>@Rouzbeh__K</v>
      </c>
      <c r="C1858" s="6" t="s">
        <v>2759</v>
      </c>
      <c r="D1858" s="5" t="s">
        <v>2758</v>
      </c>
      <c r="E1858" s="9" t="str">
        <f>HYPERLINK("https://twitter.com/Rouzbeh__K/status/1045200838791254018","1045200838791254018")</f>
        <v>1045200838791254018</v>
      </c>
      <c r="F1858" s="4"/>
      <c r="G1858" s="10" t="s">
        <v>2757</v>
      </c>
      <c r="H1858" s="4"/>
      <c r="I1858" s="10" t="str">
        <f>HYPERLINK("http://twitter.com/download/android","Twitter for Android")</f>
        <v>Twitter for Android</v>
      </c>
      <c r="J1858" s="2">
        <v>217</v>
      </c>
      <c r="K1858" s="2">
        <v>182</v>
      </c>
      <c r="L1858" s="2">
        <v>0</v>
      </c>
      <c r="M1858" s="2"/>
      <c r="N1858" s="8">
        <v>42560.024722222224</v>
      </c>
      <c r="O1858" s="4" t="s">
        <v>2756</v>
      </c>
      <c r="P1858" s="3" t="s">
        <v>2755</v>
      </c>
      <c r="Q1858" s="4"/>
      <c r="R1858" s="4"/>
      <c r="S1858" s="9" t="str">
        <f>HYPERLINK("https://pbs.twimg.com/profile_images/1036702527008514053/ckQ5kxp2.jpg","View")</f>
        <v>View</v>
      </c>
    </row>
    <row r="1859" spans="1:19" ht="20">
      <c r="A1859" s="8">
        <v>43370.422094907408</v>
      </c>
      <c r="B1859" s="11" t="str">
        <f>HYPERLINK("https://twitter.com/ploto2546","@ploto2546")</f>
        <v>@ploto2546</v>
      </c>
      <c r="C1859" s="6" t="s">
        <v>264</v>
      </c>
      <c r="D1859" s="5" t="s">
        <v>2754</v>
      </c>
      <c r="E1859" s="9" t="str">
        <f>HYPERLINK("https://twitter.com/ploto2546/status/1045200822588645376","1045200822588645376")</f>
        <v>1045200822588645376</v>
      </c>
      <c r="F1859" s="4"/>
      <c r="G1859" s="4"/>
      <c r="H1859" s="4"/>
      <c r="I1859" s="10" t="str">
        <f>HYPERLINK("http://twitter.com/download/android","Twitter for Android")</f>
        <v>Twitter for Android</v>
      </c>
      <c r="J1859" s="2">
        <v>1675</v>
      </c>
      <c r="K1859" s="2">
        <v>1877</v>
      </c>
      <c r="L1859" s="2">
        <v>5</v>
      </c>
      <c r="M1859" s="2"/>
      <c r="N1859" s="8">
        <v>43207.184918981482</v>
      </c>
      <c r="O1859" s="4" t="s">
        <v>262</v>
      </c>
      <c r="P1859" s="3" t="s">
        <v>261</v>
      </c>
      <c r="Q1859" s="4"/>
      <c r="R1859" s="4"/>
      <c r="S1859" s="9" t="str">
        <f>HYPERLINK("https://pbs.twimg.com/profile_images/1025171503271301127/S_pGLx0M.jpg","View")</f>
        <v>View</v>
      </c>
    </row>
    <row r="1860" spans="1:19" ht="20">
      <c r="A1860" s="8">
        <v>43370.422037037039</v>
      </c>
      <c r="B1860" s="11" t="str">
        <f>HYPERLINK("https://twitter.com/peka1355","@peka1355")</f>
        <v>@peka1355</v>
      </c>
      <c r="C1860" s="6" t="s">
        <v>2753</v>
      </c>
      <c r="D1860" s="5" t="s">
        <v>2752</v>
      </c>
      <c r="E1860" s="9" t="str">
        <f>HYPERLINK("https://twitter.com/peka1355/status/1045200802380275712","1045200802380275712")</f>
        <v>1045200802380275712</v>
      </c>
      <c r="F1860" s="4"/>
      <c r="G1860" s="4"/>
      <c r="H1860" s="4"/>
      <c r="I1860" s="10" t="str">
        <f>HYPERLINK("http://twitter.com/download/android","Twitter for Android")</f>
        <v>Twitter for Android</v>
      </c>
      <c r="J1860" s="2">
        <v>4058</v>
      </c>
      <c r="K1860" s="2">
        <v>899</v>
      </c>
      <c r="L1860" s="2">
        <v>39</v>
      </c>
      <c r="M1860" s="2"/>
      <c r="N1860" s="8">
        <v>40385.574490740742</v>
      </c>
      <c r="O1860" s="4" t="s">
        <v>2751</v>
      </c>
      <c r="P1860" s="3" t="s">
        <v>2750</v>
      </c>
      <c r="Q1860" s="4"/>
      <c r="R1860" s="4"/>
      <c r="S1860" s="9" t="str">
        <f>HYPERLINK("https://pbs.twimg.com/profile_images/1002534065772417024/CN_WtlmB.jpg","View")</f>
        <v>View</v>
      </c>
    </row>
    <row r="1861" spans="1:19" ht="20">
      <c r="A1861" s="8">
        <v>43370.421851851846</v>
      </c>
      <c r="B1861" s="11" t="str">
        <f>HYPERLINK("https://twitter.com/dam_him","@dam_him")</f>
        <v>@dam_him</v>
      </c>
      <c r="C1861" s="6" t="s">
        <v>2749</v>
      </c>
      <c r="D1861" s="5" t="s">
        <v>2748</v>
      </c>
      <c r="E1861" s="9" t="str">
        <f>HYPERLINK("https://twitter.com/dam_him/status/1045200734621495297","1045200734621495297")</f>
        <v>1045200734621495297</v>
      </c>
      <c r="F1861" s="4"/>
      <c r="G1861" s="10" t="s">
        <v>2747</v>
      </c>
      <c r="H1861" s="4"/>
      <c r="I1861" s="10" t="str">
        <f>HYPERLINK("http://twitter.com/download/android","Twitter for Android")</f>
        <v>Twitter for Android</v>
      </c>
      <c r="J1861" s="2">
        <v>2533</v>
      </c>
      <c r="K1861" s="2">
        <v>2561</v>
      </c>
      <c r="L1861" s="2">
        <v>11</v>
      </c>
      <c r="M1861" s="2"/>
      <c r="N1861" s="8">
        <v>42529.618634259255</v>
      </c>
      <c r="O1861" s="4" t="s">
        <v>2746</v>
      </c>
      <c r="P1861" s="3" t="s">
        <v>2745</v>
      </c>
      <c r="Q1861" s="4"/>
      <c r="R1861" s="4"/>
      <c r="S1861" s="9" t="str">
        <f>HYPERLINK("https://pbs.twimg.com/profile_images/1044102861280473088/H5NufiBp.jpg","View")</f>
        <v>View</v>
      </c>
    </row>
    <row r="1862" spans="1:19" ht="20">
      <c r="A1862" s="8">
        <v>43370.420636574076</v>
      </c>
      <c r="B1862" s="11" t="str">
        <f>HYPERLINK("https://twitter.com/Gavaazn","@Gavaazn")</f>
        <v>@Gavaazn</v>
      </c>
      <c r="C1862" s="6" t="s">
        <v>2744</v>
      </c>
      <c r="D1862" s="5" t="s">
        <v>2743</v>
      </c>
      <c r="E1862" s="9" t="str">
        <f>HYPERLINK("https://twitter.com/Gavaazn/status/1045200292139143168","1045200292139143168")</f>
        <v>1045200292139143168</v>
      </c>
      <c r="F1862" s="4"/>
      <c r="G1862" s="4"/>
      <c r="H1862" s="4"/>
      <c r="I1862" s="10" t="str">
        <f>HYPERLINK("http://twitter.com/download/android","Twitter for Android")</f>
        <v>Twitter for Android</v>
      </c>
      <c r="J1862" s="2">
        <v>28811</v>
      </c>
      <c r="K1862" s="2">
        <v>166</v>
      </c>
      <c r="L1862" s="2">
        <v>100</v>
      </c>
      <c r="M1862" s="2"/>
      <c r="N1862" s="8">
        <v>40597.545011574075</v>
      </c>
      <c r="O1862" s="4" t="s">
        <v>2742</v>
      </c>
      <c r="P1862" s="3" t="s">
        <v>2741</v>
      </c>
      <c r="Q1862" s="4"/>
      <c r="R1862" s="4"/>
      <c r="S1862" s="9" t="str">
        <f>HYPERLINK("https://pbs.twimg.com/profile_images/1013293995919802369/ef_hQ1Lm.jpg","View")</f>
        <v>View</v>
      </c>
    </row>
    <row r="1863" spans="1:19" ht="40">
      <c r="A1863" s="8">
        <v>43370.420428240745</v>
      </c>
      <c r="B1863" s="11" t="str">
        <f>HYPERLINK("https://twitter.com/mahdifalsafi","@mahdifalsafi")</f>
        <v>@mahdifalsafi</v>
      </c>
      <c r="C1863" s="6" t="s">
        <v>2686</v>
      </c>
      <c r="D1863" s="5" t="s">
        <v>2740</v>
      </c>
      <c r="E1863" s="9" t="str">
        <f>HYPERLINK("https://twitter.com/mahdifalsafi/status/1045200217828659200","1045200217828659200")</f>
        <v>1045200217828659200</v>
      </c>
      <c r="F1863" s="10" t="s">
        <v>2555</v>
      </c>
      <c r="G1863" s="4"/>
      <c r="H1863" s="4"/>
      <c r="I1863" s="10" t="str">
        <f>HYPERLINK("http://twitter.com/download/android","Twitter for Android")</f>
        <v>Twitter for Android</v>
      </c>
      <c r="J1863" s="2">
        <v>75</v>
      </c>
      <c r="K1863" s="2">
        <v>68</v>
      </c>
      <c r="L1863" s="2">
        <v>0</v>
      </c>
      <c r="M1863" s="2"/>
      <c r="N1863" s="8">
        <v>42758.390671296293</v>
      </c>
      <c r="O1863" s="4" t="s">
        <v>2683</v>
      </c>
      <c r="P1863" s="3" t="s">
        <v>2682</v>
      </c>
      <c r="Q1863" s="10" t="s">
        <v>2681</v>
      </c>
      <c r="R1863" s="4"/>
      <c r="S1863" s="9" t="str">
        <f>HYPERLINK("https://pbs.twimg.com/profile_images/1043089893000392704/859cteR7.jpg","View")</f>
        <v>View</v>
      </c>
    </row>
    <row r="1864" spans="1:19" ht="30">
      <c r="A1864" s="8">
        <v>43370.419548611113</v>
      </c>
      <c r="B1864" s="11" t="str">
        <f>HYPERLINK("https://twitter.com/hamshahrinews","@hamshahrinews")</f>
        <v>@hamshahrinews</v>
      </c>
      <c r="C1864" s="6" t="s">
        <v>2739</v>
      </c>
      <c r="D1864" s="5" t="s">
        <v>2738</v>
      </c>
      <c r="E1864" s="9" t="str">
        <f>HYPERLINK("https://twitter.com/hamshahrinews/status/1045199899183190016","1045199899183190016")</f>
        <v>1045199899183190016</v>
      </c>
      <c r="F1864" s="4"/>
      <c r="G1864" s="10" t="s">
        <v>2737</v>
      </c>
      <c r="H1864" s="4"/>
      <c r="I1864" s="10" t="str">
        <f>HYPERLINK("http://twitter.com","Twitter Web Client")</f>
        <v>Twitter Web Client</v>
      </c>
      <c r="J1864" s="2">
        <v>1996</v>
      </c>
      <c r="K1864" s="2">
        <v>13</v>
      </c>
      <c r="L1864" s="2">
        <v>47</v>
      </c>
      <c r="M1864" s="2"/>
      <c r="N1864" s="8">
        <v>42984.575752314813</v>
      </c>
      <c r="O1864" s="4" t="s">
        <v>10</v>
      </c>
      <c r="P1864" s="3" t="s">
        <v>2736</v>
      </c>
      <c r="Q1864" s="10" t="s">
        <v>2735</v>
      </c>
      <c r="R1864" s="4"/>
      <c r="S1864" s="9" t="str">
        <f>HYPERLINK("https://pbs.twimg.com/profile_images/918008480631533568/-awyAU90.jpg","View")</f>
        <v>View</v>
      </c>
    </row>
    <row r="1865" spans="1:19" ht="20">
      <c r="A1865" s="8">
        <v>43370.419398148151</v>
      </c>
      <c r="B1865" s="11" t="str">
        <f>HYPERLINK("https://twitter.com/amir_m_reza","@amir_m_reza")</f>
        <v>@amir_m_reza</v>
      </c>
      <c r="C1865" s="6" t="s">
        <v>2734</v>
      </c>
      <c r="D1865" s="5" t="s">
        <v>2733</v>
      </c>
      <c r="E1865" s="9" t="str">
        <f>HYPERLINK("https://twitter.com/amir_m_reza/status/1045199845584252928","1045199845584252928")</f>
        <v>1045199845584252928</v>
      </c>
      <c r="F1865" s="4"/>
      <c r="G1865" s="4"/>
      <c r="H1865" s="4"/>
      <c r="I1865" s="10" t="str">
        <f>HYPERLINK("http://twitter.com/download/iphone","Twitter for iPhone")</f>
        <v>Twitter for iPhone</v>
      </c>
      <c r="J1865" s="2">
        <v>367</v>
      </c>
      <c r="K1865" s="2">
        <v>349</v>
      </c>
      <c r="L1865" s="2">
        <v>0</v>
      </c>
      <c r="M1865" s="2"/>
      <c r="N1865" s="8">
        <v>42509.61309027778</v>
      </c>
      <c r="O1865" s="4" t="s">
        <v>2732</v>
      </c>
      <c r="P1865" s="3" t="s">
        <v>2731</v>
      </c>
      <c r="Q1865" s="4"/>
      <c r="R1865" s="4"/>
      <c r="S1865" s="9" t="str">
        <f>HYPERLINK("https://pbs.twimg.com/profile_images/1041600369607036928/pNCb5LUu.jpg","View")</f>
        <v>View</v>
      </c>
    </row>
    <row r="1866" spans="1:19" ht="30">
      <c r="A1866" s="8">
        <v>43370.419293981482</v>
      </c>
      <c r="B1866" s="11" t="str">
        <f>HYPERLINK("https://twitter.com/far_zad_","@far_zad_")</f>
        <v>@far_zad_</v>
      </c>
      <c r="C1866" s="6" t="s">
        <v>994</v>
      </c>
      <c r="D1866" s="5" t="s">
        <v>2730</v>
      </c>
      <c r="E1866" s="9" t="str">
        <f>HYPERLINK("https://twitter.com/far_zad_/status/1045199806300385280","1045199806300385280")</f>
        <v>1045199806300385280</v>
      </c>
      <c r="F1866" s="4"/>
      <c r="G1866" s="4"/>
      <c r="H1866" s="4"/>
      <c r="I1866" s="10" t="str">
        <f>HYPERLINK("http://twitter.com/download/android","Twitter for Android")</f>
        <v>Twitter for Android</v>
      </c>
      <c r="J1866" s="2">
        <v>131</v>
      </c>
      <c r="K1866" s="2">
        <v>167</v>
      </c>
      <c r="L1866" s="2">
        <v>0</v>
      </c>
      <c r="M1866" s="2"/>
      <c r="N1866" s="8">
        <v>43106.154733796298</v>
      </c>
      <c r="O1866" s="4" t="s">
        <v>992</v>
      </c>
      <c r="P1866" s="3"/>
      <c r="Q1866" s="4"/>
      <c r="R1866" s="4"/>
      <c r="S1866" s="9" t="str">
        <f>HYPERLINK("https://pbs.twimg.com/profile_images/1043045462012395520/TUyNvS9k.jpg","View")</f>
        <v>View</v>
      </c>
    </row>
    <row r="1867" spans="1:19" ht="30">
      <c r="A1867" s="8">
        <v>43370.41909722222</v>
      </c>
      <c r="B1867" s="11" t="str">
        <f>HYPERLINK("https://twitter.com/officialmolina1","@officialmolina1")</f>
        <v>@officialmolina1</v>
      </c>
      <c r="C1867" s="6" t="s">
        <v>2729</v>
      </c>
      <c r="D1867" s="5" t="s">
        <v>2728</v>
      </c>
      <c r="E1867" s="9" t="str">
        <f>HYPERLINK("https://twitter.com/officialmolina1/status/1045199737325072384","1045199737325072384")</f>
        <v>1045199737325072384</v>
      </c>
      <c r="F1867" s="10" t="s">
        <v>2727</v>
      </c>
      <c r="G1867" s="10" t="s">
        <v>2726</v>
      </c>
      <c r="H1867" s="4"/>
      <c r="I1867" s="10" t="str">
        <f>HYPERLINK("https://ifttt.com","IFTTT")</f>
        <v>IFTTT</v>
      </c>
      <c r="J1867" s="2">
        <v>202</v>
      </c>
      <c r="K1867" s="2">
        <v>1158</v>
      </c>
      <c r="L1867" s="2">
        <v>0</v>
      </c>
      <c r="M1867" s="2"/>
      <c r="N1867" s="8">
        <v>42437.391805555555</v>
      </c>
      <c r="O1867" s="4" t="s">
        <v>62</v>
      </c>
      <c r="P1867" s="3" t="s">
        <v>2725</v>
      </c>
      <c r="Q1867" s="10" t="s">
        <v>2724</v>
      </c>
      <c r="R1867" s="4"/>
      <c r="S1867" s="9" t="str">
        <f>HYPERLINK("https://pbs.twimg.com/profile_images/910025574252507137/GGKOG47P.jpg","View")</f>
        <v>View</v>
      </c>
    </row>
    <row r="1868" spans="1:19" ht="12.5">
      <c r="A1868" s="8">
        <v>43370.418206018519</v>
      </c>
      <c r="B1868" s="11" t="str">
        <f>HYPERLINK("https://twitter.com/mousavi1890","@mousavi1890")</f>
        <v>@mousavi1890</v>
      </c>
      <c r="C1868" s="6" t="s">
        <v>326</v>
      </c>
      <c r="D1868" s="5" t="s">
        <v>2723</v>
      </c>
      <c r="E1868" s="9" t="str">
        <f>HYPERLINK("https://twitter.com/mousavi1890/status/1045199413860335616","1045199413860335616")</f>
        <v>1045199413860335616</v>
      </c>
      <c r="F1868" s="4"/>
      <c r="G1868" s="10" t="s">
        <v>2722</v>
      </c>
      <c r="H1868" s="4"/>
      <c r="I1868" s="10" t="str">
        <f>HYPERLINK("http://twitter.com/download/iphone","Twitter for iPhone")</f>
        <v>Twitter for iPhone</v>
      </c>
      <c r="J1868" s="2">
        <v>15</v>
      </c>
      <c r="K1868" s="2">
        <v>110</v>
      </c>
      <c r="L1868" s="2">
        <v>0</v>
      </c>
      <c r="M1868" s="2"/>
      <c r="N1868" s="8">
        <v>43008.321516203709</v>
      </c>
      <c r="O1868" s="4"/>
      <c r="P1868" s="3" t="s">
        <v>2721</v>
      </c>
      <c r="Q1868" s="4"/>
      <c r="R1868" s="4"/>
      <c r="S1868" s="9" t="str">
        <f>HYPERLINK("https://pbs.twimg.com/profile_images/1042045884228423680/NANzwKNW.jpg","View")</f>
        <v>View</v>
      </c>
    </row>
    <row r="1869" spans="1:19" ht="20">
      <c r="A1869" s="8">
        <v>43370.417986111112</v>
      </c>
      <c r="B1869" s="11" t="str">
        <f>HYPERLINK("https://twitter.com/far_zad_","@far_zad_")</f>
        <v>@far_zad_</v>
      </c>
      <c r="C1869" s="6" t="s">
        <v>994</v>
      </c>
      <c r="D1869" s="5" t="s">
        <v>2720</v>
      </c>
      <c r="E1869" s="9" t="str">
        <f>HYPERLINK("https://twitter.com/far_zad_/status/1045199331182170113","1045199331182170113")</f>
        <v>1045199331182170113</v>
      </c>
      <c r="F1869" s="4"/>
      <c r="G1869" s="4"/>
      <c r="H1869" s="4"/>
      <c r="I1869" s="10" t="str">
        <f>HYPERLINK("http://twitter.com/download/android","Twitter for Android")</f>
        <v>Twitter for Android</v>
      </c>
      <c r="J1869" s="2">
        <v>131</v>
      </c>
      <c r="K1869" s="2">
        <v>167</v>
      </c>
      <c r="L1869" s="2">
        <v>0</v>
      </c>
      <c r="M1869" s="2"/>
      <c r="N1869" s="8">
        <v>43106.154733796298</v>
      </c>
      <c r="O1869" s="4" t="s">
        <v>992</v>
      </c>
      <c r="P1869" s="3"/>
      <c r="Q1869" s="4"/>
      <c r="R1869" s="4"/>
      <c r="S1869" s="9" t="str">
        <f>HYPERLINK("https://pbs.twimg.com/profile_images/1043045462012395520/TUyNvS9k.jpg","View")</f>
        <v>View</v>
      </c>
    </row>
    <row r="1870" spans="1:19" ht="20">
      <c r="A1870" s="8">
        <v>43370.417939814812</v>
      </c>
      <c r="B1870" s="11" t="str">
        <f>HYPERLINK("https://twitter.com/mrndaalll","@mrndaalll")</f>
        <v>@mrndaalll</v>
      </c>
      <c r="C1870" s="6" t="s">
        <v>2719</v>
      </c>
      <c r="D1870" s="5" t="s">
        <v>2718</v>
      </c>
      <c r="E1870" s="9" t="str">
        <f>HYPERLINK("https://twitter.com/mrndaalll/status/1045199316414066688","1045199316414066688")</f>
        <v>1045199316414066688</v>
      </c>
      <c r="F1870" s="4"/>
      <c r="G1870" s="4"/>
      <c r="H1870" s="4"/>
      <c r="I1870" s="10" t="str">
        <f>HYPERLINK("http://twitter.com/download/android","Twitter for Android")</f>
        <v>Twitter for Android</v>
      </c>
      <c r="J1870" s="2">
        <v>3000</v>
      </c>
      <c r="K1870" s="2">
        <v>2780</v>
      </c>
      <c r="L1870" s="2">
        <v>2</v>
      </c>
      <c r="M1870" s="2"/>
      <c r="N1870" s="8">
        <v>43342.90892361111</v>
      </c>
      <c r="O1870" s="4" t="s">
        <v>294</v>
      </c>
      <c r="P1870" s="3" t="s">
        <v>2717</v>
      </c>
      <c r="Q1870" s="10" t="s">
        <v>2716</v>
      </c>
      <c r="R1870" s="4"/>
      <c r="S1870" s="9" t="str">
        <f>HYPERLINK("https://pbs.twimg.com/profile_images/1043195279380545536/szJVTrKx.jpg","View")</f>
        <v>View</v>
      </c>
    </row>
    <row r="1871" spans="1:19" ht="12.5">
      <c r="A1871" s="8">
        <v>43370.41777777778</v>
      </c>
      <c r="B1871" s="11" t="str">
        <f>HYPERLINK("https://twitter.com/alidadaaaaaa","@alidadaaaaaa")</f>
        <v>@alidadaaaaaa</v>
      </c>
      <c r="C1871" s="6" t="s">
        <v>2144</v>
      </c>
      <c r="D1871" s="5" t="s">
        <v>2715</v>
      </c>
      <c r="E1871" s="9" t="str">
        <f>HYPERLINK("https://twitter.com/alidadaaaaaa/status/1045199258876547072","1045199258876547072")</f>
        <v>1045199258876547072</v>
      </c>
      <c r="F1871" s="4"/>
      <c r="G1871" s="10" t="s">
        <v>2714</v>
      </c>
      <c r="H1871" s="4"/>
      <c r="I1871" s="10" t="str">
        <f>HYPERLINK("http://twitter.com/download/iphone","Twitter for iPhone")</f>
        <v>Twitter for iPhone</v>
      </c>
      <c r="J1871" s="2">
        <v>2</v>
      </c>
      <c r="K1871" s="2">
        <v>75</v>
      </c>
      <c r="L1871" s="2">
        <v>0</v>
      </c>
      <c r="M1871" s="2"/>
      <c r="N1871" s="8">
        <v>43367.972395833334</v>
      </c>
      <c r="O1871" s="4"/>
      <c r="P1871" s="3"/>
      <c r="Q1871" s="4"/>
      <c r="R1871" s="4"/>
      <c r="S1871" s="9" t="str">
        <f>HYPERLINK("https://pbs.twimg.com/profile_images/1044316091311419392/sFG9SMB3.jpg","View")</f>
        <v>View</v>
      </c>
    </row>
    <row r="1872" spans="1:19" ht="40">
      <c r="A1872" s="8">
        <v>43370.416041666671</v>
      </c>
      <c r="B1872" s="11" t="str">
        <f>HYPERLINK("https://twitter.com/sangarban","@sangarban")</f>
        <v>@sangarban</v>
      </c>
      <c r="C1872" s="6" t="s">
        <v>2712</v>
      </c>
      <c r="D1872" s="5" t="s">
        <v>2713</v>
      </c>
      <c r="E1872" s="9" t="str">
        <f>HYPERLINK("https://twitter.com/sangarban/status/1045198627218640896","1045198627218640896")</f>
        <v>1045198627218640896</v>
      </c>
      <c r="F1872" s="4"/>
      <c r="G1872" s="4"/>
      <c r="H1872" s="4"/>
      <c r="I1872" s="10" t="str">
        <f>HYPERLINK("http://twitter.com/download/android","Twitter for Android")</f>
        <v>Twitter for Android</v>
      </c>
      <c r="J1872" s="2">
        <v>5597</v>
      </c>
      <c r="K1872" s="2">
        <v>3802</v>
      </c>
      <c r="L1872" s="2">
        <v>11</v>
      </c>
      <c r="M1872" s="2"/>
      <c r="N1872" s="8">
        <v>43102.23165509259</v>
      </c>
      <c r="O1872" s="4" t="s">
        <v>2710</v>
      </c>
      <c r="P1872" s="3" t="s">
        <v>2709</v>
      </c>
      <c r="Q1872" s="4"/>
      <c r="R1872" s="4"/>
      <c r="S1872" s="9" t="str">
        <f>HYPERLINK("https://pbs.twimg.com/profile_images/1043140304948404225/QSVhVJsn.jpg","View")</f>
        <v>View</v>
      </c>
    </row>
    <row r="1873" spans="1:19" ht="40">
      <c r="A1873" s="8">
        <v>43370.415937500002</v>
      </c>
      <c r="B1873" s="11" t="str">
        <f>HYPERLINK("https://twitter.com/sangarban","@sangarban")</f>
        <v>@sangarban</v>
      </c>
      <c r="C1873" s="6" t="s">
        <v>2712</v>
      </c>
      <c r="D1873" s="5" t="s">
        <v>2711</v>
      </c>
      <c r="E1873" s="9" t="str">
        <f>HYPERLINK("https://twitter.com/sangarban/status/1045198589939585024","1045198589939585024")</f>
        <v>1045198589939585024</v>
      </c>
      <c r="F1873" s="4"/>
      <c r="G1873" s="4"/>
      <c r="H1873" s="4"/>
      <c r="I1873" s="10" t="str">
        <f>HYPERLINK("http://twitter.com/download/android","Twitter for Android")</f>
        <v>Twitter for Android</v>
      </c>
      <c r="J1873" s="2">
        <v>5597</v>
      </c>
      <c r="K1873" s="2">
        <v>3802</v>
      </c>
      <c r="L1873" s="2">
        <v>11</v>
      </c>
      <c r="M1873" s="2"/>
      <c r="N1873" s="8">
        <v>43102.23165509259</v>
      </c>
      <c r="O1873" s="4" t="s">
        <v>2710</v>
      </c>
      <c r="P1873" s="3" t="s">
        <v>2709</v>
      </c>
      <c r="Q1873" s="4"/>
      <c r="R1873" s="4"/>
      <c r="S1873" s="9" t="str">
        <f>HYPERLINK("https://pbs.twimg.com/profile_images/1043140304948404225/QSVhVJsn.jpg","View")</f>
        <v>View</v>
      </c>
    </row>
    <row r="1874" spans="1:19" ht="50">
      <c r="A1874" s="8">
        <v>43370.415671296301</v>
      </c>
      <c r="B1874" s="11" t="str">
        <f>HYPERLINK("https://twitter.com/yVA4ATUfdofr2xS","@yVA4ATUfdofr2xS")</f>
        <v>@yVA4ATUfdofr2xS</v>
      </c>
      <c r="C1874" s="6" t="s">
        <v>2708</v>
      </c>
      <c r="D1874" s="5" t="s">
        <v>2707</v>
      </c>
      <c r="E1874" s="9" t="str">
        <f>HYPERLINK("https://twitter.com/yVA4ATUfdofr2xS/status/1045198493055430656","1045198493055430656")</f>
        <v>1045198493055430656</v>
      </c>
      <c r="F1874" s="10" t="s">
        <v>2706</v>
      </c>
      <c r="G1874" s="10" t="s">
        <v>2689</v>
      </c>
      <c r="H1874" s="4"/>
      <c r="I1874" s="10" t="str">
        <f>HYPERLINK("http://twitter.com","Twitter Web Client")</f>
        <v>Twitter Web Client</v>
      </c>
      <c r="J1874" s="2">
        <v>348</v>
      </c>
      <c r="K1874" s="2">
        <v>510</v>
      </c>
      <c r="L1874" s="2">
        <v>0</v>
      </c>
      <c r="M1874" s="2"/>
      <c r="N1874" s="8">
        <v>43323.438252314816</v>
      </c>
      <c r="O1874" s="4" t="s">
        <v>170</v>
      </c>
      <c r="P1874" s="3" t="s">
        <v>2705</v>
      </c>
      <c r="Q1874" s="4"/>
      <c r="R1874" s="4"/>
      <c r="S1874" s="9" t="str">
        <f>HYPERLINK("https://pbs.twimg.com/profile_images/1028178183206498305/b7usXKsw.jpg","View")</f>
        <v>View</v>
      </c>
    </row>
    <row r="1875" spans="1:19" ht="20">
      <c r="A1875" s="8">
        <v>43370.415254629625</v>
      </c>
      <c r="B1875" s="11" t="str">
        <f>HYPERLINK("https://twitter.com/BazyarKoorosh","@BazyarKoorosh")</f>
        <v>@BazyarKoorosh</v>
      </c>
      <c r="C1875" s="6" t="s">
        <v>2704</v>
      </c>
      <c r="D1875" s="5" t="s">
        <v>2703</v>
      </c>
      <c r="E1875" s="9" t="str">
        <f>HYPERLINK("https://twitter.com/BazyarKoorosh/status/1045198343620694016","1045198343620694016")</f>
        <v>1045198343620694016</v>
      </c>
      <c r="F1875" s="4"/>
      <c r="G1875" s="10" t="s">
        <v>2702</v>
      </c>
      <c r="H1875" s="4"/>
      <c r="I1875" s="10" t="str">
        <f>HYPERLINK("http://twitter.com/download/android","Twitter for Android")</f>
        <v>Twitter for Android</v>
      </c>
      <c r="J1875" s="2">
        <v>72</v>
      </c>
      <c r="K1875" s="2">
        <v>82</v>
      </c>
      <c r="L1875" s="2">
        <v>0</v>
      </c>
      <c r="M1875" s="2"/>
      <c r="N1875" s="8">
        <v>42519.645196759258</v>
      </c>
      <c r="O1875" s="4" t="s">
        <v>2701</v>
      </c>
      <c r="P1875" s="3" t="s">
        <v>2700</v>
      </c>
      <c r="Q1875" s="4"/>
      <c r="R1875" s="4"/>
      <c r="S1875" s="9" t="str">
        <f>HYPERLINK("https://pbs.twimg.com/profile_images/919345100773318657/o76kk99y.jpg","View")</f>
        <v>View</v>
      </c>
    </row>
    <row r="1876" spans="1:19" ht="20">
      <c r="A1876" s="8">
        <v>43370.413680555561</v>
      </c>
      <c r="B1876" s="11" t="str">
        <f>HYPERLINK("https://twitter.com/samanfarhani73","@samanfarhani73")</f>
        <v>@samanfarhani73</v>
      </c>
      <c r="C1876" s="6" t="s">
        <v>2699</v>
      </c>
      <c r="D1876" s="5" t="s">
        <v>2698</v>
      </c>
      <c r="E1876" s="9" t="str">
        <f>HYPERLINK("https://twitter.com/samanfarhani73/status/1045197771115057152","1045197771115057152")</f>
        <v>1045197771115057152</v>
      </c>
      <c r="F1876" s="4"/>
      <c r="G1876" s="4"/>
      <c r="H1876" s="4"/>
      <c r="I1876" s="10" t="str">
        <f>HYPERLINK("http://twitter.com/download/iphone","Twitter for iPhone")</f>
        <v>Twitter for iPhone</v>
      </c>
      <c r="J1876" s="2">
        <v>1339</v>
      </c>
      <c r="K1876" s="2">
        <v>1047</v>
      </c>
      <c r="L1876" s="2">
        <v>1</v>
      </c>
      <c r="M1876" s="2"/>
      <c r="N1876" s="8">
        <v>43103.468657407408</v>
      </c>
      <c r="O1876" s="4" t="s">
        <v>2697</v>
      </c>
      <c r="P1876" s="3" t="s">
        <v>2696</v>
      </c>
      <c r="Q1876" s="4"/>
      <c r="R1876" s="4"/>
      <c r="S1876" s="9" t="str">
        <f>HYPERLINK("https://pbs.twimg.com/profile_images/1033944191255162885/XwRp6xh5.jpg","View")</f>
        <v>View</v>
      </c>
    </row>
    <row r="1877" spans="1:19" ht="40">
      <c r="A1877" s="8">
        <v>43370.413171296299</v>
      </c>
      <c r="B1877" s="11" t="str">
        <f>HYPERLINK("https://twitter.com/arsenalfcg","@arsenalfcg")</f>
        <v>@arsenalfcg</v>
      </c>
      <c r="C1877" s="6" t="s">
        <v>2695</v>
      </c>
      <c r="D1877" s="5" t="s">
        <v>2694</v>
      </c>
      <c r="E1877" s="9" t="str">
        <f>HYPERLINK("https://twitter.com/arsenalfcg/status/1045197589036118017","1045197589036118017")</f>
        <v>1045197589036118017</v>
      </c>
      <c r="F1877" s="4"/>
      <c r="G1877" s="4"/>
      <c r="H1877" s="4"/>
      <c r="I1877" s="10" t="str">
        <f>HYPERLINK("http://twitter.com/download/android","Twitter for Android")</f>
        <v>Twitter for Android</v>
      </c>
      <c r="J1877" s="2">
        <v>616</v>
      </c>
      <c r="K1877" s="2">
        <v>630</v>
      </c>
      <c r="L1877" s="2">
        <v>0</v>
      </c>
      <c r="M1877" s="2"/>
      <c r="N1877" s="8">
        <v>40621.70103009259</v>
      </c>
      <c r="O1877" s="4" t="s">
        <v>2693</v>
      </c>
      <c r="P1877" s="3"/>
      <c r="Q1877" s="10" t="s">
        <v>2692</v>
      </c>
      <c r="R1877" s="4"/>
      <c r="S1877" s="9" t="str">
        <f>HYPERLINK("https://pbs.twimg.com/profile_images/1023539231254343681/RUxBkPJp.jpg","View")</f>
        <v>View</v>
      </c>
    </row>
    <row r="1878" spans="1:19" ht="40">
      <c r="A1878" s="8">
        <v>43370.412511574075</v>
      </c>
      <c r="B1878" s="11" t="str">
        <f>HYPERLINK("https://twitter.com/kalyaee","@kalyaee")</f>
        <v>@kalyaee</v>
      </c>
      <c r="C1878" s="6" t="s">
        <v>2691</v>
      </c>
      <c r="D1878" s="5" t="s">
        <v>2690</v>
      </c>
      <c r="E1878" s="9" t="str">
        <f>HYPERLINK("https://twitter.com/kalyaee/status/1045197348429877248","1045197348429877248")</f>
        <v>1045197348429877248</v>
      </c>
      <c r="F1878" s="4"/>
      <c r="G1878" s="10" t="s">
        <v>2689</v>
      </c>
      <c r="H1878" s="4"/>
      <c r="I1878" s="10" t="str">
        <f>HYPERLINK("http://twitter.com","Twitter Web Client")</f>
        <v>Twitter Web Client</v>
      </c>
      <c r="J1878" s="2">
        <v>6944</v>
      </c>
      <c r="K1878" s="2">
        <v>7590</v>
      </c>
      <c r="L1878" s="2">
        <v>7</v>
      </c>
      <c r="M1878" s="2"/>
      <c r="N1878" s="8">
        <v>40879.65215277778</v>
      </c>
      <c r="O1878" s="4" t="s">
        <v>2688</v>
      </c>
      <c r="P1878" s="3" t="s">
        <v>2687</v>
      </c>
      <c r="Q1878" s="4"/>
      <c r="R1878" s="4"/>
      <c r="S1878" s="9" t="str">
        <f>HYPERLINK("https://pbs.twimg.com/profile_images/936563524318371842/-btwdoev.jpg","View")</f>
        <v>View</v>
      </c>
    </row>
    <row r="1879" spans="1:19" ht="20">
      <c r="A1879" s="8">
        <v>43370.411041666666</v>
      </c>
      <c r="B1879" s="11" t="str">
        <f>HYPERLINK("https://twitter.com/mahdifalsafi","@mahdifalsafi")</f>
        <v>@mahdifalsafi</v>
      </c>
      <c r="C1879" s="6" t="s">
        <v>2686</v>
      </c>
      <c r="D1879" s="5" t="s">
        <v>2685</v>
      </c>
      <c r="E1879" s="9" t="str">
        <f>HYPERLINK("https://twitter.com/mahdifalsafi/status/1045196818131439616","1045196818131439616")</f>
        <v>1045196818131439616</v>
      </c>
      <c r="F1879" s="4"/>
      <c r="G1879" s="10" t="s">
        <v>2684</v>
      </c>
      <c r="H1879" s="4"/>
      <c r="I1879" s="10" t="str">
        <f>HYPERLINK("http://twitter.com/download/android","Twitter for Android")</f>
        <v>Twitter for Android</v>
      </c>
      <c r="J1879" s="2">
        <v>75</v>
      </c>
      <c r="K1879" s="2">
        <v>68</v>
      </c>
      <c r="L1879" s="2">
        <v>0</v>
      </c>
      <c r="M1879" s="2"/>
      <c r="N1879" s="8">
        <v>42758.390671296293</v>
      </c>
      <c r="O1879" s="4" t="s">
        <v>2683</v>
      </c>
      <c r="P1879" s="3" t="s">
        <v>2682</v>
      </c>
      <c r="Q1879" s="10" t="s">
        <v>2681</v>
      </c>
      <c r="R1879" s="4"/>
      <c r="S1879" s="9" t="str">
        <f>HYPERLINK("https://pbs.twimg.com/profile_images/1043089893000392704/859cteR7.jpg","View")</f>
        <v>View</v>
      </c>
    </row>
    <row r="1880" spans="1:19" ht="20">
      <c r="A1880" s="8">
        <v>43370.410694444443</v>
      </c>
      <c r="B1880" s="11" t="str">
        <f>HYPERLINK("https://twitter.com/mahdi_nostatii","@mahdi_nostatii")</f>
        <v>@mahdi_nostatii</v>
      </c>
      <c r="C1880" s="6" t="s">
        <v>2680</v>
      </c>
      <c r="D1880" s="5" t="s">
        <v>2679</v>
      </c>
      <c r="E1880" s="9" t="str">
        <f>HYPERLINK("https://twitter.com/mahdi_nostatii/status/1045196689445916672","1045196689445916672")</f>
        <v>1045196689445916672</v>
      </c>
      <c r="F1880" s="4"/>
      <c r="G1880" s="4"/>
      <c r="H1880" s="4"/>
      <c r="I1880" s="10" t="str">
        <f>HYPERLINK("http://twitter.com/download/android","Twitter for Android")</f>
        <v>Twitter for Android</v>
      </c>
      <c r="J1880" s="2">
        <v>1841</v>
      </c>
      <c r="K1880" s="2">
        <v>1728</v>
      </c>
      <c r="L1880" s="2">
        <v>0</v>
      </c>
      <c r="M1880" s="2"/>
      <c r="N1880" s="8">
        <v>43309.511203703703</v>
      </c>
      <c r="O1880" s="4" t="s">
        <v>2678</v>
      </c>
      <c r="P1880" s="3" t="s">
        <v>2677</v>
      </c>
      <c r="Q1880" s="4"/>
      <c r="R1880" s="4"/>
      <c r="S1880" s="9" t="str">
        <f>HYPERLINK("https://pbs.twimg.com/profile_images/1040561629270863872/DbijiFeg.jpg","View")</f>
        <v>View</v>
      </c>
    </row>
    <row r="1881" spans="1:19" ht="40">
      <c r="A1881" s="8">
        <v>43370.410462962958</v>
      </c>
      <c r="B1881" s="11" t="str">
        <f>HYPERLINK("https://twitter.com/mr_tifusi","@mr_tifusi")</f>
        <v>@mr_tifusi</v>
      </c>
      <c r="C1881" s="6" t="s">
        <v>2676</v>
      </c>
      <c r="D1881" s="5" t="s">
        <v>2675</v>
      </c>
      <c r="E1881" s="9" t="str">
        <f>HYPERLINK("https://twitter.com/mr_tifusi/status/1045196604632956931","1045196604632956931")</f>
        <v>1045196604632956931</v>
      </c>
      <c r="F1881" s="4"/>
      <c r="G1881" s="4"/>
      <c r="H1881" s="4"/>
      <c r="I1881" s="10" t="str">
        <f>HYPERLINK("http://twitter.com/download/iphone","Twitter for iPhone")</f>
        <v>Twitter for iPhone</v>
      </c>
      <c r="J1881" s="2">
        <v>366</v>
      </c>
      <c r="K1881" s="2">
        <v>397</v>
      </c>
      <c r="L1881" s="2">
        <v>0</v>
      </c>
      <c r="M1881" s="2"/>
      <c r="N1881" s="8">
        <v>42907.913738425923</v>
      </c>
      <c r="O1881" s="4"/>
      <c r="P1881" s="3" t="s">
        <v>2674</v>
      </c>
      <c r="Q1881" s="4"/>
      <c r="R1881" s="4"/>
      <c r="S1881" s="9" t="str">
        <f>HYPERLINK("https://pbs.twimg.com/profile_images/998522572353429504/ckU5rUtL.jpg","View")</f>
        <v>View</v>
      </c>
    </row>
    <row r="1882" spans="1:19" ht="40">
      <c r="A1882" s="8">
        <v>43370.409780092596</v>
      </c>
      <c r="B1882" s="11" t="str">
        <f>HYPERLINK("https://twitter.com/samy_kian1","@samy_kian1")</f>
        <v>@samy_kian1</v>
      </c>
      <c r="C1882" s="6" t="s">
        <v>2673</v>
      </c>
      <c r="D1882" s="5" t="s">
        <v>2672</v>
      </c>
      <c r="E1882" s="9" t="str">
        <f>HYPERLINK("https://twitter.com/samy_kian1/status/1045196359173779456","1045196359173779456")</f>
        <v>1045196359173779456</v>
      </c>
      <c r="F1882" s="4"/>
      <c r="G1882" s="4"/>
      <c r="H1882" s="4"/>
      <c r="I1882" s="10" t="str">
        <f>HYPERLINK("http://twitter.com/download/android","Twitter for Android")</f>
        <v>Twitter for Android</v>
      </c>
      <c r="J1882" s="2">
        <v>710</v>
      </c>
      <c r="K1882" s="2">
        <v>1676</v>
      </c>
      <c r="L1882" s="2">
        <v>0</v>
      </c>
      <c r="M1882" s="2"/>
      <c r="N1882" s="8">
        <v>43329.723935185189</v>
      </c>
      <c r="O1882" s="4"/>
      <c r="P1882" s="3" t="s">
        <v>2671</v>
      </c>
      <c r="Q1882" s="4"/>
      <c r="R1882" s="4"/>
      <c r="S1882" s="9" t="str">
        <f>HYPERLINK("https://pbs.twimg.com/profile_images/1044767875154743298/gtsyVorv.jpg","View")</f>
        <v>View</v>
      </c>
    </row>
    <row r="1883" spans="1:19" ht="30">
      <c r="A1883" s="8">
        <v>43370.408993055556</v>
      </c>
      <c r="B1883" s="11" t="str">
        <f>HYPERLINK("https://twitter.com/alirezarahimiss","@alirezarahimiss")</f>
        <v>@alirezarahimiss</v>
      </c>
      <c r="C1883" s="6" t="s">
        <v>2670</v>
      </c>
      <c r="D1883" s="5" t="s">
        <v>2669</v>
      </c>
      <c r="E1883" s="9" t="str">
        <f>HYPERLINK("https://twitter.com/alirezarahimiss/status/1045196073952792576","1045196073952792576")</f>
        <v>1045196073952792576</v>
      </c>
      <c r="F1883" s="4"/>
      <c r="G1883" s="4"/>
      <c r="H1883" s="4"/>
      <c r="I1883" s="10" t="str">
        <f>HYPERLINK("http://twitter.com/download/android","Twitter for Android")</f>
        <v>Twitter for Android</v>
      </c>
      <c r="J1883" s="2">
        <v>1123</v>
      </c>
      <c r="K1883" s="2">
        <v>2759</v>
      </c>
      <c r="L1883" s="2">
        <v>0</v>
      </c>
      <c r="M1883" s="2"/>
      <c r="N1883" s="8">
        <v>42633.580243055556</v>
      </c>
      <c r="O1883" s="4" t="s">
        <v>2668</v>
      </c>
      <c r="P1883" s="3" t="s">
        <v>2667</v>
      </c>
      <c r="Q1883" s="10" t="s">
        <v>2666</v>
      </c>
      <c r="R1883" s="4"/>
      <c r="S1883" s="9" t="str">
        <f>HYPERLINK("https://pbs.twimg.com/profile_images/1024527969606361088/aMqvGW0o.jpg","View")</f>
        <v>View</v>
      </c>
    </row>
    <row r="1884" spans="1:19" ht="20">
      <c r="A1884" s="8">
        <v>43370.408159722225</v>
      </c>
      <c r="B1884" s="11" t="str">
        <f>HYPERLINK("https://twitter.com/MisterSalehi","@MisterSalehi")</f>
        <v>@MisterSalehi</v>
      </c>
      <c r="C1884" s="6" t="s">
        <v>2665</v>
      </c>
      <c r="D1884" s="5" t="s">
        <v>2664</v>
      </c>
      <c r="E1884" s="9" t="str">
        <f>HYPERLINK("https://twitter.com/MisterSalehi/status/1045195772755660801","1045195772755660801")</f>
        <v>1045195772755660801</v>
      </c>
      <c r="F1884" s="4"/>
      <c r="G1884" s="4"/>
      <c r="H1884" s="4"/>
      <c r="I1884" s="10" t="str">
        <f>HYPERLINK("http://twitter.com/download/android","Twitter for Android")</f>
        <v>Twitter for Android</v>
      </c>
      <c r="J1884" s="2">
        <v>813</v>
      </c>
      <c r="K1884" s="2">
        <v>117</v>
      </c>
      <c r="L1884" s="2">
        <v>11</v>
      </c>
      <c r="M1884" s="2"/>
      <c r="N1884" s="8">
        <v>40959.968032407407</v>
      </c>
      <c r="O1884" s="4" t="s">
        <v>2663</v>
      </c>
      <c r="P1884" s="3" t="s">
        <v>2662</v>
      </c>
      <c r="Q1884" s="4"/>
      <c r="R1884" s="4"/>
      <c r="S1884" s="9" t="str">
        <f>HYPERLINK("https://pbs.twimg.com/profile_images/1042711069456773120/W3IYQxFb.jpg","View")</f>
        <v>View</v>
      </c>
    </row>
    <row r="1885" spans="1:19" ht="20">
      <c r="A1885" s="8">
        <v>43370.407743055555</v>
      </c>
      <c r="B1885" s="11" t="str">
        <f>HYPERLINK("https://twitter.com/arg_2212","@arg_2212")</f>
        <v>@arg_2212</v>
      </c>
      <c r="C1885" s="6" t="s">
        <v>2661</v>
      </c>
      <c r="D1885" s="5" t="s">
        <v>2660</v>
      </c>
      <c r="E1885" s="9" t="str">
        <f>HYPERLINK("https://twitter.com/arg_2212/status/1045195621534175232","1045195621534175232")</f>
        <v>1045195621534175232</v>
      </c>
      <c r="F1885" s="4"/>
      <c r="G1885" s="4"/>
      <c r="H1885" s="4"/>
      <c r="I1885" s="10" t="str">
        <f>HYPERLINK("http://twitter.com/download/android","Twitter for Android")</f>
        <v>Twitter for Android</v>
      </c>
      <c r="J1885" s="2">
        <v>1</v>
      </c>
      <c r="K1885" s="2">
        <v>12</v>
      </c>
      <c r="L1885" s="2">
        <v>0</v>
      </c>
      <c r="M1885" s="2"/>
      <c r="N1885" s="8">
        <v>42436.805185185185</v>
      </c>
      <c r="O1885" s="4"/>
      <c r="P1885" s="3" t="s">
        <v>2659</v>
      </c>
      <c r="Q1885" s="4"/>
      <c r="R1885" s="4"/>
      <c r="S1885" s="9" t="str">
        <f>HYPERLINK("https://pbs.twimg.com/profile_images/1044844058429075458/o8gelP-b.jpg","View")</f>
        <v>View</v>
      </c>
    </row>
    <row r="1886" spans="1:19" ht="40">
      <c r="A1886" s="8">
        <v>43370.406724537039</v>
      </c>
      <c r="B1886" s="11" t="str">
        <f>HYPERLINK("https://twitter.com/Vaseghii","@Vaseghii")</f>
        <v>@Vaseghii</v>
      </c>
      <c r="C1886" s="6" t="s">
        <v>2658</v>
      </c>
      <c r="D1886" s="5" t="s">
        <v>2657</v>
      </c>
      <c r="E1886" s="9" t="str">
        <f>HYPERLINK("https://twitter.com/Vaseghii/status/1045195253635043329","1045195253635043329")</f>
        <v>1045195253635043329</v>
      </c>
      <c r="F1886" s="4"/>
      <c r="G1886" s="4"/>
      <c r="H1886" s="4"/>
      <c r="I1886" s="10" t="str">
        <f>HYPERLINK("http://twitter.com/download/android","Twitter for Android")</f>
        <v>Twitter for Android</v>
      </c>
      <c r="J1886" s="2">
        <v>472</v>
      </c>
      <c r="K1886" s="2">
        <v>470</v>
      </c>
      <c r="L1886" s="2">
        <v>2</v>
      </c>
      <c r="M1886" s="2"/>
      <c r="N1886" s="8">
        <v>43075.08594907407</v>
      </c>
      <c r="O1886" s="4" t="s">
        <v>10</v>
      </c>
      <c r="P1886" s="3" t="s">
        <v>2656</v>
      </c>
      <c r="Q1886" s="4"/>
      <c r="R1886" s="4"/>
      <c r="S1886" s="9" t="str">
        <f>HYPERLINK("https://pbs.twimg.com/profile_images/1045079995817889793/m1D_VmRd.jpg","View")</f>
        <v>View</v>
      </c>
    </row>
    <row r="1887" spans="1:19" ht="20">
      <c r="A1887" s="8">
        <v>43370.405636574069</v>
      </c>
      <c r="B1887" s="11" t="str">
        <f>HYPERLINK("https://twitter.com/Retooeter","@Retooeter")</f>
        <v>@Retooeter</v>
      </c>
      <c r="C1887" s="6" t="s">
        <v>2655</v>
      </c>
      <c r="D1887" s="5" t="s">
        <v>2654</v>
      </c>
      <c r="E1887" s="9" t="str">
        <f>HYPERLINK("https://twitter.com/Retooeter/status/1045194856547700737","1045194856547700737")</f>
        <v>1045194856547700737</v>
      </c>
      <c r="F1887" s="4"/>
      <c r="G1887" s="10" t="s">
        <v>2653</v>
      </c>
      <c r="H1887" s="4"/>
      <c r="I1887" s="10" t="str">
        <f>HYPERLINK("http://twitter.com","Twitter Web Client")</f>
        <v>Twitter Web Client</v>
      </c>
      <c r="J1887" s="2">
        <v>13030</v>
      </c>
      <c r="K1887" s="2">
        <v>279</v>
      </c>
      <c r="L1887" s="2">
        <v>58</v>
      </c>
      <c r="M1887" s="2"/>
      <c r="N1887" s="8">
        <v>42102.515625</v>
      </c>
      <c r="O1887" s="4" t="s">
        <v>2652</v>
      </c>
      <c r="P1887" s="3" t="s">
        <v>2651</v>
      </c>
      <c r="Q1887" s="10" t="s">
        <v>2650</v>
      </c>
      <c r="R1887" s="4"/>
      <c r="S1887" s="9" t="str">
        <f>HYPERLINK("https://pbs.twimg.com/profile_images/1045194055687315456/g2nTp7Zd.jpg","View")</f>
        <v>View</v>
      </c>
    </row>
    <row r="1888" spans="1:19" ht="12.5">
      <c r="A1888" s="8">
        <v>43370.403680555552</v>
      </c>
      <c r="B1888" s="11" t="str">
        <f>HYPERLINK("https://twitter.com/Mortezamoha","@Mortezamoha")</f>
        <v>@Mortezamoha</v>
      </c>
      <c r="C1888" s="6" t="s">
        <v>2649</v>
      </c>
      <c r="D1888" s="5" t="s">
        <v>2648</v>
      </c>
      <c r="E1888" s="9" t="str">
        <f>HYPERLINK("https://twitter.com/Mortezamoha/status/1045194150113673216","1045194150113673216")</f>
        <v>1045194150113673216</v>
      </c>
      <c r="F1888" s="4"/>
      <c r="G1888" s="4"/>
      <c r="H1888" s="4"/>
      <c r="I1888" s="10" t="str">
        <f>HYPERLINK("http://twitter.com/download/android","Twitter for Android")</f>
        <v>Twitter for Android</v>
      </c>
      <c r="J1888" s="2">
        <v>132</v>
      </c>
      <c r="K1888" s="2">
        <v>39</v>
      </c>
      <c r="L1888" s="2">
        <v>1</v>
      </c>
      <c r="M1888" s="2"/>
      <c r="N1888" s="8">
        <v>42910.849479166667</v>
      </c>
      <c r="O1888" s="4" t="s">
        <v>2647</v>
      </c>
      <c r="P1888" s="3" t="s">
        <v>2646</v>
      </c>
      <c r="Q1888" s="4"/>
      <c r="R1888" s="4"/>
      <c r="S1888" s="9" t="str">
        <f>HYPERLINK("https://pbs.twimg.com/profile_images/940282902935244802/sITBPZ_V.jpg","View")</f>
        <v>View</v>
      </c>
    </row>
    <row r="1889" spans="1:19" ht="30">
      <c r="A1889" s="8">
        <v>43370.402638888889</v>
      </c>
      <c r="B1889" s="11" t="str">
        <f>HYPERLINK("https://twitter.com/RadioOffside","@RadioOffside")</f>
        <v>@RadioOffside</v>
      </c>
      <c r="C1889" s="6" t="s">
        <v>2645</v>
      </c>
      <c r="D1889" s="5" t="s">
        <v>2644</v>
      </c>
      <c r="E1889" s="9" t="str">
        <f>HYPERLINK("https://twitter.com/RadioOffside/status/1045193772672245761","1045193772672245761")</f>
        <v>1045193772672245761</v>
      </c>
      <c r="F1889" s="4"/>
      <c r="G1889" s="10" t="s">
        <v>2643</v>
      </c>
      <c r="H1889" s="4"/>
      <c r="I1889" s="10" t="str">
        <f>HYPERLINK("http://twitter.com/download/iphone","Twitter for iPhone")</f>
        <v>Twitter for iPhone</v>
      </c>
      <c r="J1889" s="2">
        <v>290</v>
      </c>
      <c r="K1889" s="2">
        <v>126</v>
      </c>
      <c r="L1889" s="2">
        <v>10</v>
      </c>
      <c r="M1889" s="2"/>
      <c r="N1889" s="8">
        <v>43224.071261574078</v>
      </c>
      <c r="O1889" s="4"/>
      <c r="P1889" s="3" t="s">
        <v>2642</v>
      </c>
      <c r="Q1889" s="10" t="s">
        <v>2641</v>
      </c>
      <c r="R1889" s="4"/>
      <c r="S1889" s="9" t="str">
        <f>HYPERLINK("https://pbs.twimg.com/profile_images/992155000188162050/oUHQeCr7.jpg","View")</f>
        <v>View</v>
      </c>
    </row>
    <row r="1890" spans="1:19" ht="20">
      <c r="A1890" s="8">
        <v>43370.402465277773</v>
      </c>
      <c r="B1890" s="11" t="str">
        <f>HYPERLINK("https://twitter.com/arashghasemian","@arashghasemian")</f>
        <v>@arashghasemian</v>
      </c>
      <c r="C1890" s="6" t="s">
        <v>2640</v>
      </c>
      <c r="D1890" s="5" t="s">
        <v>2639</v>
      </c>
      <c r="E1890" s="9" t="str">
        <f>HYPERLINK("https://twitter.com/arashghasemian/status/1045193708231102465","1045193708231102465")</f>
        <v>1045193708231102465</v>
      </c>
      <c r="F1890" s="4"/>
      <c r="G1890" s="4"/>
      <c r="H1890" s="4"/>
      <c r="I1890" s="10" t="str">
        <f>HYPERLINK("http://twitter.com","Twitter Web Client")</f>
        <v>Twitter Web Client</v>
      </c>
      <c r="J1890" s="2">
        <v>48</v>
      </c>
      <c r="K1890" s="2">
        <v>177</v>
      </c>
      <c r="L1890" s="2">
        <v>0</v>
      </c>
      <c r="M1890" s="2"/>
      <c r="N1890" s="8">
        <v>40394.660810185189</v>
      </c>
      <c r="O1890" s="4" t="s">
        <v>2638</v>
      </c>
      <c r="P1890" s="3" t="s">
        <v>2637</v>
      </c>
      <c r="Q1890" s="4"/>
      <c r="R1890" s="4"/>
      <c r="S1890" s="9" t="str">
        <f>HYPERLINK("https://pbs.twimg.com/profile_images/983304984526770176/KZOYwOTp.jpg","View")</f>
        <v>View</v>
      </c>
    </row>
    <row r="1891" spans="1:19" ht="20">
      <c r="A1891" s="8">
        <v>43370.402268518519</v>
      </c>
      <c r="B1891" s="11" t="str">
        <f>HYPERLINK("https://twitter.com/yasamankhalegh1","@yasamankhalegh1")</f>
        <v>@yasamankhalegh1</v>
      </c>
      <c r="C1891" s="6" t="s">
        <v>2636</v>
      </c>
      <c r="D1891" s="5" t="s">
        <v>2635</v>
      </c>
      <c r="E1891" s="9" t="str">
        <f>HYPERLINK("https://twitter.com/yasamankhalegh1/status/1045193638832214021","1045193638832214021")</f>
        <v>1045193638832214021</v>
      </c>
      <c r="F1891" s="4"/>
      <c r="G1891" s="4"/>
      <c r="H1891" s="4"/>
      <c r="I1891" s="10" t="str">
        <f>HYPERLINK("http://twitter.com/download/iphone","Twitter for iPhone")</f>
        <v>Twitter for iPhone</v>
      </c>
      <c r="J1891" s="2">
        <v>429</v>
      </c>
      <c r="K1891" s="2">
        <v>68</v>
      </c>
      <c r="L1891" s="2">
        <v>2</v>
      </c>
      <c r="M1891" s="2"/>
      <c r="N1891" s="8">
        <v>43367.676678240736</v>
      </c>
      <c r="O1891" s="4" t="s">
        <v>200</v>
      </c>
      <c r="P1891" s="3" t="s">
        <v>2634</v>
      </c>
      <c r="Q1891" s="4"/>
      <c r="R1891" s="4"/>
      <c r="S1891" s="9" t="str">
        <f>HYPERLINK("https://pbs.twimg.com/profile_images/1044207371957022720/neuZv5Ri.jpg","View")</f>
        <v>View</v>
      </c>
    </row>
    <row r="1892" spans="1:19" ht="12.5">
      <c r="A1892" s="8">
        <v>43370.401446759264</v>
      </c>
      <c r="B1892" s="11" t="str">
        <f>HYPERLINK("https://twitter.com/BeHn4mM","@BeHn4mM")</f>
        <v>@BeHn4mM</v>
      </c>
      <c r="C1892" s="6" t="s">
        <v>2633</v>
      </c>
      <c r="D1892" s="5" t="s">
        <v>2632</v>
      </c>
      <c r="E1892" s="9" t="str">
        <f>HYPERLINK("https://twitter.com/BeHn4mM/status/1045193337777639425","1045193337777639425")</f>
        <v>1045193337777639425</v>
      </c>
      <c r="F1892" s="4"/>
      <c r="G1892" s="10" t="s">
        <v>2631</v>
      </c>
      <c r="H1892" s="4"/>
      <c r="I1892" s="10" t="str">
        <f>HYPERLINK("http://twitter.com","Twitter Web Client")</f>
        <v>Twitter Web Client</v>
      </c>
      <c r="J1892" s="2">
        <v>364</v>
      </c>
      <c r="K1892" s="2">
        <v>195</v>
      </c>
      <c r="L1892" s="2">
        <v>2</v>
      </c>
      <c r="M1892" s="2"/>
      <c r="N1892" s="8">
        <v>42842.710613425923</v>
      </c>
      <c r="O1892" s="4" t="s">
        <v>72</v>
      </c>
      <c r="P1892" s="3" t="s">
        <v>2630</v>
      </c>
      <c r="Q1892" s="4"/>
      <c r="R1892" s="4"/>
      <c r="S1892" s="9" t="str">
        <f>HYPERLINK("https://pbs.twimg.com/profile_images/991804834172096512/UN6lZI-b.jpg","View")</f>
        <v>View</v>
      </c>
    </row>
    <row r="1893" spans="1:19" ht="30">
      <c r="A1893" s="8">
        <v>43370.399108796293</v>
      </c>
      <c r="B1893" s="11" t="str">
        <f>HYPERLINK("https://twitter.com/iranjaviidan","@iranjaviidan")</f>
        <v>@iranjaviidan</v>
      </c>
      <c r="C1893" s="6" t="s">
        <v>1350</v>
      </c>
      <c r="D1893" s="5" t="s">
        <v>2629</v>
      </c>
      <c r="E1893" s="9" t="str">
        <f>HYPERLINK("https://twitter.com/iranjaviidan/status/1045192493367787522","1045192493367787522")</f>
        <v>1045192493367787522</v>
      </c>
      <c r="F1893" s="4"/>
      <c r="G1893" s="4"/>
      <c r="H1893" s="4"/>
      <c r="I1893" s="10" t="str">
        <f>HYPERLINK("http://twitter.com/download/android","Twitter for Android")</f>
        <v>Twitter for Android</v>
      </c>
      <c r="J1893" s="2">
        <v>479</v>
      </c>
      <c r="K1893" s="2">
        <v>365</v>
      </c>
      <c r="L1893" s="2">
        <v>1</v>
      </c>
      <c r="M1893" s="2"/>
      <c r="N1893" s="8">
        <v>43127.93236111111</v>
      </c>
      <c r="O1893" s="4"/>
      <c r="P1893" s="3"/>
      <c r="Q1893" s="4"/>
      <c r="R1893" s="4"/>
      <c r="S1893" s="9" t="str">
        <f>HYPERLINK("https://pbs.twimg.com/profile_images/1037655912180137984/pM3teOOh.jpg","View")</f>
        <v>View</v>
      </c>
    </row>
    <row r="1894" spans="1:19" ht="40">
      <c r="A1894" s="8">
        <v>43370.398530092592</v>
      </c>
      <c r="B1894" s="11" t="str">
        <f>HYPERLINK("https://twitter.com/Nima_Mgh","@Nima_Mgh")</f>
        <v>@Nima_Mgh</v>
      </c>
      <c r="C1894" s="6" t="s">
        <v>2628</v>
      </c>
      <c r="D1894" s="5" t="s">
        <v>2627</v>
      </c>
      <c r="E1894" s="9" t="str">
        <f>HYPERLINK("https://twitter.com/Nima_Mgh/status/1045192284231405569","1045192284231405569")</f>
        <v>1045192284231405569</v>
      </c>
      <c r="F1894" s="4"/>
      <c r="G1894" s="4"/>
      <c r="H1894" s="4"/>
      <c r="I1894" s="10" t="str">
        <f>HYPERLINK("http://twitter.com/download/iphone","Twitter for iPhone")</f>
        <v>Twitter for iPhone</v>
      </c>
      <c r="J1894" s="2">
        <v>106</v>
      </c>
      <c r="K1894" s="2">
        <v>341</v>
      </c>
      <c r="L1894" s="2">
        <v>0</v>
      </c>
      <c r="M1894" s="2"/>
      <c r="N1894" s="8">
        <v>41336.599907407406</v>
      </c>
      <c r="O1894" s="4" t="s">
        <v>10</v>
      </c>
      <c r="P1894" s="3" t="s">
        <v>2626</v>
      </c>
      <c r="Q1894" s="4"/>
      <c r="R1894" s="4"/>
      <c r="S1894" s="9" t="str">
        <f>HYPERLINK("https://pbs.twimg.com/profile_images/1005948602374610944/gmXbgsEz.jpg","View")</f>
        <v>View</v>
      </c>
    </row>
    <row r="1895" spans="1:19" ht="30">
      <c r="A1895" s="8">
        <v>43370.397523148145</v>
      </c>
      <c r="B1895" s="11" t="str">
        <f>HYPERLINK("https://twitter.com/abaszade33","@abaszade33")</f>
        <v>@abaszade33</v>
      </c>
      <c r="C1895" s="6" t="s">
        <v>2625</v>
      </c>
      <c r="D1895" s="5" t="s">
        <v>2624</v>
      </c>
      <c r="E1895" s="9" t="str">
        <f>HYPERLINK("https://twitter.com/abaszade33/status/1045191916009263104","1045191916009263104")</f>
        <v>1045191916009263104</v>
      </c>
      <c r="F1895" s="4"/>
      <c r="G1895" s="4"/>
      <c r="H1895" s="4"/>
      <c r="I1895" s="10" t="str">
        <f>HYPERLINK("http://twitter.com/download/android","Twitter for Android")</f>
        <v>Twitter for Android</v>
      </c>
      <c r="J1895" s="2">
        <v>122</v>
      </c>
      <c r="K1895" s="2">
        <v>108</v>
      </c>
      <c r="L1895" s="2">
        <v>0</v>
      </c>
      <c r="M1895" s="2"/>
      <c r="N1895" s="8">
        <v>43304.934907407413</v>
      </c>
      <c r="O1895" s="4" t="s">
        <v>1922</v>
      </c>
      <c r="P1895" s="3" t="s">
        <v>2623</v>
      </c>
      <c r="Q1895" s="4"/>
      <c r="R1895" s="4"/>
      <c r="S1895" s="9" t="str">
        <f>HYPERLINK("https://pbs.twimg.com/profile_images/1037776379620675584/XjAX86pU.jpg","View")</f>
        <v>View</v>
      </c>
    </row>
    <row r="1896" spans="1:19" ht="20">
      <c r="A1896" s="8">
        <v>43370.397314814814</v>
      </c>
      <c r="B1896" s="11" t="str">
        <f>HYPERLINK("https://twitter.com/raeefard","@raeefard")</f>
        <v>@raeefard</v>
      </c>
      <c r="C1896" s="6" t="s">
        <v>2622</v>
      </c>
      <c r="D1896" s="5" t="s">
        <v>2621</v>
      </c>
      <c r="E1896" s="9" t="str">
        <f>HYPERLINK("https://twitter.com/raeefard/status/1045191842873167872","1045191842873167872")</f>
        <v>1045191842873167872</v>
      </c>
      <c r="F1896" s="4"/>
      <c r="G1896" s="4"/>
      <c r="H1896" s="4"/>
      <c r="I1896" s="10" t="str">
        <f>HYPERLINK("http://twitter.com/download/android","Twitter for Android")</f>
        <v>Twitter for Android</v>
      </c>
      <c r="J1896" s="2">
        <v>588</v>
      </c>
      <c r="K1896" s="2">
        <v>300</v>
      </c>
      <c r="L1896" s="2">
        <v>2</v>
      </c>
      <c r="M1896" s="2"/>
      <c r="N1896" s="8">
        <v>42430.56318287037</v>
      </c>
      <c r="O1896" s="4" t="s">
        <v>200</v>
      </c>
      <c r="P1896" s="3" t="s">
        <v>2620</v>
      </c>
      <c r="Q1896" s="10" t="s">
        <v>2619</v>
      </c>
      <c r="R1896" s="4"/>
      <c r="S1896" s="9" t="str">
        <f>HYPERLINK("https://pbs.twimg.com/profile_images/1024750510212034560/vppRQfZi.jpg","View")</f>
        <v>View</v>
      </c>
    </row>
    <row r="1897" spans="1:19" ht="12.5">
      <c r="A1897" s="8">
        <v>43370.396053240736</v>
      </c>
      <c r="B1897" s="11" t="str">
        <f>HYPERLINK("https://twitter.com/MoHAMAD2258","@MoHAMAD2258")</f>
        <v>@MoHAMAD2258</v>
      </c>
      <c r="C1897" s="6" t="s">
        <v>2618</v>
      </c>
      <c r="D1897" s="5" t="s">
        <v>2617</v>
      </c>
      <c r="E1897" s="9" t="str">
        <f>HYPERLINK("https://twitter.com/MoHAMAD2258/status/1045191386419605504","1045191386419605504")</f>
        <v>1045191386419605504</v>
      </c>
      <c r="F1897" s="4"/>
      <c r="G1897" s="10" t="s">
        <v>2616</v>
      </c>
      <c r="H1897" s="4"/>
      <c r="I1897" s="10" t="str">
        <f>HYPERLINK("http://twitter.com/download/android","Twitter for Android")</f>
        <v>Twitter for Android</v>
      </c>
      <c r="J1897" s="2">
        <v>2230</v>
      </c>
      <c r="K1897" s="2">
        <v>3125</v>
      </c>
      <c r="L1897" s="2">
        <v>4</v>
      </c>
      <c r="M1897" s="2"/>
      <c r="N1897" s="8">
        <v>43166.441747685181</v>
      </c>
      <c r="O1897" s="4" t="s">
        <v>200</v>
      </c>
      <c r="P1897" s="3" t="s">
        <v>2615</v>
      </c>
      <c r="Q1897" s="4"/>
      <c r="R1897" s="4"/>
      <c r="S1897" s="9" t="str">
        <f>HYPERLINK("https://pbs.twimg.com/profile_images/1039547145156734976/srNAozaB.jpg","View")</f>
        <v>View</v>
      </c>
    </row>
    <row r="1898" spans="1:19" ht="20">
      <c r="A1898" s="8">
        <v>43370.395891203705</v>
      </c>
      <c r="B1898" s="11" t="str">
        <f>HYPERLINK("https://twitter.com/Erfaneshoon","@Erfaneshoon")</f>
        <v>@Erfaneshoon</v>
      </c>
      <c r="C1898" s="6" t="s">
        <v>1492</v>
      </c>
      <c r="D1898" s="5" t="s">
        <v>2614</v>
      </c>
      <c r="E1898" s="9" t="str">
        <f>HYPERLINK("https://twitter.com/Erfaneshoon/status/1045191326936043520","1045191326936043520")</f>
        <v>1045191326936043520</v>
      </c>
      <c r="F1898" s="4"/>
      <c r="G1898" s="10" t="s">
        <v>2613</v>
      </c>
      <c r="H1898" s="4"/>
      <c r="I1898" s="10" t="str">
        <f>HYPERLINK("http://twitter.com/download/iphone","Twitter for iPhone")</f>
        <v>Twitter for iPhone</v>
      </c>
      <c r="J1898" s="2">
        <v>3459</v>
      </c>
      <c r="K1898" s="2">
        <v>1188</v>
      </c>
      <c r="L1898" s="2">
        <v>18</v>
      </c>
      <c r="M1898" s="2"/>
      <c r="N1898" s="8">
        <v>42875.592731481476</v>
      </c>
      <c r="O1898" s="4" t="s">
        <v>200</v>
      </c>
      <c r="P1898" s="3" t="s">
        <v>1491</v>
      </c>
      <c r="Q1898" s="4"/>
      <c r="R1898" s="4"/>
      <c r="S1898" s="9" t="str">
        <f>HYPERLINK("https://pbs.twimg.com/profile_images/1045191207947829249/XkiB8jxm.jpg","View")</f>
        <v>View</v>
      </c>
    </row>
    <row r="1899" spans="1:19" ht="20">
      <c r="A1899" s="8">
        <v>43370.394861111112</v>
      </c>
      <c r="B1899" s="11" t="str">
        <f>HYPERLINK("https://twitter.com/moeinmoltafet","@moeinmoltafet")</f>
        <v>@moeinmoltafet</v>
      </c>
      <c r="C1899" s="6" t="s">
        <v>302</v>
      </c>
      <c r="D1899" s="5" t="s">
        <v>2612</v>
      </c>
      <c r="E1899" s="9" t="str">
        <f>HYPERLINK("https://twitter.com/moeinmoltafet/status/1045190954523787265","1045190954523787265")</f>
        <v>1045190954523787265</v>
      </c>
      <c r="F1899" s="4"/>
      <c r="G1899" s="4"/>
      <c r="H1899" s="4"/>
      <c r="I1899" s="10" t="str">
        <f>HYPERLINK("http://twitter.com/download/android","Twitter for Android")</f>
        <v>Twitter for Android</v>
      </c>
      <c r="J1899" s="2">
        <v>619</v>
      </c>
      <c r="K1899" s="2">
        <v>296</v>
      </c>
      <c r="L1899" s="2">
        <v>6</v>
      </c>
      <c r="M1899" s="2"/>
      <c r="N1899" s="8">
        <v>41942.503171296295</v>
      </c>
      <c r="O1899" s="4" t="s">
        <v>299</v>
      </c>
      <c r="P1899" s="3" t="s">
        <v>298</v>
      </c>
      <c r="Q1899" s="4"/>
      <c r="R1899" s="4"/>
      <c r="S1899" s="9" t="str">
        <f>HYPERLINK("https://pbs.twimg.com/profile_images/1018434499405860866/Kw-YYkGf.jpg","View")</f>
        <v>View</v>
      </c>
    </row>
    <row r="1900" spans="1:19" ht="40">
      <c r="A1900" s="8">
        <v>43370.393460648149</v>
      </c>
      <c r="B1900" s="11" t="str">
        <f>HYPERLINK("https://twitter.com/iranjaviidan","@iranjaviidan")</f>
        <v>@iranjaviidan</v>
      </c>
      <c r="C1900" s="6" t="s">
        <v>1350</v>
      </c>
      <c r="D1900" s="5" t="s">
        <v>2611</v>
      </c>
      <c r="E1900" s="9" t="str">
        <f>HYPERLINK("https://twitter.com/iranjaviidan/status/1045190445620494338","1045190445620494338")</f>
        <v>1045190445620494338</v>
      </c>
      <c r="F1900" s="4"/>
      <c r="G1900" s="4"/>
      <c r="H1900" s="4"/>
      <c r="I1900" s="10" t="str">
        <f>HYPERLINK("http://twitter.com/download/android","Twitter for Android")</f>
        <v>Twitter for Android</v>
      </c>
      <c r="J1900" s="2">
        <v>479</v>
      </c>
      <c r="K1900" s="2">
        <v>365</v>
      </c>
      <c r="L1900" s="2">
        <v>1</v>
      </c>
      <c r="M1900" s="2"/>
      <c r="N1900" s="8">
        <v>43127.93236111111</v>
      </c>
      <c r="O1900" s="4"/>
      <c r="P1900" s="3"/>
      <c r="Q1900" s="4"/>
      <c r="R1900" s="4"/>
      <c r="S1900" s="9" t="str">
        <f>HYPERLINK("https://pbs.twimg.com/profile_images/1037655912180137984/pM3teOOh.jpg","View")</f>
        <v>View</v>
      </c>
    </row>
    <row r="1901" spans="1:19" ht="30">
      <c r="A1901" s="8">
        <v>43370.392928240741</v>
      </c>
      <c r="B1901" s="11" t="str">
        <f>HYPERLINK("https://twitter.com/bebluepink","@bebluepink")</f>
        <v>@bebluepink</v>
      </c>
      <c r="C1901" s="6" t="s">
        <v>2610</v>
      </c>
      <c r="D1901" s="5" t="s">
        <v>2609</v>
      </c>
      <c r="E1901" s="9" t="str">
        <f>HYPERLINK("https://twitter.com/bebluepink/status/1045190251801661440","1045190251801661440")</f>
        <v>1045190251801661440</v>
      </c>
      <c r="F1901" s="4"/>
      <c r="G1901" s="4"/>
      <c r="H1901" s="4"/>
      <c r="I1901" s="10" t="str">
        <f>HYPERLINK("http://twitter.com/download/android","Twitter for Android")</f>
        <v>Twitter for Android</v>
      </c>
      <c r="J1901" s="2">
        <v>3114</v>
      </c>
      <c r="K1901" s="2">
        <v>685</v>
      </c>
      <c r="L1901" s="2">
        <v>16</v>
      </c>
      <c r="M1901" s="2"/>
      <c r="N1901" s="8">
        <v>43153.524976851855</v>
      </c>
      <c r="O1901" s="4" t="s">
        <v>2608</v>
      </c>
      <c r="P1901" s="3" t="s">
        <v>2607</v>
      </c>
      <c r="Q1901" s="4"/>
      <c r="R1901" s="4"/>
      <c r="S1901" s="9" t="str">
        <f>HYPERLINK("https://pbs.twimg.com/profile_images/1045187748158672896/UxRdCVB9.jpg","View")</f>
        <v>View</v>
      </c>
    </row>
    <row r="1902" spans="1:19" ht="20">
      <c r="A1902" s="8">
        <v>43370.392696759256</v>
      </c>
      <c r="B1902" s="11" t="str">
        <f>HYPERLINK("https://twitter.com/zeYbVFIrS73xpRm","@zeYbVFIrS73xpRm")</f>
        <v>@zeYbVFIrS73xpRm</v>
      </c>
      <c r="C1902" s="6" t="s">
        <v>2606</v>
      </c>
      <c r="D1902" s="5" t="s">
        <v>2605</v>
      </c>
      <c r="E1902" s="9" t="str">
        <f>HYPERLINK("https://twitter.com/zeYbVFIrS73xpRm/status/1045190168767070210","1045190168767070210")</f>
        <v>1045190168767070210</v>
      </c>
      <c r="F1902" s="4"/>
      <c r="G1902" s="4"/>
      <c r="H1902" s="4"/>
      <c r="I1902" s="10" t="str">
        <f>HYPERLINK("http://twitter.com/download/android","Twitter for Android")</f>
        <v>Twitter for Android</v>
      </c>
      <c r="J1902" s="2">
        <v>7</v>
      </c>
      <c r="K1902" s="2">
        <v>83</v>
      </c>
      <c r="L1902" s="2">
        <v>0</v>
      </c>
      <c r="M1902" s="2"/>
      <c r="N1902" s="8">
        <v>43349.569421296299</v>
      </c>
      <c r="O1902" s="4"/>
      <c r="P1902" s="3" t="s">
        <v>2604</v>
      </c>
      <c r="Q1902" s="4"/>
      <c r="R1902" s="4"/>
      <c r="S1902" s="9" t="str">
        <f>HYPERLINK("https://pbs.twimg.com/profile_images/1043049957966708739/mtzUk5dO.jpg","View")</f>
        <v>View</v>
      </c>
    </row>
    <row r="1903" spans="1:19" ht="12.5">
      <c r="A1903" s="8">
        <v>43370.39262731481</v>
      </c>
      <c r="B1903" s="11" t="str">
        <f>HYPERLINK("https://twitter.com/BaratiTina","@BaratiTina")</f>
        <v>@BaratiTina</v>
      </c>
      <c r="C1903" s="6" t="s">
        <v>2603</v>
      </c>
      <c r="D1903" s="5" t="s">
        <v>2602</v>
      </c>
      <c r="E1903" s="9" t="str">
        <f>HYPERLINK("https://twitter.com/BaratiTina/status/1045190143186030592","1045190143186030592")</f>
        <v>1045190143186030592</v>
      </c>
      <c r="F1903" s="4"/>
      <c r="G1903" s="10" t="s">
        <v>2601</v>
      </c>
      <c r="H1903" s="4"/>
      <c r="I1903" s="10" t="str">
        <f>HYPERLINK("http://twitter.com/download/iphone","Twitter for iPhone")</f>
        <v>Twitter for iPhone</v>
      </c>
      <c r="J1903" s="2">
        <v>576</v>
      </c>
      <c r="K1903" s="2">
        <v>209</v>
      </c>
      <c r="L1903" s="2">
        <v>3</v>
      </c>
      <c r="M1903" s="2"/>
      <c r="N1903" s="8">
        <v>42970.90042824074</v>
      </c>
      <c r="O1903" s="4"/>
      <c r="P1903" s="3"/>
      <c r="Q1903" s="4"/>
      <c r="R1903" s="4"/>
      <c r="S1903" s="9" t="str">
        <f>HYPERLINK("https://pbs.twimg.com/profile_images/1040557506022580225/UKS8lviV.jpg","View")</f>
        <v>View</v>
      </c>
    </row>
    <row r="1904" spans="1:19" ht="12.5">
      <c r="A1904" s="8">
        <v>43370.390405092592</v>
      </c>
      <c r="B1904" s="11" t="str">
        <f>HYPERLINK("https://twitter.com/alishaeri89","@alishaeri89")</f>
        <v>@alishaeri89</v>
      </c>
      <c r="C1904" s="6" t="s">
        <v>1036</v>
      </c>
      <c r="D1904" s="5" t="s">
        <v>2600</v>
      </c>
      <c r="E1904" s="9" t="str">
        <f>HYPERLINK("https://twitter.com/alishaeri89/status/1045189337200164864","1045189337200164864")</f>
        <v>1045189337200164864</v>
      </c>
      <c r="F1904" s="4"/>
      <c r="G1904" s="10" t="s">
        <v>2599</v>
      </c>
      <c r="H1904" s="4"/>
      <c r="I1904" s="10" t="str">
        <f>HYPERLINK("http://twitter.com/download/android","Twitter for Android")</f>
        <v>Twitter for Android</v>
      </c>
      <c r="J1904" s="2">
        <v>1825</v>
      </c>
      <c r="K1904" s="2">
        <v>1774</v>
      </c>
      <c r="L1904" s="2">
        <v>2</v>
      </c>
      <c r="M1904" s="2"/>
      <c r="N1904" s="8">
        <v>43248.747106481482</v>
      </c>
      <c r="O1904" s="4" t="s">
        <v>62</v>
      </c>
      <c r="P1904" s="3" t="s">
        <v>1034</v>
      </c>
      <c r="Q1904" s="4"/>
      <c r="R1904" s="4"/>
      <c r="S1904" s="9" t="str">
        <f>HYPERLINK("https://pbs.twimg.com/profile_images/1019917938999070720/VqHRCseB.jpg","View")</f>
        <v>View</v>
      </c>
    </row>
    <row r="1905" spans="1:19" ht="30">
      <c r="A1905" s="8">
        <v>43370.388854166667</v>
      </c>
      <c r="B1905" s="11" t="str">
        <f>HYPERLINK("https://twitter.com/mrahmadheidari","@mrahmadheidari")</f>
        <v>@mrahmadheidari</v>
      </c>
      <c r="C1905" s="6" t="s">
        <v>2598</v>
      </c>
      <c r="D1905" s="5" t="s">
        <v>2597</v>
      </c>
      <c r="E1905" s="9" t="str">
        <f>HYPERLINK("https://twitter.com/mrahmadheidari/status/1045188774593011712","1045188774593011712")</f>
        <v>1045188774593011712</v>
      </c>
      <c r="F1905" s="4"/>
      <c r="G1905" s="4"/>
      <c r="H1905" s="4"/>
      <c r="I1905" s="10" t="str">
        <f>HYPERLINK("http://twitter.com/download/android","Twitter for Android")</f>
        <v>Twitter for Android</v>
      </c>
      <c r="J1905" s="2">
        <v>3</v>
      </c>
      <c r="K1905" s="2">
        <v>10</v>
      </c>
      <c r="L1905" s="2">
        <v>0</v>
      </c>
      <c r="M1905" s="2"/>
      <c r="N1905" s="8">
        <v>43368.695</v>
      </c>
      <c r="O1905" s="4"/>
      <c r="P1905" s="3"/>
      <c r="Q1905" s="4"/>
      <c r="R1905" s="4"/>
      <c r="S1905" s="2" t="s">
        <v>259</v>
      </c>
    </row>
    <row r="1906" spans="1:19" ht="30">
      <c r="A1906" s="8">
        <v>43370.387928240743</v>
      </c>
      <c r="B1906" s="11" t="str">
        <f>HYPERLINK("https://twitter.com/dialectic1812","@dialectic1812")</f>
        <v>@dialectic1812</v>
      </c>
      <c r="C1906" s="6" t="s">
        <v>2596</v>
      </c>
      <c r="D1906" s="5" t="s">
        <v>2595</v>
      </c>
      <c r="E1906" s="9" t="str">
        <f>HYPERLINK("https://twitter.com/dialectic1812/status/1045188442177654784","1045188442177654784")</f>
        <v>1045188442177654784</v>
      </c>
      <c r="F1906" s="4"/>
      <c r="G1906" s="4"/>
      <c r="H1906" s="4"/>
      <c r="I1906" s="10" t="str">
        <f>HYPERLINK("http://twitter.com/download/iphone","Twitter for iPhone")</f>
        <v>Twitter for iPhone</v>
      </c>
      <c r="J1906" s="2">
        <v>401</v>
      </c>
      <c r="K1906" s="2">
        <v>143</v>
      </c>
      <c r="L1906" s="2">
        <v>4</v>
      </c>
      <c r="M1906" s="2"/>
      <c r="N1906" s="8">
        <v>40689.496458333335</v>
      </c>
      <c r="O1906" s="4" t="s">
        <v>170</v>
      </c>
      <c r="P1906" s="3" t="s">
        <v>2594</v>
      </c>
      <c r="Q1906" s="4"/>
      <c r="R1906" s="4"/>
      <c r="S1906" s="9" t="str">
        <f>HYPERLINK("https://pbs.twimg.com/profile_images/873827516854751233/rxu1kss-.jpg","View")</f>
        <v>View</v>
      </c>
    </row>
    <row r="1907" spans="1:19" ht="20">
      <c r="A1907" s="8">
        <v>43370.387222222227</v>
      </c>
      <c r="B1907" s="11" t="str">
        <f>HYPERLINK("https://twitter.com/Fatima_H_M_R","@Fatima_H_M_R")</f>
        <v>@Fatima_H_M_R</v>
      </c>
      <c r="C1907" s="6" t="s">
        <v>2593</v>
      </c>
      <c r="D1907" s="5" t="s">
        <v>2592</v>
      </c>
      <c r="E1907" s="9" t="str">
        <f>HYPERLINK("https://twitter.com/Fatima_H_M_R/status/1045188184966148096","1045188184966148096")</f>
        <v>1045188184966148096</v>
      </c>
      <c r="F1907" s="4"/>
      <c r="G1907" s="4"/>
      <c r="H1907" s="4"/>
      <c r="I1907" s="10" t="str">
        <f>HYPERLINK("http://twitter.com/download/android","Twitter for Android")</f>
        <v>Twitter for Android</v>
      </c>
      <c r="J1907" s="2">
        <v>826</v>
      </c>
      <c r="K1907" s="2">
        <v>819</v>
      </c>
      <c r="L1907" s="2">
        <v>2</v>
      </c>
      <c r="M1907" s="2"/>
      <c r="N1907" s="8">
        <v>42905.393495370372</v>
      </c>
      <c r="O1907" s="4"/>
      <c r="P1907" s="3" t="s">
        <v>2591</v>
      </c>
      <c r="Q1907" s="10" t="s">
        <v>2590</v>
      </c>
      <c r="R1907" s="4"/>
      <c r="S1907" s="9" t="str">
        <f>HYPERLINK("https://pbs.twimg.com/profile_images/1044316159699443712/gonRpZ45.jpg","View")</f>
        <v>View</v>
      </c>
    </row>
    <row r="1908" spans="1:19" ht="30">
      <c r="A1908" s="8">
        <v>43370.386759259258</v>
      </c>
      <c r="B1908" s="11" t="str">
        <f>HYPERLINK("https://twitter.com/Bahman_sameti","@Bahman_sameti")</f>
        <v>@Bahman_sameti</v>
      </c>
      <c r="C1908" s="6" t="s">
        <v>2589</v>
      </c>
      <c r="D1908" s="5" t="s">
        <v>2588</v>
      </c>
      <c r="E1908" s="9" t="str">
        <f>HYPERLINK("https://twitter.com/Bahman_sameti/status/1045188016162131968","1045188016162131968")</f>
        <v>1045188016162131968</v>
      </c>
      <c r="F1908" s="4"/>
      <c r="G1908" s="4"/>
      <c r="H1908" s="4"/>
      <c r="I1908" s="10" t="str">
        <f>HYPERLINK("http://twitter.com","Twitter Web Client")</f>
        <v>Twitter Web Client</v>
      </c>
      <c r="J1908" s="2">
        <v>1147</v>
      </c>
      <c r="K1908" s="2">
        <v>1146</v>
      </c>
      <c r="L1908" s="2">
        <v>0</v>
      </c>
      <c r="M1908" s="2"/>
      <c r="N1908" s="8">
        <v>43310.86855324074</v>
      </c>
      <c r="O1908" s="4" t="s">
        <v>200</v>
      </c>
      <c r="P1908" s="3" t="s">
        <v>2587</v>
      </c>
      <c r="Q1908" s="4"/>
      <c r="R1908" s="4"/>
      <c r="S1908" s="9" t="str">
        <f>HYPERLINK("https://pbs.twimg.com/profile_images/1023937372801495041/9fU6lmTk.jpg","View")</f>
        <v>View</v>
      </c>
    </row>
    <row r="1909" spans="1:19" ht="12.5">
      <c r="A1909" s="8">
        <v>43370.385381944448</v>
      </c>
      <c r="B1909" s="11" t="str">
        <f>HYPERLINK("https://twitter.com/Jalal_lionn","@Jalal_lionn")</f>
        <v>@Jalal_lionn</v>
      </c>
      <c r="C1909" s="6" t="s">
        <v>2586</v>
      </c>
      <c r="D1909" s="5" t="s">
        <v>2585</v>
      </c>
      <c r="E1909" s="9" t="str">
        <f>HYPERLINK("https://twitter.com/Jalal_lionn/status/1045187518738649088","1045187518738649088")</f>
        <v>1045187518738649088</v>
      </c>
      <c r="F1909" s="4"/>
      <c r="G1909" s="4"/>
      <c r="H1909" s="4"/>
      <c r="I1909" s="10" t="str">
        <f>HYPERLINK("http://twitter.com","Twitter Web Client")</f>
        <v>Twitter Web Client</v>
      </c>
      <c r="J1909" s="2">
        <v>3333</v>
      </c>
      <c r="K1909" s="2">
        <v>3054</v>
      </c>
      <c r="L1909" s="2">
        <v>12</v>
      </c>
      <c r="M1909" s="2"/>
      <c r="N1909" s="8">
        <v>41701.861620370371</v>
      </c>
      <c r="O1909" s="4"/>
      <c r="P1909" s="3" t="s">
        <v>2584</v>
      </c>
      <c r="Q1909" s="10" t="s">
        <v>2583</v>
      </c>
      <c r="R1909" s="4"/>
      <c r="S1909" s="9" t="str">
        <f>HYPERLINK("https://pbs.twimg.com/profile_images/1036166797215580160/o07hV2fG.jpg","View")</f>
        <v>View</v>
      </c>
    </row>
    <row r="1910" spans="1:19" ht="40">
      <c r="A1910" s="8">
        <v>43370.383773148147</v>
      </c>
      <c r="B1910" s="11" t="str">
        <f>HYPERLINK("https://twitter.com/FcEsteghlal","@FcEsteghlal")</f>
        <v>@FcEsteghlal</v>
      </c>
      <c r="C1910" s="6" t="s">
        <v>2582</v>
      </c>
      <c r="D1910" s="5" t="s">
        <v>2581</v>
      </c>
      <c r="E1910" s="9" t="str">
        <f>HYPERLINK("https://twitter.com/FcEsteghlal/status/1045186933431971840","1045186933431971840")</f>
        <v>1045186933431971840</v>
      </c>
      <c r="F1910" s="4"/>
      <c r="G1910" s="10" t="s">
        <v>2580</v>
      </c>
      <c r="H1910" s="4"/>
      <c r="I1910" s="10" t="str">
        <f>HYPERLINK("https://mobile.twitter.com","Twitter Lite")</f>
        <v>Twitter Lite</v>
      </c>
      <c r="J1910" s="2">
        <v>30039</v>
      </c>
      <c r="K1910" s="2">
        <v>20</v>
      </c>
      <c r="L1910" s="2">
        <v>93</v>
      </c>
      <c r="M1910" s="2"/>
      <c r="N1910" s="8">
        <v>40386.474282407406</v>
      </c>
      <c r="O1910" s="4" t="s">
        <v>2579</v>
      </c>
      <c r="P1910" s="3" t="s">
        <v>2578</v>
      </c>
      <c r="Q1910" s="10" t="s">
        <v>2577</v>
      </c>
      <c r="R1910" s="4"/>
      <c r="S1910" s="9" t="str">
        <f>HYPERLINK("https://pbs.twimg.com/profile_images/873957969242804224/bHd1FU0k.jpg","View")</f>
        <v>View</v>
      </c>
    </row>
    <row r="1911" spans="1:19" ht="50">
      <c r="A1911" s="8">
        <v>43370.382685185185</v>
      </c>
      <c r="B1911" s="11" t="str">
        <f>HYPERLINK("https://twitter.com/iranjaviidan","@iranjaviidan")</f>
        <v>@iranjaviidan</v>
      </c>
      <c r="C1911" s="6" t="s">
        <v>1350</v>
      </c>
      <c r="D1911" s="5" t="s">
        <v>2576</v>
      </c>
      <c r="E1911" s="9" t="str">
        <f>HYPERLINK("https://twitter.com/iranjaviidan/status/1045186540786397185","1045186540786397185")</f>
        <v>1045186540786397185</v>
      </c>
      <c r="F1911" s="4"/>
      <c r="G1911" s="4"/>
      <c r="H1911" s="4"/>
      <c r="I1911" s="10" t="str">
        <f>HYPERLINK("http://twitter.com/download/android","Twitter for Android")</f>
        <v>Twitter for Android</v>
      </c>
      <c r="J1911" s="2">
        <v>476</v>
      </c>
      <c r="K1911" s="2">
        <v>364</v>
      </c>
      <c r="L1911" s="2">
        <v>1</v>
      </c>
      <c r="M1911" s="2"/>
      <c r="N1911" s="8">
        <v>43127.93236111111</v>
      </c>
      <c r="O1911" s="4"/>
      <c r="P1911" s="3"/>
      <c r="Q1911" s="4"/>
      <c r="R1911" s="4"/>
      <c r="S1911" s="9" t="str">
        <f>HYPERLINK("https://pbs.twimg.com/profile_images/1037655912180137984/pM3teOOh.jpg","View")</f>
        <v>View</v>
      </c>
    </row>
    <row r="1912" spans="1:19" ht="20">
      <c r="A1912" s="8">
        <v>43370.381793981476</v>
      </c>
      <c r="B1912" s="11" t="str">
        <f>HYPERLINK("https://twitter.com/sadra_ka","@sadra_ka")</f>
        <v>@sadra_ka</v>
      </c>
      <c r="C1912" s="6" t="s">
        <v>2575</v>
      </c>
      <c r="D1912" s="5" t="s">
        <v>2574</v>
      </c>
      <c r="E1912" s="9" t="str">
        <f>HYPERLINK("https://twitter.com/sadra_ka/status/1045186215648120832","1045186215648120832")</f>
        <v>1045186215648120832</v>
      </c>
      <c r="F1912" s="4"/>
      <c r="G1912" s="4"/>
      <c r="H1912" s="4"/>
      <c r="I1912" s="10" t="str">
        <f>HYPERLINK("http://twitter.com/download/android","Twitter for Android")</f>
        <v>Twitter for Android</v>
      </c>
      <c r="J1912" s="2">
        <v>851</v>
      </c>
      <c r="K1912" s="2">
        <v>593</v>
      </c>
      <c r="L1912" s="2">
        <v>4</v>
      </c>
      <c r="M1912" s="2"/>
      <c r="N1912" s="8">
        <v>42862.646620370375</v>
      </c>
      <c r="O1912" s="4" t="s">
        <v>200</v>
      </c>
      <c r="P1912" s="3" t="s">
        <v>2573</v>
      </c>
      <c r="Q1912" s="4"/>
      <c r="R1912" s="4"/>
      <c r="S1912" s="9" t="str">
        <f>HYPERLINK("https://pbs.twimg.com/profile_images/1042864912979161090/2vfpIBgD.jpg","View")</f>
        <v>View</v>
      </c>
    </row>
    <row r="1913" spans="1:19" ht="40">
      <c r="A1913" s="8">
        <v>43370.381747685184</v>
      </c>
      <c r="B1913" s="11" t="str">
        <f>HYPERLINK("https://twitter.com/iranjaviidan","@iranjaviidan")</f>
        <v>@iranjaviidan</v>
      </c>
      <c r="C1913" s="6" t="s">
        <v>1350</v>
      </c>
      <c r="D1913" s="5" t="s">
        <v>2572</v>
      </c>
      <c r="E1913" s="9" t="str">
        <f>HYPERLINK("https://twitter.com/iranjaviidan/status/1045186200930316288","1045186200930316288")</f>
        <v>1045186200930316288</v>
      </c>
      <c r="F1913" s="4"/>
      <c r="G1913" s="4"/>
      <c r="H1913" s="4"/>
      <c r="I1913" s="10" t="str">
        <f>HYPERLINK("http://twitter.com/download/android","Twitter for Android")</f>
        <v>Twitter for Android</v>
      </c>
      <c r="J1913" s="2">
        <v>476</v>
      </c>
      <c r="K1913" s="2">
        <v>364</v>
      </c>
      <c r="L1913" s="2">
        <v>1</v>
      </c>
      <c r="M1913" s="2"/>
      <c r="N1913" s="8">
        <v>43127.93236111111</v>
      </c>
      <c r="O1913" s="4"/>
      <c r="P1913" s="3"/>
      <c r="Q1913" s="4"/>
      <c r="R1913" s="4"/>
      <c r="S1913" s="9" t="str">
        <f>HYPERLINK("https://pbs.twimg.com/profile_images/1037655912180137984/pM3teOOh.jpg","View")</f>
        <v>View</v>
      </c>
    </row>
    <row r="1914" spans="1:19" ht="30">
      <c r="A1914" s="8">
        <v>43370.381307870368</v>
      </c>
      <c r="B1914" s="11" t="str">
        <f>HYPERLINK("https://twitter.com/iranjaviidan","@iranjaviidan")</f>
        <v>@iranjaviidan</v>
      </c>
      <c r="C1914" s="6" t="s">
        <v>1350</v>
      </c>
      <c r="D1914" s="5" t="s">
        <v>2571</v>
      </c>
      <c r="E1914" s="9" t="str">
        <f>HYPERLINK("https://twitter.com/iranjaviidan/status/1045186040699523072","1045186040699523072")</f>
        <v>1045186040699523072</v>
      </c>
      <c r="F1914" s="4"/>
      <c r="G1914" s="4"/>
      <c r="H1914" s="4"/>
      <c r="I1914" s="10" t="str">
        <f>HYPERLINK("http://twitter.com/download/android","Twitter for Android")</f>
        <v>Twitter for Android</v>
      </c>
      <c r="J1914" s="2">
        <v>476</v>
      </c>
      <c r="K1914" s="2">
        <v>364</v>
      </c>
      <c r="L1914" s="2">
        <v>1</v>
      </c>
      <c r="M1914" s="2"/>
      <c r="N1914" s="8">
        <v>43127.93236111111</v>
      </c>
      <c r="O1914" s="4"/>
      <c r="P1914" s="3"/>
      <c r="Q1914" s="4"/>
      <c r="R1914" s="4"/>
      <c r="S1914" s="9" t="str">
        <f>HYPERLINK("https://pbs.twimg.com/profile_images/1037655912180137984/pM3teOOh.jpg","View")</f>
        <v>View</v>
      </c>
    </row>
    <row r="1915" spans="1:19" ht="20">
      <c r="A1915" s="8">
        <v>43370.380775462967</v>
      </c>
      <c r="B1915" s="11" t="str">
        <f>HYPERLINK("https://twitter.com/zahratabrizii","@zahratabrizii")</f>
        <v>@zahratabrizii</v>
      </c>
      <c r="C1915" s="6" t="s">
        <v>2570</v>
      </c>
      <c r="D1915" s="5" t="s">
        <v>2569</v>
      </c>
      <c r="E1915" s="9" t="str">
        <f>HYPERLINK("https://twitter.com/zahratabrizii/status/1045185847069483009","1045185847069483009")</f>
        <v>1045185847069483009</v>
      </c>
      <c r="F1915" s="4"/>
      <c r="G1915" s="4"/>
      <c r="H1915" s="4"/>
      <c r="I1915" s="10" t="str">
        <f>HYPERLINK("http://twitter.com/download/iphone","Twitter for iPhone")</f>
        <v>Twitter for iPhone</v>
      </c>
      <c r="J1915" s="2">
        <v>658</v>
      </c>
      <c r="K1915" s="2">
        <v>500</v>
      </c>
      <c r="L1915" s="2">
        <v>1</v>
      </c>
      <c r="M1915" s="2"/>
      <c r="N1915" s="8">
        <v>42903.475543981476</v>
      </c>
      <c r="O1915" s="4" t="s">
        <v>200</v>
      </c>
      <c r="P1915" s="3" t="s">
        <v>2568</v>
      </c>
      <c r="Q1915" s="10" t="s">
        <v>2567</v>
      </c>
      <c r="R1915" s="4"/>
      <c r="S1915" s="9" t="str">
        <f>HYPERLINK("https://pbs.twimg.com/profile_images/1042494942277447681/Xzy9X1HK.jpg","View")</f>
        <v>View</v>
      </c>
    </row>
    <row r="1916" spans="1:19" ht="30">
      <c r="A1916" s="8">
        <v>43370.38076388889</v>
      </c>
      <c r="B1916" s="11" t="str">
        <f>HYPERLINK("https://twitter.com/MostafaPirhaya3","@MostafaPirhaya3")</f>
        <v>@MostafaPirhaya3</v>
      </c>
      <c r="C1916" s="6" t="s">
        <v>1017</v>
      </c>
      <c r="D1916" s="5" t="s">
        <v>2566</v>
      </c>
      <c r="E1916" s="9" t="str">
        <f>HYPERLINK("https://twitter.com/MostafaPirhaya3/status/1045185844418670593","1045185844418670593")</f>
        <v>1045185844418670593</v>
      </c>
      <c r="F1916" s="4"/>
      <c r="G1916" s="10" t="s">
        <v>2565</v>
      </c>
      <c r="H1916" s="4"/>
      <c r="I1916" s="10" t="str">
        <f>HYPERLINK("http://twitter.com/download/android","Twitter for Android")</f>
        <v>Twitter for Android</v>
      </c>
      <c r="J1916" s="2">
        <v>722</v>
      </c>
      <c r="K1916" s="2">
        <v>771</v>
      </c>
      <c r="L1916" s="2">
        <v>3</v>
      </c>
      <c r="M1916" s="2"/>
      <c r="N1916" s="8">
        <v>43288.989895833336</v>
      </c>
      <c r="O1916" s="4" t="s">
        <v>200</v>
      </c>
      <c r="P1916" s="3" t="s">
        <v>1014</v>
      </c>
      <c r="Q1916" s="4"/>
      <c r="R1916" s="4"/>
      <c r="S1916" s="9" t="str">
        <f>HYPERLINK("https://pbs.twimg.com/profile_images/1038483116099350534/URHH_U_r.jpg","View")</f>
        <v>View</v>
      </c>
    </row>
    <row r="1917" spans="1:19" ht="20">
      <c r="A1917" s="8">
        <v>43370.380752314813</v>
      </c>
      <c r="B1917" s="11" t="str">
        <f>HYPERLINK("https://twitter.com/AhsCUruqgkANFuE","@AhsCUruqgkANFuE")</f>
        <v>@AhsCUruqgkANFuE</v>
      </c>
      <c r="C1917" s="6" t="s">
        <v>2564</v>
      </c>
      <c r="D1917" s="5" t="s">
        <v>2563</v>
      </c>
      <c r="E1917" s="9" t="str">
        <f>HYPERLINK("https://twitter.com/AhsCUruqgkANFuE/status/1045185840756985856","1045185840756985856")</f>
        <v>1045185840756985856</v>
      </c>
      <c r="F1917" s="4"/>
      <c r="G1917" s="4"/>
      <c r="H1917" s="4"/>
      <c r="I1917" s="10" t="str">
        <f>HYPERLINK("http://twitter.com/download/android","Twitter for Android")</f>
        <v>Twitter for Android</v>
      </c>
      <c r="J1917" s="2">
        <v>24</v>
      </c>
      <c r="K1917" s="2">
        <v>60</v>
      </c>
      <c r="L1917" s="2">
        <v>0</v>
      </c>
      <c r="M1917" s="2"/>
      <c r="N1917" s="8">
        <v>43293.355196759258</v>
      </c>
      <c r="O1917" s="4"/>
      <c r="P1917" s="3" t="s">
        <v>2562</v>
      </c>
      <c r="Q1917" s="4"/>
      <c r="R1917" s="4"/>
      <c r="S1917" s="9" t="str">
        <f>HYPERLINK("https://pbs.twimg.com/profile_images/1043467599483478016/ee_hC4Ma.jpg","View")</f>
        <v>View</v>
      </c>
    </row>
    <row r="1918" spans="1:19" ht="20">
      <c r="A1918" s="8">
        <v>43370.379872685182</v>
      </c>
      <c r="B1918" s="11" t="str">
        <f>HYPERLINK("https://twitter.com/khadem1992","@khadem1992")</f>
        <v>@khadem1992</v>
      </c>
      <c r="C1918" s="6" t="s">
        <v>2561</v>
      </c>
      <c r="D1918" s="5" t="s">
        <v>2560</v>
      </c>
      <c r="E1918" s="9" t="str">
        <f>HYPERLINK("https://twitter.com/khadem1992/status/1045185521570512896","1045185521570512896")</f>
        <v>1045185521570512896</v>
      </c>
      <c r="F1918" s="4"/>
      <c r="G1918" s="10" t="s">
        <v>2559</v>
      </c>
      <c r="H1918" s="4"/>
      <c r="I1918" s="10" t="str">
        <f>HYPERLINK("http://twitter.com/download/iphone","Twitter for iPhone")</f>
        <v>Twitter for iPhone</v>
      </c>
      <c r="J1918" s="2">
        <v>281</v>
      </c>
      <c r="K1918" s="2">
        <v>228</v>
      </c>
      <c r="L1918" s="2">
        <v>0</v>
      </c>
      <c r="M1918" s="2"/>
      <c r="N1918" s="8">
        <v>43225.817546296297</v>
      </c>
      <c r="O1918" s="4" t="s">
        <v>200</v>
      </c>
      <c r="P1918" s="3" t="s">
        <v>2558</v>
      </c>
      <c r="Q1918" s="4"/>
      <c r="R1918" s="4"/>
      <c r="S1918" s="9" t="str">
        <f>HYPERLINK("https://pbs.twimg.com/profile_images/992783717499273217/4vRHrhbC.jpg","View")</f>
        <v>View</v>
      </c>
    </row>
    <row r="1919" spans="1:19" ht="50">
      <c r="A1919" s="8">
        <v>43370.37981481482</v>
      </c>
      <c r="B1919" s="11" t="str">
        <f>HYPERLINK("https://twitter.com/captain_jack_ir","@captain_jack_ir")</f>
        <v>@captain_jack_ir</v>
      </c>
      <c r="C1919" s="6" t="s">
        <v>2557</v>
      </c>
      <c r="D1919" s="5" t="s">
        <v>2556</v>
      </c>
      <c r="E1919" s="9" t="str">
        <f>HYPERLINK("https://twitter.com/captain_jack_ir/status/1045185499508428800","1045185499508428800")</f>
        <v>1045185499508428800</v>
      </c>
      <c r="F1919" s="10" t="s">
        <v>2555</v>
      </c>
      <c r="G1919" s="4"/>
      <c r="H1919" s="4"/>
      <c r="I1919" s="10" t="str">
        <f>HYPERLINK("http://twitter.com/download/android","Twitter for Android")</f>
        <v>Twitter for Android</v>
      </c>
      <c r="J1919" s="2">
        <v>477</v>
      </c>
      <c r="K1919" s="2">
        <v>593</v>
      </c>
      <c r="L1919" s="2">
        <v>0</v>
      </c>
      <c r="M1919" s="2"/>
      <c r="N1919" s="8">
        <v>43124.532372685186</v>
      </c>
      <c r="O1919" s="4" t="s">
        <v>414</v>
      </c>
      <c r="P1919" s="3" t="s">
        <v>2554</v>
      </c>
      <c r="Q1919" s="4"/>
      <c r="R1919" s="4"/>
      <c r="S1919" s="9" t="str">
        <f>HYPERLINK("https://pbs.twimg.com/profile_images/988466747345920007/FX4oY2qH.jpg","View")</f>
        <v>View</v>
      </c>
    </row>
    <row r="1920" spans="1:19" ht="30">
      <c r="A1920" s="8">
        <v>43370.379236111112</v>
      </c>
      <c r="B1920" s="11" t="str">
        <f>HYPERLINK("https://twitter.com/amirolomara","@amirolomara")</f>
        <v>@amirolomara</v>
      </c>
      <c r="C1920" s="6" t="s">
        <v>2553</v>
      </c>
      <c r="D1920" s="5" t="s">
        <v>2552</v>
      </c>
      <c r="E1920" s="9" t="str">
        <f>HYPERLINK("https://twitter.com/amirolomara/status/1045185290913157120","1045185290913157120")</f>
        <v>1045185290913157120</v>
      </c>
      <c r="F1920" s="4"/>
      <c r="G1920" s="10" t="s">
        <v>2551</v>
      </c>
      <c r="H1920" s="4"/>
      <c r="I1920" s="10" t="str">
        <f>HYPERLINK("https://mobile.twitter.com","Twitter Lite")</f>
        <v>Twitter Lite</v>
      </c>
      <c r="J1920" s="2">
        <v>13</v>
      </c>
      <c r="K1920" s="2">
        <v>35</v>
      </c>
      <c r="L1920" s="2">
        <v>0</v>
      </c>
      <c r="M1920" s="2"/>
      <c r="N1920" s="8">
        <v>43121.652939814812</v>
      </c>
      <c r="O1920" s="4"/>
      <c r="P1920" s="3" t="s">
        <v>2550</v>
      </c>
      <c r="Q1920" s="4"/>
      <c r="R1920" s="4"/>
      <c r="S1920" s="9" t="str">
        <f>HYPERLINK("https://pbs.twimg.com/profile_images/956988526771556353/5dinRdVp.jpg","View")</f>
        <v>View</v>
      </c>
    </row>
    <row r="1921" spans="1:19" ht="40">
      <c r="A1921" s="8">
        <v>43370.378738425927</v>
      </c>
      <c r="B1921" s="11" t="str">
        <f>HYPERLINK("https://twitter.com/jamejamCPI","@jamejamCPI")</f>
        <v>@jamejamCPI</v>
      </c>
      <c r="C1921" s="6" t="s">
        <v>2549</v>
      </c>
      <c r="D1921" s="5" t="s">
        <v>2548</v>
      </c>
      <c r="E1921" s="9" t="str">
        <f>HYPERLINK("https://twitter.com/jamejamCPI/status/1045185108200820736","1045185108200820736")</f>
        <v>1045185108200820736</v>
      </c>
      <c r="F1921" s="4"/>
      <c r="G1921" s="4"/>
      <c r="H1921" s="4"/>
      <c r="I1921" s="10" t="str">
        <f>HYPERLINK("http://twitter.com","Twitter Web Client")</f>
        <v>Twitter Web Client</v>
      </c>
      <c r="J1921" s="2">
        <v>27109</v>
      </c>
      <c r="K1921" s="2">
        <v>1408</v>
      </c>
      <c r="L1921" s="2">
        <v>146</v>
      </c>
      <c r="M1921" s="2"/>
      <c r="N1921" s="8">
        <v>41548.76021990741</v>
      </c>
      <c r="O1921" s="4" t="s">
        <v>2547</v>
      </c>
      <c r="P1921" s="3" t="s">
        <v>2546</v>
      </c>
      <c r="Q1921" s="10" t="s">
        <v>2545</v>
      </c>
      <c r="R1921" s="4"/>
      <c r="S1921" s="9" t="str">
        <f>HYPERLINK("https://pbs.twimg.com/profile_images/1016553348819046405/PBNorYe4.jpg","View")</f>
        <v>View</v>
      </c>
    </row>
    <row r="1922" spans="1:19" ht="12.5">
      <c r="A1922" s="8">
        <v>43370.378217592588</v>
      </c>
      <c r="B1922" s="11" t="str">
        <f>HYPERLINK("https://twitter.com/immersivio","@immersivio")</f>
        <v>@immersivio</v>
      </c>
      <c r="C1922" s="6" t="s">
        <v>2544</v>
      </c>
      <c r="D1922" s="5" t="s">
        <v>2543</v>
      </c>
      <c r="E1922" s="9" t="str">
        <f>HYPERLINK("https://twitter.com/immersivio/status/1045184922997022720","1045184922997022720")</f>
        <v>1045184922997022720</v>
      </c>
      <c r="F1922" s="4"/>
      <c r="G1922" s="10" t="s">
        <v>2542</v>
      </c>
      <c r="H1922" s="4"/>
      <c r="I1922" s="10" t="str">
        <f>HYPERLINK("http://twitter.com/download/android","Twitter for Android")</f>
        <v>Twitter for Android</v>
      </c>
      <c r="J1922" s="2">
        <v>11889</v>
      </c>
      <c r="K1922" s="2">
        <v>1493</v>
      </c>
      <c r="L1922" s="2">
        <v>47</v>
      </c>
      <c r="M1922" s="2"/>
      <c r="N1922" s="8">
        <v>40385.579143518517</v>
      </c>
      <c r="O1922" s="4" t="s">
        <v>2541</v>
      </c>
      <c r="P1922" s="3" t="s">
        <v>2540</v>
      </c>
      <c r="Q1922" s="4"/>
      <c r="R1922" s="4"/>
      <c r="S1922" s="9" t="str">
        <f>HYPERLINK("https://pbs.twimg.com/profile_images/1045103572445065216/QZK9jY5m.jpg","View")</f>
        <v>View</v>
      </c>
    </row>
    <row r="1923" spans="1:19" ht="30">
      <c r="A1923" s="8">
        <v>43370.377986111111</v>
      </c>
      <c r="B1923" s="11" t="str">
        <f>HYPERLINK("https://twitter.com/Leon65nm","@Leon65nm")</f>
        <v>@Leon65nm</v>
      </c>
      <c r="C1923" s="6" t="s">
        <v>2539</v>
      </c>
      <c r="D1923" s="5" t="s">
        <v>2538</v>
      </c>
      <c r="E1923" s="9" t="str">
        <f>HYPERLINK("https://twitter.com/Leon65nm/status/1045184835541749760","1045184835541749760")</f>
        <v>1045184835541749760</v>
      </c>
      <c r="F1923" s="4"/>
      <c r="G1923" s="4"/>
      <c r="H1923" s="4"/>
      <c r="I1923" s="10" t="str">
        <f>HYPERLINK("http://twitter.com/download/android","Twitter for Android")</f>
        <v>Twitter for Android</v>
      </c>
      <c r="J1923" s="2">
        <v>7</v>
      </c>
      <c r="K1923" s="2">
        <v>16</v>
      </c>
      <c r="L1923" s="2">
        <v>0</v>
      </c>
      <c r="M1923" s="2"/>
      <c r="N1923" s="8">
        <v>43226.442523148144</v>
      </c>
      <c r="O1923" s="4"/>
      <c r="P1923" s="3"/>
      <c r="Q1923" s="4"/>
      <c r="R1923" s="4"/>
      <c r="S1923" s="9" t="str">
        <f>HYPERLINK("https://pbs.twimg.com/profile_images/1038733218709745664/B0v8LRWn.jpg","View")</f>
        <v>View</v>
      </c>
    </row>
    <row r="1924" spans="1:19" ht="20">
      <c r="A1924" s="8">
        <v>43370.375972222224</v>
      </c>
      <c r="B1924" s="11" t="str">
        <f>HYPERLINK("https://twitter.com/__shahryari__","@__shahryari__")</f>
        <v>@__shahryari__</v>
      </c>
      <c r="C1924" s="6" t="s">
        <v>2537</v>
      </c>
      <c r="D1924" s="5" t="s">
        <v>2536</v>
      </c>
      <c r="E1924" s="9" t="str">
        <f>HYPERLINK("https://twitter.com/__shahryari__/status/1045184107406397440","1045184107406397440")</f>
        <v>1045184107406397440</v>
      </c>
      <c r="F1924" s="4"/>
      <c r="G1924" s="4"/>
      <c r="H1924" s="4"/>
      <c r="I1924" s="10" t="str">
        <f>HYPERLINK("http://twitter.com/download/android","Twitter for Android")</f>
        <v>Twitter for Android</v>
      </c>
      <c r="J1924" s="2">
        <v>736</v>
      </c>
      <c r="K1924" s="2">
        <v>1829</v>
      </c>
      <c r="L1924" s="2">
        <v>2</v>
      </c>
      <c r="M1924" s="2"/>
      <c r="N1924" s="8">
        <v>42760.336701388893</v>
      </c>
      <c r="O1924" s="4" t="s">
        <v>254</v>
      </c>
      <c r="P1924" s="3" t="s">
        <v>2535</v>
      </c>
      <c r="Q1924" s="4"/>
      <c r="R1924" s="4"/>
      <c r="S1924" s="9" t="str">
        <f>HYPERLINK("https://pbs.twimg.com/profile_images/824117286592253955/a4adXBPW.jpg","View")</f>
        <v>View</v>
      </c>
    </row>
    <row r="1925" spans="1:19" ht="30">
      <c r="A1925" s="8">
        <v>43370.374756944446</v>
      </c>
      <c r="B1925" s="11" t="str">
        <f>HYPERLINK("https://twitter.com/teanabat","@teanabat")</f>
        <v>@teanabat</v>
      </c>
      <c r="C1925" s="6" t="s">
        <v>2534</v>
      </c>
      <c r="D1925" s="5" t="s">
        <v>2533</v>
      </c>
      <c r="E1925" s="9" t="str">
        <f>HYPERLINK("https://twitter.com/teanabat/status/1045183666467557376","1045183666467557376")</f>
        <v>1045183666467557376</v>
      </c>
      <c r="F1925" s="4"/>
      <c r="G1925" s="4"/>
      <c r="H1925" s="4"/>
      <c r="I1925" s="10" t="str">
        <f>HYPERLINK("http://twitter.com/download/android","Twitter for Android")</f>
        <v>Twitter for Android</v>
      </c>
      <c r="J1925" s="2">
        <v>1595</v>
      </c>
      <c r="K1925" s="2">
        <v>992</v>
      </c>
      <c r="L1925" s="2">
        <v>4</v>
      </c>
      <c r="M1925" s="2"/>
      <c r="N1925" s="8">
        <v>43297.92895833333</v>
      </c>
      <c r="O1925" s="4" t="s">
        <v>2532</v>
      </c>
      <c r="P1925" s="3" t="s">
        <v>2531</v>
      </c>
      <c r="Q1925" s="4"/>
      <c r="R1925" s="4"/>
      <c r="S1925" s="9" t="str">
        <f>HYPERLINK("https://pbs.twimg.com/profile_images/1042710826707243008/QTp0Bs-N.jpg","View")</f>
        <v>View</v>
      </c>
    </row>
    <row r="1926" spans="1:19" ht="12.5">
      <c r="A1926" s="8">
        <v>43370.374351851853</v>
      </c>
      <c r="B1926" s="11" t="str">
        <f>HYPERLINK("https://twitter.com/8Shaki","@8Shaki")</f>
        <v>@8Shaki</v>
      </c>
      <c r="C1926" s="6" t="s">
        <v>2530</v>
      </c>
      <c r="D1926" s="5" t="s">
        <v>2529</v>
      </c>
      <c r="E1926" s="9" t="str">
        <f>HYPERLINK("https://twitter.com/8Shaki/status/1045183519260008448","1045183519260008448")</f>
        <v>1045183519260008448</v>
      </c>
      <c r="F1926" s="4"/>
      <c r="G1926" s="4"/>
      <c r="H1926" s="4"/>
      <c r="I1926" s="10" t="str">
        <f>HYPERLINK("http://twitter.com/download/android","Twitter for Android")</f>
        <v>Twitter for Android</v>
      </c>
      <c r="J1926" s="2">
        <v>36</v>
      </c>
      <c r="K1926" s="2">
        <v>54</v>
      </c>
      <c r="L1926" s="2">
        <v>0</v>
      </c>
      <c r="M1926" s="2"/>
      <c r="N1926" s="8">
        <v>43238.511446759258</v>
      </c>
      <c r="O1926" s="4" t="s">
        <v>2528</v>
      </c>
      <c r="P1926" s="3" t="s">
        <v>2527</v>
      </c>
      <c r="Q1926" s="4"/>
      <c r="R1926" s="4"/>
      <c r="S1926" s="9" t="str">
        <f>HYPERLINK("https://pbs.twimg.com/profile_images/997408147206684673/0X0IP-y2.jpg","View")</f>
        <v>View</v>
      </c>
    </row>
    <row r="1927" spans="1:19" ht="12.5">
      <c r="A1927" s="8">
        <v>43370.374155092592</v>
      </c>
      <c r="B1927" s="11" t="str">
        <f>HYPERLINK("https://twitter.com/realzareh","@realzareh")</f>
        <v>@realzareh</v>
      </c>
      <c r="C1927" s="6" t="s">
        <v>2526</v>
      </c>
      <c r="D1927" s="5" t="s">
        <v>2525</v>
      </c>
      <c r="E1927" s="9" t="str">
        <f>HYPERLINK("https://twitter.com/realzareh/status/1045183448418316288","1045183448418316288")</f>
        <v>1045183448418316288</v>
      </c>
      <c r="F1927" s="4"/>
      <c r="G1927" s="4"/>
      <c r="H1927" s="4"/>
      <c r="I1927" s="10" t="str">
        <f>HYPERLINK("http://twitter.com/download/iphone","Twitter for iPhone")</f>
        <v>Twitter for iPhone</v>
      </c>
      <c r="J1927" s="2">
        <v>1161</v>
      </c>
      <c r="K1927" s="2">
        <v>927</v>
      </c>
      <c r="L1927" s="2">
        <v>3</v>
      </c>
      <c r="M1927" s="2"/>
      <c r="N1927" s="8">
        <v>42586.021643518514</v>
      </c>
      <c r="O1927" s="4" t="s">
        <v>2524</v>
      </c>
      <c r="P1927" s="3"/>
      <c r="Q1927" s="4"/>
      <c r="R1927" s="4"/>
      <c r="S1927" s="9" t="str">
        <f>HYPERLINK("https://pbs.twimg.com/profile_images/1028514292524634112/5x2R23O4.jpg","View")</f>
        <v>View</v>
      </c>
    </row>
    <row r="1928" spans="1:19" ht="20">
      <c r="A1928" s="8">
        <v>43370.374039351853</v>
      </c>
      <c r="B1928" s="11" t="str">
        <f>HYPERLINK("https://twitter.com/shafaeieisa","@shafaeieisa")</f>
        <v>@shafaeieisa</v>
      </c>
      <c r="C1928" s="6" t="s">
        <v>2376</v>
      </c>
      <c r="D1928" s="5" t="s">
        <v>2523</v>
      </c>
      <c r="E1928" s="9" t="str">
        <f>HYPERLINK("https://twitter.com/shafaeieisa/status/1045183405971959808","1045183405971959808")</f>
        <v>1045183405971959808</v>
      </c>
      <c r="F1928" s="4"/>
      <c r="G1928" s="4"/>
      <c r="H1928" s="4"/>
      <c r="I1928" s="10" t="str">
        <f>HYPERLINK("http://twitter.com/download/android","Twitter for Android")</f>
        <v>Twitter for Android</v>
      </c>
      <c r="J1928" s="2">
        <v>12343</v>
      </c>
      <c r="K1928" s="2">
        <v>5741</v>
      </c>
      <c r="L1928" s="2">
        <v>27</v>
      </c>
      <c r="M1928" s="2"/>
      <c r="N1928" s="8">
        <v>43074.682523148149</v>
      </c>
      <c r="O1928" s="4" t="s">
        <v>62</v>
      </c>
      <c r="P1928" s="3" t="s">
        <v>2374</v>
      </c>
      <c r="Q1928" s="10" t="s">
        <v>2373</v>
      </c>
      <c r="R1928" s="4"/>
      <c r="S1928" s="9" t="str">
        <f>HYPERLINK("https://pbs.twimg.com/profile_images/973670939513819136/Jw4drL2c.jpg","View")</f>
        <v>View</v>
      </c>
    </row>
    <row r="1929" spans="1:19" ht="12.5">
      <c r="A1929" s="8">
        <v>43370.373807870375</v>
      </c>
      <c r="B1929" s="11" t="str">
        <f>HYPERLINK("https://twitter.com/DaryaDaryaaa6","@DaryaDaryaaa6")</f>
        <v>@DaryaDaryaaa6</v>
      </c>
      <c r="C1929" s="6" t="s">
        <v>2522</v>
      </c>
      <c r="D1929" s="5" t="s">
        <v>2521</v>
      </c>
      <c r="E1929" s="9" t="str">
        <f>HYPERLINK("https://twitter.com/DaryaDaryaaa6/status/1045183322387873792","1045183322387873792")</f>
        <v>1045183322387873792</v>
      </c>
      <c r="F1929" s="4"/>
      <c r="G1929" s="4"/>
      <c r="H1929" s="4"/>
      <c r="I1929" s="10" t="str">
        <f>HYPERLINK("http://twitter.com/download/iphone","Twitter for iPhone")</f>
        <v>Twitter for iPhone</v>
      </c>
      <c r="J1929" s="2">
        <v>302</v>
      </c>
      <c r="K1929" s="2">
        <v>173</v>
      </c>
      <c r="L1929" s="2">
        <v>3</v>
      </c>
      <c r="M1929" s="2"/>
      <c r="N1929" s="8">
        <v>43013.597430555557</v>
      </c>
      <c r="O1929" s="4" t="s">
        <v>72</v>
      </c>
      <c r="P1929" s="3"/>
      <c r="Q1929" s="4"/>
      <c r="R1929" s="4"/>
      <c r="S1929" s="9" t="str">
        <f>HYPERLINK("https://pbs.twimg.com/profile_images/1038658848905674752/4_Tn1DFV.jpg","View")</f>
        <v>View</v>
      </c>
    </row>
    <row r="1930" spans="1:19" ht="20">
      <c r="A1930" s="8">
        <v>43370.373518518521</v>
      </c>
      <c r="B1930" s="11" t="str">
        <f>HYPERLINK("https://twitter.com/kaftarbazam","@kaftarbazam")</f>
        <v>@kaftarbazam</v>
      </c>
      <c r="C1930" s="6" t="s">
        <v>2520</v>
      </c>
      <c r="D1930" s="5" t="s">
        <v>2519</v>
      </c>
      <c r="E1930" s="9" t="str">
        <f>HYPERLINK("https://twitter.com/kaftarbazam/status/1045183217513332736","1045183217513332736")</f>
        <v>1045183217513332736</v>
      </c>
      <c r="F1930" s="4"/>
      <c r="G1930" s="4"/>
      <c r="H1930" s="4"/>
      <c r="I1930" s="10" t="str">
        <f>HYPERLINK("http://twitter.com/download/android","Twitter for Android")</f>
        <v>Twitter for Android</v>
      </c>
      <c r="J1930" s="2">
        <v>547</v>
      </c>
      <c r="K1930" s="2">
        <v>533</v>
      </c>
      <c r="L1930" s="2">
        <v>1</v>
      </c>
      <c r="M1930" s="2"/>
      <c r="N1930" s="8">
        <v>43273.045925925922</v>
      </c>
      <c r="O1930" s="4" t="s">
        <v>648</v>
      </c>
      <c r="P1930" s="3" t="s">
        <v>2518</v>
      </c>
      <c r="Q1930" s="4"/>
      <c r="R1930" s="4"/>
      <c r="S1930" s="9" t="str">
        <f>HYPERLINK("https://pbs.twimg.com/profile_images/1010209556767571969/DFhDqzem.jpg","View")</f>
        <v>View</v>
      </c>
    </row>
    <row r="1931" spans="1:19" ht="12.5">
      <c r="A1931" s="8">
        <v>43370.372094907405</v>
      </c>
      <c r="B1931" s="11" t="str">
        <f>HYPERLINK("https://twitter.com/samcarletto","@samcarletto")</f>
        <v>@samcarletto</v>
      </c>
      <c r="C1931" s="6" t="s">
        <v>2517</v>
      </c>
      <c r="D1931" s="5" t="s">
        <v>2516</v>
      </c>
      <c r="E1931" s="9" t="str">
        <f>HYPERLINK("https://twitter.com/samcarletto/status/1045182701270110209","1045182701270110209")</f>
        <v>1045182701270110209</v>
      </c>
      <c r="F1931" s="4"/>
      <c r="G1931" s="4"/>
      <c r="H1931" s="4"/>
      <c r="I1931" s="10" t="str">
        <f>HYPERLINK("http://twitter.com/download/android","Twitter for Android")</f>
        <v>Twitter for Android</v>
      </c>
      <c r="J1931" s="2">
        <v>2400</v>
      </c>
      <c r="K1931" s="2">
        <v>1185</v>
      </c>
      <c r="L1931" s="2">
        <v>26</v>
      </c>
      <c r="M1931" s="2"/>
      <c r="N1931" s="8">
        <v>40984.925949074073</v>
      </c>
      <c r="O1931" s="4" t="s">
        <v>2515</v>
      </c>
      <c r="P1931" s="3" t="s">
        <v>2514</v>
      </c>
      <c r="Q1931" s="10" t="s">
        <v>2513</v>
      </c>
      <c r="R1931" s="4"/>
      <c r="S1931" s="9" t="str">
        <f>HYPERLINK("https://pbs.twimg.com/profile_images/1029856556123410432/aUIjMISk.jpg","View")</f>
        <v>View</v>
      </c>
    </row>
    <row r="1932" spans="1:19" ht="30">
      <c r="A1932" s="8">
        <v>43370.371886574074</v>
      </c>
      <c r="B1932" s="11" t="str">
        <f>HYPERLINK("https://twitter.com/SarahStanley_11","@SarahStanley_11")</f>
        <v>@SarahStanley_11</v>
      </c>
      <c r="C1932" s="6" t="s">
        <v>2512</v>
      </c>
      <c r="D1932" s="5" t="s">
        <v>2511</v>
      </c>
      <c r="E1932" s="9" t="str">
        <f>HYPERLINK("https://twitter.com/SarahStanley_11/status/1045182628008259584","1045182628008259584")</f>
        <v>1045182628008259584</v>
      </c>
      <c r="F1932" s="10" t="s">
        <v>2510</v>
      </c>
      <c r="G1932" s="10" t="s">
        <v>2338</v>
      </c>
      <c r="H1932" s="4"/>
      <c r="I1932" s="10" t="str">
        <f>HYPERLINK("http://twitter.com/download/iphone","Twitter for iPhone")</f>
        <v>Twitter for iPhone</v>
      </c>
      <c r="J1932" s="2">
        <v>1117</v>
      </c>
      <c r="K1932" s="2">
        <v>466</v>
      </c>
      <c r="L1932" s="2">
        <v>2</v>
      </c>
      <c r="M1932" s="2"/>
      <c r="N1932" s="8">
        <v>42784.62332175926</v>
      </c>
      <c r="O1932" s="4"/>
      <c r="P1932" s="3" t="s">
        <v>2509</v>
      </c>
      <c r="Q1932" s="4"/>
      <c r="R1932" s="4"/>
      <c r="S1932" s="9" t="str">
        <f>HYPERLINK("https://pbs.twimg.com/profile_images/1028910062675345408/Ub7ZWVP-.jpg","View")</f>
        <v>View</v>
      </c>
    </row>
    <row r="1933" spans="1:19" ht="20">
      <c r="A1933" s="8">
        <v>43370.370162037041</v>
      </c>
      <c r="B1933" s="11" t="str">
        <f>HYPERLINK("https://twitter.com/MohammadVahedix","@MohammadVahedix")</f>
        <v>@MohammadVahedix</v>
      </c>
      <c r="C1933" s="6" t="s">
        <v>2508</v>
      </c>
      <c r="D1933" s="5" t="s">
        <v>2507</v>
      </c>
      <c r="E1933" s="9" t="str">
        <f>HYPERLINK("https://twitter.com/MohammadVahedix/status/1045182002578821120","1045182002578821120")</f>
        <v>1045182002578821120</v>
      </c>
      <c r="F1933" s="4"/>
      <c r="G1933" s="4"/>
      <c r="H1933" s="4"/>
      <c r="I1933" s="10" t="str">
        <f>HYPERLINK("http://twitter.com/download/android","Twitter for Android")</f>
        <v>Twitter for Android</v>
      </c>
      <c r="J1933" s="2">
        <v>638</v>
      </c>
      <c r="K1933" s="2">
        <v>554</v>
      </c>
      <c r="L1933" s="2">
        <v>1</v>
      </c>
      <c r="M1933" s="2"/>
      <c r="N1933" s="8">
        <v>43100.620613425926</v>
      </c>
      <c r="O1933" s="4" t="s">
        <v>2506</v>
      </c>
      <c r="P1933" s="3"/>
      <c r="Q1933" s="10" t="s">
        <v>2505</v>
      </c>
      <c r="R1933" s="4"/>
      <c r="S1933" s="9" t="str">
        <f>HYPERLINK("https://pbs.twimg.com/profile_images/1033595693510914048/H9foQVIc.jpg","View")</f>
        <v>View</v>
      </c>
    </row>
    <row r="1934" spans="1:19" ht="20">
      <c r="A1934" s="8">
        <v>43370.369131944448</v>
      </c>
      <c r="B1934" s="11" t="str">
        <f>HYPERLINK("https://twitter.com/soqrasoqra","@soqrasoqra")</f>
        <v>@soqrasoqra</v>
      </c>
      <c r="C1934" s="6" t="s">
        <v>2504</v>
      </c>
      <c r="D1934" s="5" t="s">
        <v>2503</v>
      </c>
      <c r="E1934" s="9" t="str">
        <f>HYPERLINK("https://twitter.com/soqrasoqra/status/1045181626945359872","1045181626945359872")</f>
        <v>1045181626945359872</v>
      </c>
      <c r="F1934" s="4"/>
      <c r="G1934" s="10" t="s">
        <v>2502</v>
      </c>
      <c r="H1934" s="4"/>
      <c r="I1934" s="10" t="str">
        <f>HYPERLINK("http://twitter.com/download/iphone","Twitter for iPhone")</f>
        <v>Twitter for iPhone</v>
      </c>
      <c r="J1934" s="2">
        <v>503</v>
      </c>
      <c r="K1934" s="2">
        <v>173</v>
      </c>
      <c r="L1934" s="2">
        <v>4</v>
      </c>
      <c r="M1934" s="2"/>
      <c r="N1934" s="8">
        <v>43226.660381944443</v>
      </c>
      <c r="O1934" s="4" t="s">
        <v>2501</v>
      </c>
      <c r="P1934" s="3" t="s">
        <v>2500</v>
      </c>
      <c r="Q1934" s="4"/>
      <c r="R1934" s="4"/>
      <c r="S1934" s="9" t="str">
        <f>HYPERLINK("https://pbs.twimg.com/profile_images/1045181490450124803/Ejv2kYQK.jpg","View")</f>
        <v>View</v>
      </c>
    </row>
    <row r="1935" spans="1:19" ht="12.5">
      <c r="A1935" s="8">
        <v>43370.369097222225</v>
      </c>
      <c r="B1935" s="11" t="str">
        <f>HYPERLINK("https://twitter.com/DdpAaMQ37GUFAfo","@DdpAaMQ37GUFAfo")</f>
        <v>@DdpAaMQ37GUFAfo</v>
      </c>
      <c r="C1935" s="6" t="s">
        <v>2499</v>
      </c>
      <c r="D1935" s="5" t="s">
        <v>2498</v>
      </c>
      <c r="E1935" s="9" t="str">
        <f>HYPERLINK("https://twitter.com/DdpAaMQ37GUFAfo/status/1045181614819606528","1045181614819606528")</f>
        <v>1045181614819606528</v>
      </c>
      <c r="F1935" s="4"/>
      <c r="G1935" s="4"/>
      <c r="H1935" s="4"/>
      <c r="I1935" s="10" t="str">
        <f>HYPERLINK("http://twitter.com/download/android","Twitter for Android")</f>
        <v>Twitter for Android</v>
      </c>
      <c r="J1935" s="2">
        <v>3223</v>
      </c>
      <c r="K1935" s="2">
        <v>3568</v>
      </c>
      <c r="L1935" s="2">
        <v>5</v>
      </c>
      <c r="M1935" s="2"/>
      <c r="N1935" s="8">
        <v>42965.905590277776</v>
      </c>
      <c r="O1935" s="4" t="s">
        <v>2497</v>
      </c>
      <c r="P1935" s="3" t="s">
        <v>2496</v>
      </c>
      <c r="Q1935" s="10" t="s">
        <v>2495</v>
      </c>
      <c r="R1935" s="4"/>
      <c r="S1935" s="9" t="str">
        <f>HYPERLINK("https://pbs.twimg.com/profile_images/1018431976401973248/x_h3FzNl.jpg","View")</f>
        <v>View</v>
      </c>
    </row>
    <row r="1936" spans="1:19" ht="12.5">
      <c r="A1936" s="8">
        <v>43370.368368055555</v>
      </c>
      <c r="B1936" s="11" t="str">
        <f>HYPERLINK("https://twitter.com/shirin741","@shirin741")</f>
        <v>@shirin741</v>
      </c>
      <c r="C1936" s="6" t="s">
        <v>2494</v>
      </c>
      <c r="D1936" s="5" t="s">
        <v>2493</v>
      </c>
      <c r="E1936" s="9" t="str">
        <f>HYPERLINK("https://twitter.com/shirin741/status/1045181351287312385","1045181351287312385")</f>
        <v>1045181351287312385</v>
      </c>
      <c r="F1936" s="4"/>
      <c r="G1936" s="4"/>
      <c r="H1936" s="4"/>
      <c r="I1936" s="10" t="str">
        <f>HYPERLINK("http://twitter.com/download/iphone","Twitter for iPhone")</f>
        <v>Twitter for iPhone</v>
      </c>
      <c r="J1936" s="2">
        <v>205</v>
      </c>
      <c r="K1936" s="2">
        <v>462</v>
      </c>
      <c r="L1936" s="2">
        <v>1</v>
      </c>
      <c r="M1936" s="2"/>
      <c r="N1936" s="8">
        <v>40188.963449074072</v>
      </c>
      <c r="O1936" s="4" t="s">
        <v>2492</v>
      </c>
      <c r="P1936" s="3"/>
      <c r="Q1936" s="4"/>
      <c r="R1936" s="4"/>
      <c r="S1936" s="9" t="str">
        <f>HYPERLINK("https://pbs.twimg.com/profile_images/997611251785138177/6XbhHORT.jpg","View")</f>
        <v>View</v>
      </c>
    </row>
    <row r="1937" spans="1:19" ht="30">
      <c r="A1937" s="8">
        <v>43370.366875</v>
      </c>
      <c r="B1937" s="11" t="str">
        <f>HYPERLINK("https://twitter.com/MeysamMoteei","@MeysamMoteei")</f>
        <v>@MeysamMoteei</v>
      </c>
      <c r="C1937" s="6" t="s">
        <v>2491</v>
      </c>
      <c r="D1937" s="5" t="s">
        <v>2490</v>
      </c>
      <c r="E1937" s="9" t="str">
        <f>HYPERLINK("https://twitter.com/MeysamMoteei/status/1045180811950116864","1045180811950116864")</f>
        <v>1045180811950116864</v>
      </c>
      <c r="F1937" s="4"/>
      <c r="G1937" s="4"/>
      <c r="H1937" s="4"/>
      <c r="I1937" s="10" t="str">
        <f>HYPERLINK("http://twitter.com/download/android","Twitter for Android")</f>
        <v>Twitter for Android</v>
      </c>
      <c r="J1937" s="2">
        <v>470</v>
      </c>
      <c r="K1937" s="2">
        <v>24</v>
      </c>
      <c r="L1937" s="2">
        <v>2</v>
      </c>
      <c r="M1937" s="2"/>
      <c r="N1937" s="8">
        <v>42916.997847222221</v>
      </c>
      <c r="O1937" s="4" t="s">
        <v>200</v>
      </c>
      <c r="P1937" s="3" t="s">
        <v>2489</v>
      </c>
      <c r="Q1937" s="10" t="s">
        <v>2488</v>
      </c>
      <c r="R1937" s="4"/>
      <c r="S1937" s="9" t="str">
        <f>HYPERLINK("https://pbs.twimg.com/profile_images/978355697481068547/Th35Qydu.jpg","View")</f>
        <v>View</v>
      </c>
    </row>
    <row r="1938" spans="1:19" ht="30">
      <c r="A1938" s="8">
        <v>43370.366018518514</v>
      </c>
      <c r="B1938" s="11" t="str">
        <f>HYPERLINK("https://twitter.com/Amirhossein6393","@Amirhossein6393")</f>
        <v>@Amirhossein6393</v>
      </c>
      <c r="C1938" s="6" t="s">
        <v>1392</v>
      </c>
      <c r="D1938" s="5" t="s">
        <v>2487</v>
      </c>
      <c r="E1938" s="9" t="str">
        <f>HYPERLINK("https://twitter.com/Amirhossein6393/status/1045180501361913858","1045180501361913858")</f>
        <v>1045180501361913858</v>
      </c>
      <c r="F1938" s="4"/>
      <c r="G1938" s="4"/>
      <c r="H1938" s="4"/>
      <c r="I1938" s="10" t="str">
        <f>HYPERLINK("http://twitter.com/download/android","Twitter for Android")</f>
        <v>Twitter for Android</v>
      </c>
      <c r="J1938" s="2">
        <v>23</v>
      </c>
      <c r="K1938" s="2">
        <v>139</v>
      </c>
      <c r="L1938" s="2">
        <v>0</v>
      </c>
      <c r="M1938" s="2"/>
      <c r="N1938" s="8">
        <v>43126.980069444442</v>
      </c>
      <c r="O1938" s="4" t="s">
        <v>200</v>
      </c>
      <c r="P1938" s="3" t="s">
        <v>1390</v>
      </c>
      <c r="Q1938" s="4"/>
      <c r="R1938" s="4"/>
      <c r="S1938" s="9" t="str">
        <f>HYPERLINK("https://pbs.twimg.com/profile_images/997896967245193221/5h1RZ2yx.jpg","View")</f>
        <v>View</v>
      </c>
    </row>
    <row r="1939" spans="1:19" ht="30">
      <c r="A1939" s="8">
        <v>43370.36336805555</v>
      </c>
      <c r="B1939" s="11" t="str">
        <f>HYPERLINK("https://twitter.com/amunima","@amunima")</f>
        <v>@amunima</v>
      </c>
      <c r="C1939" s="6" t="s">
        <v>2486</v>
      </c>
      <c r="D1939" s="5" t="s">
        <v>2485</v>
      </c>
      <c r="E1939" s="9" t="str">
        <f>HYPERLINK("https://twitter.com/amunima/status/1045179539725463552","1045179539725463552")</f>
        <v>1045179539725463552</v>
      </c>
      <c r="F1939" s="4"/>
      <c r="G1939" s="10" t="s">
        <v>2484</v>
      </c>
      <c r="H1939" s="4"/>
      <c r="I1939" s="10" t="str">
        <f>HYPERLINK("https://mobile.twitter.com","Twitter Lite")</f>
        <v>Twitter Lite</v>
      </c>
      <c r="J1939" s="2">
        <v>96</v>
      </c>
      <c r="K1939" s="2">
        <v>62</v>
      </c>
      <c r="L1939" s="2">
        <v>0</v>
      </c>
      <c r="M1939" s="2"/>
      <c r="N1939" s="8">
        <v>39984.929178240738</v>
      </c>
      <c r="O1939" s="4" t="s">
        <v>2483</v>
      </c>
      <c r="P1939" s="3" t="s">
        <v>2482</v>
      </c>
      <c r="Q1939" s="10" t="s">
        <v>2481</v>
      </c>
      <c r="R1939" s="4"/>
      <c r="S1939" s="9" t="str">
        <f>HYPERLINK("https://pbs.twimg.com/profile_images/1008952054801317890/PY-IxIKt.jpg","View")</f>
        <v>View</v>
      </c>
    </row>
    <row r="1940" spans="1:19" ht="20">
      <c r="A1940" s="8">
        <v>43370.361817129626</v>
      </c>
      <c r="B1940" s="11" t="str">
        <f>HYPERLINK("https://twitter.com/kousar73","@kousar73")</f>
        <v>@kousar73</v>
      </c>
      <c r="C1940" s="6" t="s">
        <v>2480</v>
      </c>
      <c r="D1940" s="5" t="s">
        <v>2479</v>
      </c>
      <c r="E1940" s="9" t="str">
        <f>HYPERLINK("https://twitter.com/kousar73/status/1045178978124926976","1045178978124926976")</f>
        <v>1045178978124926976</v>
      </c>
      <c r="F1940" s="4"/>
      <c r="G1940" s="10" t="s">
        <v>2478</v>
      </c>
      <c r="H1940" s="4"/>
      <c r="I1940" s="10" t="str">
        <f>HYPERLINK("http://twitter.com/download/android","Twitter for Android")</f>
        <v>Twitter for Android</v>
      </c>
      <c r="J1940" s="2">
        <v>380</v>
      </c>
      <c r="K1940" s="2">
        <v>233</v>
      </c>
      <c r="L1940" s="2">
        <v>0</v>
      </c>
      <c r="M1940" s="2"/>
      <c r="N1940" s="8">
        <v>43352.876539351855</v>
      </c>
      <c r="O1940" s="4"/>
      <c r="P1940" s="3" t="s">
        <v>2477</v>
      </c>
      <c r="Q1940" s="4"/>
      <c r="R1940" s="4"/>
      <c r="S1940" s="9" t="str">
        <f>HYPERLINK("https://pbs.twimg.com/profile_images/1039547955827679234/z9uIKqN0.jpg","View")</f>
        <v>View</v>
      </c>
    </row>
    <row r="1941" spans="1:19" ht="20">
      <c r="A1941" s="8">
        <v>43370.35938657407</v>
      </c>
      <c r="B1941" s="11" t="str">
        <f>HYPERLINK("https://twitter.com/arashmkb","@arashmkb")</f>
        <v>@arashmkb</v>
      </c>
      <c r="C1941" s="6" t="s">
        <v>2476</v>
      </c>
      <c r="D1941" s="5" t="s">
        <v>2475</v>
      </c>
      <c r="E1941" s="9" t="str">
        <f>HYPERLINK("https://twitter.com/arashmkb/status/1045178097325297666","1045178097325297666")</f>
        <v>1045178097325297666</v>
      </c>
      <c r="F1941" s="4"/>
      <c r="G1941" s="4"/>
      <c r="H1941" s="4"/>
      <c r="I1941" s="10" t="str">
        <f>HYPERLINK("http://twitter.com/download/android","Twitter for Android")</f>
        <v>Twitter for Android</v>
      </c>
      <c r="J1941" s="2">
        <v>178</v>
      </c>
      <c r="K1941" s="2">
        <v>100</v>
      </c>
      <c r="L1941" s="2">
        <v>0</v>
      </c>
      <c r="M1941" s="2"/>
      <c r="N1941" s="8">
        <v>42755.778425925921</v>
      </c>
      <c r="O1941" s="4"/>
      <c r="P1941" s="3"/>
      <c r="Q1941" s="4"/>
      <c r="R1941" s="4"/>
      <c r="S1941" s="9" t="str">
        <f>HYPERLINK("https://pbs.twimg.com/profile_images/823252407194820608/WZk2HIvg.jpg","View")</f>
        <v>View</v>
      </c>
    </row>
    <row r="1942" spans="1:19" ht="20">
      <c r="A1942" s="8">
        <v>43370.357002314813</v>
      </c>
      <c r="B1942" s="11" t="str">
        <f>HYPERLINK("https://twitter.com/nanekhanoom","@nanekhanoom")</f>
        <v>@nanekhanoom</v>
      </c>
      <c r="C1942" s="6" t="s">
        <v>2474</v>
      </c>
      <c r="D1942" s="5" t="s">
        <v>2473</v>
      </c>
      <c r="E1942" s="9" t="str">
        <f>HYPERLINK("https://twitter.com/nanekhanoom/status/1045177234808426496","1045177234808426496")</f>
        <v>1045177234808426496</v>
      </c>
      <c r="F1942" s="4"/>
      <c r="G1942" s="4"/>
      <c r="H1942" s="4"/>
      <c r="I1942" s="10" t="str">
        <f>HYPERLINK("http://twitter.com/download/android","Twitter for Android")</f>
        <v>Twitter for Android</v>
      </c>
      <c r="J1942" s="2">
        <v>373</v>
      </c>
      <c r="K1942" s="2">
        <v>548</v>
      </c>
      <c r="L1942" s="2">
        <v>0</v>
      </c>
      <c r="M1942" s="2"/>
      <c r="N1942" s="8">
        <v>43305.709629629629</v>
      </c>
      <c r="O1942" s="4" t="s">
        <v>2472</v>
      </c>
      <c r="P1942" s="3" t="s">
        <v>2471</v>
      </c>
      <c r="Q1942" s="4"/>
      <c r="R1942" s="4"/>
      <c r="S1942" s="9" t="str">
        <f>HYPERLINK("https://pbs.twimg.com/profile_images/1040206956198277120/RVXLHA8L.jpg","View")</f>
        <v>View</v>
      </c>
    </row>
    <row r="1943" spans="1:19" ht="40">
      <c r="A1943" s="8">
        <v>43370.356296296297</v>
      </c>
      <c r="B1943" s="11" t="str">
        <f>HYPERLINK("https://twitter.com/teimourimohsen","@teimourimohsen")</f>
        <v>@teimourimohsen</v>
      </c>
      <c r="C1943" s="6" t="s">
        <v>2470</v>
      </c>
      <c r="D1943" s="5" t="s">
        <v>2469</v>
      </c>
      <c r="E1943" s="9" t="str">
        <f>HYPERLINK("https://twitter.com/teimourimohsen/status/1045176978024927232","1045176978024927232")</f>
        <v>1045176978024927232</v>
      </c>
      <c r="F1943" s="4"/>
      <c r="G1943" s="4"/>
      <c r="H1943" s="4"/>
      <c r="I1943" s="10" t="str">
        <f>HYPERLINK("http://twitter.com","Twitter Web Client")</f>
        <v>Twitter Web Client</v>
      </c>
      <c r="J1943" s="2">
        <v>476</v>
      </c>
      <c r="K1943" s="2">
        <v>528</v>
      </c>
      <c r="L1943" s="2">
        <v>0</v>
      </c>
      <c r="M1943" s="2"/>
      <c r="N1943" s="8">
        <v>40870.485555555555</v>
      </c>
      <c r="O1943" s="4" t="s">
        <v>10</v>
      </c>
      <c r="P1943" s="3" t="s">
        <v>2468</v>
      </c>
      <c r="Q1943" s="4"/>
      <c r="R1943" s="4"/>
      <c r="S1943" s="9" t="str">
        <f>HYPERLINK("https://pbs.twimg.com/profile_images/1031124970573840384/YenL6NJ5.jpg","View")</f>
        <v>View</v>
      </c>
    </row>
    <row r="1944" spans="1:19" ht="30">
      <c r="A1944" s="8">
        <v>43370.350787037038</v>
      </c>
      <c r="B1944" s="11" t="str">
        <f>HYPERLINK("https://twitter.com/toomadj","@toomadj")</f>
        <v>@toomadj</v>
      </c>
      <c r="C1944" s="6" t="s">
        <v>1240</v>
      </c>
      <c r="D1944" s="5" t="s">
        <v>2467</v>
      </c>
      <c r="E1944" s="9" t="str">
        <f>HYPERLINK("https://twitter.com/toomadj/status/1045174980105900032","1045174980105900032")</f>
        <v>1045174980105900032</v>
      </c>
      <c r="F1944" s="4"/>
      <c r="G1944" s="4"/>
      <c r="H1944" s="4"/>
      <c r="I1944" s="10" t="str">
        <f>HYPERLINK("http://twitter.com/download/android","Twitter for Android")</f>
        <v>Twitter for Android</v>
      </c>
      <c r="J1944" s="2">
        <v>2130</v>
      </c>
      <c r="K1944" s="2">
        <v>1179</v>
      </c>
      <c r="L1944" s="2">
        <v>13</v>
      </c>
      <c r="M1944" s="2"/>
      <c r="N1944" s="8">
        <v>39884.637615740743</v>
      </c>
      <c r="O1944" s="4"/>
      <c r="P1944" s="3" t="s">
        <v>1238</v>
      </c>
      <c r="Q1944" s="4"/>
      <c r="R1944" s="4"/>
      <c r="S1944" s="9" t="str">
        <f>HYPERLINK("https://pbs.twimg.com/profile_images/824277971456376832/I941WXSV.jpg","View")</f>
        <v>View</v>
      </c>
    </row>
    <row r="1945" spans="1:19" ht="20">
      <c r="A1945" s="8">
        <v>43370.348287037035</v>
      </c>
      <c r="B1945" s="11" t="str">
        <f>HYPERLINK("https://twitter.com/BehroozDwazza","@BehroozDwazza")</f>
        <v>@BehroozDwazza</v>
      </c>
      <c r="C1945" s="6" t="s">
        <v>205</v>
      </c>
      <c r="D1945" s="5" t="s">
        <v>2466</v>
      </c>
      <c r="E1945" s="9" t="str">
        <f>HYPERLINK("https://twitter.com/BehroozDwazza/status/1045174075667173377","1045174075667173377")</f>
        <v>1045174075667173377</v>
      </c>
      <c r="F1945" s="4"/>
      <c r="G1945" s="4"/>
      <c r="H1945" s="4"/>
      <c r="I1945" s="10" t="str">
        <f>HYPERLINK("http://twitter.com/download/android","Twitter for Android")</f>
        <v>Twitter for Android</v>
      </c>
      <c r="J1945" s="2">
        <v>816</v>
      </c>
      <c r="K1945" s="2">
        <v>425</v>
      </c>
      <c r="L1945" s="2">
        <v>7</v>
      </c>
      <c r="M1945" s="2"/>
      <c r="N1945" s="8">
        <v>41545.4</v>
      </c>
      <c r="O1945" s="4" t="s">
        <v>203</v>
      </c>
      <c r="P1945" s="3" t="s">
        <v>2465</v>
      </c>
      <c r="Q1945" s="4"/>
      <c r="R1945" s="4"/>
      <c r="S1945" s="9" t="str">
        <f>HYPERLINK("https://pbs.twimg.com/profile_images/1041604164684574720/HgboxFrx.jpg","View")</f>
        <v>View</v>
      </c>
    </row>
    <row r="1946" spans="1:19" ht="40">
      <c r="A1946" s="8">
        <v>43370.347534722227</v>
      </c>
      <c r="B1946" s="11" t="str">
        <f>HYPERLINK("https://twitter.com/Del__bi","@Del__bi")</f>
        <v>@Del__bi</v>
      </c>
      <c r="C1946" s="6" t="s">
        <v>2461</v>
      </c>
      <c r="D1946" s="5" t="s">
        <v>2464</v>
      </c>
      <c r="E1946" s="9" t="str">
        <f>HYPERLINK("https://twitter.com/Del__bi/status/1045173801284251648","1045173801284251648")</f>
        <v>1045173801284251648</v>
      </c>
      <c r="F1946" s="4"/>
      <c r="G1946" s="4"/>
      <c r="H1946" s="4"/>
      <c r="I1946" s="10" t="str">
        <f>HYPERLINK("http://twitter.com/download/android","Twitter for Android")</f>
        <v>Twitter for Android</v>
      </c>
      <c r="J1946" s="2">
        <v>781</v>
      </c>
      <c r="K1946" s="2">
        <v>355</v>
      </c>
      <c r="L1946" s="2">
        <v>2</v>
      </c>
      <c r="M1946" s="2"/>
      <c r="N1946" s="8">
        <v>40977.770555555559</v>
      </c>
      <c r="O1946" s="4"/>
      <c r="P1946" s="3" t="s">
        <v>2459</v>
      </c>
      <c r="Q1946" s="4"/>
      <c r="R1946" s="4"/>
      <c r="S1946" s="9" t="str">
        <f>HYPERLINK("https://pbs.twimg.com/profile_images/1044192773954523136/EgWbhRdH.jpg","View")</f>
        <v>View</v>
      </c>
    </row>
    <row r="1947" spans="1:19" ht="20">
      <c r="A1947" s="8">
        <v>43370.344872685186</v>
      </c>
      <c r="B1947" s="11" t="str">
        <f>HYPERLINK("https://twitter.com/luckyjok","@luckyjok")</f>
        <v>@luckyjok</v>
      </c>
      <c r="C1947" s="6" t="s">
        <v>964</v>
      </c>
      <c r="D1947" s="5" t="s">
        <v>2458</v>
      </c>
      <c r="E1947" s="9" t="str">
        <f>HYPERLINK("https://twitter.com/luckyjok/status/1045172838481752065","1045172838481752065")</f>
        <v>1045172838481752065</v>
      </c>
      <c r="F1947" s="4"/>
      <c r="G1947" s="4"/>
      <c r="H1947" s="4"/>
      <c r="I1947" s="10" t="str">
        <f>HYPERLINK("http://twitter.com/download/android","Twitter for Android")</f>
        <v>Twitter for Android</v>
      </c>
      <c r="J1947" s="2">
        <v>179</v>
      </c>
      <c r="K1947" s="2">
        <v>292</v>
      </c>
      <c r="L1947" s="2">
        <v>0</v>
      </c>
      <c r="M1947" s="2"/>
      <c r="N1947" s="8">
        <v>42757.491712962961</v>
      </c>
      <c r="O1947" s="4" t="s">
        <v>962</v>
      </c>
      <c r="P1947" s="3" t="s">
        <v>961</v>
      </c>
      <c r="Q1947" s="4"/>
      <c r="R1947" s="4"/>
      <c r="S1947" s="9" t="str">
        <f>HYPERLINK("https://pbs.twimg.com/profile_images/986194826587754496/c1sYm2IH.jpg","View")</f>
        <v>View</v>
      </c>
    </row>
    <row r="1948" spans="1:19" ht="12.5">
      <c r="A1948" s="8">
        <v>43370.340115740742</v>
      </c>
      <c r="B1948" s="11" t="str">
        <f>HYPERLINK("https://twitter.com/mammad_khannn","@mammad_khannn")</f>
        <v>@mammad_khannn</v>
      </c>
      <c r="C1948" s="6" t="s">
        <v>2366</v>
      </c>
      <c r="D1948" s="5" t="s">
        <v>2445</v>
      </c>
      <c r="E1948" s="9" t="str">
        <f>HYPERLINK("https://twitter.com/mammad_khannn/status/1045171115235184640","1045171115235184640")</f>
        <v>1045171115235184640</v>
      </c>
      <c r="F1948" s="4"/>
      <c r="G1948" s="4"/>
      <c r="H1948" s="4"/>
      <c r="I1948" s="10" t="str">
        <f>HYPERLINK("http://twitter.com/#!/download/ipad","Twitter for iPad")</f>
        <v>Twitter for iPad</v>
      </c>
      <c r="J1948" s="2">
        <v>641</v>
      </c>
      <c r="K1948" s="2">
        <v>1637</v>
      </c>
      <c r="L1948" s="2">
        <v>3</v>
      </c>
      <c r="M1948" s="2"/>
      <c r="N1948" s="8">
        <v>42525.52721064815</v>
      </c>
      <c r="O1948" s="4" t="s">
        <v>2364</v>
      </c>
      <c r="P1948" s="3" t="s">
        <v>2363</v>
      </c>
      <c r="Q1948" s="4"/>
      <c r="R1948" s="4"/>
      <c r="S1948" s="9" t="str">
        <f>HYPERLINK("https://pbs.twimg.com/profile_images/751779844728381440/ACcevEbd.jpg","View")</f>
        <v>View</v>
      </c>
    </row>
    <row r="1949" spans="1:19" ht="12.5">
      <c r="A1949" s="8">
        <v>43370.337418981479</v>
      </c>
      <c r="B1949" s="11" t="str">
        <f>HYPERLINK("https://twitter.com/MaMaDBiT0","@MaMaDBiT0")</f>
        <v>@MaMaDBiT0</v>
      </c>
      <c r="C1949" s="6" t="s">
        <v>2439</v>
      </c>
      <c r="D1949" s="5" t="s">
        <v>2438</v>
      </c>
      <c r="E1949" s="9" t="str">
        <f>HYPERLINK("https://twitter.com/MaMaDBiT0/status/1045170136687280128","1045170136687280128")</f>
        <v>1045170136687280128</v>
      </c>
      <c r="F1949" s="4"/>
      <c r="G1949" s="10" t="s">
        <v>2437</v>
      </c>
      <c r="H1949" s="4"/>
      <c r="I1949" s="10" t="str">
        <f>HYPERLINK("http://twitter.com/download/android","Twitter for Android")</f>
        <v>Twitter for Android</v>
      </c>
      <c r="J1949" s="2">
        <v>242</v>
      </c>
      <c r="K1949" s="2">
        <v>1024</v>
      </c>
      <c r="L1949" s="2">
        <v>1</v>
      </c>
      <c r="M1949" s="2"/>
      <c r="N1949" s="8">
        <v>41362.537418981483</v>
      </c>
      <c r="O1949" s="4" t="s">
        <v>2436</v>
      </c>
      <c r="P1949" s="3" t="s">
        <v>2435</v>
      </c>
      <c r="Q1949" s="4"/>
      <c r="R1949" s="4"/>
      <c r="S1949" s="9" t="str">
        <f>HYPERLINK("https://pbs.twimg.com/profile_images/1033070491861495808/fB4LF76j.jpg","View")</f>
        <v>View</v>
      </c>
    </row>
    <row r="1950" spans="1:19" ht="80">
      <c r="A1950" s="8">
        <v>43370.335902777777</v>
      </c>
      <c r="B1950" s="11" t="str">
        <f>HYPERLINK("https://twitter.com/Taamogh","@Taamogh")</f>
        <v>@Taamogh</v>
      </c>
      <c r="C1950" s="6" t="s">
        <v>2430</v>
      </c>
      <c r="D1950" s="5" t="s">
        <v>2429</v>
      </c>
      <c r="E1950" s="9" t="str">
        <f>HYPERLINK("https://twitter.com/Taamogh/status/1045169586138738689","1045169586138738689")</f>
        <v>1045169586138738689</v>
      </c>
      <c r="F1950" s="10" t="s">
        <v>2428</v>
      </c>
      <c r="G1950" s="4"/>
      <c r="H1950" s="4"/>
      <c r="I1950" s="10" t="str">
        <f>HYPERLINK("http://twitter.com/download/android","Twitter for Android")</f>
        <v>Twitter for Android</v>
      </c>
      <c r="J1950" s="2">
        <v>84</v>
      </c>
      <c r="K1950" s="2">
        <v>236</v>
      </c>
      <c r="L1950" s="2">
        <v>0</v>
      </c>
      <c r="M1950" s="2"/>
      <c r="N1950" s="8">
        <v>43114.609965277778</v>
      </c>
      <c r="O1950" s="4" t="s">
        <v>2427</v>
      </c>
      <c r="P1950" s="3" t="s">
        <v>2426</v>
      </c>
      <c r="Q1950" s="4"/>
      <c r="R1950" s="4"/>
      <c r="S1950" s="9" t="str">
        <f>HYPERLINK("https://pbs.twimg.com/profile_images/999267296865542146/RrZ9bi01.jpg","View")</f>
        <v>View</v>
      </c>
    </row>
    <row r="1951" spans="1:19" ht="20">
      <c r="A1951" s="8">
        <v>43370.331689814819</v>
      </c>
      <c r="B1951" s="11" t="str">
        <f>HYPERLINK("https://twitter.com/RezKesh","@RezKesh")</f>
        <v>@RezKesh</v>
      </c>
      <c r="C1951" s="6" t="s">
        <v>2424</v>
      </c>
      <c r="D1951" s="5" t="s">
        <v>2423</v>
      </c>
      <c r="E1951" s="9" t="str">
        <f>HYPERLINK("https://twitter.com/RezKesh/status/1045168058820628480","1045168058820628480")</f>
        <v>1045168058820628480</v>
      </c>
      <c r="F1951" s="4"/>
      <c r="G1951" s="4"/>
      <c r="H1951" s="4"/>
      <c r="I1951" s="10" t="str">
        <f>HYPERLINK("http://twitter.com/download/android","Twitter for Android")</f>
        <v>Twitter for Android</v>
      </c>
      <c r="J1951" s="2">
        <v>187</v>
      </c>
      <c r="K1951" s="2">
        <v>340</v>
      </c>
      <c r="L1951" s="2">
        <v>1</v>
      </c>
      <c r="M1951" s="2"/>
      <c r="N1951" s="8">
        <v>41023.824606481481</v>
      </c>
      <c r="O1951" s="4" t="s">
        <v>200</v>
      </c>
      <c r="P1951" s="3" t="s">
        <v>2422</v>
      </c>
      <c r="Q1951" s="4"/>
      <c r="R1951" s="4"/>
      <c r="S1951" s="9" t="str">
        <f>HYPERLINK("https://pbs.twimg.com/profile_images/2661171099/b2f5395df89504a8e6fda4a6d2436882.jpeg","View")</f>
        <v>View</v>
      </c>
    </row>
    <row r="1952" spans="1:19" ht="30">
      <c r="A1952" s="8">
        <v>43370.322268518517</v>
      </c>
      <c r="B1952" s="11" t="str">
        <f>HYPERLINK("https://twitter.com/aye07j","@aye07j")</f>
        <v>@aye07j</v>
      </c>
      <c r="C1952" s="6" t="s">
        <v>2415</v>
      </c>
      <c r="D1952" s="5" t="s">
        <v>2414</v>
      </c>
      <c r="E1952" s="9" t="str">
        <f>HYPERLINK("https://twitter.com/aye07j/status/1045164647559630848","1045164647559630848")</f>
        <v>1045164647559630848</v>
      </c>
      <c r="F1952" s="4"/>
      <c r="G1952" s="4"/>
      <c r="H1952" s="4"/>
      <c r="I1952" s="10" t="str">
        <f>HYPERLINK("http://twitter.com/download/iphone","Twitter for iPhone")</f>
        <v>Twitter for iPhone</v>
      </c>
      <c r="J1952" s="2">
        <v>351</v>
      </c>
      <c r="K1952" s="2">
        <v>271</v>
      </c>
      <c r="L1952" s="2">
        <v>1</v>
      </c>
      <c r="M1952" s="2"/>
      <c r="N1952" s="8">
        <v>42384.662222222221</v>
      </c>
      <c r="O1952" s="4" t="s">
        <v>2413</v>
      </c>
      <c r="P1952" s="3" t="s">
        <v>2412</v>
      </c>
      <c r="Q1952" s="4"/>
      <c r="R1952" s="4"/>
      <c r="S1952" s="9" t="str">
        <f>HYPERLINK("https://pbs.twimg.com/profile_images/1044457777106685953/xyM1coWs.jpg","View")</f>
        <v>View</v>
      </c>
    </row>
    <row r="1953" spans="1:19" ht="20">
      <c r="A1953" s="8">
        <v>43370.321562500001</v>
      </c>
      <c r="B1953" s="11" t="str">
        <f>HYPERLINK("https://twitter.com/mahistaan","@mahistaan")</f>
        <v>@mahistaan</v>
      </c>
      <c r="C1953" s="6" t="s">
        <v>2409</v>
      </c>
      <c r="D1953" s="5" t="s">
        <v>2408</v>
      </c>
      <c r="E1953" s="9" t="str">
        <f>HYPERLINK("https://twitter.com/mahistaan/status/1045164388997566464","1045164388997566464")</f>
        <v>1045164388997566464</v>
      </c>
      <c r="F1953" s="4"/>
      <c r="G1953" s="4"/>
      <c r="H1953" s="4"/>
      <c r="I1953" s="10" t="str">
        <f>HYPERLINK("http://twitter.com/download/iphone","Twitter for iPhone")</f>
        <v>Twitter for iPhone</v>
      </c>
      <c r="J1953" s="2">
        <v>110</v>
      </c>
      <c r="K1953" s="2">
        <v>568</v>
      </c>
      <c r="L1953" s="2">
        <v>0</v>
      </c>
      <c r="M1953" s="2"/>
      <c r="N1953" s="8">
        <v>41807.712361111109</v>
      </c>
      <c r="O1953" s="4" t="s">
        <v>1183</v>
      </c>
      <c r="P1953" s="3" t="s">
        <v>2407</v>
      </c>
      <c r="Q1953" s="4"/>
      <c r="R1953" s="4"/>
      <c r="S1953" s="9" t="str">
        <f>HYPERLINK("https://pbs.twimg.com/profile_images/1033896915853762561/ZYrr9sjA.jpg","View")</f>
        <v>View</v>
      </c>
    </row>
    <row r="1954" spans="1:19" ht="40">
      <c r="A1954" s="8">
        <v>43370.320266203707</v>
      </c>
      <c r="B1954" s="11" t="str">
        <f>HYPERLINK("https://twitter.com/omidparsa1","@omidparsa1")</f>
        <v>@omidparsa1</v>
      </c>
      <c r="C1954" s="6" t="s">
        <v>2406</v>
      </c>
      <c r="D1954" s="5" t="s">
        <v>2405</v>
      </c>
      <c r="E1954" s="9" t="str">
        <f>HYPERLINK("https://twitter.com/omidparsa1/status/1045163921596977152","1045163921596977152")</f>
        <v>1045163921596977152</v>
      </c>
      <c r="F1954" s="4"/>
      <c r="G1954" s="10" t="s">
        <v>2404</v>
      </c>
      <c r="H1954" s="4"/>
      <c r="I1954" s="10" t="str">
        <f>HYPERLINK("http://twitter.com/download/iphone","Twitter for iPhone")</f>
        <v>Twitter for iPhone</v>
      </c>
      <c r="J1954" s="2">
        <v>392</v>
      </c>
      <c r="K1954" s="2">
        <v>283</v>
      </c>
      <c r="L1954" s="2">
        <v>1</v>
      </c>
      <c r="M1954" s="2"/>
      <c r="N1954" s="8">
        <v>40868.718692129631</v>
      </c>
      <c r="O1954" s="4" t="s">
        <v>2403</v>
      </c>
      <c r="P1954" s="3" t="s">
        <v>2402</v>
      </c>
      <c r="Q1954" s="4"/>
      <c r="R1954" s="4"/>
      <c r="S1954" s="9" t="str">
        <f>HYPERLINK("https://pbs.twimg.com/profile_images/1043362983177609216/VUnPiQNb.jpg","View")</f>
        <v>View</v>
      </c>
    </row>
    <row r="1955" spans="1:19" ht="20">
      <c r="A1955" s="8">
        <v>43370.319270833337</v>
      </c>
      <c r="B1955" s="11" t="str">
        <f>HYPERLINK("https://twitter.com/shahe_shahan","@shahe_shahan")</f>
        <v>@shahe_shahan</v>
      </c>
      <c r="C1955" s="6" t="s">
        <v>2387</v>
      </c>
      <c r="D1955" s="5" t="s">
        <v>2397</v>
      </c>
      <c r="E1955" s="9" t="str">
        <f>HYPERLINK("https://twitter.com/shahe_shahan/status/1045163558814781440","1045163558814781440")</f>
        <v>1045163558814781440</v>
      </c>
      <c r="F1955" s="4"/>
      <c r="G1955" s="4"/>
      <c r="H1955" s="4"/>
      <c r="I1955" s="10" t="str">
        <f>HYPERLINK("http://twitter.com/download/iphone","Twitter for iPhone")</f>
        <v>Twitter for iPhone</v>
      </c>
      <c r="J1955" s="2">
        <v>702</v>
      </c>
      <c r="K1955" s="2">
        <v>375</v>
      </c>
      <c r="L1955" s="2">
        <v>5</v>
      </c>
      <c r="M1955" s="2"/>
      <c r="N1955" s="8">
        <v>41119.511620370373</v>
      </c>
      <c r="O1955" s="4"/>
      <c r="P1955" s="3" t="s">
        <v>2385</v>
      </c>
      <c r="Q1955" s="4"/>
      <c r="R1955" s="4"/>
      <c r="S1955" s="9" t="str">
        <f>HYPERLINK("https://pbs.twimg.com/profile_images/1044645002285068296/qK-38Isg.jpg","View")</f>
        <v>View</v>
      </c>
    </row>
    <row r="1956" spans="1:19" ht="30">
      <c r="A1956" s="8">
        <v>43370.318611111114</v>
      </c>
      <c r="B1956" s="11" t="str">
        <f>HYPERLINK("https://twitter.com/hooshmandk","@hooshmandk")</f>
        <v>@hooshmandk</v>
      </c>
      <c r="C1956" s="6" t="s">
        <v>2393</v>
      </c>
      <c r="D1956" s="5" t="s">
        <v>2392</v>
      </c>
      <c r="E1956" s="9" t="str">
        <f>HYPERLINK("https://twitter.com/hooshmandk/status/1045163319739351040","1045163319739351040")</f>
        <v>1045163319739351040</v>
      </c>
      <c r="F1956" s="10" t="s">
        <v>2391</v>
      </c>
      <c r="G1956" s="10" t="s">
        <v>2338</v>
      </c>
      <c r="H1956" s="4"/>
      <c r="I1956" s="10" t="str">
        <f>HYPERLINK("http://twitter.com/download/android","Twitter for Android")</f>
        <v>Twitter for Android</v>
      </c>
      <c r="J1956" s="2">
        <v>17079</v>
      </c>
      <c r="K1956" s="2">
        <v>1290</v>
      </c>
      <c r="L1956" s="2">
        <v>197</v>
      </c>
      <c r="M1956" s="2"/>
      <c r="N1956" s="8">
        <v>41464.903124999997</v>
      </c>
      <c r="O1956" s="4" t="s">
        <v>2390</v>
      </c>
      <c r="P1956" s="3" t="s">
        <v>2389</v>
      </c>
      <c r="Q1956" s="10" t="s">
        <v>2388</v>
      </c>
      <c r="R1956" s="4"/>
      <c r="S1956" s="9" t="str">
        <f>HYPERLINK("https://pbs.twimg.com/profile_images/881343825557540864/jCn89kdt.jpg","View")</f>
        <v>View</v>
      </c>
    </row>
    <row r="1957" spans="1:19" ht="20">
      <c r="A1957" s="8">
        <v>43370.315844907411</v>
      </c>
      <c r="B1957" s="11" t="str">
        <f>HYPERLINK("https://twitter.com/RadioPopcorn1","@RadioPopcorn1")</f>
        <v>@RadioPopcorn1</v>
      </c>
      <c r="C1957" s="6" t="s">
        <v>2384</v>
      </c>
      <c r="D1957" s="5" t="s">
        <v>2383</v>
      </c>
      <c r="E1957" s="9" t="str">
        <f>HYPERLINK("https://twitter.com/RadioPopcorn1/status/1045162319360270338","1045162319360270338")</f>
        <v>1045162319360270338</v>
      </c>
      <c r="F1957" s="4"/>
      <c r="G1957" s="10" t="s">
        <v>2382</v>
      </c>
      <c r="H1957" s="4"/>
      <c r="I1957" s="10" t="str">
        <f>HYPERLINK("https://mobile.twitter.com","Twitter Lite")</f>
        <v>Twitter Lite</v>
      </c>
      <c r="J1957" s="2">
        <v>12</v>
      </c>
      <c r="K1957" s="2">
        <v>159</v>
      </c>
      <c r="L1957" s="2">
        <v>0</v>
      </c>
      <c r="M1957" s="2"/>
      <c r="N1957" s="8">
        <v>43357.004918981482</v>
      </c>
      <c r="O1957" s="4" t="s">
        <v>2381</v>
      </c>
      <c r="P1957" s="3" t="s">
        <v>2380</v>
      </c>
      <c r="Q1957" s="10" t="s">
        <v>2379</v>
      </c>
      <c r="R1957" s="4"/>
      <c r="S1957" s="9" t="str">
        <f>HYPERLINK("https://pbs.twimg.com/profile_images/1040326808275759110/J-X_f29z.jpg","View")</f>
        <v>View</v>
      </c>
    </row>
    <row r="1958" spans="1:19" ht="20">
      <c r="A1958" s="8">
        <v>43370.313680555555</v>
      </c>
      <c r="B1958" s="11" t="str">
        <f>HYPERLINK("https://twitter.com/shafaeieisa","@shafaeieisa")</f>
        <v>@shafaeieisa</v>
      </c>
      <c r="C1958" s="6" t="s">
        <v>2376</v>
      </c>
      <c r="D1958" s="5" t="s">
        <v>2375</v>
      </c>
      <c r="E1958" s="9" t="str">
        <f>HYPERLINK("https://twitter.com/shafaeieisa/status/1045161534085898240","1045161534085898240")</f>
        <v>1045161534085898240</v>
      </c>
      <c r="F1958" s="4"/>
      <c r="G1958" s="4"/>
      <c r="H1958" s="4"/>
      <c r="I1958" s="10" t="str">
        <f>HYPERLINK("http://twitter.com/download/android","Twitter for Android")</f>
        <v>Twitter for Android</v>
      </c>
      <c r="J1958" s="2">
        <v>12337</v>
      </c>
      <c r="K1958" s="2">
        <v>5741</v>
      </c>
      <c r="L1958" s="2">
        <v>27</v>
      </c>
      <c r="M1958" s="2"/>
      <c r="N1958" s="8">
        <v>43074.682523148149</v>
      </c>
      <c r="O1958" s="4" t="s">
        <v>62</v>
      </c>
      <c r="P1958" s="3" t="s">
        <v>2374</v>
      </c>
      <c r="Q1958" s="10" t="s">
        <v>2373</v>
      </c>
      <c r="R1958" s="4"/>
      <c r="S1958" s="9" t="str">
        <f>HYPERLINK("https://pbs.twimg.com/profile_images/973670939513819136/Jw4drL2c.jpg","View")</f>
        <v>View</v>
      </c>
    </row>
    <row r="1959" spans="1:19" ht="12.5">
      <c r="A1959" s="8">
        <v>43370.310381944444</v>
      </c>
      <c r="B1959" s="11" t="str">
        <f>HYPERLINK("https://twitter.com/Paeizz","@Paeizz")</f>
        <v>@Paeizz</v>
      </c>
      <c r="C1959" s="6" t="s">
        <v>2372</v>
      </c>
      <c r="D1959" s="5" t="s">
        <v>2371</v>
      </c>
      <c r="E1959" s="9" t="str">
        <f>HYPERLINK("https://twitter.com/Paeizz/status/1045160337601892353","1045160337601892353")</f>
        <v>1045160337601892353</v>
      </c>
      <c r="F1959" s="4"/>
      <c r="G1959" s="4"/>
      <c r="H1959" s="4"/>
      <c r="I1959" s="10" t="str">
        <f>HYPERLINK("https://mobile.twitter.com","Twitter Lite")</f>
        <v>Twitter Lite</v>
      </c>
      <c r="J1959" s="2">
        <v>93</v>
      </c>
      <c r="K1959" s="2">
        <v>50</v>
      </c>
      <c r="L1959" s="2">
        <v>1</v>
      </c>
      <c r="M1959" s="2"/>
      <c r="N1959" s="8">
        <v>42766.975347222222</v>
      </c>
      <c r="O1959" s="4"/>
      <c r="P1959" s="3" t="s">
        <v>2370</v>
      </c>
      <c r="Q1959" s="4"/>
      <c r="R1959" s="4"/>
      <c r="S1959" s="9" t="str">
        <f>HYPERLINK("https://pbs.twimg.com/profile_images/1027690902209355778/oniKfdnz.jpg","View")</f>
        <v>View</v>
      </c>
    </row>
    <row r="1960" spans="1:19" ht="12.5">
      <c r="A1960" s="8">
        <v>43370.310208333336</v>
      </c>
      <c r="B1960" s="11" t="str">
        <f>HYPERLINK("https://twitter.com/mammad_khannn","@mammad_khannn")</f>
        <v>@mammad_khannn</v>
      </c>
      <c r="C1960" s="6" t="s">
        <v>2366</v>
      </c>
      <c r="D1960" s="5" t="s">
        <v>2369</v>
      </c>
      <c r="E1960" s="9" t="str">
        <f>HYPERLINK("https://twitter.com/mammad_khannn/status/1045160276465774592","1045160276465774592")</f>
        <v>1045160276465774592</v>
      </c>
      <c r="F1960" s="4"/>
      <c r="G1960" s="4"/>
      <c r="H1960" s="4"/>
      <c r="I1960" s="10" t="str">
        <f>HYPERLINK("http://twitter.com/#!/download/ipad","Twitter for iPad")</f>
        <v>Twitter for iPad</v>
      </c>
      <c r="J1960" s="2">
        <v>641</v>
      </c>
      <c r="K1960" s="2">
        <v>1637</v>
      </c>
      <c r="L1960" s="2">
        <v>3</v>
      </c>
      <c r="M1960" s="2"/>
      <c r="N1960" s="8">
        <v>42525.52721064815</v>
      </c>
      <c r="O1960" s="4" t="s">
        <v>2364</v>
      </c>
      <c r="P1960" s="3" t="s">
        <v>2363</v>
      </c>
      <c r="Q1960" s="4"/>
      <c r="R1960" s="4"/>
      <c r="S1960" s="9" t="str">
        <f>HYPERLINK("https://pbs.twimg.com/profile_images/751779844728381440/ACcevEbd.jpg","View")</f>
        <v>View</v>
      </c>
    </row>
    <row r="1961" spans="1:19" ht="20">
      <c r="A1961" s="8">
        <v>43370.308217592596</v>
      </c>
      <c r="B1961" s="11" t="str">
        <f>HYPERLINK("https://twitter.com/faarshaadi","@faarshaadi")</f>
        <v>@faarshaadi</v>
      </c>
      <c r="C1961" s="6" t="s">
        <v>1240</v>
      </c>
      <c r="D1961" s="5" t="s">
        <v>2368</v>
      </c>
      <c r="E1961" s="9" t="str">
        <f>HYPERLINK("https://twitter.com/faarshaadi/status/1045159552642166784","1045159552642166784")</f>
        <v>1045159552642166784</v>
      </c>
      <c r="F1961" s="4"/>
      <c r="G1961" s="4"/>
      <c r="H1961" s="4"/>
      <c r="I1961" s="10" t="str">
        <f>HYPERLINK("http://twitter.com/download/iphone","Twitter for iPhone")</f>
        <v>Twitter for iPhone</v>
      </c>
      <c r="J1961" s="2">
        <v>636</v>
      </c>
      <c r="K1961" s="2">
        <v>641</v>
      </c>
      <c r="L1961" s="2">
        <v>5</v>
      </c>
      <c r="M1961" s="2"/>
      <c r="N1961" s="8">
        <v>41705.619085648148</v>
      </c>
      <c r="O1961" s="4"/>
      <c r="P1961" s="3" t="s">
        <v>2367</v>
      </c>
      <c r="Q1961" s="4"/>
      <c r="R1961" s="4"/>
      <c r="S1961" s="9" t="str">
        <f>HYPERLINK("https://pbs.twimg.com/profile_images/988039356085661696/h9ZjbTIt.jpg","View")</f>
        <v>View</v>
      </c>
    </row>
    <row r="1962" spans="1:19" ht="12.5">
      <c r="A1962" s="8">
        <v>43370.306817129633</v>
      </c>
      <c r="B1962" s="11" t="str">
        <f>HYPERLINK("https://twitter.com/mammad_khannn","@mammad_khannn")</f>
        <v>@mammad_khannn</v>
      </c>
      <c r="C1962" s="6" t="s">
        <v>2366</v>
      </c>
      <c r="D1962" s="5" t="s">
        <v>2365</v>
      </c>
      <c r="E1962" s="9" t="str">
        <f>HYPERLINK("https://twitter.com/mammad_khannn/status/1045159045496229888","1045159045496229888")</f>
        <v>1045159045496229888</v>
      </c>
      <c r="F1962" s="4"/>
      <c r="G1962" s="4"/>
      <c r="H1962" s="4"/>
      <c r="I1962" s="10" t="str">
        <f>HYPERLINK("http://twitter.com/#!/download/ipad","Twitter for iPad")</f>
        <v>Twitter for iPad</v>
      </c>
      <c r="J1962" s="2">
        <v>641</v>
      </c>
      <c r="K1962" s="2">
        <v>1637</v>
      </c>
      <c r="L1962" s="2">
        <v>3</v>
      </c>
      <c r="M1962" s="2"/>
      <c r="N1962" s="8">
        <v>42525.52721064815</v>
      </c>
      <c r="O1962" s="4" t="s">
        <v>2364</v>
      </c>
      <c r="P1962" s="3" t="s">
        <v>2363</v>
      </c>
      <c r="Q1962" s="4"/>
      <c r="R1962" s="4"/>
      <c r="S1962" s="9" t="str">
        <f>HYPERLINK("https://pbs.twimg.com/profile_images/751779844728381440/ACcevEbd.jpg","View")</f>
        <v>View</v>
      </c>
    </row>
    <row r="1963" spans="1:19" ht="70">
      <c r="A1963" s="8">
        <v>43370.30196759259</v>
      </c>
      <c r="B1963" s="11" t="str">
        <f>HYPERLINK("https://twitter.com/Raharahi5","@Raharahi5")</f>
        <v>@Raharahi5</v>
      </c>
      <c r="C1963" s="6" t="s">
        <v>2358</v>
      </c>
      <c r="D1963" s="5" t="s">
        <v>2357</v>
      </c>
      <c r="E1963" s="9" t="str">
        <f>HYPERLINK("https://twitter.com/Raharahi5/status/1045157291056660480","1045157291056660480")</f>
        <v>1045157291056660480</v>
      </c>
      <c r="F1963" s="10" t="s">
        <v>2356</v>
      </c>
      <c r="G1963" s="4"/>
      <c r="H1963" s="4"/>
      <c r="I1963" s="10" t="str">
        <f>HYPERLINK("http://twitter.com/download/iphone","Twitter for iPhone")</f>
        <v>Twitter for iPhone</v>
      </c>
      <c r="J1963" s="2">
        <v>168</v>
      </c>
      <c r="K1963" s="2">
        <v>356</v>
      </c>
      <c r="L1963" s="2">
        <v>2</v>
      </c>
      <c r="M1963" s="2"/>
      <c r="N1963" s="8">
        <v>42867.846967592588</v>
      </c>
      <c r="O1963" s="4" t="s">
        <v>10</v>
      </c>
      <c r="P1963" s="3" t="s">
        <v>2355</v>
      </c>
      <c r="Q1963" s="4"/>
      <c r="R1963" s="4"/>
      <c r="S1963" s="9" t="str">
        <f>HYPERLINK("https://pbs.twimg.com/profile_images/1025397382794620928/Gz4s7cCD.jpg","View")</f>
        <v>View</v>
      </c>
    </row>
    <row r="1964" spans="1:19" ht="20">
      <c r="A1964" s="8">
        <v>43370.291759259257</v>
      </c>
      <c r="B1964" s="11" t="str">
        <f>HYPERLINK("https://twitter.com/97morning_star","@97morning_star")</f>
        <v>@97morning_star</v>
      </c>
      <c r="C1964" s="6" t="s">
        <v>2351</v>
      </c>
      <c r="D1964" s="5" t="s">
        <v>2350</v>
      </c>
      <c r="E1964" s="9" t="str">
        <f>HYPERLINK("https://twitter.com/97morning_star/status/1045153590854209536","1045153590854209536")</f>
        <v>1045153590854209536</v>
      </c>
      <c r="F1964" s="4"/>
      <c r="G1964" s="4"/>
      <c r="H1964" s="4"/>
      <c r="I1964" s="10" t="str">
        <f>HYPERLINK("http://twitter.com/download/android","Twitter for Android")</f>
        <v>Twitter for Android</v>
      </c>
      <c r="J1964" s="2">
        <v>7</v>
      </c>
      <c r="K1964" s="2">
        <v>29</v>
      </c>
      <c r="L1964" s="2">
        <v>0</v>
      </c>
      <c r="M1964" s="2"/>
      <c r="N1964" s="8">
        <v>43355.363136574073</v>
      </c>
      <c r="O1964" s="4" t="s">
        <v>2349</v>
      </c>
      <c r="P1964" s="3" t="s">
        <v>2348</v>
      </c>
      <c r="Q1964" s="4"/>
      <c r="R1964" s="4"/>
      <c r="S1964" s="9" t="str">
        <f>HYPERLINK("https://pbs.twimg.com/profile_images/1039730621227196416/X6D_yDjX.jpg","View")</f>
        <v>View</v>
      </c>
    </row>
    <row r="1965" spans="1:19" ht="30">
      <c r="A1965" s="8">
        <v>43370.287835648152</v>
      </c>
      <c r="B1965" s="11" t="str">
        <f>HYPERLINK("https://twitter.com/morteza_kaka","@morteza_kaka")</f>
        <v>@morteza_kaka</v>
      </c>
      <c r="C1965" s="6" t="s">
        <v>2316</v>
      </c>
      <c r="D1965" s="5" t="s">
        <v>2342</v>
      </c>
      <c r="E1965" s="9" t="str">
        <f>HYPERLINK("https://twitter.com/morteza_kaka/status/1045152168519634944","1045152168519634944")</f>
        <v>1045152168519634944</v>
      </c>
      <c r="F1965" s="4"/>
      <c r="G1965" s="4"/>
      <c r="H1965" s="4"/>
      <c r="I1965" s="10" t="str">
        <f>HYPERLINK("http://twitter.com/download/android","Twitter for Android")</f>
        <v>Twitter for Android</v>
      </c>
      <c r="J1965" s="2">
        <v>268</v>
      </c>
      <c r="K1965" s="2">
        <v>696</v>
      </c>
      <c r="L1965" s="2">
        <v>0</v>
      </c>
      <c r="M1965" s="2"/>
      <c r="N1965" s="8">
        <v>43222.718402777777</v>
      </c>
      <c r="O1965" s="4" t="s">
        <v>62</v>
      </c>
      <c r="P1965" s="3" t="s">
        <v>2314</v>
      </c>
      <c r="Q1965" s="4"/>
      <c r="R1965" s="4"/>
      <c r="S1965" s="9" t="str">
        <f>HYPERLINK("https://pbs.twimg.com/profile_images/1017196513896878080/Cvtn01BA.jpg","View")</f>
        <v>View</v>
      </c>
    </row>
    <row r="1966" spans="1:19" ht="20">
      <c r="A1966" s="8">
        <v>43370.28528935185</v>
      </c>
      <c r="B1966" s="11" t="str">
        <f>HYPERLINK("https://twitter.com/omiidG2","@omiidG2")</f>
        <v>@omiidG2</v>
      </c>
      <c r="C1966" s="6" t="s">
        <v>2341</v>
      </c>
      <c r="D1966" s="5" t="s">
        <v>2340</v>
      </c>
      <c r="E1966" s="9" t="str">
        <f>HYPERLINK("https://twitter.com/omiidG2/status/1045151244581568513","1045151244581568513")</f>
        <v>1045151244581568513</v>
      </c>
      <c r="F1966" s="4"/>
      <c r="G1966" s="4"/>
      <c r="H1966" s="4"/>
      <c r="I1966" s="10" t="str">
        <f>HYPERLINK("https://mobile.twitter.com","Mobile Web (M2)")</f>
        <v>Mobile Web (M2)</v>
      </c>
      <c r="J1966" s="2">
        <v>35</v>
      </c>
      <c r="K1966" s="2">
        <v>219</v>
      </c>
      <c r="L1966" s="2">
        <v>0</v>
      </c>
      <c r="M1966" s="2"/>
      <c r="N1966" s="8">
        <v>42500.104479166665</v>
      </c>
      <c r="O1966" s="4" t="s">
        <v>10</v>
      </c>
      <c r="P1966" s="3"/>
      <c r="Q1966" s="4"/>
      <c r="R1966" s="4"/>
      <c r="S1966" s="9" t="str">
        <f>HYPERLINK("https://pbs.twimg.com/profile_images/733262386434560001/-CF5uVGo.jpg","View")</f>
        <v>View</v>
      </c>
    </row>
    <row r="1967" spans="1:19" ht="20">
      <c r="A1967" s="8">
        <v>43370.28162037037</v>
      </c>
      <c r="B1967" s="11" t="str">
        <f>HYPERLINK("https://twitter.com/PerspolisFCIran","@PerspolisFCIran")</f>
        <v>@PerspolisFCIran</v>
      </c>
      <c r="C1967" s="6" t="s">
        <v>314</v>
      </c>
      <c r="D1967" s="5" t="s">
        <v>2339</v>
      </c>
      <c r="E1967" s="9" t="str">
        <f>HYPERLINK("https://twitter.com/PerspolisFCIran/status/1045149916308402176","1045149916308402176")</f>
        <v>1045149916308402176</v>
      </c>
      <c r="F1967" s="4"/>
      <c r="G1967" s="10" t="s">
        <v>2338</v>
      </c>
      <c r="H1967" s="4"/>
      <c r="I1967" s="10" t="str">
        <f>HYPERLINK("http://twitter.com/download/iphone","Twitter for iPhone")</f>
        <v>Twitter for iPhone</v>
      </c>
      <c r="J1967" s="2">
        <v>55257</v>
      </c>
      <c r="K1967" s="2">
        <v>17</v>
      </c>
      <c r="L1967" s="2">
        <v>87</v>
      </c>
      <c r="M1967" s="2"/>
      <c r="N1967" s="8">
        <v>41046.775138888886</v>
      </c>
      <c r="O1967" s="4" t="s">
        <v>311</v>
      </c>
      <c r="P1967" s="3" t="s">
        <v>310</v>
      </c>
      <c r="Q1967" s="10" t="s">
        <v>309</v>
      </c>
      <c r="R1967" s="4"/>
      <c r="S1967" s="9" t="str">
        <f>HYPERLINK("https://pbs.twimg.com/profile_images/857246758069567488/yDozVZti.jpg","View")</f>
        <v>View</v>
      </c>
    </row>
    <row r="1968" spans="1:19" ht="12.5">
      <c r="A1968" s="8">
        <v>43370.279097222221</v>
      </c>
      <c r="B1968" s="11" t="str">
        <f>HYPERLINK("https://twitter.com/Cheshmaak","@Cheshmaak")</f>
        <v>@Cheshmaak</v>
      </c>
      <c r="C1968" s="6" t="s">
        <v>2337</v>
      </c>
      <c r="D1968" s="5" t="s">
        <v>2336</v>
      </c>
      <c r="E1968" s="9" t="str">
        <f>HYPERLINK("https://twitter.com/Cheshmaak/status/1045149003262947328","1045149003262947328")</f>
        <v>1045149003262947328</v>
      </c>
      <c r="F1968" s="4"/>
      <c r="G1968" s="4"/>
      <c r="H1968" s="4"/>
      <c r="I1968" s="10" t="str">
        <f>HYPERLINK("http://twitter.com/download/android","Twitter for Android")</f>
        <v>Twitter for Android</v>
      </c>
      <c r="J1968" s="2">
        <v>1096</v>
      </c>
      <c r="K1968" s="2">
        <v>576</v>
      </c>
      <c r="L1968" s="2">
        <v>6</v>
      </c>
      <c r="M1968" s="2"/>
      <c r="N1968" s="8">
        <v>43132.819085648152</v>
      </c>
      <c r="O1968" s="4" t="s">
        <v>2335</v>
      </c>
      <c r="P1968" s="3" t="s">
        <v>2334</v>
      </c>
      <c r="Q1968" s="4"/>
      <c r="R1968" s="4"/>
      <c r="S1968" s="9" t="str">
        <f>HYPERLINK("https://pbs.twimg.com/profile_images/959103258571825152/0vEYG2hI.jpg","View")</f>
        <v>View</v>
      </c>
    </row>
    <row r="1969" spans="1:19" ht="20">
      <c r="A1969" s="8">
        <v>43370.278553240743</v>
      </c>
      <c r="B1969" s="11" t="str">
        <f>HYPERLINK("https://twitter.com/violet37210","@violet37210")</f>
        <v>@violet37210</v>
      </c>
      <c r="C1969" s="6" t="s">
        <v>2333</v>
      </c>
      <c r="D1969" s="5" t="s">
        <v>2332</v>
      </c>
      <c r="E1969" s="9" t="str">
        <f>HYPERLINK("https://twitter.com/violet37210/status/1045148804419399680","1045148804419399680")</f>
        <v>1045148804419399680</v>
      </c>
      <c r="F1969" s="4"/>
      <c r="G1969" s="4"/>
      <c r="H1969" s="4"/>
      <c r="I1969" s="10" t="str">
        <f>HYPERLINK("http://twitter.com/download/android","Twitter for Android")</f>
        <v>Twitter for Android</v>
      </c>
      <c r="J1969" s="2">
        <v>1638</v>
      </c>
      <c r="K1969" s="2">
        <v>1062</v>
      </c>
      <c r="L1969" s="2">
        <v>9</v>
      </c>
      <c r="M1969" s="2"/>
      <c r="N1969" s="8">
        <v>42704.876747685186</v>
      </c>
      <c r="O1969" s="4" t="s">
        <v>254</v>
      </c>
      <c r="P1969" s="3" t="s">
        <v>2331</v>
      </c>
      <c r="Q1969" s="4"/>
      <c r="R1969" s="4"/>
      <c r="S1969" s="9" t="str">
        <f>HYPERLINK("https://pbs.twimg.com/profile_images/938849969427091457/Xp5jMeMX.jpg","View")</f>
        <v>View</v>
      </c>
    </row>
    <row r="1970" spans="1:19" ht="20">
      <c r="A1970" s="8">
        <v>43370.277847222227</v>
      </c>
      <c r="B1970" s="11" t="str">
        <f>HYPERLINK("https://twitter.com/saeedahmadi86","@saeedahmadi86")</f>
        <v>@saeedahmadi86</v>
      </c>
      <c r="C1970" s="6" t="s">
        <v>2330</v>
      </c>
      <c r="D1970" s="5" t="s">
        <v>2329</v>
      </c>
      <c r="E1970" s="9" t="str">
        <f>HYPERLINK("https://twitter.com/saeedahmadi86/status/1045148547904098304","1045148547904098304")</f>
        <v>1045148547904098304</v>
      </c>
      <c r="F1970" s="4"/>
      <c r="G1970" s="10" t="s">
        <v>2328</v>
      </c>
      <c r="H1970" s="4"/>
      <c r="I1970" s="10" t="str">
        <f>HYPERLINK("http://twitter.com/download/android","Twitter for Android")</f>
        <v>Twitter for Android</v>
      </c>
      <c r="J1970" s="2">
        <v>104</v>
      </c>
      <c r="K1970" s="2">
        <v>251</v>
      </c>
      <c r="L1970" s="2">
        <v>0</v>
      </c>
      <c r="M1970" s="2"/>
      <c r="N1970" s="8">
        <v>41853.834120370375</v>
      </c>
      <c r="O1970" s="4" t="s">
        <v>200</v>
      </c>
      <c r="P1970" s="3" t="s">
        <v>2327</v>
      </c>
      <c r="Q1970" s="4"/>
      <c r="R1970" s="4"/>
      <c r="S1970" s="9" t="str">
        <f>HYPERLINK("https://pbs.twimg.com/profile_images/1020702698201583618/j29ndKSD.jpg","View")</f>
        <v>View</v>
      </c>
    </row>
    <row r="1971" spans="1:19" ht="40">
      <c r="A1971" s="8">
        <v>43370.274814814809</v>
      </c>
      <c r="B1971" s="11" t="str">
        <f>HYPERLINK("https://twitter.com/Luxelinii","@Luxelinii")</f>
        <v>@Luxelinii</v>
      </c>
      <c r="C1971" s="6" t="s">
        <v>2322</v>
      </c>
      <c r="D1971" s="5" t="s">
        <v>2321</v>
      </c>
      <c r="E1971" s="9" t="str">
        <f>HYPERLINK("https://twitter.com/Luxelinii/status/1045147448627384320","1045147448627384320")</f>
        <v>1045147448627384320</v>
      </c>
      <c r="F1971" s="4"/>
      <c r="G1971" s="10" t="s">
        <v>2320</v>
      </c>
      <c r="H1971" s="4"/>
      <c r="I1971" s="10" t="str">
        <f>HYPERLINK("http://twitter.com","Twitter Web Client")</f>
        <v>Twitter Web Client</v>
      </c>
      <c r="J1971" s="2">
        <v>457</v>
      </c>
      <c r="K1971" s="2">
        <v>313</v>
      </c>
      <c r="L1971" s="2">
        <v>0</v>
      </c>
      <c r="M1971" s="2"/>
      <c r="N1971" s="8">
        <v>43105.146203703705</v>
      </c>
      <c r="O1971" s="4" t="s">
        <v>2319</v>
      </c>
      <c r="P1971" s="3" t="s">
        <v>2318</v>
      </c>
      <c r="Q1971" s="4"/>
      <c r="R1971" s="4"/>
      <c r="S1971" s="9" t="str">
        <f>HYPERLINK("https://pbs.twimg.com/profile_images/1010018521932165122/oT7IocqS.jpg","View")</f>
        <v>View</v>
      </c>
    </row>
    <row r="1972" spans="1:19" ht="30">
      <c r="A1972" s="8">
        <v>43370.273391203707</v>
      </c>
      <c r="B1972" s="11" t="str">
        <f>HYPERLINK("https://twitter.com/morteza_kaka","@morteza_kaka")</f>
        <v>@morteza_kaka</v>
      </c>
      <c r="C1972" s="6" t="s">
        <v>2316</v>
      </c>
      <c r="D1972" s="5" t="s">
        <v>2315</v>
      </c>
      <c r="E1972" s="9" t="str">
        <f>HYPERLINK("https://twitter.com/morteza_kaka/status/1045146934065983488","1045146934065983488")</f>
        <v>1045146934065983488</v>
      </c>
      <c r="F1972" s="4"/>
      <c r="G1972" s="4"/>
      <c r="H1972" s="4"/>
      <c r="I1972" s="10" t="str">
        <f>HYPERLINK("http://twitter.com/download/android","Twitter for Android")</f>
        <v>Twitter for Android</v>
      </c>
      <c r="J1972" s="2">
        <v>268</v>
      </c>
      <c r="K1972" s="2">
        <v>696</v>
      </c>
      <c r="L1972" s="2">
        <v>0</v>
      </c>
      <c r="M1972" s="2"/>
      <c r="N1972" s="8">
        <v>43222.718402777777</v>
      </c>
      <c r="O1972" s="4" t="s">
        <v>62</v>
      </c>
      <c r="P1972" s="3" t="s">
        <v>2314</v>
      </c>
      <c r="Q1972" s="4"/>
      <c r="R1972" s="4"/>
      <c r="S1972" s="9" t="str">
        <f>HYPERLINK("https://pbs.twimg.com/profile_images/1017196513896878080/Cvtn01BA.jpg","View")</f>
        <v>View</v>
      </c>
    </row>
    <row r="1973" spans="1:19" ht="12.5">
      <c r="A1973" s="8">
        <v>43370.258460648147</v>
      </c>
      <c r="B1973" s="11" t="str">
        <f>HYPERLINK("https://twitter.com/Farzininjast","@Farzininjast")</f>
        <v>@Farzininjast</v>
      </c>
      <c r="C1973" s="6" t="s">
        <v>2295</v>
      </c>
      <c r="D1973" s="5" t="s">
        <v>2294</v>
      </c>
      <c r="E1973" s="9" t="str">
        <f>HYPERLINK("https://twitter.com/Farzininjast/status/1045141524579844097","1045141524579844097")</f>
        <v>1045141524579844097</v>
      </c>
      <c r="F1973" s="4"/>
      <c r="G1973" s="4"/>
      <c r="H1973" s="4"/>
      <c r="I1973" s="10" t="str">
        <f>HYPERLINK("http://twitter.com/download/android","Twitter for Android")</f>
        <v>Twitter for Android</v>
      </c>
      <c r="J1973" s="2">
        <v>3416</v>
      </c>
      <c r="K1973" s="2">
        <v>3048</v>
      </c>
      <c r="L1973" s="2">
        <v>6</v>
      </c>
      <c r="M1973" s="2"/>
      <c r="N1973" s="8">
        <v>43219.640300925923</v>
      </c>
      <c r="O1973" s="4" t="s">
        <v>2293</v>
      </c>
      <c r="P1973" s="3" t="s">
        <v>2292</v>
      </c>
      <c r="Q1973" s="10" t="s">
        <v>2291</v>
      </c>
      <c r="R1973" s="4"/>
      <c r="S1973" s="9" t="str">
        <f>HYPERLINK("https://pbs.twimg.com/profile_images/1044764695897546753/sCPyKsFo.jpg","View")</f>
        <v>View</v>
      </c>
    </row>
    <row r="1974" spans="1:19" ht="30">
      <c r="A1974" s="8">
        <v>43370.241759259261</v>
      </c>
      <c r="B1974" s="11" t="str">
        <f>HYPERLINK("https://twitter.com/ABALFAZLLL","@ABALFAZLLL")</f>
        <v>@ABALFAZLLL</v>
      </c>
      <c r="C1974" s="6" t="s">
        <v>2264</v>
      </c>
      <c r="D1974" s="5" t="s">
        <v>2284</v>
      </c>
      <c r="E1974" s="9" t="str">
        <f>HYPERLINK("https://twitter.com/ABALFAZLLL/status/1045135470873784320","1045135470873784320")</f>
        <v>1045135470873784320</v>
      </c>
      <c r="F1974" s="4"/>
      <c r="G1974" s="4"/>
      <c r="H1974" s="4"/>
      <c r="I1974" s="10" t="str">
        <f>HYPERLINK("http://twitter.com/download/android","Twitter for Android")</f>
        <v>Twitter for Android</v>
      </c>
      <c r="J1974" s="2">
        <v>483</v>
      </c>
      <c r="K1974" s="2">
        <v>202</v>
      </c>
      <c r="L1974" s="2">
        <v>1</v>
      </c>
      <c r="M1974" s="2"/>
      <c r="N1974" s="8">
        <v>42129.583506944444</v>
      </c>
      <c r="O1974" s="4" t="s">
        <v>62</v>
      </c>
      <c r="P1974" s="3" t="s">
        <v>2263</v>
      </c>
      <c r="Q1974" s="4"/>
      <c r="R1974" s="4"/>
      <c r="S1974" s="9" t="str">
        <f>HYPERLINK("https://pbs.twimg.com/profile_images/1038986075669188608/jeY3qSDl.jpg","View")</f>
        <v>View</v>
      </c>
    </row>
    <row r="1975" spans="1:19" ht="30">
      <c r="A1975" s="8">
        <v>43370.240104166667</v>
      </c>
      <c r="B1975" s="11" t="str">
        <f>HYPERLINK("https://twitter.com/bar_andazam","@bar_andazam")</f>
        <v>@bar_andazam</v>
      </c>
      <c r="C1975" s="6" t="s">
        <v>2282</v>
      </c>
      <c r="D1975" s="5" t="s">
        <v>2281</v>
      </c>
      <c r="E1975" s="9" t="str">
        <f>HYPERLINK("https://twitter.com/bar_andazam/status/1045134872451457025","1045134872451457025")</f>
        <v>1045134872451457025</v>
      </c>
      <c r="F1975" s="4"/>
      <c r="G1975" s="4"/>
      <c r="H1975" s="4"/>
      <c r="I1975" s="10" t="str">
        <f>HYPERLINK("http://twitter.com/download/android","Twitter for Android")</f>
        <v>Twitter for Android</v>
      </c>
      <c r="J1975" s="2">
        <v>50</v>
      </c>
      <c r="K1975" s="2">
        <v>25</v>
      </c>
      <c r="L1975" s="2">
        <v>0</v>
      </c>
      <c r="M1975" s="2"/>
      <c r="N1975" s="8">
        <v>43270.316400462965</v>
      </c>
      <c r="O1975" s="4" t="s">
        <v>2280</v>
      </c>
      <c r="P1975" s="3" t="s">
        <v>2279</v>
      </c>
      <c r="Q1975" s="4"/>
      <c r="R1975" s="4"/>
      <c r="S1975" s="9" t="str">
        <f>HYPERLINK("https://pbs.twimg.com/profile_images/1009047631321026560/HuycapP2.jpg","View")</f>
        <v>View</v>
      </c>
    </row>
    <row r="1976" spans="1:19" ht="20">
      <c r="A1976" s="8">
        <v>43370.24009259259</v>
      </c>
      <c r="B1976" s="11" t="str">
        <f>HYPERLINK("https://twitter.com/m_amin_karimi","@m_amin_karimi")</f>
        <v>@m_amin_karimi</v>
      </c>
      <c r="C1976" s="6" t="s">
        <v>2278</v>
      </c>
      <c r="D1976" s="5" t="s">
        <v>2277</v>
      </c>
      <c r="E1976" s="9" t="str">
        <f>HYPERLINK("https://twitter.com/m_amin_karimi/status/1045134865384050688","1045134865384050688")</f>
        <v>1045134865384050688</v>
      </c>
      <c r="F1976" s="4"/>
      <c r="G1976" s="4"/>
      <c r="H1976" s="4"/>
      <c r="I1976" s="10" t="str">
        <f>HYPERLINK("https://mobile.twitter.com","Twitter Lite")</f>
        <v>Twitter Lite</v>
      </c>
      <c r="J1976" s="2">
        <v>1808</v>
      </c>
      <c r="K1976" s="2">
        <v>2933</v>
      </c>
      <c r="L1976" s="2">
        <v>2</v>
      </c>
      <c r="M1976" s="2"/>
      <c r="N1976" s="8">
        <v>42736.904363425929</v>
      </c>
      <c r="O1976" s="4" t="s">
        <v>62</v>
      </c>
      <c r="P1976" s="3" t="s">
        <v>2276</v>
      </c>
      <c r="Q1976" s="4"/>
      <c r="R1976" s="4"/>
      <c r="S1976" s="9" t="str">
        <f>HYPERLINK("https://pbs.twimg.com/profile_images/1039225070919380993/9A36KAHj.jpg","View")</f>
        <v>View</v>
      </c>
    </row>
    <row r="1977" spans="1:19" ht="30">
      <c r="A1977" s="8">
        <v>43370.239780092597</v>
      </c>
      <c r="B1977" s="11" t="str">
        <f>HYPERLINK("https://twitter.com/hamidkoper","@hamidkoper")</f>
        <v>@hamidkoper</v>
      </c>
      <c r="C1977" s="6" t="s">
        <v>2275</v>
      </c>
      <c r="D1977" s="5" t="s">
        <v>2274</v>
      </c>
      <c r="E1977" s="9" t="str">
        <f>HYPERLINK("https://twitter.com/hamidkoper/status/1045134752255234048","1045134752255234048")</f>
        <v>1045134752255234048</v>
      </c>
      <c r="F1977" s="4"/>
      <c r="G1977" s="10" t="s">
        <v>2273</v>
      </c>
      <c r="H1977" s="4"/>
      <c r="I1977" s="10" t="str">
        <f>HYPERLINK("http://twitter.com","Twitter Web Client")</f>
        <v>Twitter Web Client</v>
      </c>
      <c r="J1977" s="2">
        <v>208</v>
      </c>
      <c r="K1977" s="2">
        <v>265</v>
      </c>
      <c r="L1977" s="2">
        <v>0</v>
      </c>
      <c r="M1977" s="2"/>
      <c r="N1977" s="8">
        <v>41670.175474537034</v>
      </c>
      <c r="O1977" s="4"/>
      <c r="P1977" s="3" t="s">
        <v>2272</v>
      </c>
      <c r="Q1977" s="4"/>
      <c r="R1977" s="4"/>
      <c r="S1977" s="2" t="s">
        <v>259</v>
      </c>
    </row>
    <row r="1978" spans="1:19" ht="20">
      <c r="A1978" s="8">
        <v>43370.236701388887</v>
      </c>
      <c r="B1978" s="11" t="str">
        <f>HYPERLINK("https://twitter.com/Eyewitness777","@Eyewitness777")</f>
        <v>@Eyewitness777</v>
      </c>
      <c r="C1978" s="6" t="s">
        <v>2269</v>
      </c>
      <c r="D1978" s="5" t="s">
        <v>2268</v>
      </c>
      <c r="E1978" s="9" t="str">
        <f>HYPERLINK("https://twitter.com/Eyewitness777/status/1045133639078436864","1045133639078436864")</f>
        <v>1045133639078436864</v>
      </c>
      <c r="F1978" s="4"/>
      <c r="G1978" s="4"/>
      <c r="H1978" s="4"/>
      <c r="I1978" s="10" t="str">
        <f>HYPERLINK("http://twitter.com/download/iphone","Twitter for iPhone")</f>
        <v>Twitter for iPhone</v>
      </c>
      <c r="J1978" s="2">
        <v>75</v>
      </c>
      <c r="K1978" s="2">
        <v>431</v>
      </c>
      <c r="L1978" s="2">
        <v>0</v>
      </c>
      <c r="M1978" s="2"/>
      <c r="N1978" s="8">
        <v>43223.516828703709</v>
      </c>
      <c r="O1978" s="4" t="s">
        <v>2267</v>
      </c>
      <c r="P1978" s="3" t="s">
        <v>2266</v>
      </c>
      <c r="Q1978" s="4"/>
      <c r="R1978" s="4"/>
      <c r="S1978" s="9" t="str">
        <f>HYPERLINK("https://pbs.twimg.com/profile_images/992152221981728768/oduFyWkg.jpg","View")</f>
        <v>View</v>
      </c>
    </row>
    <row r="1979" spans="1:19" ht="30">
      <c r="A1979" s="8">
        <v>43370.236458333333</v>
      </c>
      <c r="B1979" s="11" t="str">
        <f>HYPERLINK("https://twitter.com/ABALFAZLLL","@ABALFAZLLL")</f>
        <v>@ABALFAZLLL</v>
      </c>
      <c r="C1979" s="6" t="s">
        <v>2264</v>
      </c>
      <c r="D1979" s="5" t="s">
        <v>2265</v>
      </c>
      <c r="E1979" s="9" t="str">
        <f>HYPERLINK("https://twitter.com/ABALFAZLLL/status/1045133549026902017","1045133549026902017")</f>
        <v>1045133549026902017</v>
      </c>
      <c r="F1979" s="4"/>
      <c r="G1979" s="4"/>
      <c r="H1979" s="4"/>
      <c r="I1979" s="10" t="str">
        <f>HYPERLINK("http://twitter.com/download/android","Twitter for Android")</f>
        <v>Twitter for Android</v>
      </c>
      <c r="J1979" s="2">
        <v>483</v>
      </c>
      <c r="K1979" s="2">
        <v>202</v>
      </c>
      <c r="L1979" s="2">
        <v>1</v>
      </c>
      <c r="M1979" s="2"/>
      <c r="N1979" s="8">
        <v>42129.583506944444</v>
      </c>
      <c r="O1979" s="4" t="s">
        <v>62</v>
      </c>
      <c r="P1979" s="3" t="s">
        <v>2263</v>
      </c>
      <c r="Q1979" s="4"/>
      <c r="R1979" s="4"/>
      <c r="S1979" s="9" t="str">
        <f>HYPERLINK("https://pbs.twimg.com/profile_images/1038986075669188608/jeY3qSDl.jpg","View")</f>
        <v>View</v>
      </c>
    </row>
    <row r="1980" spans="1:19" ht="20">
      <c r="A1980" s="8">
        <v>43370.228101851855</v>
      </c>
      <c r="B1980" s="11" t="str">
        <f>HYPERLINK("https://twitter.com/majid2018majid","@majid2018majid")</f>
        <v>@majid2018majid</v>
      </c>
      <c r="C1980" s="6" t="s">
        <v>2255</v>
      </c>
      <c r="D1980" s="5" t="s">
        <v>2260</v>
      </c>
      <c r="E1980" s="9" t="str">
        <f>HYPERLINK("https://twitter.com/majid2018majid/status/1045130522731728896","1045130522731728896")</f>
        <v>1045130522731728896</v>
      </c>
      <c r="F1980" s="4"/>
      <c r="G1980" s="10" t="s">
        <v>2259</v>
      </c>
      <c r="H1980" s="4"/>
      <c r="I1980" s="10" t="str">
        <f>HYPERLINK("http://twitter.com/download/android","Twitter for Android")</f>
        <v>Twitter for Android</v>
      </c>
      <c r="J1980" s="2">
        <v>220</v>
      </c>
      <c r="K1980" s="2">
        <v>56</v>
      </c>
      <c r="L1980" s="2">
        <v>2</v>
      </c>
      <c r="M1980" s="2"/>
      <c r="N1980" s="8">
        <v>43150.472407407404</v>
      </c>
      <c r="O1980" s="4"/>
      <c r="P1980" s="3" t="s">
        <v>2252</v>
      </c>
      <c r="Q1980" s="4"/>
      <c r="R1980" s="4"/>
      <c r="S1980" s="9" t="str">
        <f>HYPERLINK("https://pbs.twimg.com/profile_images/1044683603840503809/EJaEYTeR.jpg","View")</f>
        <v>View</v>
      </c>
    </row>
    <row r="1981" spans="1:19" ht="20">
      <c r="A1981" s="8">
        <v>43370.218831018516</v>
      </c>
      <c r="B1981" s="11" t="str">
        <f>HYPERLINK("https://twitter.com/Y_sd____","@Y_sd____")</f>
        <v>@Y_sd____</v>
      </c>
      <c r="C1981" s="6" t="s">
        <v>2258</v>
      </c>
      <c r="D1981" s="5" t="s">
        <v>2257</v>
      </c>
      <c r="E1981" s="9" t="str">
        <f>HYPERLINK("https://twitter.com/Y_sd____/status/1045127163341688837","1045127163341688837")</f>
        <v>1045127163341688837</v>
      </c>
      <c r="F1981" s="4"/>
      <c r="G1981" s="4"/>
      <c r="H1981" s="4"/>
      <c r="I1981" s="10" t="str">
        <f>HYPERLINK("http://twitter.com/download/android","Twitter for Android")</f>
        <v>Twitter for Android</v>
      </c>
      <c r="J1981" s="2">
        <v>443</v>
      </c>
      <c r="K1981" s="2">
        <v>856</v>
      </c>
      <c r="L1981" s="2">
        <v>0</v>
      </c>
      <c r="M1981" s="2"/>
      <c r="N1981" s="8">
        <v>43168.484861111108</v>
      </c>
      <c r="O1981" s="4"/>
      <c r="P1981" s="3" t="s">
        <v>2256</v>
      </c>
      <c r="Q1981" s="4"/>
      <c r="R1981" s="4"/>
      <c r="S1981" s="9" t="str">
        <f>HYPERLINK("https://pbs.twimg.com/profile_images/1041363139936374785/-yqOUjTQ.jpg","View")</f>
        <v>View</v>
      </c>
    </row>
    <row r="1982" spans="1:19" ht="30">
      <c r="A1982" s="8">
        <v>43370.216365740736</v>
      </c>
      <c r="B1982" s="11" t="str">
        <f>HYPERLINK("https://twitter.com/alain_4u","@alain_4u")</f>
        <v>@alain_4u</v>
      </c>
      <c r="C1982" s="6" t="s">
        <v>2249</v>
      </c>
      <c r="D1982" s="5" t="s">
        <v>2248</v>
      </c>
      <c r="E1982" s="9" t="str">
        <f>HYPERLINK("https://twitter.com/alain_4u/status/1045126269048958986","1045126269048958986")</f>
        <v>1045126269048958986</v>
      </c>
      <c r="F1982" s="4"/>
      <c r="G1982" s="10" t="s">
        <v>2247</v>
      </c>
      <c r="H1982" s="4"/>
      <c r="I1982" s="10" t="str">
        <f>HYPERLINK("https://about.twitter.com/products/tweetdeck","TweetDeck")</f>
        <v>TweetDeck</v>
      </c>
      <c r="J1982" s="2">
        <v>1502540</v>
      </c>
      <c r="K1982" s="2">
        <v>7</v>
      </c>
      <c r="L1982" s="2">
        <v>425</v>
      </c>
      <c r="M1982" s="2" t="s">
        <v>1701</v>
      </c>
      <c r="N1982" s="8">
        <v>41082.86855324074</v>
      </c>
      <c r="O1982" s="4" t="s">
        <v>2246</v>
      </c>
      <c r="P1982" s="3" t="s">
        <v>2245</v>
      </c>
      <c r="Q1982" s="10" t="s">
        <v>2244</v>
      </c>
      <c r="R1982" s="4"/>
      <c r="S1982" s="9" t="str">
        <f>HYPERLINK("https://pbs.twimg.com/profile_images/1018132189446397952/na0gVTqc.jpg","View")</f>
        <v>View</v>
      </c>
    </row>
    <row r="1983" spans="1:19" ht="30">
      <c r="A1983" s="8">
        <v>43370.181226851855</v>
      </c>
      <c r="B1983" s="11" t="str">
        <f>HYPERLINK("https://twitter.com/soheilhbk","@soheilhbk")</f>
        <v>@soheilhbk</v>
      </c>
      <c r="C1983" s="6" t="s">
        <v>2224</v>
      </c>
      <c r="D1983" s="5" t="s">
        <v>2223</v>
      </c>
      <c r="E1983" s="9" t="str">
        <f>HYPERLINK("https://twitter.com/soheilhbk/status/1045113534617653248","1045113534617653248")</f>
        <v>1045113534617653248</v>
      </c>
      <c r="F1983" s="4"/>
      <c r="G1983" s="10" t="s">
        <v>2222</v>
      </c>
      <c r="H1983" s="4"/>
      <c r="I1983" s="10" t="str">
        <f>HYPERLINK("http://twitter.com/download/android","Twitter for Android")</f>
        <v>Twitter for Android</v>
      </c>
      <c r="J1983" s="2">
        <v>24</v>
      </c>
      <c r="K1983" s="2">
        <v>17</v>
      </c>
      <c r="L1983" s="2">
        <v>0</v>
      </c>
      <c r="M1983" s="2"/>
      <c r="N1983" s="8">
        <v>43110.08929398148</v>
      </c>
      <c r="O1983" s="4"/>
      <c r="P1983" s="3" t="s">
        <v>2221</v>
      </c>
      <c r="Q1983" s="4"/>
      <c r="R1983" s="4"/>
      <c r="S1983" s="9" t="str">
        <f>HYPERLINK("https://pbs.twimg.com/profile_images/1031298744023695361/fvvOkJkx.jpg","View")</f>
        <v>View</v>
      </c>
    </row>
    <row r="1984" spans="1:19" ht="20">
      <c r="A1984" s="8">
        <v>43370.168425925927</v>
      </c>
      <c r="B1984" s="11" t="str">
        <f>HYPERLINK("https://twitter.com/ABandeloo","@ABandeloo")</f>
        <v>@ABandeloo</v>
      </c>
      <c r="C1984" s="6" t="s">
        <v>2213</v>
      </c>
      <c r="D1984" s="5" t="s">
        <v>2212</v>
      </c>
      <c r="E1984" s="9" t="str">
        <f>HYPERLINK("https://twitter.com/ABandeloo/status/1045108895847534592","1045108895847534592")</f>
        <v>1045108895847534592</v>
      </c>
      <c r="F1984" s="4"/>
      <c r="G1984" s="4"/>
      <c r="H1984" s="4"/>
      <c r="I1984" s="10" t="str">
        <f>HYPERLINK("http://twitter.com/download/iphone","Twitter for iPhone")</f>
        <v>Twitter for iPhone</v>
      </c>
      <c r="J1984" s="2">
        <v>154</v>
      </c>
      <c r="K1984" s="2">
        <v>90</v>
      </c>
      <c r="L1984" s="2">
        <v>1</v>
      </c>
      <c r="M1984" s="2"/>
      <c r="N1984" s="8">
        <v>43313.125393518523</v>
      </c>
      <c r="O1984" s="4" t="s">
        <v>2211</v>
      </c>
      <c r="P1984" s="3" t="s">
        <v>2210</v>
      </c>
      <c r="Q1984" s="4"/>
      <c r="R1984" s="4"/>
      <c r="S1984" s="9" t="str">
        <f>HYPERLINK("https://pbs.twimg.com/profile_images/1029551004998610944/AsB4SHD9.jpg","View")</f>
        <v>View</v>
      </c>
    </row>
    <row r="1985" spans="1:19" ht="30">
      <c r="A1985" s="8">
        <v>43370.160034722227</v>
      </c>
      <c r="B1985" s="11" t="str">
        <f>HYPERLINK("https://twitter.com/babianconeri","@babianconeri")</f>
        <v>@babianconeri</v>
      </c>
      <c r="C1985" s="6" t="s">
        <v>2204</v>
      </c>
      <c r="D1985" s="5" t="s">
        <v>2203</v>
      </c>
      <c r="E1985" s="9" t="str">
        <f>HYPERLINK("https://twitter.com/babianconeri/status/1045105852519264256","1045105852519264256")</f>
        <v>1045105852519264256</v>
      </c>
      <c r="F1985" s="4"/>
      <c r="G1985" s="10" t="s">
        <v>2202</v>
      </c>
      <c r="H1985" s="4"/>
      <c r="I1985" s="10" t="str">
        <f>HYPERLINK("http://twitter.com","Twitter Web Client")</f>
        <v>Twitter Web Client</v>
      </c>
      <c r="J1985" s="2">
        <v>2866</v>
      </c>
      <c r="K1985" s="2">
        <v>4709</v>
      </c>
      <c r="L1985" s="2">
        <v>2</v>
      </c>
      <c r="M1985" s="2"/>
      <c r="N1985" s="8">
        <v>42903.697326388894</v>
      </c>
      <c r="O1985" s="4" t="s">
        <v>2201</v>
      </c>
      <c r="P1985" s="3" t="s">
        <v>2200</v>
      </c>
      <c r="Q1985" s="4"/>
      <c r="R1985" s="4"/>
      <c r="S1985" s="9" t="str">
        <f>HYPERLINK("https://pbs.twimg.com/profile_images/1003107417704427522/Gz3CUgqe.jpg","View")</f>
        <v>View</v>
      </c>
    </row>
    <row r="1986" spans="1:19" ht="12.5">
      <c r="A1986" s="8">
        <v>43370.155659722222</v>
      </c>
      <c r="B1986" s="11" t="str">
        <f>HYPERLINK("https://twitter.com/EPlBLpadaQpgbl1","@EPlBLpadaQpgbl1")</f>
        <v>@EPlBLpadaQpgbl1</v>
      </c>
      <c r="C1986" s="6" t="s">
        <v>2199</v>
      </c>
      <c r="D1986" s="5" t="s">
        <v>2198</v>
      </c>
      <c r="E1986" s="9" t="str">
        <f>HYPERLINK("https://twitter.com/EPlBLpadaQpgbl1/status/1045104271103070210","1045104271103070210")</f>
        <v>1045104271103070210</v>
      </c>
      <c r="F1986" s="4"/>
      <c r="G1986" s="10" t="s">
        <v>2197</v>
      </c>
      <c r="H1986" s="4"/>
      <c r="I1986" s="10" t="str">
        <f>HYPERLINK("http://twitter.com/download/android","Twitter for Android")</f>
        <v>Twitter for Android</v>
      </c>
      <c r="J1986" s="2">
        <v>59</v>
      </c>
      <c r="K1986" s="2">
        <v>67</v>
      </c>
      <c r="L1986" s="2">
        <v>0</v>
      </c>
      <c r="M1986" s="2"/>
      <c r="N1986" s="8">
        <v>43326.532175925924</v>
      </c>
      <c r="O1986" s="4"/>
      <c r="P1986" s="3"/>
      <c r="Q1986" s="4"/>
      <c r="R1986" s="4"/>
      <c r="S1986" s="9" t="str">
        <f>HYPERLINK("https://pbs.twimg.com/profile_images/1031057471069192192/Afu0dA1P.jpg","View")</f>
        <v>View</v>
      </c>
    </row>
    <row r="1987" spans="1:19" ht="20">
      <c r="A1987" s="8">
        <v>43370.155497685184</v>
      </c>
      <c r="B1987" s="11" t="str">
        <f>HYPERLINK("https://twitter.com/alidadaaaaaa","@alidadaaaaaa")</f>
        <v>@alidadaaaaaa</v>
      </c>
      <c r="C1987" s="6" t="s">
        <v>2144</v>
      </c>
      <c r="D1987" s="5" t="s">
        <v>2196</v>
      </c>
      <c r="E1987" s="9" t="str">
        <f>HYPERLINK("https://twitter.com/alidadaaaaaa/status/1045104208960258048","1045104208960258048")</f>
        <v>1045104208960258048</v>
      </c>
      <c r="F1987" s="4"/>
      <c r="G1987" s="4"/>
      <c r="H1987" s="4"/>
      <c r="I1987" s="10" t="str">
        <f>HYPERLINK("http://twitter.com/download/iphone","Twitter for iPhone")</f>
        <v>Twitter for iPhone</v>
      </c>
      <c r="J1987" s="2">
        <v>2</v>
      </c>
      <c r="K1987" s="2">
        <v>73</v>
      </c>
      <c r="L1987" s="2">
        <v>0</v>
      </c>
      <c r="M1987" s="2"/>
      <c r="N1987" s="8">
        <v>43367.972395833334</v>
      </c>
      <c r="O1987" s="4"/>
      <c r="P1987" s="3"/>
      <c r="Q1987" s="4"/>
      <c r="R1987" s="4"/>
      <c r="S1987" s="9" t="str">
        <f>HYPERLINK("https://pbs.twimg.com/profile_images/1044316091311419392/sFG9SMB3.jpg","View")</f>
        <v>View</v>
      </c>
    </row>
    <row r="1988" spans="1:19" ht="30">
      <c r="A1988" s="8">
        <v>43370.148541666669</v>
      </c>
      <c r="B1988" s="11" t="str">
        <f>HYPERLINK("https://twitter.com/amiiir80","@amiiir80")</f>
        <v>@amiiir80</v>
      </c>
      <c r="C1988" s="6" t="s">
        <v>2186</v>
      </c>
      <c r="D1988" s="5" t="s">
        <v>2185</v>
      </c>
      <c r="E1988" s="9" t="str">
        <f>HYPERLINK("https://twitter.com/amiiir80/status/1045101689626398721","1045101689626398721")</f>
        <v>1045101689626398721</v>
      </c>
      <c r="F1988" s="4"/>
      <c r="G1988" s="4"/>
      <c r="H1988" s="4"/>
      <c r="I1988" s="10" t="str">
        <f>HYPERLINK("http://twitter.com/download/iphone","Twitter for iPhone")</f>
        <v>Twitter for iPhone</v>
      </c>
      <c r="J1988" s="2">
        <v>480</v>
      </c>
      <c r="K1988" s="2">
        <v>450</v>
      </c>
      <c r="L1988" s="2">
        <v>0</v>
      </c>
      <c r="M1988" s="2"/>
      <c r="N1988" s="8">
        <v>39918.01898148148</v>
      </c>
      <c r="O1988" s="4" t="s">
        <v>2184</v>
      </c>
      <c r="P1988" s="3" t="s">
        <v>2183</v>
      </c>
      <c r="Q1988" s="4"/>
      <c r="R1988" s="4"/>
      <c r="S1988" s="9" t="str">
        <f>HYPERLINK("https://pbs.twimg.com/profile_images/1033121792355909633/JqF4qPVJ.jpg","View")</f>
        <v>View</v>
      </c>
    </row>
    <row r="1989" spans="1:19" ht="30">
      <c r="A1989" s="8">
        <v>43370.143148148149</v>
      </c>
      <c r="B1989" s="11" t="str">
        <f>HYPERLINK("https://twitter.com/YeM3H8BSuHEPPSz","@YeM3H8BSuHEPPSz")</f>
        <v>@YeM3H8BSuHEPPSz</v>
      </c>
      <c r="C1989" s="6" t="s">
        <v>2176</v>
      </c>
      <c r="D1989" s="5" t="s">
        <v>2175</v>
      </c>
      <c r="E1989" s="9" t="str">
        <f>HYPERLINK("https://twitter.com/YeM3H8BSuHEPPSz/status/1045099735584002048","1045099735584002048")</f>
        <v>1045099735584002048</v>
      </c>
      <c r="F1989" s="4" t="s">
        <v>2174</v>
      </c>
      <c r="G1989" s="10" t="s">
        <v>2173</v>
      </c>
      <c r="H1989" s="4"/>
      <c r="I1989" s="10" t="str">
        <f>HYPERLINK("http://twitter.com/download/android","Twitter for Android")</f>
        <v>Twitter for Android</v>
      </c>
      <c r="J1989" s="2">
        <v>174</v>
      </c>
      <c r="K1989" s="2">
        <v>137</v>
      </c>
      <c r="L1989" s="2">
        <v>0</v>
      </c>
      <c r="M1989" s="2"/>
      <c r="N1989" s="8">
        <v>42971.10802083333</v>
      </c>
      <c r="O1989" s="4"/>
      <c r="P1989" s="3"/>
      <c r="Q1989" s="4"/>
      <c r="R1989" s="4"/>
      <c r="S1989" s="9" t="str">
        <f>HYPERLINK("https://pbs.twimg.com/profile_images/900482715295920132/I-bWWsPj.jpg","View")</f>
        <v>View</v>
      </c>
    </row>
    <row r="1990" spans="1:19" ht="20">
      <c r="A1990" s="8">
        <v>43370.137361111112</v>
      </c>
      <c r="B1990" s="11" t="str">
        <f>HYPERLINK("https://twitter.com/Amiralisadeqi65","@Amiralisadeqi65")</f>
        <v>@Amiralisadeqi65</v>
      </c>
      <c r="C1990" s="6" t="s">
        <v>2163</v>
      </c>
      <c r="D1990" s="5" t="s">
        <v>2162</v>
      </c>
      <c r="E1990" s="9" t="str">
        <f>HYPERLINK("https://twitter.com/Amiralisadeqi65/status/1045097636083183616","1045097636083183616")</f>
        <v>1045097636083183616</v>
      </c>
      <c r="F1990" s="4"/>
      <c r="G1990" s="4"/>
      <c r="H1990" s="4"/>
      <c r="I1990" s="10" t="str">
        <f>HYPERLINK("http://twitter.com/download/iphone","Twitter for iPhone")</f>
        <v>Twitter for iPhone</v>
      </c>
      <c r="J1990" s="2">
        <v>2</v>
      </c>
      <c r="K1990" s="2">
        <v>43</v>
      </c>
      <c r="L1990" s="2">
        <v>0</v>
      </c>
      <c r="M1990" s="2"/>
      <c r="N1990" s="8">
        <v>42468.165937500002</v>
      </c>
      <c r="O1990" s="4" t="s">
        <v>2161</v>
      </c>
      <c r="P1990" s="3" t="s">
        <v>2160</v>
      </c>
      <c r="Q1990" s="10" t="s">
        <v>2159</v>
      </c>
      <c r="R1990" s="4"/>
      <c r="S1990" s="9" t="str">
        <f>HYPERLINK("https://pbs.twimg.com/profile_images/1043892158334468096/lzIvF26C.jpg","View")</f>
        <v>View</v>
      </c>
    </row>
    <row r="1991" spans="1:19" ht="40">
      <c r="A1991" s="8">
        <v>43370.134884259256</v>
      </c>
      <c r="B1991" s="11" t="str">
        <f>HYPERLINK("https://twitter.com/NAVID20002","@NAVID20002")</f>
        <v>@NAVID20002</v>
      </c>
      <c r="C1991" s="6" t="s">
        <v>2155</v>
      </c>
      <c r="D1991" s="5" t="s">
        <v>2154</v>
      </c>
      <c r="E1991" s="9" t="str">
        <f>HYPERLINK("https://twitter.com/NAVID20002/status/1045096739601092608","1045096739601092608")</f>
        <v>1045096739601092608</v>
      </c>
      <c r="F1991" s="4"/>
      <c r="G1991" s="4"/>
      <c r="H1991" s="4"/>
      <c r="I1991" s="10" t="str">
        <f>HYPERLINK("https://mobile.twitter.com","Twitter Lite")</f>
        <v>Twitter Lite</v>
      </c>
      <c r="J1991" s="2">
        <v>89</v>
      </c>
      <c r="K1991" s="2">
        <v>184</v>
      </c>
      <c r="L1991" s="2">
        <v>0</v>
      </c>
      <c r="M1991" s="2"/>
      <c r="N1991" s="8">
        <v>41131.931550925925</v>
      </c>
      <c r="O1991" s="4"/>
      <c r="P1991" s="3" t="s">
        <v>2153</v>
      </c>
      <c r="Q1991" s="4"/>
      <c r="R1991" s="4"/>
      <c r="S1991" s="9" t="str">
        <f>HYPERLINK("https://pbs.twimg.com/profile_images/947444231920062464/LD7A-vyT.jpg","View")</f>
        <v>View</v>
      </c>
    </row>
    <row r="1992" spans="1:19" ht="30">
      <c r="A1992" s="8">
        <v>43370.131423611107</v>
      </c>
      <c r="B1992" s="11" t="str">
        <f>HYPERLINK("https://twitter.com/Id_Strong","@Id_Strong")</f>
        <v>@Id_Strong</v>
      </c>
      <c r="C1992" s="6" t="s">
        <v>2152</v>
      </c>
      <c r="D1992" s="5" t="s">
        <v>2151</v>
      </c>
      <c r="E1992" s="9" t="str">
        <f>HYPERLINK("https://twitter.com/Id_Strong/status/1045095484409417728","1045095484409417728")</f>
        <v>1045095484409417728</v>
      </c>
      <c r="F1992" s="4"/>
      <c r="G1992" s="4"/>
      <c r="H1992" s="4"/>
      <c r="I1992" s="10" t="str">
        <f>HYPERLINK("http://twitter.com/download/android","Twitter for Android")</f>
        <v>Twitter for Android</v>
      </c>
      <c r="J1992" s="2">
        <v>1451</v>
      </c>
      <c r="K1992" s="2">
        <v>2495</v>
      </c>
      <c r="L1992" s="2">
        <v>4</v>
      </c>
      <c r="M1992" s="2"/>
      <c r="N1992" s="8">
        <v>43090.880891203706</v>
      </c>
      <c r="O1992" s="4"/>
      <c r="P1992" s="3" t="s">
        <v>2150</v>
      </c>
      <c r="Q1992" s="4"/>
      <c r="R1992" s="4"/>
      <c r="S1992" s="9" t="str">
        <f>HYPERLINK("https://pbs.twimg.com/profile_images/970455097061859329/1SwhTc4u.jpg","View")</f>
        <v>View</v>
      </c>
    </row>
    <row r="1993" spans="1:19" ht="20">
      <c r="A1993" s="8">
        <v>43370.130891203706</v>
      </c>
      <c r="B1993" s="11" t="str">
        <f>HYPERLINK("https://twitter.com/khabar_varzeshi","@khabar_varzeshi")</f>
        <v>@khabar_varzeshi</v>
      </c>
      <c r="C1993" s="6" t="s">
        <v>2149</v>
      </c>
      <c r="D1993" s="5" t="s">
        <v>2148</v>
      </c>
      <c r="E1993" s="9" t="str">
        <f>HYPERLINK("https://twitter.com/khabar_varzeshi/status/1045095292406833158","1045095292406833158")</f>
        <v>1045095292406833158</v>
      </c>
      <c r="F1993" s="4"/>
      <c r="G1993" s="10" t="s">
        <v>2147</v>
      </c>
      <c r="H1993" s="4"/>
      <c r="I1993" s="10" t="str">
        <f>HYPERLINK("http://twitter.com/download/iphone","Twitter for iPhone")</f>
        <v>Twitter for iPhone</v>
      </c>
      <c r="J1993" s="2">
        <v>1375</v>
      </c>
      <c r="K1993" s="2">
        <v>14</v>
      </c>
      <c r="L1993" s="2">
        <v>5</v>
      </c>
      <c r="M1993" s="2"/>
      <c r="N1993" s="8">
        <v>41846.097685185188</v>
      </c>
      <c r="O1993" s="4" t="s">
        <v>10</v>
      </c>
      <c r="P1993" s="3" t="s">
        <v>2146</v>
      </c>
      <c r="Q1993" s="10" t="s">
        <v>2145</v>
      </c>
      <c r="R1993" s="4"/>
      <c r="S1993" s="9" t="str">
        <f>HYPERLINK("https://pbs.twimg.com/profile_images/1012878354972860419/-iMHGVhI.jpg","View")</f>
        <v>View</v>
      </c>
    </row>
    <row r="1994" spans="1:19" ht="30">
      <c r="A1994" s="8">
        <v>43370.130335648151</v>
      </c>
      <c r="B1994" s="11" t="str">
        <f>HYPERLINK("https://twitter.com/alidadaaaaaa","@alidadaaaaaa")</f>
        <v>@alidadaaaaaa</v>
      </c>
      <c r="C1994" s="6" t="s">
        <v>2144</v>
      </c>
      <c r="D1994" s="5" t="s">
        <v>2143</v>
      </c>
      <c r="E1994" s="9" t="str">
        <f>HYPERLINK("https://twitter.com/alidadaaaaaa/status/1045095092678201344","1045095092678201344")</f>
        <v>1045095092678201344</v>
      </c>
      <c r="F1994" s="4"/>
      <c r="G1994" s="4"/>
      <c r="H1994" s="4"/>
      <c r="I1994" s="10" t="str">
        <f>HYPERLINK("http://twitter.com/download/iphone","Twitter for iPhone")</f>
        <v>Twitter for iPhone</v>
      </c>
      <c r="J1994" s="2">
        <v>2</v>
      </c>
      <c r="K1994" s="2">
        <v>73</v>
      </c>
      <c r="L1994" s="2">
        <v>0</v>
      </c>
      <c r="M1994" s="2"/>
      <c r="N1994" s="8">
        <v>43367.972395833334</v>
      </c>
      <c r="O1994" s="4"/>
      <c r="P1994" s="3"/>
      <c r="Q1994" s="4"/>
      <c r="R1994" s="4"/>
      <c r="S1994" s="9" t="str">
        <f>HYPERLINK("https://pbs.twimg.com/profile_images/1044316091311419392/sFG9SMB3.jpg","View")</f>
        <v>View</v>
      </c>
    </row>
    <row r="1995" spans="1:19" ht="12.5">
      <c r="A1995" s="8">
        <v>43370.114618055552</v>
      </c>
      <c r="B1995" s="11" t="str">
        <f>HYPERLINK("https://twitter.com/ahoo_khanoom93","@ahoo_khanoom93")</f>
        <v>@ahoo_khanoom93</v>
      </c>
      <c r="C1995" s="6" t="s">
        <v>2119</v>
      </c>
      <c r="D1995" s="5" t="s">
        <v>2118</v>
      </c>
      <c r="E1995" s="9" t="str">
        <f>HYPERLINK("https://twitter.com/ahoo_khanoom93/status/1045089396524019713","1045089396524019713")</f>
        <v>1045089396524019713</v>
      </c>
      <c r="F1995" s="4"/>
      <c r="G1995" s="4"/>
      <c r="H1995" s="4"/>
      <c r="I1995" s="10" t="str">
        <f>HYPERLINK("http://twitter.com/download/android","Twitter for Android")</f>
        <v>Twitter for Android</v>
      </c>
      <c r="J1995" s="2">
        <v>1296</v>
      </c>
      <c r="K1995" s="2">
        <v>543</v>
      </c>
      <c r="L1995" s="2">
        <v>5</v>
      </c>
      <c r="M1995" s="2"/>
      <c r="N1995" s="8">
        <v>43101.800509259258</v>
      </c>
      <c r="O1995" s="4" t="s">
        <v>2117</v>
      </c>
      <c r="P1995" s="3" t="s">
        <v>2116</v>
      </c>
      <c r="Q1995" s="4"/>
      <c r="R1995" s="4"/>
      <c r="S1995" s="9" t="str">
        <f>HYPERLINK("https://pbs.twimg.com/profile_images/1045004659298095104/bbl58kVg.jpg","View")</f>
        <v>View</v>
      </c>
    </row>
    <row r="1996" spans="1:19" ht="20">
      <c r="A1996" s="8">
        <v>43370.109791666662</v>
      </c>
      <c r="B1996" s="11" t="str">
        <f>HYPERLINK("https://twitter.com/iammahdiyar","@iammahdiyar")</f>
        <v>@iammahdiyar</v>
      </c>
      <c r="C1996" s="6" t="s">
        <v>2094</v>
      </c>
      <c r="D1996" s="5" t="s">
        <v>2093</v>
      </c>
      <c r="E1996" s="9" t="str">
        <f>HYPERLINK("https://twitter.com/iammahdiyar/status/1045087647188889600","1045087647188889600")</f>
        <v>1045087647188889600</v>
      </c>
      <c r="F1996" s="4"/>
      <c r="G1996" s="10" t="s">
        <v>2092</v>
      </c>
      <c r="H1996" s="4"/>
      <c r="I1996" s="10" t="str">
        <f>HYPERLINK("http://twitter.com/download/iphone","Twitter for iPhone")</f>
        <v>Twitter for iPhone</v>
      </c>
      <c r="J1996" s="2">
        <v>350</v>
      </c>
      <c r="K1996" s="2">
        <v>196</v>
      </c>
      <c r="L1996" s="2">
        <v>1</v>
      </c>
      <c r="M1996" s="2"/>
      <c r="N1996" s="8">
        <v>43071.896469907406</v>
      </c>
      <c r="O1996" s="4" t="s">
        <v>2091</v>
      </c>
      <c r="P1996" s="3" t="s">
        <v>2090</v>
      </c>
      <c r="Q1996" s="10" t="s">
        <v>2089</v>
      </c>
      <c r="R1996" s="4"/>
      <c r="S1996" s="9" t="str">
        <f>HYPERLINK("https://pbs.twimg.com/profile_images/1037028566616158208/9ZFjLiSp.jpg","View")</f>
        <v>View</v>
      </c>
    </row>
    <row r="1997" spans="1:19" ht="30">
      <c r="A1997" s="8">
        <v>43370.108831018515</v>
      </c>
      <c r="B1997" s="11" t="str">
        <f>HYPERLINK("https://twitter.com/rahgozaregharib","@rahgozaregharib")</f>
        <v>@rahgozaregharib</v>
      </c>
      <c r="C1997" s="6" t="s">
        <v>2024</v>
      </c>
      <c r="D1997" s="5" t="s">
        <v>2084</v>
      </c>
      <c r="E1997" s="9" t="str">
        <f>HYPERLINK("https://twitter.com/rahgozaregharib/status/1045087298650624000","1045087298650624000")</f>
        <v>1045087298650624000</v>
      </c>
      <c r="F1997" s="4"/>
      <c r="G1997" s="4"/>
      <c r="H1997" s="4"/>
      <c r="I1997" s="10" t="str">
        <f>HYPERLINK("http://twitter.com/download/android","Twitter for Android")</f>
        <v>Twitter for Android</v>
      </c>
      <c r="J1997" s="2">
        <v>27</v>
      </c>
      <c r="K1997" s="2">
        <v>99</v>
      </c>
      <c r="L1997" s="2">
        <v>0</v>
      </c>
      <c r="M1997" s="2"/>
      <c r="N1997" s="8">
        <v>41479.225555555553</v>
      </c>
      <c r="O1997" s="4" t="s">
        <v>2022</v>
      </c>
      <c r="P1997" s="3" t="s">
        <v>2021</v>
      </c>
      <c r="Q1997" s="4"/>
      <c r="R1997" s="4"/>
      <c r="S1997" s="9" t="str">
        <f>HYPERLINK("https://pbs.twimg.com/profile_images/1044197740148920320/jLLMxL_r.jpg","View")</f>
        <v>View</v>
      </c>
    </row>
    <row r="1998" spans="1:19" ht="30">
      <c r="A1998" s="8">
        <v>43370.102430555555</v>
      </c>
      <c r="B1998" s="11" t="str">
        <f>HYPERLINK("https://twitter.com/mgh75596918","@mgh75596918")</f>
        <v>@mgh75596918</v>
      </c>
      <c r="C1998" s="6" t="s">
        <v>2074</v>
      </c>
      <c r="D1998" s="5" t="s">
        <v>2073</v>
      </c>
      <c r="E1998" s="9" t="str">
        <f>HYPERLINK("https://twitter.com/mgh75596918/status/1045084980400009216","1045084980400009216")</f>
        <v>1045084980400009216</v>
      </c>
      <c r="F1998" s="4"/>
      <c r="G1998" s="4"/>
      <c r="H1998" s="4"/>
      <c r="I1998" s="10" t="str">
        <f>HYPERLINK("http://twitter.com/download/android","Twitter for Android")</f>
        <v>Twitter for Android</v>
      </c>
      <c r="J1998" s="2">
        <v>2226</v>
      </c>
      <c r="K1998" s="2">
        <v>2738</v>
      </c>
      <c r="L1998" s="2">
        <v>1</v>
      </c>
      <c r="M1998" s="2"/>
      <c r="N1998" s="8">
        <v>42754.983159722222</v>
      </c>
      <c r="O1998" s="4"/>
      <c r="P1998" s="3" t="s">
        <v>2072</v>
      </c>
      <c r="Q1998" s="4"/>
      <c r="R1998" s="4"/>
      <c r="S1998" s="9" t="str">
        <f>HYPERLINK("https://pbs.twimg.com/profile_images/1045079783695167489/3LS9gxVH.jpg","View")</f>
        <v>View</v>
      </c>
    </row>
    <row r="1999" spans="1:19" ht="30">
      <c r="A1999" s="8">
        <v>43370.101030092592</v>
      </c>
      <c r="B1999" s="11" t="str">
        <f>HYPERLINK("https://twitter.com/Negan_s8","@Negan_s8")</f>
        <v>@Negan_s8</v>
      </c>
      <c r="C1999" s="6" t="s">
        <v>2071</v>
      </c>
      <c r="D1999" s="5" t="s">
        <v>2070</v>
      </c>
      <c r="E1999" s="9" t="str">
        <f>HYPERLINK("https://twitter.com/Negan_s8/status/1045084471417016321","1045084471417016321")</f>
        <v>1045084471417016321</v>
      </c>
      <c r="F1999" s="4"/>
      <c r="G1999" s="4"/>
      <c r="H1999" s="4"/>
      <c r="I1999" s="10" t="str">
        <f>HYPERLINK("http://twitter.com/download/android","Twitter for Android")</f>
        <v>Twitter for Android</v>
      </c>
      <c r="J1999" s="2">
        <v>462</v>
      </c>
      <c r="K1999" s="2">
        <v>437</v>
      </c>
      <c r="L1999" s="2">
        <v>0</v>
      </c>
      <c r="M1999" s="2"/>
      <c r="N1999" s="8">
        <v>43177.904872685191</v>
      </c>
      <c r="O1999" s="4"/>
      <c r="P1999" s="3" t="s">
        <v>2069</v>
      </c>
      <c r="Q1999" s="4"/>
      <c r="R1999" s="4"/>
      <c r="S1999" s="9" t="str">
        <f>HYPERLINK("https://pbs.twimg.com/profile_images/1016250387383365632/50T_dUOI.jpg","View")</f>
        <v>View</v>
      </c>
    </row>
    <row r="2000" spans="1:19" ht="30">
      <c r="A2000" s="8">
        <v>43370.095925925925</v>
      </c>
      <c r="B2000" s="11" t="str">
        <f>HYPERLINK("https://twitter.com/mr_mirfenderski","@mr_mirfenderski")</f>
        <v>@mr_mirfenderski</v>
      </c>
      <c r="C2000" s="6" t="s">
        <v>2052</v>
      </c>
      <c r="D2000" s="5" t="s">
        <v>2051</v>
      </c>
      <c r="E2000" s="9" t="str">
        <f>HYPERLINK("https://twitter.com/mr_mirfenderski/status/1045082621334761472","1045082621334761472")</f>
        <v>1045082621334761472</v>
      </c>
      <c r="F2000" s="4"/>
      <c r="G2000" s="4"/>
      <c r="H2000" s="4"/>
      <c r="I2000" s="10" t="str">
        <f>HYPERLINK("http://twitter.com/download/android","Twitter for Android")</f>
        <v>Twitter for Android</v>
      </c>
      <c r="J2000" s="2">
        <v>52</v>
      </c>
      <c r="K2000" s="2">
        <v>46</v>
      </c>
      <c r="L2000" s="2">
        <v>0</v>
      </c>
      <c r="M2000" s="2"/>
      <c r="N2000" s="8">
        <v>41884.007650462961</v>
      </c>
      <c r="O2000" s="4" t="s">
        <v>72</v>
      </c>
      <c r="P2000" s="3" t="s">
        <v>2050</v>
      </c>
      <c r="Q2000" s="4"/>
      <c r="R2000" s="4"/>
      <c r="S2000" s="9" t="str">
        <f>HYPERLINK("https://pbs.twimg.com/profile_images/948444002310901760/o_2TmJ9H.jpg","View")</f>
        <v>View</v>
      </c>
    </row>
    <row r="2001" spans="1:19" ht="80">
      <c r="A2001" s="8">
        <v>43370.091805555552</v>
      </c>
      <c r="B2001" s="11" t="str">
        <f>HYPERLINK("https://twitter.com/ArtLover1367","@ArtLover1367")</f>
        <v>@ArtLover1367</v>
      </c>
      <c r="C2001" s="6" t="s">
        <v>1660</v>
      </c>
      <c r="D2001" s="5" t="s">
        <v>2049</v>
      </c>
      <c r="E2001" s="9" t="str">
        <f>HYPERLINK("https://twitter.com/ArtLover1367/status/1045081129970282498","1045081129970282498")</f>
        <v>1045081129970282498</v>
      </c>
      <c r="F2001" s="10" t="s">
        <v>2048</v>
      </c>
      <c r="G2001" s="10" t="s">
        <v>2047</v>
      </c>
      <c r="H2001" s="4"/>
      <c r="I2001" s="10" t="str">
        <f>HYPERLINK("http://twitter.com/download/android","Twitter for Android")</f>
        <v>Twitter for Android</v>
      </c>
      <c r="J2001" s="2">
        <v>3002</v>
      </c>
      <c r="K2001" s="2">
        <v>655</v>
      </c>
      <c r="L2001" s="2">
        <v>17</v>
      </c>
      <c r="M2001" s="2"/>
      <c r="N2001" s="8">
        <v>42573.976516203707</v>
      </c>
      <c r="O2001" s="4"/>
      <c r="P2001" s="3" t="s">
        <v>1658</v>
      </c>
      <c r="Q2001" s="4"/>
      <c r="R2001" s="4"/>
      <c r="S2001" s="9" t="str">
        <f>HYPERLINK("https://pbs.twimg.com/profile_images/1042732563138314240/wqRPjiv7.jpg","View")</f>
        <v>View</v>
      </c>
    </row>
    <row r="2002" spans="1:19" ht="30">
      <c r="A2002" s="8">
        <v>43370.089918981481</v>
      </c>
      <c r="B2002" s="11" t="str">
        <f>HYPERLINK("https://twitter.com/yaghob_saffari","@yaghob_saffari")</f>
        <v>@yaghob_saffari</v>
      </c>
      <c r="C2002" s="6" t="s">
        <v>2043</v>
      </c>
      <c r="D2002" s="5" t="s">
        <v>2042</v>
      </c>
      <c r="E2002" s="9" t="str">
        <f>HYPERLINK("https://twitter.com/yaghob_saffari/status/1045080445405159424","1045080445405159424")</f>
        <v>1045080445405159424</v>
      </c>
      <c r="F2002" s="4"/>
      <c r="G2002" s="4"/>
      <c r="H2002" s="4"/>
      <c r="I2002" s="10" t="str">
        <f>HYPERLINK("http://twitter.com/#!/download/ipad","Twitter for iPad")</f>
        <v>Twitter for iPad</v>
      </c>
      <c r="J2002" s="2">
        <v>1538</v>
      </c>
      <c r="K2002" s="2">
        <v>867</v>
      </c>
      <c r="L2002" s="2">
        <v>5</v>
      </c>
      <c r="M2002" s="2"/>
      <c r="N2002" s="8">
        <v>43140.915925925925</v>
      </c>
      <c r="O2002" s="4"/>
      <c r="P2002" s="3" t="s">
        <v>2041</v>
      </c>
      <c r="Q2002" s="4"/>
      <c r="R2002" s="4"/>
      <c r="S2002" s="9" t="str">
        <f>HYPERLINK("https://pbs.twimg.com/profile_images/989926881909661696/nMhQqsnN.jpg","View")</f>
        <v>View</v>
      </c>
    </row>
    <row r="2003" spans="1:19" ht="30">
      <c r="A2003" s="8">
        <v>43370.087766203702</v>
      </c>
      <c r="B2003" s="11" t="str">
        <f>HYPERLINK("https://twitter.com/Mrsl05588151","@Mrsl05588151")</f>
        <v>@Mrsl05588151</v>
      </c>
      <c r="C2003" s="6" t="s">
        <v>2035</v>
      </c>
      <c r="D2003" s="5" t="s">
        <v>2034</v>
      </c>
      <c r="E2003" s="9" t="str">
        <f>HYPERLINK("https://twitter.com/Mrsl05588151/status/1045079666631962624","1045079666631962624")</f>
        <v>1045079666631962624</v>
      </c>
      <c r="F2003" s="4"/>
      <c r="G2003" s="4"/>
      <c r="H2003" s="4"/>
      <c r="I2003" s="10" t="str">
        <f>HYPERLINK("http://twitter.com/download/android","Twitter for Android")</f>
        <v>Twitter for Android</v>
      </c>
      <c r="J2003" s="2">
        <v>12</v>
      </c>
      <c r="K2003" s="2">
        <v>124</v>
      </c>
      <c r="L2003" s="2">
        <v>0</v>
      </c>
      <c r="M2003" s="2"/>
      <c r="N2003" s="8">
        <v>43352.98101851852</v>
      </c>
      <c r="O2003" s="4"/>
      <c r="P2003" s="3" t="s">
        <v>2033</v>
      </c>
      <c r="Q2003" s="4"/>
      <c r="R2003" s="4"/>
      <c r="S2003" s="2" t="s">
        <v>259</v>
      </c>
    </row>
    <row r="2004" spans="1:19" ht="30">
      <c r="A2004" s="8">
        <v>43370.084525462968</v>
      </c>
      <c r="B2004" s="11" t="str">
        <f>HYPERLINK("https://twitter.com/rahgozaregharib","@rahgozaregharib")</f>
        <v>@rahgozaregharib</v>
      </c>
      <c r="C2004" s="6" t="s">
        <v>2024</v>
      </c>
      <c r="D2004" s="5" t="s">
        <v>2023</v>
      </c>
      <c r="E2004" s="9" t="str">
        <f>HYPERLINK("https://twitter.com/rahgozaregharib/status/1045078488833806336","1045078488833806336")</f>
        <v>1045078488833806336</v>
      </c>
      <c r="F2004" s="4"/>
      <c r="G2004" s="4"/>
      <c r="H2004" s="4"/>
      <c r="I2004" s="10" t="str">
        <f>HYPERLINK("http://twitter.com/download/android","Twitter for Android")</f>
        <v>Twitter for Android</v>
      </c>
      <c r="J2004" s="2">
        <v>27</v>
      </c>
      <c r="K2004" s="2">
        <v>99</v>
      </c>
      <c r="L2004" s="2">
        <v>0</v>
      </c>
      <c r="M2004" s="2"/>
      <c r="N2004" s="8">
        <v>41479.225555555553</v>
      </c>
      <c r="O2004" s="4" t="s">
        <v>2022</v>
      </c>
      <c r="P2004" s="3" t="s">
        <v>2021</v>
      </c>
      <c r="Q2004" s="4"/>
      <c r="R2004" s="4"/>
      <c r="S2004" s="9" t="str">
        <f>HYPERLINK("https://pbs.twimg.com/profile_images/1044197740148920320/jLLMxL_r.jpg","View")</f>
        <v>View</v>
      </c>
    </row>
    <row r="2005" spans="1:19" ht="12.5">
      <c r="A2005" s="8">
        <v>43370.081817129627</v>
      </c>
      <c r="B2005" s="11" t="str">
        <f>HYPERLINK("https://twitter.com/Babakghannad","@Babakghannad")</f>
        <v>@Babakghannad</v>
      </c>
      <c r="C2005" s="6" t="s">
        <v>2014</v>
      </c>
      <c r="D2005" s="5" t="s">
        <v>2013</v>
      </c>
      <c r="E2005" s="9" t="str">
        <f>HYPERLINK("https://twitter.com/Babakghannad/status/1045077509270904833","1045077509270904833")</f>
        <v>1045077509270904833</v>
      </c>
      <c r="F2005" s="4"/>
      <c r="G2005" s="10" t="s">
        <v>2012</v>
      </c>
      <c r="H2005" s="4"/>
      <c r="I2005" s="10" t="str">
        <f>HYPERLINK("http://twitter.com/download/android","Twitter for Android")</f>
        <v>Twitter for Android</v>
      </c>
      <c r="J2005" s="2">
        <v>1527</v>
      </c>
      <c r="K2005" s="2">
        <v>690</v>
      </c>
      <c r="L2005" s="2">
        <v>8</v>
      </c>
      <c r="M2005" s="2"/>
      <c r="N2005" s="8">
        <v>41463.669270833336</v>
      </c>
      <c r="O2005" s="4" t="s">
        <v>10</v>
      </c>
      <c r="P2005" s="12" t="s">
        <v>2011</v>
      </c>
      <c r="Q2005" s="10" t="s">
        <v>2010</v>
      </c>
      <c r="R2005" s="4"/>
      <c r="S2005" s="9" t="str">
        <f>HYPERLINK("https://pbs.twimg.com/profile_images/981620138653908992/Y7VWFCfE.jpg","View")</f>
        <v>View</v>
      </c>
    </row>
    <row r="2006" spans="1:19" ht="12.5">
      <c r="A2006" s="8">
        <v>43370.081608796296</v>
      </c>
      <c r="B2006" s="11" t="str">
        <f>HYPERLINK("https://twitter.com/Haanaa72","@Haanaa72")</f>
        <v>@Haanaa72</v>
      </c>
      <c r="C2006" s="6" t="s">
        <v>1104</v>
      </c>
      <c r="D2006" s="5" t="s">
        <v>2005</v>
      </c>
      <c r="E2006" s="9" t="str">
        <f>HYPERLINK("https://twitter.com/Haanaa72/status/1045077433442062338","1045077433442062338")</f>
        <v>1045077433442062338</v>
      </c>
      <c r="F2006" s="4"/>
      <c r="G2006" s="4"/>
      <c r="H2006" s="4"/>
      <c r="I2006" s="10" t="str">
        <f>HYPERLINK("http://twitter.com/download/android","Twitter for Android")</f>
        <v>Twitter for Android</v>
      </c>
      <c r="J2006" s="2">
        <v>413</v>
      </c>
      <c r="K2006" s="2">
        <v>182</v>
      </c>
      <c r="L2006" s="2">
        <v>2</v>
      </c>
      <c r="M2006" s="2"/>
      <c r="N2006" s="8">
        <v>43104.676030092596</v>
      </c>
      <c r="O2006" s="4" t="s">
        <v>1101</v>
      </c>
      <c r="P2006" s="3" t="s">
        <v>1100</v>
      </c>
      <c r="Q2006" s="4"/>
      <c r="R2006" s="4"/>
      <c r="S2006" s="9" t="str">
        <f>HYPERLINK("https://pbs.twimg.com/profile_images/1039064853388951552/bmqz3GqB.jpg","View")</f>
        <v>View</v>
      </c>
    </row>
    <row r="2007" spans="1:19" ht="20">
      <c r="A2007" s="8">
        <v>43370.081099537041</v>
      </c>
      <c r="B2007" s="11" t="str">
        <f>HYPERLINK("https://twitter.com/Rohoolladasht1","@Rohoolladasht1")</f>
        <v>@Rohoolladasht1</v>
      </c>
      <c r="C2007" s="6" t="s">
        <v>1998</v>
      </c>
      <c r="D2007" s="5" t="s">
        <v>1997</v>
      </c>
      <c r="E2007" s="9" t="str">
        <f>HYPERLINK("https://twitter.com/Rohoolladasht1/status/1045077249240825857","1045077249240825857")</f>
        <v>1045077249240825857</v>
      </c>
      <c r="F2007" s="4"/>
      <c r="G2007" s="4"/>
      <c r="H2007" s="4"/>
      <c r="I2007" s="10" t="str">
        <f>HYPERLINK("http://twitter.com/download/android","Twitter for Android")</f>
        <v>Twitter for Android</v>
      </c>
      <c r="J2007" s="2">
        <v>47</v>
      </c>
      <c r="K2007" s="2">
        <v>25</v>
      </c>
      <c r="L2007" s="2">
        <v>0</v>
      </c>
      <c r="M2007" s="2"/>
      <c r="N2007" s="8">
        <v>42799.929293981477</v>
      </c>
      <c r="O2007" s="4"/>
      <c r="P2007" s="3" t="s">
        <v>1996</v>
      </c>
      <c r="Q2007" s="4"/>
      <c r="R2007" s="4"/>
      <c r="S2007" s="9" t="str">
        <f>HYPERLINK("https://pbs.twimg.com/profile_images/1035402328524943360/RfE_BI3c.jpg","View")</f>
        <v>View</v>
      </c>
    </row>
    <row r="2008" spans="1:19" ht="30">
      <c r="A2008" s="8">
        <v>43370.079328703709</v>
      </c>
      <c r="B2008" s="11" t="str">
        <f>HYPERLINK("https://twitter.com/yazdan9506","@yazdan9506")</f>
        <v>@yazdan9506</v>
      </c>
      <c r="C2008" s="6" t="s">
        <v>1994</v>
      </c>
      <c r="D2008" s="5" t="s">
        <v>1993</v>
      </c>
      <c r="E2008" s="9" t="str">
        <f>HYPERLINK("https://twitter.com/yazdan9506/status/1045076605901713409","1045076605901713409")</f>
        <v>1045076605901713409</v>
      </c>
      <c r="F2008" s="4"/>
      <c r="G2008" s="4"/>
      <c r="H2008" s="4"/>
      <c r="I2008" s="10" t="str">
        <f>HYPERLINK("http://twitter.com/download/iphone","Twitter for iPhone")</f>
        <v>Twitter for iPhone</v>
      </c>
      <c r="J2008" s="2">
        <v>29</v>
      </c>
      <c r="K2008" s="2">
        <v>103</v>
      </c>
      <c r="L2008" s="2">
        <v>0</v>
      </c>
      <c r="M2008" s="2"/>
      <c r="N2008" s="8">
        <v>42581.923622685186</v>
      </c>
      <c r="O2008" s="4" t="s">
        <v>1992</v>
      </c>
      <c r="P2008" s="3" t="s">
        <v>1991</v>
      </c>
      <c r="Q2008" s="10" t="s">
        <v>1990</v>
      </c>
      <c r="R2008" s="4"/>
      <c r="S2008" s="9" t="str">
        <f>HYPERLINK("https://pbs.twimg.com/profile_images/1043460090110595073/Mi_8Jj9u.jpg","View")</f>
        <v>View</v>
      </c>
    </row>
    <row r="2009" spans="1:19" ht="12.5">
      <c r="A2009" s="8">
        <v>43370.078958333332</v>
      </c>
      <c r="B2009" s="11" t="str">
        <f>HYPERLINK("https://twitter.com/BaymaniSetayesh","@BaymaniSetayesh")</f>
        <v>@BaymaniSetayesh</v>
      </c>
      <c r="C2009" s="6" t="s">
        <v>1989</v>
      </c>
      <c r="D2009" s="5" t="s">
        <v>1988</v>
      </c>
      <c r="E2009" s="9" t="str">
        <f>HYPERLINK("https://twitter.com/BaymaniSetayesh/status/1045076474200567816","1045076474200567816")</f>
        <v>1045076474200567816</v>
      </c>
      <c r="F2009" s="4"/>
      <c r="G2009" s="10" t="s">
        <v>1987</v>
      </c>
      <c r="H2009" s="4"/>
      <c r="I2009" s="10" t="str">
        <f>HYPERLINK("http://twitter.com/download/android","Twitter for Android")</f>
        <v>Twitter for Android</v>
      </c>
      <c r="J2009" s="2">
        <v>493</v>
      </c>
      <c r="K2009" s="2">
        <v>490</v>
      </c>
      <c r="L2009" s="2">
        <v>1</v>
      </c>
      <c r="M2009" s="2"/>
      <c r="N2009" s="8">
        <v>43290.46837962963</v>
      </c>
      <c r="O2009" s="4" t="s">
        <v>36</v>
      </c>
      <c r="P2009" s="3" t="s">
        <v>1986</v>
      </c>
      <c r="Q2009" s="10" t="s">
        <v>1985</v>
      </c>
      <c r="R2009" s="4"/>
      <c r="S2009" s="9" t="str">
        <f>HYPERLINK("https://pbs.twimg.com/profile_images/1038314475986845696/U_uK8ZIP.jpg","View")</f>
        <v>View</v>
      </c>
    </row>
    <row r="2010" spans="1:19" ht="20">
      <c r="A2010" s="8">
        <v>43370.071585648147</v>
      </c>
      <c r="B2010" s="11" t="str">
        <f>HYPERLINK("https://twitter.com/zooraki_maloos","@zooraki_maloos")</f>
        <v>@zooraki_maloos</v>
      </c>
      <c r="C2010" s="6" t="s">
        <v>1970</v>
      </c>
      <c r="D2010" s="5" t="s">
        <v>1969</v>
      </c>
      <c r="E2010" s="9" t="str">
        <f>HYPERLINK("https://twitter.com/zooraki_maloos/status/1045073803695587328","1045073803695587328")</f>
        <v>1045073803695587328</v>
      </c>
      <c r="F2010" s="4"/>
      <c r="G2010" s="4"/>
      <c r="H2010" s="4"/>
      <c r="I2010" s="10" t="str">
        <f>HYPERLINK("http://twitter.com/download/android","Twitter for Android")</f>
        <v>Twitter for Android</v>
      </c>
      <c r="J2010" s="2">
        <v>1216</v>
      </c>
      <c r="K2010" s="2">
        <v>1217</v>
      </c>
      <c r="L2010" s="2">
        <v>6</v>
      </c>
      <c r="M2010" s="2"/>
      <c r="N2010" s="8">
        <v>43223.589120370365</v>
      </c>
      <c r="O2010" s="4" t="s">
        <v>1968</v>
      </c>
      <c r="P2010" s="3" t="s">
        <v>1967</v>
      </c>
      <c r="Q2010" s="4"/>
      <c r="R2010" s="4"/>
      <c r="S2010" s="9" t="str">
        <f>HYPERLINK("https://pbs.twimg.com/profile_images/1044824752475578373/jyfIDOWP.jpg","View")</f>
        <v>View</v>
      </c>
    </row>
    <row r="2011" spans="1:19" ht="20">
      <c r="A2011" s="8">
        <v>43370.067789351851</v>
      </c>
      <c r="B2011" s="11" t="str">
        <f>HYPERLINK("https://twitter.com/ManMeysam","@ManMeysam")</f>
        <v>@ManMeysam</v>
      </c>
      <c r="C2011" s="6" t="s">
        <v>472</v>
      </c>
      <c r="D2011" s="5" t="s">
        <v>1959</v>
      </c>
      <c r="E2011" s="9" t="str">
        <f>HYPERLINK("https://twitter.com/ManMeysam/status/1045072426156150784","1045072426156150784")</f>
        <v>1045072426156150784</v>
      </c>
      <c r="F2011" s="4"/>
      <c r="G2011" s="4"/>
      <c r="H2011" s="4"/>
      <c r="I2011" s="10" t="str">
        <f>HYPERLINK("http://twitter.com/download/android","Twitter for Android")</f>
        <v>Twitter for Android</v>
      </c>
      <c r="J2011" s="2">
        <v>736</v>
      </c>
      <c r="K2011" s="2">
        <v>91</v>
      </c>
      <c r="L2011" s="2">
        <v>2</v>
      </c>
      <c r="M2011" s="2"/>
      <c r="N2011" s="8">
        <v>43080.934756944444</v>
      </c>
      <c r="O2011" s="4"/>
      <c r="P2011" s="3" t="s">
        <v>470</v>
      </c>
      <c r="Q2011" s="4"/>
      <c r="R2011" s="4"/>
      <c r="S2011" s="9" t="str">
        <f>HYPERLINK("https://pbs.twimg.com/profile_images/990240817024589824/h1PmTrjf.jpg","View")</f>
        <v>View</v>
      </c>
    </row>
    <row r="2012" spans="1:19" ht="20">
      <c r="A2012" s="8">
        <v>43370.066944444443</v>
      </c>
      <c r="B2012" s="11" t="str">
        <f>HYPERLINK("https://twitter.com/hjdghnhdd","@hjdghnhdd")</f>
        <v>@hjdghnhdd</v>
      </c>
      <c r="C2012" s="6" t="s">
        <v>1948</v>
      </c>
      <c r="D2012" s="5" t="s">
        <v>1947</v>
      </c>
      <c r="E2012" s="9" t="str">
        <f>HYPERLINK("https://twitter.com/hjdghnhdd/status/1045072118982021120","1045072118982021120")</f>
        <v>1045072118982021120</v>
      </c>
      <c r="F2012" s="10" t="s">
        <v>1946</v>
      </c>
      <c r="G2012" s="4"/>
      <c r="H2012" s="4"/>
      <c r="I2012" s="10" t="str">
        <f>HYPERLINK("http://twitter.com/download/android","Twitter for Android")</f>
        <v>Twitter for Android</v>
      </c>
      <c r="J2012" s="2">
        <v>1213</v>
      </c>
      <c r="K2012" s="2">
        <v>218</v>
      </c>
      <c r="L2012" s="2">
        <v>12</v>
      </c>
      <c r="M2012" s="2"/>
      <c r="N2012" s="8">
        <v>41852.128101851849</v>
      </c>
      <c r="O2012" s="4"/>
      <c r="P2012" s="3" t="s">
        <v>1945</v>
      </c>
      <c r="Q2012" s="4"/>
      <c r="R2012" s="4"/>
      <c r="S2012" s="9" t="str">
        <f>HYPERLINK("https://pbs.twimg.com/profile_images/1045038383314161664/Y058Ez6e.jpg","View")</f>
        <v>View</v>
      </c>
    </row>
    <row r="2013" spans="1:19" ht="12.5">
      <c r="A2013" s="8">
        <v>43370.066076388888</v>
      </c>
      <c r="B2013" s="11" t="str">
        <f>HYPERLINK("https://twitter.com/sayeh15812921","@sayeh15812921")</f>
        <v>@sayeh15812921</v>
      </c>
      <c r="C2013" s="6" t="s">
        <v>1944</v>
      </c>
      <c r="D2013" s="5" t="s">
        <v>1943</v>
      </c>
      <c r="E2013" s="9" t="str">
        <f>HYPERLINK("https://twitter.com/sayeh15812921/status/1045071803570442242","1045071803570442242")</f>
        <v>1045071803570442242</v>
      </c>
      <c r="F2013" s="4"/>
      <c r="G2013" s="10" t="s">
        <v>1942</v>
      </c>
      <c r="H2013" s="4"/>
      <c r="I2013" s="10" t="str">
        <f>HYPERLINK("http://twitter.com/download/iphone","Twitter for iPhone")</f>
        <v>Twitter for iPhone</v>
      </c>
      <c r="J2013" s="2">
        <v>46</v>
      </c>
      <c r="K2013" s="2">
        <v>45</v>
      </c>
      <c r="L2013" s="2">
        <v>0</v>
      </c>
      <c r="M2013" s="2"/>
      <c r="N2013" s="8">
        <v>43267.111932870372</v>
      </c>
      <c r="O2013" s="4" t="s">
        <v>200</v>
      </c>
      <c r="P2013" s="3" t="s">
        <v>1941</v>
      </c>
      <c r="Q2013" s="4"/>
      <c r="R2013" s="4"/>
      <c r="S2013" s="9" t="str">
        <f>HYPERLINK("https://pbs.twimg.com/profile_images/1041667917044178950/KSvfIPfB.jpg","View")</f>
        <v>View</v>
      </c>
    </row>
    <row r="2014" spans="1:19" ht="12.5">
      <c r="A2014" s="8">
        <v>43370.064456018517</v>
      </c>
      <c r="B2014" s="11" t="str">
        <f>HYPERLINK("https://twitter.com/ploto2546","@ploto2546")</f>
        <v>@ploto2546</v>
      </c>
      <c r="C2014" s="6" t="s">
        <v>264</v>
      </c>
      <c r="D2014" s="5" t="s">
        <v>1935</v>
      </c>
      <c r="E2014" s="9" t="str">
        <f>HYPERLINK("https://twitter.com/ploto2546/status/1045071218783768579","1045071218783768579")</f>
        <v>1045071218783768579</v>
      </c>
      <c r="F2014" s="4"/>
      <c r="G2014" s="4"/>
      <c r="H2014" s="4"/>
      <c r="I2014" s="10" t="str">
        <f>HYPERLINK("http://twitter.com/download/android","Twitter for Android")</f>
        <v>Twitter for Android</v>
      </c>
      <c r="J2014" s="2">
        <v>1670</v>
      </c>
      <c r="K2014" s="2">
        <v>1873</v>
      </c>
      <c r="L2014" s="2">
        <v>5</v>
      </c>
      <c r="M2014" s="2"/>
      <c r="N2014" s="8">
        <v>43207.184918981482</v>
      </c>
      <c r="O2014" s="4" t="s">
        <v>262</v>
      </c>
      <c r="P2014" s="3" t="s">
        <v>261</v>
      </c>
      <c r="Q2014" s="4"/>
      <c r="R2014" s="4"/>
      <c r="S2014" s="9" t="str">
        <f>HYPERLINK("https://pbs.twimg.com/profile_images/1025171503271301127/S_pGLx0M.jpg","View")</f>
        <v>View</v>
      </c>
    </row>
    <row r="2015" spans="1:19" ht="20">
      <c r="A2015" s="8">
        <v>43370.064421296294</v>
      </c>
      <c r="B2015" s="11" t="str">
        <f>HYPERLINK("https://twitter.com/moroormikonam","@moroormikonam")</f>
        <v>@moroormikonam</v>
      </c>
      <c r="C2015" s="6" t="s">
        <v>1934</v>
      </c>
      <c r="D2015" s="5" t="s">
        <v>1933</v>
      </c>
      <c r="E2015" s="9" t="str">
        <f>HYPERLINK("https://twitter.com/moroormikonam/status/1045071205147926528","1045071205147926528")</f>
        <v>1045071205147926528</v>
      </c>
      <c r="F2015" s="4"/>
      <c r="G2015" s="4"/>
      <c r="H2015" s="4"/>
      <c r="I2015" s="10" t="str">
        <f>HYPERLINK("https://mobile.twitter.com","Twitter Lite")</f>
        <v>Twitter Lite</v>
      </c>
      <c r="J2015" s="2">
        <v>482</v>
      </c>
      <c r="K2015" s="2">
        <v>433</v>
      </c>
      <c r="L2015" s="2">
        <v>0</v>
      </c>
      <c r="M2015" s="2"/>
      <c r="N2015" s="8">
        <v>43127.142708333333</v>
      </c>
      <c r="O2015" s="4" t="s">
        <v>62</v>
      </c>
      <c r="P2015" s="3" t="s">
        <v>1932</v>
      </c>
      <c r="Q2015" s="4"/>
      <c r="R2015" s="4"/>
      <c r="S2015" s="9" t="str">
        <f>HYPERLINK("https://pbs.twimg.com/profile_images/966231950792028160/lV6XNj6C.jpg","View")</f>
        <v>View</v>
      </c>
    </row>
    <row r="2016" spans="1:19" ht="50">
      <c r="A2016" s="8">
        <v>43370.063321759255</v>
      </c>
      <c r="B2016" s="11" t="str">
        <f>HYPERLINK("https://twitter.com/valerian_2018","@valerian_2018")</f>
        <v>@valerian_2018</v>
      </c>
      <c r="C2016" s="6" t="s">
        <v>1931</v>
      </c>
      <c r="D2016" s="5" t="s">
        <v>1930</v>
      </c>
      <c r="E2016" s="9" t="str">
        <f>HYPERLINK("https://twitter.com/valerian_2018/status/1045070806248828928","1045070806248828928")</f>
        <v>1045070806248828928</v>
      </c>
      <c r="F2016" s="10" t="s">
        <v>1929</v>
      </c>
      <c r="G2016" s="10" t="s">
        <v>1928</v>
      </c>
      <c r="H2016" s="4"/>
      <c r="I2016" s="10" t="str">
        <f>HYPERLINK("http://twitter.com/download/android","Twitter for Android")</f>
        <v>Twitter for Android</v>
      </c>
      <c r="J2016" s="2">
        <v>322</v>
      </c>
      <c r="K2016" s="2">
        <v>244</v>
      </c>
      <c r="L2016" s="2">
        <v>1</v>
      </c>
      <c r="M2016" s="2"/>
      <c r="N2016" s="8">
        <v>43321.443287037036</v>
      </c>
      <c r="O2016" s="4"/>
      <c r="P2016" s="3" t="s">
        <v>1927</v>
      </c>
      <c r="Q2016" s="4"/>
      <c r="R2016" s="4"/>
      <c r="S2016" s="9" t="str">
        <f>HYPERLINK("https://pbs.twimg.com/profile_images/1039790514252537856/pNpGX6Nr.jpg","View")</f>
        <v>View</v>
      </c>
    </row>
    <row r="2017" spans="1:19" ht="20">
      <c r="A2017" s="8">
        <v>43370.061180555553</v>
      </c>
      <c r="B2017" s="11" t="str">
        <f>HYPERLINK("https://twitter.com/Tahmineh_6","@Tahmineh_6")</f>
        <v>@Tahmineh_6</v>
      </c>
      <c r="C2017" s="6" t="s">
        <v>96</v>
      </c>
      <c r="D2017" s="5" t="s">
        <v>1920</v>
      </c>
      <c r="E2017" s="9" t="str">
        <f>HYPERLINK("https://twitter.com/Tahmineh_6/status/1045070029920899072","1045070029920899072")</f>
        <v>1045070029920899072</v>
      </c>
      <c r="F2017" s="4"/>
      <c r="G2017" s="10" t="s">
        <v>1919</v>
      </c>
      <c r="H2017" s="4"/>
      <c r="I2017" s="10" t="str">
        <f>HYPERLINK("http://twitter.com/download/android","Twitter for Android")</f>
        <v>Twitter for Android</v>
      </c>
      <c r="J2017" s="2">
        <v>7124</v>
      </c>
      <c r="K2017" s="2">
        <v>6681</v>
      </c>
      <c r="L2017" s="2">
        <v>5</v>
      </c>
      <c r="M2017" s="2"/>
      <c r="N2017" s="8">
        <v>43008.625925925924</v>
      </c>
      <c r="O2017" s="4" t="s">
        <v>94</v>
      </c>
      <c r="P2017" s="3" t="s">
        <v>93</v>
      </c>
      <c r="Q2017" s="4"/>
      <c r="R2017" s="4"/>
      <c r="S2017" s="9" t="str">
        <f>HYPERLINK("https://pbs.twimg.com/profile_images/1038869552568983558/284xNb8H.jpg","View")</f>
        <v>View</v>
      </c>
    </row>
    <row r="2018" spans="1:19" ht="20">
      <c r="A2018" s="8">
        <v>43370.05972222222</v>
      </c>
      <c r="B2018" s="11" t="str">
        <f>HYPERLINK("https://twitter.com/mahdii_58","@mahdii_58")</f>
        <v>@mahdii_58</v>
      </c>
      <c r="C2018" s="6" t="s">
        <v>1535</v>
      </c>
      <c r="D2018" s="5" t="s">
        <v>1916</v>
      </c>
      <c r="E2018" s="9" t="str">
        <f>HYPERLINK("https://twitter.com/mahdii_58/status/1045069503518859264","1045069503518859264")</f>
        <v>1045069503518859264</v>
      </c>
      <c r="F2018" s="4"/>
      <c r="G2018" s="4"/>
      <c r="H2018" s="4"/>
      <c r="I2018" s="10" t="str">
        <f>HYPERLINK("http://twitter.com","Twitter Web Client")</f>
        <v>Twitter Web Client</v>
      </c>
      <c r="J2018" s="2">
        <v>343</v>
      </c>
      <c r="K2018" s="2">
        <v>646</v>
      </c>
      <c r="L2018" s="2">
        <v>2</v>
      </c>
      <c r="M2018" s="2"/>
      <c r="N2018" s="8">
        <v>42894.222337962958</v>
      </c>
      <c r="O2018" s="4" t="s">
        <v>200</v>
      </c>
      <c r="P2018" s="3"/>
      <c r="Q2018" s="4"/>
      <c r="R2018" s="4"/>
      <c r="S2018" s="9" t="str">
        <f>HYPERLINK("https://pbs.twimg.com/profile_images/948614670155329537/GlFbvBfd.jpg","View")</f>
        <v>View</v>
      </c>
    </row>
    <row r="2019" spans="1:19" ht="30">
      <c r="A2019" s="8">
        <v>43370.059293981481</v>
      </c>
      <c r="B2019" s="11" t="str">
        <f>HYPERLINK("https://twitter.com/sheldon_derder","@sheldon_derder")</f>
        <v>@sheldon_derder</v>
      </c>
      <c r="C2019" s="6" t="s">
        <v>1879</v>
      </c>
      <c r="D2019" s="5" t="s">
        <v>1914</v>
      </c>
      <c r="E2019" s="9" t="str">
        <f>HYPERLINK("https://twitter.com/sheldon_derder/status/1045069345687261184","1045069345687261184")</f>
        <v>1045069345687261184</v>
      </c>
      <c r="F2019" s="4"/>
      <c r="G2019" s="10" t="s">
        <v>1913</v>
      </c>
      <c r="H2019" s="4"/>
      <c r="I2019" s="10" t="str">
        <f>HYPERLINK("http://twitter.com/download/android","Twitter for Android")</f>
        <v>Twitter for Android</v>
      </c>
      <c r="J2019" s="2">
        <v>709</v>
      </c>
      <c r="K2019" s="2">
        <v>327</v>
      </c>
      <c r="L2019" s="2">
        <v>12</v>
      </c>
      <c r="M2019" s="2"/>
      <c r="N2019" s="8">
        <v>41363.798645833333</v>
      </c>
      <c r="O2019" s="4" t="s">
        <v>254</v>
      </c>
      <c r="P2019" s="3" t="s">
        <v>1878</v>
      </c>
      <c r="Q2019" s="4"/>
      <c r="R2019" s="4"/>
      <c r="S2019" s="9" t="str">
        <f>HYPERLINK("https://pbs.twimg.com/profile_images/868746557809717249/BNMUbrxn.jpg","View")</f>
        <v>View</v>
      </c>
    </row>
    <row r="2020" spans="1:19" ht="20">
      <c r="A2020" s="8">
        <v>43370.048738425925</v>
      </c>
      <c r="B2020" s="11" t="str">
        <f>HYPERLINK("https://twitter.com/MJM_118","@MJM_118")</f>
        <v>@MJM_118</v>
      </c>
      <c r="C2020" s="6" t="s">
        <v>1877</v>
      </c>
      <c r="D2020" s="5" t="s">
        <v>1876</v>
      </c>
      <c r="E2020" s="9" t="str">
        <f>HYPERLINK("https://twitter.com/MJM_118/status/1045065523476795400","1045065523476795400")</f>
        <v>1045065523476795400</v>
      </c>
      <c r="F2020" s="4"/>
      <c r="G2020" s="4"/>
      <c r="H2020" s="4"/>
      <c r="I2020" s="10" t="str">
        <f>HYPERLINK("http://twitter.com/download/android","Twitter for Android")</f>
        <v>Twitter for Android</v>
      </c>
      <c r="J2020" s="2">
        <v>67</v>
      </c>
      <c r="K2020" s="2">
        <v>50</v>
      </c>
      <c r="L2020" s="2">
        <v>0</v>
      </c>
      <c r="M2020" s="2"/>
      <c r="N2020" s="8">
        <v>42859.092905092592</v>
      </c>
      <c r="O2020" s="4" t="s">
        <v>162</v>
      </c>
      <c r="P2020" s="3" t="s">
        <v>1875</v>
      </c>
      <c r="Q2020" s="4"/>
      <c r="R2020" s="4"/>
      <c r="S2020" s="9" t="str">
        <f>HYPERLINK("https://pbs.twimg.com/profile_images/1021314412743979009/Zw3gm_qX.jpg","View")</f>
        <v>View</v>
      </c>
    </row>
    <row r="2021" spans="1:19" ht="20">
      <c r="A2021" s="8">
        <v>43370.045844907407</v>
      </c>
      <c r="B2021" s="11" t="str">
        <f>HYPERLINK("https://twitter.com/Yanga47653106","@Yanga47653106")</f>
        <v>@Yanga47653106</v>
      </c>
      <c r="C2021" s="6" t="s">
        <v>1862</v>
      </c>
      <c r="D2021" s="5" t="s">
        <v>1861</v>
      </c>
      <c r="E2021" s="9" t="str">
        <f>HYPERLINK("https://twitter.com/Yanga47653106/status/1045064472459706368","1045064472459706368")</f>
        <v>1045064472459706368</v>
      </c>
      <c r="F2021" s="4"/>
      <c r="G2021" s="10" t="s">
        <v>1860</v>
      </c>
      <c r="H2021" s="4"/>
      <c r="I2021" s="10" t="str">
        <f>HYPERLINK("http://twitter.com/download/android","Twitter for Android")</f>
        <v>Twitter for Android</v>
      </c>
      <c r="J2021" s="2">
        <v>30</v>
      </c>
      <c r="K2021" s="2">
        <v>63</v>
      </c>
      <c r="L2021" s="2">
        <v>0</v>
      </c>
      <c r="M2021" s="2"/>
      <c r="N2021" s="8">
        <v>43247.970821759256</v>
      </c>
      <c r="O2021" s="4"/>
      <c r="P2021" s="3" t="s">
        <v>1859</v>
      </c>
      <c r="Q2021" s="4"/>
      <c r="R2021" s="4"/>
      <c r="S2021" s="9" t="str">
        <f>HYPERLINK("https://pbs.twimg.com/profile_images/1000814651318456320/dqPmg52O.jpg","View")</f>
        <v>View</v>
      </c>
    </row>
    <row r="2022" spans="1:19" ht="20">
      <c r="A2022" s="8">
        <v>43370.045208333337</v>
      </c>
      <c r="B2022" s="11" t="str">
        <f>HYPERLINK("https://twitter.com/haristo_stchv","@haristo_stchv")</f>
        <v>@haristo_stchv</v>
      </c>
      <c r="C2022" s="6" t="s">
        <v>479</v>
      </c>
      <c r="D2022" s="5" t="s">
        <v>1856</v>
      </c>
      <c r="E2022" s="9" t="str">
        <f>HYPERLINK("https://twitter.com/haristo_stchv/status/1045064244616736768","1045064244616736768")</f>
        <v>1045064244616736768</v>
      </c>
      <c r="F2022" s="4"/>
      <c r="G2022" s="4"/>
      <c r="H2022" s="4"/>
      <c r="I2022" s="10" t="str">
        <f>HYPERLINK("http://twitter.com/download/iphone","Twitter for iPhone")</f>
        <v>Twitter for iPhone</v>
      </c>
      <c r="J2022" s="2">
        <v>1222</v>
      </c>
      <c r="K2022" s="2">
        <v>1074</v>
      </c>
      <c r="L2022" s="2">
        <v>3</v>
      </c>
      <c r="M2022" s="2"/>
      <c r="N2022" s="8">
        <v>42950.472129629634</v>
      </c>
      <c r="O2022" s="4" t="s">
        <v>200</v>
      </c>
      <c r="P2022" s="3" t="s">
        <v>477</v>
      </c>
      <c r="Q2022" s="4"/>
      <c r="R2022" s="4"/>
      <c r="S2022" s="9" t="str">
        <f>HYPERLINK("https://pbs.twimg.com/profile_images/1041626242112528384/wCOP_idg.jpg","View")</f>
        <v>View</v>
      </c>
    </row>
    <row r="2023" spans="1:19" ht="12.5">
      <c r="A2023" s="8">
        <v>43370.044189814813</v>
      </c>
      <c r="B2023" s="11" t="str">
        <f>HYPERLINK("https://twitter.com/s_hamzehpour","@s_hamzehpour")</f>
        <v>@s_hamzehpour</v>
      </c>
      <c r="C2023" s="6" t="s">
        <v>1854</v>
      </c>
      <c r="D2023" s="5" t="s">
        <v>1853</v>
      </c>
      <c r="E2023" s="9" t="str">
        <f>HYPERLINK("https://twitter.com/s_hamzehpour/status/1045063872783298560","1045063872783298560")</f>
        <v>1045063872783298560</v>
      </c>
      <c r="F2023" s="4"/>
      <c r="G2023" s="10" t="s">
        <v>1852</v>
      </c>
      <c r="H2023" s="4"/>
      <c r="I2023" s="10" t="str">
        <f>HYPERLINK("http://twitter.com/download/android","Twitter for Android")</f>
        <v>Twitter for Android</v>
      </c>
      <c r="J2023" s="2">
        <v>41</v>
      </c>
      <c r="K2023" s="2">
        <v>86</v>
      </c>
      <c r="L2023" s="2">
        <v>0</v>
      </c>
      <c r="M2023" s="2"/>
      <c r="N2023" s="8">
        <v>42875.00309027778</v>
      </c>
      <c r="O2023" s="4" t="s">
        <v>62</v>
      </c>
      <c r="P2023" s="3" t="s">
        <v>1851</v>
      </c>
      <c r="Q2023" s="4"/>
      <c r="R2023" s="4"/>
      <c r="S2023" s="9" t="str">
        <f>HYPERLINK("https://pbs.twimg.com/profile_images/1011611693888212992/6M1hSSQU.jpg","View")</f>
        <v>View</v>
      </c>
    </row>
    <row r="2024" spans="1:19" ht="30">
      <c r="A2024" s="8">
        <v>43370.04241898148</v>
      </c>
      <c r="B2024" s="11" t="str">
        <f>HYPERLINK("https://twitter.com/FFMoghaddam","@FFMoghaddam")</f>
        <v>@FFMoghaddam</v>
      </c>
      <c r="C2024" s="6" t="s">
        <v>1850</v>
      </c>
      <c r="D2024" s="5" t="s">
        <v>1849</v>
      </c>
      <c r="E2024" s="9" t="str">
        <f>HYPERLINK("https://twitter.com/FFMoghaddam/status/1045063231587454978","1045063231587454978")</f>
        <v>1045063231587454978</v>
      </c>
      <c r="F2024" s="4"/>
      <c r="G2024" s="4"/>
      <c r="H2024" s="4"/>
      <c r="I2024" s="10" t="str">
        <f>HYPERLINK("http://twitter.com/download/iphone","Twitter for iPhone")</f>
        <v>Twitter for iPhone</v>
      </c>
      <c r="J2024" s="2">
        <v>167</v>
      </c>
      <c r="K2024" s="2">
        <v>39</v>
      </c>
      <c r="L2024" s="2">
        <v>0</v>
      </c>
      <c r="M2024" s="2"/>
      <c r="N2024" s="8">
        <v>43090.779224537036</v>
      </c>
      <c r="O2024" s="4" t="s">
        <v>1848</v>
      </c>
      <c r="P2024" s="3" t="s">
        <v>1847</v>
      </c>
      <c r="Q2024" s="10" t="s">
        <v>1846</v>
      </c>
      <c r="R2024" s="4"/>
      <c r="S2024" s="9" t="str">
        <f>HYPERLINK("https://pbs.twimg.com/profile_images/1041413577872220161/E-Ls-zLe.jpg","View")</f>
        <v>View</v>
      </c>
    </row>
    <row r="2025" spans="1:19" ht="20">
      <c r="A2025" s="8">
        <v>43370.042037037041</v>
      </c>
      <c r="B2025" s="11" t="str">
        <f>HYPERLINK("https://twitter.com/rohoo","@rohoo")</f>
        <v>@rohoo</v>
      </c>
      <c r="C2025" s="6" t="s">
        <v>1398</v>
      </c>
      <c r="D2025" s="5" t="s">
        <v>1845</v>
      </c>
      <c r="E2025" s="9" t="str">
        <f>HYPERLINK("https://twitter.com/rohoo/status/1045063092403679239","1045063092403679239")</f>
        <v>1045063092403679239</v>
      </c>
      <c r="F2025" s="4"/>
      <c r="G2025" s="4"/>
      <c r="H2025" s="4"/>
      <c r="I2025" s="10" t="str">
        <f>HYPERLINK("https://about.twitter.com/products/tweetdeck","TweetDeck")</f>
        <v>TweetDeck</v>
      </c>
      <c r="J2025" s="2">
        <v>2484</v>
      </c>
      <c r="K2025" s="2">
        <v>341</v>
      </c>
      <c r="L2025" s="2">
        <v>47</v>
      </c>
      <c r="M2025" s="2"/>
      <c r="N2025" s="8">
        <v>39953.748657407406</v>
      </c>
      <c r="O2025" s="4" t="s">
        <v>72</v>
      </c>
      <c r="P2025" s="3" t="s">
        <v>1396</v>
      </c>
      <c r="Q2025" s="10" t="s">
        <v>1395</v>
      </c>
      <c r="R2025" s="4"/>
      <c r="S2025" s="9" t="str">
        <f>HYPERLINK("https://pbs.twimg.com/profile_images/943909317572411392/2QHMFtB1.jpg","View")</f>
        <v>View</v>
      </c>
    </row>
    <row r="2026" spans="1:19" ht="20">
      <c r="A2026" s="8">
        <v>43370.041273148148</v>
      </c>
      <c r="B2026" s="11" t="str">
        <f>HYPERLINK("https://twitter.com/hodoram_","@hodoram_")</f>
        <v>@hodoram_</v>
      </c>
      <c r="C2026" s="6" t="s">
        <v>1840</v>
      </c>
      <c r="D2026" s="5" t="s">
        <v>1839</v>
      </c>
      <c r="E2026" s="9" t="str">
        <f>HYPERLINK("https://twitter.com/hodoram_/status/1045062816804286466","1045062816804286466")</f>
        <v>1045062816804286466</v>
      </c>
      <c r="F2026" s="4"/>
      <c r="G2026" s="4"/>
      <c r="H2026" s="4"/>
      <c r="I2026" s="10" t="str">
        <f>HYPERLINK("http://twitter.com/download/android","Twitter for Android")</f>
        <v>Twitter for Android</v>
      </c>
      <c r="J2026" s="2">
        <v>14</v>
      </c>
      <c r="K2026" s="2">
        <v>23</v>
      </c>
      <c r="L2026" s="2">
        <v>0</v>
      </c>
      <c r="M2026" s="2"/>
      <c r="N2026" s="8">
        <v>43308.874699074076</v>
      </c>
      <c r="O2026" s="4"/>
      <c r="P2026" s="3" t="s">
        <v>1838</v>
      </c>
      <c r="Q2026" s="4"/>
      <c r="R2026" s="4"/>
      <c r="S2026" s="9" t="str">
        <f>HYPERLINK("https://pbs.twimg.com/profile_images/1039175558171643904/kwha1qr9.jpg","View")</f>
        <v>View</v>
      </c>
    </row>
    <row r="2027" spans="1:19" ht="20">
      <c r="A2027" s="8">
        <v>43370.040763888886</v>
      </c>
      <c r="B2027" s="11" t="str">
        <f>HYPERLINK("https://twitter.com/IAmSpectre1","@IAmSpectre1")</f>
        <v>@IAmSpectre1</v>
      </c>
      <c r="C2027" s="6" t="s">
        <v>1837</v>
      </c>
      <c r="D2027" s="5" t="s">
        <v>1836</v>
      </c>
      <c r="E2027" s="9" t="str">
        <f>HYPERLINK("https://twitter.com/IAmSpectre1/status/1045062632091389952","1045062632091389952")</f>
        <v>1045062632091389952</v>
      </c>
      <c r="F2027" s="4"/>
      <c r="G2027" s="4"/>
      <c r="H2027" s="4"/>
      <c r="I2027" s="10" t="str">
        <f>HYPERLINK("https://mobile.twitter.com","Twitter Lite")</f>
        <v>Twitter Lite</v>
      </c>
      <c r="J2027" s="2">
        <v>28</v>
      </c>
      <c r="K2027" s="2">
        <v>118</v>
      </c>
      <c r="L2027" s="2">
        <v>0</v>
      </c>
      <c r="M2027" s="2"/>
      <c r="N2027" s="8">
        <v>43353.972604166665</v>
      </c>
      <c r="O2027" s="4"/>
      <c r="P2027" s="3" t="s">
        <v>1835</v>
      </c>
      <c r="Q2027" s="4"/>
      <c r="R2027" s="4"/>
      <c r="S2027" s="9" t="str">
        <f>HYPERLINK("https://pbs.twimg.com/profile_images/1040007508641935361/jUSSxD-C.jpg","View")</f>
        <v>View</v>
      </c>
    </row>
    <row r="2028" spans="1:19" ht="12.5">
      <c r="A2028" s="8">
        <v>43370.040405092594</v>
      </c>
      <c r="B2028" s="11" t="str">
        <f>HYPERLINK("https://twitter.com/hosseinferdousi","@hosseinferdousi")</f>
        <v>@hosseinferdousi</v>
      </c>
      <c r="C2028" s="6" t="s">
        <v>1834</v>
      </c>
      <c r="D2028" s="5" t="s">
        <v>1833</v>
      </c>
      <c r="E2028" s="9" t="str">
        <f>HYPERLINK("https://twitter.com/hosseinferdousi/status/1045062502105649153","1045062502105649153")</f>
        <v>1045062502105649153</v>
      </c>
      <c r="F2028" s="4"/>
      <c r="G2028" s="4"/>
      <c r="H2028" s="4"/>
      <c r="I2028" s="10" t="str">
        <f>HYPERLINK("http://twitter.com","Twitter Web Client")</f>
        <v>Twitter Web Client</v>
      </c>
      <c r="J2028" s="2">
        <v>173</v>
      </c>
      <c r="K2028" s="2">
        <v>503</v>
      </c>
      <c r="L2028" s="2">
        <v>1</v>
      </c>
      <c r="M2028" s="2"/>
      <c r="N2028" s="8">
        <v>40366.083981481483</v>
      </c>
      <c r="O2028" s="4" t="s">
        <v>1832</v>
      </c>
      <c r="P2028" s="3"/>
      <c r="Q2028" s="4"/>
      <c r="R2028" s="4"/>
      <c r="S2028" s="9" t="str">
        <f>HYPERLINK("https://pbs.twimg.com/profile_images/994543275804647424/80ZbihDp.jpg","View")</f>
        <v>View</v>
      </c>
    </row>
    <row r="2029" spans="1:19" ht="40">
      <c r="A2029" s="8">
        <v>43370.040208333332</v>
      </c>
      <c r="B2029" s="11" t="str">
        <f>HYPERLINK("https://twitter.com/mohammadreza720","@mohammadreza720")</f>
        <v>@mohammadreza720</v>
      </c>
      <c r="C2029" s="6" t="s">
        <v>1831</v>
      </c>
      <c r="D2029" s="5" t="s">
        <v>1830</v>
      </c>
      <c r="E2029" s="9" t="str">
        <f>HYPERLINK("https://twitter.com/mohammadreza720/status/1045062431955996674","1045062431955996674")</f>
        <v>1045062431955996674</v>
      </c>
      <c r="F2029" s="4"/>
      <c r="G2029" s="4"/>
      <c r="H2029" s="4"/>
      <c r="I2029" s="10" t="str">
        <f>HYPERLINK("http://twitter.com/download/android","Twitter for Android")</f>
        <v>Twitter for Android</v>
      </c>
      <c r="J2029" s="2">
        <v>2954</v>
      </c>
      <c r="K2029" s="2">
        <v>4133</v>
      </c>
      <c r="L2029" s="2">
        <v>3</v>
      </c>
      <c r="M2029" s="2"/>
      <c r="N2029" s="8">
        <v>42878.924131944441</v>
      </c>
      <c r="O2029" s="4" t="s">
        <v>1829</v>
      </c>
      <c r="P2029" s="3" t="s">
        <v>1828</v>
      </c>
      <c r="Q2029" s="10" t="s">
        <v>1827</v>
      </c>
      <c r="R2029" s="4"/>
      <c r="S2029" s="9" t="str">
        <f>HYPERLINK("https://pbs.twimg.com/profile_images/868142084309561344/lip-_JJK.jpg","View")</f>
        <v>View</v>
      </c>
    </row>
    <row r="2030" spans="1:19" ht="30">
      <c r="A2030" s="8">
        <v>43370.039583333331</v>
      </c>
      <c r="B2030" s="11" t="str">
        <f>HYPERLINK("https://twitter.com/SMirdarvatan","@SMirdarvatan")</f>
        <v>@SMirdarvatan</v>
      </c>
      <c r="C2030" s="6" t="s">
        <v>1823</v>
      </c>
      <c r="D2030" s="5" t="s">
        <v>1822</v>
      </c>
      <c r="E2030" s="9" t="str">
        <f>HYPERLINK("https://twitter.com/SMirdarvatan/status/1045062202925961217","1045062202925961217")</f>
        <v>1045062202925961217</v>
      </c>
      <c r="F2030" s="10" t="s">
        <v>1821</v>
      </c>
      <c r="G2030" s="10" t="s">
        <v>1820</v>
      </c>
      <c r="H2030" s="4"/>
      <c r="I2030" s="10" t="str">
        <f>HYPERLINK("https://mobile.twitter.com","Twitter Lite")</f>
        <v>Twitter Lite</v>
      </c>
      <c r="J2030" s="2">
        <v>228</v>
      </c>
      <c r="K2030" s="2">
        <v>898</v>
      </c>
      <c r="L2030" s="2">
        <v>0</v>
      </c>
      <c r="M2030" s="2"/>
      <c r="N2030" s="8">
        <v>43335.958275462966</v>
      </c>
      <c r="O2030" s="4" t="s">
        <v>2463</v>
      </c>
      <c r="P2030" s="3" t="s">
        <v>2462</v>
      </c>
      <c r="Q2030" s="4"/>
      <c r="R2030" s="4"/>
      <c r="S2030" s="9" t="str">
        <f>HYPERLINK("https://pbs.twimg.com/profile_images/1044740925518479360/rpZYNKzU.jpg","View")</f>
        <v>View</v>
      </c>
    </row>
    <row r="2031" spans="1:19" ht="30">
      <c r="A2031" s="8">
        <v>43370.03706018519</v>
      </c>
      <c r="B2031" s="11" t="str">
        <f>HYPERLINK("https://twitter.com/rohoo","@rohoo")</f>
        <v>@rohoo</v>
      </c>
      <c r="C2031" s="6" t="s">
        <v>1398</v>
      </c>
      <c r="D2031" s="5" t="s">
        <v>1810</v>
      </c>
      <c r="E2031" s="9" t="str">
        <f>HYPERLINK("https://twitter.com/rohoo/status/1045061291545694208","1045061291545694208")</f>
        <v>1045061291545694208</v>
      </c>
      <c r="F2031" s="4"/>
      <c r="G2031" s="4"/>
      <c r="H2031" s="4"/>
      <c r="I2031" s="10" t="str">
        <f>HYPERLINK("https://about.twitter.com/products/tweetdeck","TweetDeck")</f>
        <v>TweetDeck</v>
      </c>
      <c r="J2031" s="2">
        <v>2484</v>
      </c>
      <c r="K2031" s="2">
        <v>341</v>
      </c>
      <c r="L2031" s="2">
        <v>47</v>
      </c>
      <c r="M2031" s="2"/>
      <c r="N2031" s="8">
        <v>39953.748657407406</v>
      </c>
      <c r="O2031" s="4" t="s">
        <v>72</v>
      </c>
      <c r="P2031" s="3" t="s">
        <v>1396</v>
      </c>
      <c r="Q2031" s="10" t="s">
        <v>1395</v>
      </c>
      <c r="R2031" s="4"/>
      <c r="S2031" s="9" t="str">
        <f>HYPERLINK("https://pbs.twimg.com/profile_images/943909317572411392/2QHMFtB1.jpg","View")</f>
        <v>View</v>
      </c>
    </row>
    <row r="2032" spans="1:19" ht="40">
      <c r="A2032" s="8">
        <v>43370.036412037036</v>
      </c>
      <c r="B2032" s="11" t="str">
        <f>HYPERLINK("https://twitter.com/ArtLover1367","@ArtLover1367")</f>
        <v>@ArtLover1367</v>
      </c>
      <c r="C2032" s="6" t="s">
        <v>1660</v>
      </c>
      <c r="D2032" s="5" t="s">
        <v>1806</v>
      </c>
      <c r="E2032" s="9" t="str">
        <f>HYPERLINK("https://twitter.com/ArtLover1367/status/1045061053963472899","1045061053963472899")</f>
        <v>1045061053963472899</v>
      </c>
      <c r="F2032" s="4"/>
      <c r="G2032" s="4"/>
      <c r="H2032" s="4"/>
      <c r="I2032" s="10" t="str">
        <f>HYPERLINK("http://twitter.com","Twitter Web Client")</f>
        <v>Twitter Web Client</v>
      </c>
      <c r="J2032" s="2">
        <v>3002</v>
      </c>
      <c r="K2032" s="2">
        <v>655</v>
      </c>
      <c r="L2032" s="2">
        <v>17</v>
      </c>
      <c r="M2032" s="2"/>
      <c r="N2032" s="8">
        <v>42573.976516203707</v>
      </c>
      <c r="O2032" s="4"/>
      <c r="P2032" s="3" t="s">
        <v>1658</v>
      </c>
      <c r="Q2032" s="4"/>
      <c r="R2032" s="4"/>
      <c r="S2032" s="9" t="str">
        <f>HYPERLINK("https://pbs.twimg.com/profile_images/1042732563138314240/wqRPjiv7.jpg","View")</f>
        <v>View</v>
      </c>
    </row>
    <row r="2033" spans="1:19" ht="30">
      <c r="A2033" s="8">
        <v>43370.035717592589</v>
      </c>
      <c r="B2033" s="11" t="str">
        <f>HYPERLINK("https://twitter.com/sina_jh","@sina_jh")</f>
        <v>@sina_jh</v>
      </c>
      <c r="C2033" s="6" t="s">
        <v>1800</v>
      </c>
      <c r="D2033" s="5" t="s">
        <v>1799</v>
      </c>
      <c r="E2033" s="9" t="str">
        <f>HYPERLINK("https://twitter.com/sina_jh/status/1045060802284142592","1045060802284142592")</f>
        <v>1045060802284142592</v>
      </c>
      <c r="F2033" s="4"/>
      <c r="G2033" s="4"/>
      <c r="H2033" s="4"/>
      <c r="I2033" s="10" t="str">
        <f>HYPERLINK("http://twitter.com/download/android","Twitter for Android")</f>
        <v>Twitter for Android</v>
      </c>
      <c r="J2033" s="2">
        <v>86</v>
      </c>
      <c r="K2033" s="2">
        <v>71</v>
      </c>
      <c r="L2033" s="2">
        <v>0</v>
      </c>
      <c r="M2033" s="2"/>
      <c r="N2033" s="8">
        <v>42562.958182870367</v>
      </c>
      <c r="O2033" s="4" t="s">
        <v>10</v>
      </c>
      <c r="P2033" s="3" t="s">
        <v>1798</v>
      </c>
      <c r="Q2033" s="4"/>
      <c r="R2033" s="4"/>
      <c r="S2033" s="9" t="str">
        <f>HYPERLINK("https://pbs.twimg.com/profile_images/1012841385785942016/UlXpqoN5.jpg","View")</f>
        <v>View</v>
      </c>
    </row>
    <row r="2034" spans="1:19" ht="20">
      <c r="A2034" s="8">
        <v>43370.035104166665</v>
      </c>
      <c r="B2034" s="11" t="str">
        <f>HYPERLINK("https://twitter.com/rof4el","@rof4el")</f>
        <v>@rof4el</v>
      </c>
      <c r="C2034" s="6" t="s">
        <v>1795</v>
      </c>
      <c r="D2034" s="5" t="s">
        <v>1794</v>
      </c>
      <c r="E2034" s="9" t="str">
        <f>HYPERLINK("https://twitter.com/rof4el/status/1045060580782948352","1045060580782948352")</f>
        <v>1045060580782948352</v>
      </c>
      <c r="F2034" s="4"/>
      <c r="G2034" s="4"/>
      <c r="H2034" s="4"/>
      <c r="I2034" s="10" t="str">
        <f>HYPERLINK("http://twitter.com","Twitter Web Client")</f>
        <v>Twitter Web Client</v>
      </c>
      <c r="J2034" s="2">
        <v>2250</v>
      </c>
      <c r="K2034" s="2">
        <v>1853</v>
      </c>
      <c r="L2034" s="2">
        <v>3</v>
      </c>
      <c r="M2034" s="2"/>
      <c r="N2034" s="8">
        <v>42897.364155092597</v>
      </c>
      <c r="O2034" s="4" t="s">
        <v>1793</v>
      </c>
      <c r="P2034" s="3" t="s">
        <v>1792</v>
      </c>
      <c r="Q2034" s="4"/>
      <c r="R2034" s="4"/>
      <c r="S2034" s="9" t="str">
        <f>HYPERLINK("https://pbs.twimg.com/profile_images/940719839475355648/dRDBBs-P.jpg","View")</f>
        <v>View</v>
      </c>
    </row>
    <row r="2035" spans="1:19" ht="20">
      <c r="A2035" s="8">
        <v>43370.034594907411</v>
      </c>
      <c r="B2035" s="11" t="str">
        <f>HYPERLINK("https://twitter.com/aideenmot1359","@aideenmot1359")</f>
        <v>@aideenmot1359</v>
      </c>
      <c r="C2035" s="6" t="s">
        <v>1791</v>
      </c>
      <c r="D2035" s="5" t="s">
        <v>1790</v>
      </c>
      <c r="E2035" s="9" t="str">
        <f>HYPERLINK("https://twitter.com/aideenmot1359/status/1045060398347702272","1045060398347702272")</f>
        <v>1045060398347702272</v>
      </c>
      <c r="F2035" s="4"/>
      <c r="G2035" s="10" t="s">
        <v>1789</v>
      </c>
      <c r="H2035" s="4"/>
      <c r="I2035" s="10" t="str">
        <f>HYPERLINK("http://twitter.com/download/iphone","Twitter for iPhone")</f>
        <v>Twitter for iPhone</v>
      </c>
      <c r="J2035" s="2">
        <v>772</v>
      </c>
      <c r="K2035" s="2">
        <v>907</v>
      </c>
      <c r="L2035" s="2">
        <v>1</v>
      </c>
      <c r="M2035" s="2"/>
      <c r="N2035" s="8">
        <v>42656.096099537041</v>
      </c>
      <c r="O2035" s="4" t="s">
        <v>10</v>
      </c>
      <c r="P2035" s="3" t="s">
        <v>1788</v>
      </c>
      <c r="Q2035" s="4"/>
      <c r="R2035" s="4"/>
      <c r="S2035" s="9" t="str">
        <f>HYPERLINK("https://pbs.twimg.com/profile_images/1037809286179631106/sEtxbZ0Q.jpg","View")</f>
        <v>View</v>
      </c>
    </row>
    <row r="2036" spans="1:19" ht="12.5">
      <c r="A2036" s="8">
        <v>43370.034467592588</v>
      </c>
      <c r="B2036" s="11" t="str">
        <f>HYPERLINK("https://twitter.com/urbanizeeation","@urbanizeeation")</f>
        <v>@urbanizeeation</v>
      </c>
      <c r="C2036" s="6" t="s">
        <v>1784</v>
      </c>
      <c r="D2036" s="5" t="s">
        <v>1783</v>
      </c>
      <c r="E2036" s="9" t="str">
        <f>HYPERLINK("https://twitter.com/urbanizeeation/status/1045060348972331008","1045060348972331008")</f>
        <v>1045060348972331008</v>
      </c>
      <c r="F2036" s="4"/>
      <c r="G2036" s="4"/>
      <c r="H2036" s="4"/>
      <c r="I2036" s="10" t="str">
        <f>HYPERLINK("http://twitter.com/download/iphone","Twitter for iPhone")</f>
        <v>Twitter for iPhone</v>
      </c>
      <c r="J2036" s="2">
        <v>278</v>
      </c>
      <c r="K2036" s="2">
        <v>290</v>
      </c>
      <c r="L2036" s="2">
        <v>0</v>
      </c>
      <c r="M2036" s="2"/>
      <c r="N2036" s="8">
        <v>42543.927743055552</v>
      </c>
      <c r="O2036" s="4" t="s">
        <v>10</v>
      </c>
      <c r="P2036" s="3" t="s">
        <v>1782</v>
      </c>
      <c r="Q2036" s="4"/>
      <c r="R2036" s="4"/>
      <c r="S2036" s="9" t="str">
        <f>HYPERLINK("https://pbs.twimg.com/profile_images/1045027502647922688/nkifteFh.jpg","View")</f>
        <v>View</v>
      </c>
    </row>
    <row r="2037" spans="1:19" ht="12.5">
      <c r="A2037" s="8">
        <v>43370.032592592594</v>
      </c>
      <c r="B2037" s="11" t="str">
        <f>HYPERLINK("https://twitter.com/abuezrail","@abuezrail")</f>
        <v>@abuezrail</v>
      </c>
      <c r="C2037" s="6" t="s">
        <v>1665</v>
      </c>
      <c r="D2037" s="5" t="s">
        <v>1771</v>
      </c>
      <c r="E2037" s="9" t="str">
        <f>HYPERLINK("https://twitter.com/abuezrail/status/1045059670325506049","1045059670325506049")</f>
        <v>1045059670325506049</v>
      </c>
      <c r="F2037" s="4"/>
      <c r="G2037" s="4"/>
      <c r="H2037" s="4"/>
      <c r="I2037" s="10" t="str">
        <f>HYPERLINK("http://twitter.com/download/android","Twitter for Android")</f>
        <v>Twitter for Android</v>
      </c>
      <c r="J2037" s="2">
        <v>2308</v>
      </c>
      <c r="K2037" s="2">
        <v>2267</v>
      </c>
      <c r="L2037" s="2">
        <v>2</v>
      </c>
      <c r="M2037" s="2"/>
      <c r="N2037" s="8">
        <v>42996.613761574074</v>
      </c>
      <c r="O2037" s="4" t="s">
        <v>1663</v>
      </c>
      <c r="P2037" s="3" t="s">
        <v>1662</v>
      </c>
      <c r="Q2037" s="10" t="s">
        <v>1661</v>
      </c>
      <c r="R2037" s="4"/>
      <c r="S2037" s="9" t="str">
        <f>HYPERLINK("https://pbs.twimg.com/profile_images/1037834242925965313/CxvhygD_.jpg","View")</f>
        <v>View</v>
      </c>
    </row>
    <row r="2038" spans="1:19" ht="40">
      <c r="A2038" s="8">
        <v>43370.031863425931</v>
      </c>
      <c r="B2038" s="11" t="str">
        <f>HYPERLINK("https://twitter.com/mrbaghal","@mrbaghal")</f>
        <v>@mrbaghal</v>
      </c>
      <c r="C2038" s="6" t="s">
        <v>1761</v>
      </c>
      <c r="D2038" s="5" t="s">
        <v>1767</v>
      </c>
      <c r="E2038" s="9" t="str">
        <f>HYPERLINK("https://twitter.com/mrbaghal/status/1045059408298938369","1045059408298938369")</f>
        <v>1045059408298938369</v>
      </c>
      <c r="F2038" s="4"/>
      <c r="G2038" s="4"/>
      <c r="H2038" s="4"/>
      <c r="I2038" s="10" t="str">
        <f>HYPERLINK("http://twitter.com/download/android","Twitter for Android")</f>
        <v>Twitter for Android</v>
      </c>
      <c r="J2038" s="2">
        <v>105</v>
      </c>
      <c r="K2038" s="2">
        <v>202</v>
      </c>
      <c r="L2038" s="2">
        <v>0</v>
      </c>
      <c r="M2038" s="2"/>
      <c r="N2038" s="8">
        <v>43215.012604166666</v>
      </c>
      <c r="O2038" s="4" t="s">
        <v>272</v>
      </c>
      <c r="P2038" s="3" t="s">
        <v>1758</v>
      </c>
      <c r="Q2038" s="4"/>
      <c r="R2038" s="4"/>
      <c r="S2038" s="9" t="str">
        <f>HYPERLINK("https://pbs.twimg.com/profile_images/1011009361592967170/UA1Cb_rP.jpg","View")</f>
        <v>View</v>
      </c>
    </row>
    <row r="2039" spans="1:19" ht="40">
      <c r="A2039" s="8">
        <v>43370.031504629631</v>
      </c>
      <c r="B2039" s="11" t="str">
        <f>HYPERLINK("https://twitter.com/mrbaghal","@mrbaghal")</f>
        <v>@mrbaghal</v>
      </c>
      <c r="C2039" s="6" t="s">
        <v>1761</v>
      </c>
      <c r="D2039" s="5" t="s">
        <v>1762</v>
      </c>
      <c r="E2039" s="9" t="str">
        <f>HYPERLINK("https://twitter.com/mrbaghal/status/1045059278128779265","1045059278128779265")</f>
        <v>1045059278128779265</v>
      </c>
      <c r="F2039" s="4"/>
      <c r="G2039" s="4"/>
      <c r="H2039" s="4"/>
      <c r="I2039" s="10" t="str">
        <f>HYPERLINK("http://twitter.com/download/android","Twitter for Android")</f>
        <v>Twitter for Android</v>
      </c>
      <c r="J2039" s="2">
        <v>105</v>
      </c>
      <c r="K2039" s="2">
        <v>202</v>
      </c>
      <c r="L2039" s="2">
        <v>0</v>
      </c>
      <c r="M2039" s="2"/>
      <c r="N2039" s="8">
        <v>43215.012604166666</v>
      </c>
      <c r="O2039" s="4" t="s">
        <v>272</v>
      </c>
      <c r="P2039" s="3" t="s">
        <v>1758</v>
      </c>
      <c r="Q2039" s="4"/>
      <c r="R2039" s="4"/>
      <c r="S2039" s="9" t="str">
        <f>HYPERLINK("https://pbs.twimg.com/profile_images/1011009361592967170/UA1Cb_rP.jpg","View")</f>
        <v>View</v>
      </c>
    </row>
    <row r="2040" spans="1:19" ht="40">
      <c r="A2040" s="8">
        <v>43370.031342592592</v>
      </c>
      <c r="B2040" s="11" t="str">
        <f>HYPERLINK("https://twitter.com/mrbaghal","@mrbaghal")</f>
        <v>@mrbaghal</v>
      </c>
      <c r="C2040" s="6" t="s">
        <v>1761</v>
      </c>
      <c r="D2040" s="5" t="s">
        <v>1760</v>
      </c>
      <c r="E2040" s="9" t="str">
        <f>HYPERLINK("https://twitter.com/mrbaghal/status/1045059219421097984","1045059219421097984")</f>
        <v>1045059219421097984</v>
      </c>
      <c r="F2040" s="4"/>
      <c r="G2040" s="10" t="s">
        <v>1759</v>
      </c>
      <c r="H2040" s="4"/>
      <c r="I2040" s="10" t="str">
        <f>HYPERLINK("http://twitter.com/download/android","Twitter for Android")</f>
        <v>Twitter for Android</v>
      </c>
      <c r="J2040" s="2">
        <v>105</v>
      </c>
      <c r="K2040" s="2">
        <v>202</v>
      </c>
      <c r="L2040" s="2">
        <v>0</v>
      </c>
      <c r="M2040" s="2"/>
      <c r="N2040" s="8">
        <v>43215.012604166666</v>
      </c>
      <c r="O2040" s="4" t="s">
        <v>272</v>
      </c>
      <c r="P2040" s="3" t="s">
        <v>1758</v>
      </c>
      <c r="Q2040" s="4"/>
      <c r="R2040" s="4"/>
      <c r="S2040" s="9" t="str">
        <f>HYPERLINK("https://pbs.twimg.com/profile_images/1011009361592967170/UA1Cb_rP.jpg","View")</f>
        <v>View</v>
      </c>
    </row>
    <row r="2041" spans="1:19" ht="30">
      <c r="A2041" s="8">
        <v>43370.031087962961</v>
      </c>
      <c r="B2041" s="11" t="str">
        <f>HYPERLINK("https://twitter.com/KindnessOcean","@KindnessOcean")</f>
        <v>@KindnessOcean</v>
      </c>
      <c r="C2041" s="6" t="s">
        <v>1753</v>
      </c>
      <c r="D2041" s="5" t="s">
        <v>1752</v>
      </c>
      <c r="E2041" s="9" t="str">
        <f>HYPERLINK("https://twitter.com/KindnessOcean/status/1045059126936653824","1045059126936653824")</f>
        <v>1045059126936653824</v>
      </c>
      <c r="F2041" s="4"/>
      <c r="G2041" s="4"/>
      <c r="H2041" s="4"/>
      <c r="I2041" s="10" t="str">
        <f>HYPERLINK("http://twitter.com/download/android","Twitter for Android")</f>
        <v>Twitter for Android</v>
      </c>
      <c r="J2041" s="2">
        <v>12</v>
      </c>
      <c r="K2041" s="2">
        <v>15</v>
      </c>
      <c r="L2041" s="2">
        <v>0</v>
      </c>
      <c r="M2041" s="2"/>
      <c r="N2041" s="8">
        <v>43328.784618055557</v>
      </c>
      <c r="O2041" s="4" t="s">
        <v>200</v>
      </c>
      <c r="P2041" s="3" t="s">
        <v>1751</v>
      </c>
      <c r="Q2041" s="4"/>
      <c r="R2041" s="4"/>
      <c r="S2041" s="9" t="str">
        <f>HYPERLINK("https://pbs.twimg.com/profile_images/1030099164875636736/VbuuVXcw.jpg","View")</f>
        <v>View</v>
      </c>
    </row>
    <row r="2042" spans="1:19" ht="40">
      <c r="A2042" s="8">
        <v>43370.346307870372</v>
      </c>
      <c r="B2042" s="11" t="str">
        <f>HYPERLINK("https://twitter.com/Del__bi","@Del__bi")</f>
        <v>@Del__bi</v>
      </c>
      <c r="C2042" s="6" t="s">
        <v>2461</v>
      </c>
      <c r="D2042" s="5" t="s">
        <v>2460</v>
      </c>
      <c r="E2042" s="9" t="str">
        <f>HYPERLINK("https://twitter.com/Del__bi/status/1045173359594672128","1045173359594672128")</f>
        <v>1045173359594672128</v>
      </c>
      <c r="F2042" s="4"/>
      <c r="G2042" s="4"/>
      <c r="H2042" s="4"/>
      <c r="I2042" s="10" t="str">
        <f>HYPERLINK("http://twitter.com/download/android","Twitter for Android")</f>
        <v>Twitter for Android</v>
      </c>
      <c r="J2042" s="2">
        <v>781</v>
      </c>
      <c r="K2042" s="2">
        <v>355</v>
      </c>
      <c r="L2042" s="2">
        <v>2</v>
      </c>
      <c r="M2042" s="2"/>
      <c r="N2042" s="8">
        <v>40977.770555555559</v>
      </c>
      <c r="O2042" s="4"/>
      <c r="P2042" s="3" t="s">
        <v>2459</v>
      </c>
      <c r="Q2042" s="4"/>
      <c r="R2042" s="4"/>
      <c r="S2042" s="9" t="str">
        <f>HYPERLINK("https://pbs.twimg.com/profile_images/1044192773954523136/EgWbhRdH.jpg","View")</f>
        <v>View</v>
      </c>
    </row>
    <row r="2043" spans="1:19" ht="20">
      <c r="A2043" s="8">
        <v>43370.344872685186</v>
      </c>
      <c r="B2043" s="11" t="str">
        <f>HYPERLINK("https://twitter.com/luckyjok","@luckyjok")</f>
        <v>@luckyjok</v>
      </c>
      <c r="C2043" s="6" t="s">
        <v>964</v>
      </c>
      <c r="D2043" s="5" t="s">
        <v>2458</v>
      </c>
      <c r="E2043" s="9" t="str">
        <f>HYPERLINK("https://twitter.com/luckyjok/status/1045172838481752065","1045172838481752065")</f>
        <v>1045172838481752065</v>
      </c>
      <c r="F2043" s="4"/>
      <c r="G2043" s="4"/>
      <c r="H2043" s="4"/>
      <c r="I2043" s="10" t="str">
        <f>HYPERLINK("http://twitter.com/download/android","Twitter for Android")</f>
        <v>Twitter for Android</v>
      </c>
      <c r="J2043" s="2">
        <v>179</v>
      </c>
      <c r="K2043" s="2">
        <v>292</v>
      </c>
      <c r="L2043" s="2">
        <v>0</v>
      </c>
      <c r="M2043" s="2"/>
      <c r="N2043" s="8">
        <v>42757.491712962961</v>
      </c>
      <c r="O2043" s="4" t="s">
        <v>962</v>
      </c>
      <c r="P2043" s="3" t="s">
        <v>961</v>
      </c>
      <c r="Q2043" s="4"/>
      <c r="R2043" s="4"/>
      <c r="S2043" s="9" t="str">
        <f>HYPERLINK("https://pbs.twimg.com/profile_images/986194826587754496/c1sYm2IH.jpg","View")</f>
        <v>View</v>
      </c>
    </row>
    <row r="2044" spans="1:19" ht="20">
      <c r="A2044" s="8">
        <v>43370.343182870369</v>
      </c>
      <c r="B2044" s="11" t="str">
        <f>HYPERLINK("https://twitter.com/Enghlabi_am","@Enghlabi_am")</f>
        <v>@Enghlabi_am</v>
      </c>
      <c r="C2044" s="6" t="s">
        <v>2457</v>
      </c>
      <c r="D2044" s="5" t="s">
        <v>2418</v>
      </c>
      <c r="E2044" s="9" t="str">
        <f>HYPERLINK("https://twitter.com/Enghlabi_am/status/1045172224066572288","1045172224066572288")</f>
        <v>1045172224066572288</v>
      </c>
      <c r="F2044" s="4"/>
      <c r="G2044" s="4"/>
      <c r="H2044" s="4"/>
      <c r="I2044" s="10" t="str">
        <f>HYPERLINK("http://twitter.com/download/android","Twitter for Android")</f>
        <v>Twitter for Android</v>
      </c>
      <c r="J2044" s="2">
        <v>564</v>
      </c>
      <c r="K2044" s="2">
        <v>680</v>
      </c>
      <c r="L2044" s="2">
        <v>0</v>
      </c>
      <c r="M2044" s="2"/>
      <c r="N2044" s="8">
        <v>43250.567569444444</v>
      </c>
      <c r="O2044" s="4" t="s">
        <v>62</v>
      </c>
      <c r="P2044" s="3" t="s">
        <v>2456</v>
      </c>
      <c r="Q2044" s="4"/>
      <c r="R2044" s="4"/>
      <c r="S2044" s="9" t="str">
        <f>HYPERLINK("https://pbs.twimg.com/profile_images/1014038166033006593/ABmPnvNT.jpg","View")</f>
        <v>View</v>
      </c>
    </row>
    <row r="2045" spans="1:19" ht="30">
      <c r="A2045" s="8">
        <v>43370.342407407406</v>
      </c>
      <c r="B2045" s="11" t="str">
        <f>HYPERLINK("https://twitter.com/_sina_t","@_sina_t")</f>
        <v>@_sina_t</v>
      </c>
      <c r="C2045" s="6" t="s">
        <v>2455</v>
      </c>
      <c r="D2045" s="5" t="s">
        <v>114</v>
      </c>
      <c r="E2045" s="9" t="str">
        <f>HYPERLINK("https://twitter.com/_sina_t/status/1045171945149538304","1045171945149538304")</f>
        <v>1045171945149538304</v>
      </c>
      <c r="F2045" s="4"/>
      <c r="G2045" s="10" t="s">
        <v>113</v>
      </c>
      <c r="H2045" s="4"/>
      <c r="I2045" s="10" t="str">
        <f>HYPERLINK("http://twitter.com","Twitter Web Client")</f>
        <v>Twitter Web Client</v>
      </c>
      <c r="J2045" s="2">
        <v>1040</v>
      </c>
      <c r="K2045" s="2">
        <v>1085</v>
      </c>
      <c r="L2045" s="2">
        <v>74</v>
      </c>
      <c r="M2045" s="2"/>
      <c r="N2045" s="8">
        <v>40066.625300925924</v>
      </c>
      <c r="O2045" s="4" t="s">
        <v>513</v>
      </c>
      <c r="P2045" s="3" t="s">
        <v>2454</v>
      </c>
      <c r="Q2045" s="10" t="s">
        <v>2453</v>
      </c>
      <c r="R2045" s="4"/>
      <c r="S2045" s="9" t="str">
        <f>HYPERLINK("https://pbs.twimg.com/profile_images/977878286859554816/_VXUQX_b.jpg","View")</f>
        <v>View</v>
      </c>
    </row>
    <row r="2046" spans="1:19" ht="20">
      <c r="A2046" s="8">
        <v>43370.342187499999</v>
      </c>
      <c r="B2046" s="11" t="str">
        <f>HYPERLINK("https://twitter.com/khoshbakht_a","@khoshbakht_a")</f>
        <v>@khoshbakht_a</v>
      </c>
      <c r="C2046" s="6" t="s">
        <v>2452</v>
      </c>
      <c r="D2046" s="5" t="s">
        <v>2451</v>
      </c>
      <c r="E2046" s="9" t="str">
        <f>HYPERLINK("https://twitter.com/khoshbakht_a/status/1045171865457766400","1045171865457766400")</f>
        <v>1045171865457766400</v>
      </c>
      <c r="F2046" s="4"/>
      <c r="G2046" s="10" t="s">
        <v>2012</v>
      </c>
      <c r="H2046" s="4"/>
      <c r="I2046" s="10" t="str">
        <f>HYPERLINK("http://twitter.com/download/android","Twitter for Android")</f>
        <v>Twitter for Android</v>
      </c>
      <c r="J2046" s="2">
        <v>3197</v>
      </c>
      <c r="K2046" s="2">
        <v>795</v>
      </c>
      <c r="L2046" s="2">
        <v>16</v>
      </c>
      <c r="M2046" s="2"/>
      <c r="N2046" s="8">
        <v>42574.597881944443</v>
      </c>
      <c r="O2046" s="4"/>
      <c r="P2046" s="3" t="s">
        <v>2450</v>
      </c>
      <c r="Q2046" s="4"/>
      <c r="R2046" s="4"/>
      <c r="S2046" s="9" t="str">
        <f>HYPERLINK("https://pbs.twimg.com/profile_images/881074691275804672/iRs0cZVP.jpg","View")</f>
        <v>View</v>
      </c>
    </row>
    <row r="2047" spans="1:19" ht="20">
      <c r="A2047" s="8">
        <v>43370.342129629629</v>
      </c>
      <c r="B2047" s="11" t="str">
        <f>HYPERLINK("https://twitter.com/Beth7876","@Beth7876")</f>
        <v>@Beth7876</v>
      </c>
      <c r="C2047" s="6" t="s">
        <v>53</v>
      </c>
      <c r="D2047" s="5" t="s">
        <v>1684</v>
      </c>
      <c r="E2047" s="9" t="str">
        <f>HYPERLINK("https://twitter.com/Beth7876/status/1045171842749804545","1045171842749804545")</f>
        <v>1045171842749804545</v>
      </c>
      <c r="F2047" s="4"/>
      <c r="G2047" s="10" t="s">
        <v>1683</v>
      </c>
      <c r="H2047" s="4"/>
      <c r="I2047" s="10" t="str">
        <f>HYPERLINK("http://twitter.com/download/android","Twitter for Android")</f>
        <v>Twitter for Android</v>
      </c>
      <c r="J2047" s="2">
        <v>9274</v>
      </c>
      <c r="K2047" s="2">
        <v>1650</v>
      </c>
      <c r="L2047" s="2">
        <v>17</v>
      </c>
      <c r="M2047" s="2"/>
      <c r="N2047" s="8">
        <v>43053.419363425928</v>
      </c>
      <c r="O2047" s="4" t="s">
        <v>10</v>
      </c>
      <c r="P2047" s="3" t="s">
        <v>51</v>
      </c>
      <c r="Q2047" s="4"/>
      <c r="R2047" s="4"/>
      <c r="S2047" s="9" t="str">
        <f>HYPERLINK("https://pbs.twimg.com/profile_images/1043178143933181952/KaP_lpTl.jpg","View")</f>
        <v>View</v>
      </c>
    </row>
    <row r="2048" spans="1:19" ht="30">
      <c r="A2048" s="8">
        <v>43370.341307870374</v>
      </c>
      <c r="B2048" s="11" t="str">
        <f>HYPERLINK("https://twitter.com/farzanehfash","@farzanehfash")</f>
        <v>@farzanehfash</v>
      </c>
      <c r="C2048" s="6" t="s">
        <v>2449</v>
      </c>
      <c r="D2048" s="5" t="s">
        <v>408</v>
      </c>
      <c r="E2048" s="9" t="str">
        <f>HYPERLINK("https://twitter.com/farzanehfash/status/1045171546304794624","1045171546304794624")</f>
        <v>1045171546304794624</v>
      </c>
      <c r="F2048" s="4"/>
      <c r="G2048" s="4"/>
      <c r="H2048" s="4"/>
      <c r="I2048" s="10" t="str">
        <f>HYPERLINK("http://twitter.com/#!/download/ipad","Twitter for iPad")</f>
        <v>Twitter for iPad</v>
      </c>
      <c r="J2048" s="2">
        <v>382</v>
      </c>
      <c r="K2048" s="2">
        <v>636</v>
      </c>
      <c r="L2048" s="2">
        <v>0</v>
      </c>
      <c r="M2048" s="2"/>
      <c r="N2048" s="8">
        <v>43073.563750000001</v>
      </c>
      <c r="O2048" s="4"/>
      <c r="P2048" s="3" t="s">
        <v>2448</v>
      </c>
      <c r="Q2048" s="4"/>
      <c r="R2048" s="4"/>
      <c r="S2048" s="9" t="str">
        <f>HYPERLINK("https://pbs.twimg.com/profile_images/937652577549762560/SgUHHICv.jpg","View")</f>
        <v>View</v>
      </c>
    </row>
    <row r="2049" spans="1:19" ht="20">
      <c r="A2049" s="8">
        <v>43370.340520833328</v>
      </c>
      <c r="B2049" s="11" t="str">
        <f>HYPERLINK("https://twitter.com/kamelanzarif","@kamelanzarif")</f>
        <v>@kamelanzarif</v>
      </c>
      <c r="C2049" s="6" t="s">
        <v>2447</v>
      </c>
      <c r="D2049" s="5" t="s">
        <v>2418</v>
      </c>
      <c r="E2049" s="9" t="str">
        <f>HYPERLINK("https://twitter.com/kamelanzarif/status/1045171262098739200","1045171262098739200")</f>
        <v>1045171262098739200</v>
      </c>
      <c r="F2049" s="4"/>
      <c r="G2049" s="4"/>
      <c r="H2049" s="4"/>
      <c r="I2049" s="10" t="str">
        <f>HYPERLINK("http://twitter.com/download/android","Twitter for Android")</f>
        <v>Twitter for Android</v>
      </c>
      <c r="J2049" s="2">
        <v>1003</v>
      </c>
      <c r="K2049" s="2">
        <v>970</v>
      </c>
      <c r="L2049" s="2">
        <v>3</v>
      </c>
      <c r="M2049" s="2"/>
      <c r="N2049" s="8">
        <v>43129.839108796295</v>
      </c>
      <c r="O2049" s="4"/>
      <c r="P2049" s="3" t="s">
        <v>2446</v>
      </c>
      <c r="Q2049" s="4"/>
      <c r="R2049" s="4"/>
      <c r="S2049" s="9" t="str">
        <f>HYPERLINK("https://pbs.twimg.com/profile_images/1019233143952478208/gjgooqfh.jpg","View")</f>
        <v>View</v>
      </c>
    </row>
    <row r="2050" spans="1:19" ht="12.5">
      <c r="A2050" s="8">
        <v>43370.340115740742</v>
      </c>
      <c r="B2050" s="11" t="str">
        <f>HYPERLINK("https://twitter.com/mammad_khannn","@mammad_khannn")</f>
        <v>@mammad_khannn</v>
      </c>
      <c r="C2050" s="6" t="s">
        <v>2366</v>
      </c>
      <c r="D2050" s="5" t="s">
        <v>2445</v>
      </c>
      <c r="E2050" s="9" t="str">
        <f>HYPERLINK("https://twitter.com/mammad_khannn/status/1045171115235184640","1045171115235184640")</f>
        <v>1045171115235184640</v>
      </c>
      <c r="F2050" s="4"/>
      <c r="G2050" s="4"/>
      <c r="H2050" s="4"/>
      <c r="I2050" s="10" t="str">
        <f>HYPERLINK("http://twitter.com/#!/download/ipad","Twitter for iPad")</f>
        <v>Twitter for iPad</v>
      </c>
      <c r="J2050" s="2">
        <v>641</v>
      </c>
      <c r="K2050" s="2">
        <v>1637</v>
      </c>
      <c r="L2050" s="2">
        <v>3</v>
      </c>
      <c r="M2050" s="2"/>
      <c r="N2050" s="8">
        <v>42525.52721064815</v>
      </c>
      <c r="O2050" s="4" t="s">
        <v>2364</v>
      </c>
      <c r="P2050" s="3" t="s">
        <v>2363</v>
      </c>
      <c r="Q2050" s="4"/>
      <c r="R2050" s="4"/>
      <c r="S2050" s="9" t="str">
        <f>HYPERLINK("https://pbs.twimg.com/profile_images/751779844728381440/ACcevEbd.jpg","View")</f>
        <v>View</v>
      </c>
    </row>
    <row r="2051" spans="1:19" ht="12.5">
      <c r="A2051" s="8">
        <v>43370.339629629627</v>
      </c>
      <c r="B2051" s="11" t="str">
        <f>HYPERLINK("https://twitter.com/Hamid_2060","@Hamid_2060")</f>
        <v>@Hamid_2060</v>
      </c>
      <c r="C2051" s="6" t="s">
        <v>2444</v>
      </c>
      <c r="D2051" s="5" t="s">
        <v>2395</v>
      </c>
      <c r="E2051" s="9" t="str">
        <f>HYPERLINK("https://twitter.com/Hamid_2060/status/1045170937967128578","1045170937967128578")</f>
        <v>1045170937967128578</v>
      </c>
      <c r="F2051" s="10" t="s">
        <v>2391</v>
      </c>
      <c r="G2051" s="4"/>
      <c r="H2051" s="4"/>
      <c r="I2051" s="10" t="str">
        <f>HYPERLINK("http://twitter.com/download/android","Twitter for Android")</f>
        <v>Twitter for Android</v>
      </c>
      <c r="J2051" s="2">
        <v>205</v>
      </c>
      <c r="K2051" s="2">
        <v>626</v>
      </c>
      <c r="L2051" s="2">
        <v>1</v>
      </c>
      <c r="M2051" s="2"/>
      <c r="N2051" s="8">
        <v>41221.003263888888</v>
      </c>
      <c r="O2051" s="4"/>
      <c r="P2051" s="3"/>
      <c r="Q2051" s="4"/>
      <c r="R2051" s="4"/>
      <c r="S2051" s="9" t="str">
        <f>HYPERLINK("https://pbs.twimg.com/profile_images/936988413902934018/l1zNwQLJ.jpg","View")</f>
        <v>View</v>
      </c>
    </row>
    <row r="2052" spans="1:19" ht="20">
      <c r="A2052" s="8">
        <v>43370.337557870371</v>
      </c>
      <c r="B2052" s="11" t="str">
        <f>HYPERLINK("https://twitter.com/mahtabmoond","@mahtabmoond")</f>
        <v>@mahtabmoond</v>
      </c>
      <c r="C2052" s="6" t="s">
        <v>2443</v>
      </c>
      <c r="D2052" s="5" t="s">
        <v>2442</v>
      </c>
      <c r="E2052" s="9" t="str">
        <f>HYPERLINK("https://twitter.com/mahtabmoond/status/1045170185987125248","1045170185987125248")</f>
        <v>1045170185987125248</v>
      </c>
      <c r="F2052" s="4"/>
      <c r="G2052" s="4"/>
      <c r="H2052" s="4"/>
      <c r="I2052" s="10" t="str">
        <f>HYPERLINK("http://twitter.com/download/iphone","Twitter for iPhone")</f>
        <v>Twitter for iPhone</v>
      </c>
      <c r="J2052" s="2">
        <v>4693</v>
      </c>
      <c r="K2052" s="2">
        <v>3770</v>
      </c>
      <c r="L2052" s="2">
        <v>12</v>
      </c>
      <c r="M2052" s="2"/>
      <c r="N2052" s="8">
        <v>42951.786180555559</v>
      </c>
      <c r="O2052" s="4" t="s">
        <v>2441</v>
      </c>
      <c r="P2052" s="3" t="s">
        <v>2440</v>
      </c>
      <c r="Q2052" s="4"/>
      <c r="R2052" s="4"/>
      <c r="S2052" s="9" t="str">
        <f>HYPERLINK("https://pbs.twimg.com/profile_images/1033435914696056832/8zzG8bng.jpg","View")</f>
        <v>View</v>
      </c>
    </row>
    <row r="2053" spans="1:19" ht="12.5">
      <c r="A2053" s="8">
        <v>43370.337418981479</v>
      </c>
      <c r="B2053" s="11" t="str">
        <f>HYPERLINK("https://twitter.com/MaMaDBiT0","@MaMaDBiT0")</f>
        <v>@MaMaDBiT0</v>
      </c>
      <c r="C2053" s="6" t="s">
        <v>2439</v>
      </c>
      <c r="D2053" s="5" t="s">
        <v>2438</v>
      </c>
      <c r="E2053" s="9" t="str">
        <f>HYPERLINK("https://twitter.com/MaMaDBiT0/status/1045170136687280128","1045170136687280128")</f>
        <v>1045170136687280128</v>
      </c>
      <c r="F2053" s="4"/>
      <c r="G2053" s="10" t="s">
        <v>2437</v>
      </c>
      <c r="H2053" s="4"/>
      <c r="I2053" s="10" t="str">
        <f>HYPERLINK("http://twitter.com/download/android","Twitter for Android")</f>
        <v>Twitter for Android</v>
      </c>
      <c r="J2053" s="2">
        <v>242</v>
      </c>
      <c r="K2053" s="2">
        <v>1024</v>
      </c>
      <c r="L2053" s="2">
        <v>1</v>
      </c>
      <c r="M2053" s="2"/>
      <c r="N2053" s="8">
        <v>41362.537418981483</v>
      </c>
      <c r="O2053" s="4" t="s">
        <v>2436</v>
      </c>
      <c r="P2053" s="3" t="s">
        <v>2435</v>
      </c>
      <c r="Q2053" s="4"/>
      <c r="R2053" s="4"/>
      <c r="S2053" s="9" t="str">
        <f>HYPERLINK("https://pbs.twimg.com/profile_images/1033070491861495808/fB4LF76j.jpg","View")</f>
        <v>View</v>
      </c>
    </row>
    <row r="2054" spans="1:19" ht="20">
      <c r="A2054" s="8">
        <v>43370.336365740739</v>
      </c>
      <c r="B2054" s="11" t="str">
        <f>HYPERLINK("https://twitter.com/Kahkeshan16","@Kahkeshan16")</f>
        <v>@Kahkeshan16</v>
      </c>
      <c r="C2054" s="6" t="s">
        <v>2434</v>
      </c>
      <c r="D2054" s="5" t="s">
        <v>1812</v>
      </c>
      <c r="E2054" s="9" t="str">
        <f>HYPERLINK("https://twitter.com/Kahkeshan16/status/1045169756498800640","1045169756498800640")</f>
        <v>1045169756498800640</v>
      </c>
      <c r="F2054" s="4"/>
      <c r="G2054" s="4"/>
      <c r="H2054" s="4"/>
      <c r="I2054" s="10" t="str">
        <f>HYPERLINK("http://twitter.com/download/android","Twitter for Android")</f>
        <v>Twitter for Android</v>
      </c>
      <c r="J2054" s="2">
        <v>3781</v>
      </c>
      <c r="K2054" s="2">
        <v>4112</v>
      </c>
      <c r="L2054" s="2">
        <v>7</v>
      </c>
      <c r="M2054" s="2"/>
      <c r="N2054" s="8">
        <v>43167.725416666668</v>
      </c>
      <c r="O2054" s="4" t="s">
        <v>62</v>
      </c>
      <c r="P2054" s="3" t="s">
        <v>2433</v>
      </c>
      <c r="Q2054" s="4"/>
      <c r="R2054" s="4"/>
      <c r="S2054" s="9" t="str">
        <f>HYPERLINK("https://pbs.twimg.com/profile_images/975427608279175169/FLThaD94.jpg","View")</f>
        <v>View</v>
      </c>
    </row>
    <row r="2055" spans="1:19" ht="40">
      <c r="A2055" s="8">
        <v>43370.3359375</v>
      </c>
      <c r="B2055" s="11" t="str">
        <f>HYPERLINK("https://twitter.com/amiz_1000","@amiz_1000")</f>
        <v>@amiz_1000</v>
      </c>
      <c r="C2055" s="6" t="s">
        <v>2432</v>
      </c>
      <c r="D2055" s="5" t="s">
        <v>296</v>
      </c>
      <c r="E2055" s="9" t="str">
        <f>HYPERLINK("https://twitter.com/amiz_1000/status/1045169599510183936","1045169599510183936")</f>
        <v>1045169599510183936</v>
      </c>
      <c r="F2055" s="4"/>
      <c r="G2055" s="10" t="s">
        <v>295</v>
      </c>
      <c r="H2055" s="4"/>
      <c r="I2055" s="10" t="str">
        <f>HYPERLINK("http://twitter.com/download/android","Twitter for Android")</f>
        <v>Twitter for Android</v>
      </c>
      <c r="J2055" s="2">
        <v>41</v>
      </c>
      <c r="K2055" s="2">
        <v>205</v>
      </c>
      <c r="L2055" s="2">
        <v>0</v>
      </c>
      <c r="M2055" s="2"/>
      <c r="N2055" s="8">
        <v>43154.817326388889</v>
      </c>
      <c r="O2055" s="4" t="s">
        <v>547</v>
      </c>
      <c r="P2055" s="3" t="s">
        <v>2431</v>
      </c>
      <c r="Q2055" s="4"/>
      <c r="R2055" s="4"/>
      <c r="S2055" s="9" t="str">
        <f>HYPERLINK("https://pbs.twimg.com/profile_images/1038903311829807111/8UeUFL6a.jpg","View")</f>
        <v>View</v>
      </c>
    </row>
    <row r="2056" spans="1:19" ht="80">
      <c r="A2056" s="8">
        <v>43370.335902777777</v>
      </c>
      <c r="B2056" s="11" t="str">
        <f>HYPERLINK("https://twitter.com/Taamogh","@Taamogh")</f>
        <v>@Taamogh</v>
      </c>
      <c r="C2056" s="6" t="s">
        <v>2430</v>
      </c>
      <c r="D2056" s="5" t="s">
        <v>2429</v>
      </c>
      <c r="E2056" s="9" t="str">
        <f>HYPERLINK("https://twitter.com/Taamogh/status/1045169586138738689","1045169586138738689")</f>
        <v>1045169586138738689</v>
      </c>
      <c r="F2056" s="10" t="s">
        <v>2428</v>
      </c>
      <c r="G2056" s="4"/>
      <c r="H2056" s="4"/>
      <c r="I2056" s="10" t="str">
        <f>HYPERLINK("http://twitter.com/download/android","Twitter for Android")</f>
        <v>Twitter for Android</v>
      </c>
      <c r="J2056" s="2">
        <v>84</v>
      </c>
      <c r="K2056" s="2">
        <v>235</v>
      </c>
      <c r="L2056" s="2">
        <v>0</v>
      </c>
      <c r="M2056" s="2"/>
      <c r="N2056" s="8">
        <v>43114.609965277778</v>
      </c>
      <c r="O2056" s="4" t="s">
        <v>2427</v>
      </c>
      <c r="P2056" s="3" t="s">
        <v>2426</v>
      </c>
      <c r="Q2056" s="4"/>
      <c r="R2056" s="4"/>
      <c r="S2056" s="9" t="str">
        <f>HYPERLINK("https://pbs.twimg.com/profile_images/999267296865542146/RrZ9bi01.jpg","View")</f>
        <v>View</v>
      </c>
    </row>
    <row r="2057" spans="1:19" ht="40">
      <c r="A2057" s="8">
        <v>43370.335868055554</v>
      </c>
      <c r="B2057" s="11" t="str">
        <f>HYPERLINK("https://twitter.com/Beth7876","@Beth7876")</f>
        <v>@Beth7876</v>
      </c>
      <c r="C2057" s="6" t="s">
        <v>53</v>
      </c>
      <c r="D2057" s="5" t="s">
        <v>1468</v>
      </c>
      <c r="E2057" s="9" t="str">
        <f>HYPERLINK("https://twitter.com/Beth7876/status/1045169575267061760","1045169575267061760")</f>
        <v>1045169575267061760</v>
      </c>
      <c r="F2057" s="4"/>
      <c r="G2057" s="4"/>
      <c r="H2057" s="4"/>
      <c r="I2057" s="10" t="str">
        <f>HYPERLINK("http://twitter.com/download/android","Twitter for Android")</f>
        <v>Twitter for Android</v>
      </c>
      <c r="J2057" s="2">
        <v>9274</v>
      </c>
      <c r="K2057" s="2">
        <v>1650</v>
      </c>
      <c r="L2057" s="2">
        <v>17</v>
      </c>
      <c r="M2057" s="2"/>
      <c r="N2057" s="8">
        <v>43053.419363425928</v>
      </c>
      <c r="O2057" s="4" t="s">
        <v>10</v>
      </c>
      <c r="P2057" s="3" t="s">
        <v>51</v>
      </c>
      <c r="Q2057" s="4"/>
      <c r="R2057" s="4"/>
      <c r="S2057" s="9" t="str">
        <f>HYPERLINK("https://pbs.twimg.com/profile_images/1043178143933181952/KaP_lpTl.jpg","View")</f>
        <v>View</v>
      </c>
    </row>
    <row r="2058" spans="1:19" ht="30">
      <c r="A2058" s="8">
        <v>43370.331863425927</v>
      </c>
      <c r="B2058" s="11" t="str">
        <f>HYPERLINK("https://twitter.com/Arashtaji","@Arashtaji")</f>
        <v>@Arashtaji</v>
      </c>
      <c r="C2058" s="6" t="s">
        <v>2425</v>
      </c>
      <c r="D2058" s="5" t="s">
        <v>2208</v>
      </c>
      <c r="E2058" s="9" t="str">
        <f>HYPERLINK("https://twitter.com/Arashtaji/status/1045168123689816065","1045168123689816065")</f>
        <v>1045168123689816065</v>
      </c>
      <c r="F2058" s="4"/>
      <c r="G2058" s="10" t="s">
        <v>2202</v>
      </c>
      <c r="H2058" s="4"/>
      <c r="I2058" s="10" t="str">
        <f>HYPERLINK("http://twitter.com/download/android","Twitter for Android")</f>
        <v>Twitter for Android</v>
      </c>
      <c r="J2058" s="2">
        <v>4257</v>
      </c>
      <c r="K2058" s="2">
        <v>2631</v>
      </c>
      <c r="L2058" s="2">
        <v>13</v>
      </c>
      <c r="M2058" s="2"/>
      <c r="N2058" s="8">
        <v>42866.785682870366</v>
      </c>
      <c r="O2058" s="4"/>
      <c r="P2058" s="3"/>
      <c r="Q2058" s="4"/>
      <c r="R2058" s="4"/>
      <c r="S2058" s="9" t="str">
        <f>HYPERLINK("https://pbs.twimg.com/profile_images/1042105128420036608/gKxhNPLV.jpg","View")</f>
        <v>View</v>
      </c>
    </row>
    <row r="2059" spans="1:19" ht="20">
      <c r="A2059" s="8">
        <v>43370.331689814819</v>
      </c>
      <c r="B2059" s="11" t="str">
        <f>HYPERLINK("https://twitter.com/RezKesh","@RezKesh")</f>
        <v>@RezKesh</v>
      </c>
      <c r="C2059" s="6" t="s">
        <v>2424</v>
      </c>
      <c r="D2059" s="5" t="s">
        <v>2423</v>
      </c>
      <c r="E2059" s="9" t="str">
        <f>HYPERLINK("https://twitter.com/RezKesh/status/1045168058820628480","1045168058820628480")</f>
        <v>1045168058820628480</v>
      </c>
      <c r="F2059" s="4"/>
      <c r="G2059" s="4"/>
      <c r="H2059" s="4"/>
      <c r="I2059" s="10" t="str">
        <f>HYPERLINK("http://twitter.com/download/android","Twitter for Android")</f>
        <v>Twitter for Android</v>
      </c>
      <c r="J2059" s="2">
        <v>187</v>
      </c>
      <c r="K2059" s="2">
        <v>340</v>
      </c>
      <c r="L2059" s="2">
        <v>1</v>
      </c>
      <c r="M2059" s="2"/>
      <c r="N2059" s="8">
        <v>41023.824606481481</v>
      </c>
      <c r="O2059" s="4" t="s">
        <v>200</v>
      </c>
      <c r="P2059" s="3" t="s">
        <v>2422</v>
      </c>
      <c r="Q2059" s="4"/>
      <c r="R2059" s="4"/>
      <c r="S2059" s="9" t="str">
        <f>HYPERLINK("https://pbs.twimg.com/profile_images/2661171099/b2f5395df89504a8e6fda4a6d2436882.jpeg","View")</f>
        <v>View</v>
      </c>
    </row>
    <row r="2060" spans="1:19" ht="20">
      <c r="A2060" s="8">
        <v>43370.325069444443</v>
      </c>
      <c r="B2060" s="11" t="str">
        <f>HYPERLINK("https://twitter.com/amin_rt07","@amin_rt07")</f>
        <v>@amin_rt07</v>
      </c>
      <c r="C2060" s="6" t="s">
        <v>1197</v>
      </c>
      <c r="D2060" s="5" t="s">
        <v>2418</v>
      </c>
      <c r="E2060" s="9" t="str">
        <f>HYPERLINK("https://twitter.com/amin_rt07/status/1045165659167043584","1045165659167043584")</f>
        <v>1045165659167043584</v>
      </c>
      <c r="F2060" s="4"/>
      <c r="G2060" s="4"/>
      <c r="H2060" s="4"/>
      <c r="I2060" s="10" t="str">
        <f>HYPERLINK("http://example.com","RT_01")</f>
        <v>RT_01</v>
      </c>
      <c r="J2060" s="2">
        <v>3063</v>
      </c>
      <c r="K2060" s="2">
        <v>2325</v>
      </c>
      <c r="L2060" s="2">
        <v>10</v>
      </c>
      <c r="M2060" s="2"/>
      <c r="N2060" s="8">
        <v>42935.376192129625</v>
      </c>
      <c r="O2060" s="4" t="s">
        <v>1195</v>
      </c>
      <c r="P2060" s="3" t="s">
        <v>1194</v>
      </c>
      <c r="Q2060" s="4"/>
      <c r="R2060" s="4"/>
      <c r="S2060" s="9" t="str">
        <f>HYPERLINK("https://pbs.twimg.com/profile_images/890462059804188672/m3LVcUUm.jpg","View")</f>
        <v>View</v>
      </c>
    </row>
    <row r="2061" spans="1:19" ht="20">
      <c r="A2061" s="8">
        <v>43370.324733796297</v>
      </c>
      <c r="B2061" s="11" t="str">
        <f>HYPERLINK("https://twitter.com/ashkemah","@ashkemah")</f>
        <v>@ashkemah</v>
      </c>
      <c r="C2061" s="6" t="s">
        <v>2421</v>
      </c>
      <c r="D2061" s="5" t="s">
        <v>2418</v>
      </c>
      <c r="E2061" s="9" t="str">
        <f>HYPERLINK("https://twitter.com/ashkemah/status/1045165539100905473","1045165539100905473")</f>
        <v>1045165539100905473</v>
      </c>
      <c r="F2061" s="4"/>
      <c r="G2061" s="4"/>
      <c r="H2061" s="4"/>
      <c r="I2061" s="10" t="str">
        <f>HYPERLINK("http://twitter.com/download/android","Twitter for Android")</f>
        <v>Twitter for Android</v>
      </c>
      <c r="J2061" s="2">
        <v>551</v>
      </c>
      <c r="K2061" s="2">
        <v>470</v>
      </c>
      <c r="L2061" s="2">
        <v>2</v>
      </c>
      <c r="M2061" s="2"/>
      <c r="N2061" s="8">
        <v>43305.699421296296</v>
      </c>
      <c r="O2061" s="4" t="s">
        <v>62</v>
      </c>
      <c r="P2061" s="3" t="s">
        <v>2420</v>
      </c>
      <c r="Q2061" s="4"/>
      <c r="R2061" s="4"/>
      <c r="S2061" s="9" t="str">
        <f>HYPERLINK("https://pbs.twimg.com/profile_images/1021735642022256641/jPfC4PvE.jpg","View")</f>
        <v>View</v>
      </c>
    </row>
    <row r="2062" spans="1:19" ht="20">
      <c r="A2062" s="8">
        <v>43370.323275462964</v>
      </c>
      <c r="B2062" s="11" t="str">
        <f>HYPERLINK("https://twitter.com/agh_amoo","@agh_amoo")</f>
        <v>@agh_amoo</v>
      </c>
      <c r="C2062" s="6" t="s">
        <v>2419</v>
      </c>
      <c r="D2062" s="5" t="s">
        <v>2418</v>
      </c>
      <c r="E2062" s="9" t="str">
        <f>HYPERLINK("https://twitter.com/agh_amoo/status/1045165011012866048","1045165011012866048")</f>
        <v>1045165011012866048</v>
      </c>
      <c r="F2062" s="4"/>
      <c r="G2062" s="4"/>
      <c r="H2062" s="4"/>
      <c r="I2062" s="10" t="str">
        <f>HYPERLINK("http://twitter.com/download/android","Twitter for Android")</f>
        <v>Twitter for Android</v>
      </c>
      <c r="J2062" s="2">
        <v>420</v>
      </c>
      <c r="K2062" s="2">
        <v>947</v>
      </c>
      <c r="L2062" s="2">
        <v>2</v>
      </c>
      <c r="M2062" s="2"/>
      <c r="N2062" s="8">
        <v>43068.537800925929</v>
      </c>
      <c r="O2062" s="4" t="s">
        <v>2417</v>
      </c>
      <c r="P2062" s="3" t="s">
        <v>2416</v>
      </c>
      <c r="Q2062" s="4"/>
      <c r="R2062" s="4"/>
      <c r="S2062" s="9" t="str">
        <f>HYPERLINK("https://pbs.twimg.com/profile_images/936136130700947457/uH4n_k8A.jpg","View")</f>
        <v>View</v>
      </c>
    </row>
    <row r="2063" spans="1:19" ht="30">
      <c r="A2063" s="8">
        <v>43370.322268518517</v>
      </c>
      <c r="B2063" s="11" t="str">
        <f>HYPERLINK("https://twitter.com/aye07j","@aye07j")</f>
        <v>@aye07j</v>
      </c>
      <c r="C2063" s="6" t="s">
        <v>2415</v>
      </c>
      <c r="D2063" s="5" t="s">
        <v>2414</v>
      </c>
      <c r="E2063" s="9" t="str">
        <f>HYPERLINK("https://twitter.com/aye07j/status/1045164647559630848","1045164647559630848")</f>
        <v>1045164647559630848</v>
      </c>
      <c r="F2063" s="4"/>
      <c r="G2063" s="4"/>
      <c r="H2063" s="4"/>
      <c r="I2063" s="10" t="str">
        <f>HYPERLINK("http://twitter.com/download/iphone","Twitter for iPhone")</f>
        <v>Twitter for iPhone</v>
      </c>
      <c r="J2063" s="2">
        <v>351</v>
      </c>
      <c r="K2063" s="2">
        <v>271</v>
      </c>
      <c r="L2063" s="2">
        <v>1</v>
      </c>
      <c r="M2063" s="2"/>
      <c r="N2063" s="8">
        <v>42384.662222222221</v>
      </c>
      <c r="O2063" s="4" t="s">
        <v>2413</v>
      </c>
      <c r="P2063" s="3" t="s">
        <v>2412</v>
      </c>
      <c r="Q2063" s="4"/>
      <c r="R2063" s="4"/>
      <c r="S2063" s="9" t="str">
        <f>HYPERLINK("https://pbs.twimg.com/profile_images/1044457777106685953/xyM1coWs.jpg","View")</f>
        <v>View</v>
      </c>
    </row>
    <row r="2064" spans="1:19" ht="40">
      <c r="A2064" s="8">
        <v>43370.321597222224</v>
      </c>
      <c r="B2064" s="11" t="str">
        <f>HYPERLINK("https://twitter.com/Bigapples2465","@Bigapples2465")</f>
        <v>@Bigapples2465</v>
      </c>
      <c r="C2064" s="6" t="s">
        <v>2411</v>
      </c>
      <c r="D2064" s="5" t="s">
        <v>2205</v>
      </c>
      <c r="E2064" s="9" t="str">
        <f>HYPERLINK("https://twitter.com/Bigapples2465/status/1045164400972320769","1045164400972320769")</f>
        <v>1045164400972320769</v>
      </c>
      <c r="F2064" s="4"/>
      <c r="G2064" s="4"/>
      <c r="H2064" s="4"/>
      <c r="I2064" s="10" t="str">
        <f>HYPERLINK("http://twitter.com/download/android","Twitter for Android")</f>
        <v>Twitter for Android</v>
      </c>
      <c r="J2064" s="2">
        <v>218</v>
      </c>
      <c r="K2064" s="2">
        <v>466</v>
      </c>
      <c r="L2064" s="2">
        <v>1</v>
      </c>
      <c r="M2064" s="2"/>
      <c r="N2064" s="8">
        <v>42732.776921296296</v>
      </c>
      <c r="O2064" s="4" t="s">
        <v>272</v>
      </c>
      <c r="P2064" s="3" t="s">
        <v>2410</v>
      </c>
      <c r="Q2064" s="4"/>
      <c r="R2064" s="4"/>
      <c r="S2064" s="9" t="str">
        <f>HYPERLINK("https://pbs.twimg.com/profile_images/1004825193364193280/doGD41EI.jpg","View")</f>
        <v>View</v>
      </c>
    </row>
    <row r="2065" spans="1:19" ht="20">
      <c r="A2065" s="8">
        <v>43370.321562500001</v>
      </c>
      <c r="B2065" s="11" t="str">
        <f>HYPERLINK("https://twitter.com/mahistaan","@mahistaan")</f>
        <v>@mahistaan</v>
      </c>
      <c r="C2065" s="6" t="s">
        <v>2409</v>
      </c>
      <c r="D2065" s="5" t="s">
        <v>2408</v>
      </c>
      <c r="E2065" s="9" t="str">
        <f>HYPERLINK("https://twitter.com/mahistaan/status/1045164388997566464","1045164388997566464")</f>
        <v>1045164388997566464</v>
      </c>
      <c r="F2065" s="4"/>
      <c r="G2065" s="4"/>
      <c r="H2065" s="4"/>
      <c r="I2065" s="10" t="str">
        <f>HYPERLINK("http://twitter.com/download/iphone","Twitter for iPhone")</f>
        <v>Twitter for iPhone</v>
      </c>
      <c r="J2065" s="2">
        <v>110</v>
      </c>
      <c r="K2065" s="2">
        <v>568</v>
      </c>
      <c r="L2065" s="2">
        <v>0</v>
      </c>
      <c r="M2065" s="2"/>
      <c r="N2065" s="8">
        <v>41807.712361111109</v>
      </c>
      <c r="O2065" s="4" t="s">
        <v>1183</v>
      </c>
      <c r="P2065" s="3" t="s">
        <v>2407</v>
      </c>
      <c r="Q2065" s="4"/>
      <c r="R2065" s="4"/>
      <c r="S2065" s="9" t="str">
        <f>HYPERLINK("https://pbs.twimg.com/profile_images/1033896915853762561/ZYrr9sjA.jpg","View")</f>
        <v>View</v>
      </c>
    </row>
    <row r="2066" spans="1:19" ht="40">
      <c r="A2066" s="8">
        <v>43370.320266203707</v>
      </c>
      <c r="B2066" s="11" t="str">
        <f>HYPERLINK("https://twitter.com/omidparsa1","@omidparsa1")</f>
        <v>@omidparsa1</v>
      </c>
      <c r="C2066" s="6" t="s">
        <v>2406</v>
      </c>
      <c r="D2066" s="5" t="s">
        <v>2405</v>
      </c>
      <c r="E2066" s="9" t="str">
        <f>HYPERLINK("https://twitter.com/omidparsa1/status/1045163921596977152","1045163921596977152")</f>
        <v>1045163921596977152</v>
      </c>
      <c r="F2066" s="4"/>
      <c r="G2066" s="10" t="s">
        <v>2404</v>
      </c>
      <c r="H2066" s="4"/>
      <c r="I2066" s="10" t="str">
        <f>HYPERLINK("http://twitter.com/download/iphone","Twitter for iPhone")</f>
        <v>Twitter for iPhone</v>
      </c>
      <c r="J2066" s="2">
        <v>392</v>
      </c>
      <c r="K2066" s="2">
        <v>283</v>
      </c>
      <c r="L2066" s="2">
        <v>1</v>
      </c>
      <c r="M2066" s="2"/>
      <c r="N2066" s="8">
        <v>40868.718692129631</v>
      </c>
      <c r="O2066" s="4" t="s">
        <v>2403</v>
      </c>
      <c r="P2066" s="3" t="s">
        <v>2402</v>
      </c>
      <c r="Q2066" s="4"/>
      <c r="R2066" s="4"/>
      <c r="S2066" s="9" t="str">
        <f>HYPERLINK("https://pbs.twimg.com/profile_images/1043362983177609216/VUnPiQNb.jpg","View")</f>
        <v>View</v>
      </c>
    </row>
    <row r="2067" spans="1:19" ht="20">
      <c r="A2067" s="8">
        <v>43370.3200462963</v>
      </c>
      <c r="B2067" s="11" t="str">
        <f>HYPERLINK("https://twitter.com/partimani","@partimani")</f>
        <v>@partimani</v>
      </c>
      <c r="C2067" s="6" t="s">
        <v>2401</v>
      </c>
      <c r="D2067" s="5" t="s">
        <v>2400</v>
      </c>
      <c r="E2067" s="9" t="str">
        <f>HYPERLINK("https://twitter.com/partimani/status/1045163841615585280","1045163841615585280")</f>
        <v>1045163841615585280</v>
      </c>
      <c r="F2067" s="4"/>
      <c r="G2067" s="4"/>
      <c r="H2067" s="4"/>
      <c r="I2067" s="10" t="str">
        <f>HYPERLINK("http://twitter.com/download/iphone","Twitter for iPhone")</f>
        <v>Twitter for iPhone</v>
      </c>
      <c r="J2067" s="2">
        <v>118</v>
      </c>
      <c r="K2067" s="2">
        <v>430</v>
      </c>
      <c r="L2067" s="2">
        <v>3</v>
      </c>
      <c r="M2067" s="2"/>
      <c r="N2067" s="8">
        <v>40309.898645833331</v>
      </c>
      <c r="O2067" s="4" t="s">
        <v>2399</v>
      </c>
      <c r="P2067" s="3" t="s">
        <v>2398</v>
      </c>
      <c r="Q2067" s="4"/>
      <c r="R2067" s="4"/>
      <c r="S2067" s="9" t="str">
        <f>HYPERLINK("https://pbs.twimg.com/profile_images/1935810813/image.jpg","View")</f>
        <v>View</v>
      </c>
    </row>
    <row r="2068" spans="1:19" ht="20">
      <c r="A2068" s="8">
        <v>43370.319270833337</v>
      </c>
      <c r="B2068" s="11" t="str">
        <f>HYPERLINK("https://twitter.com/shahe_shahan","@shahe_shahan")</f>
        <v>@shahe_shahan</v>
      </c>
      <c r="C2068" s="6" t="s">
        <v>2387</v>
      </c>
      <c r="D2068" s="5" t="s">
        <v>2397</v>
      </c>
      <c r="E2068" s="9" t="str">
        <f>HYPERLINK("https://twitter.com/shahe_shahan/status/1045163558814781440","1045163558814781440")</f>
        <v>1045163558814781440</v>
      </c>
      <c r="F2068" s="4"/>
      <c r="G2068" s="4"/>
      <c r="H2068" s="4"/>
      <c r="I2068" s="10" t="str">
        <f>HYPERLINK("http://twitter.com/download/iphone","Twitter for iPhone")</f>
        <v>Twitter for iPhone</v>
      </c>
      <c r="J2068" s="2">
        <v>702</v>
      </c>
      <c r="K2068" s="2">
        <v>375</v>
      </c>
      <c r="L2068" s="2">
        <v>5</v>
      </c>
      <c r="M2068" s="2"/>
      <c r="N2068" s="8">
        <v>41119.511620370373</v>
      </c>
      <c r="O2068" s="4"/>
      <c r="P2068" s="3" t="s">
        <v>2385</v>
      </c>
      <c r="Q2068" s="4"/>
      <c r="R2068" s="4"/>
      <c r="S2068" s="9" t="str">
        <f>HYPERLINK("https://pbs.twimg.com/profile_images/1044645002285068296/qK-38Isg.jpg","View")</f>
        <v>View</v>
      </c>
    </row>
    <row r="2069" spans="1:19" ht="30">
      <c r="A2069" s="8">
        <v>43370.319050925929</v>
      </c>
      <c r="B2069" s="11" t="str">
        <f>HYPERLINK("https://twitter.com/shahdokht81","@shahdokht81")</f>
        <v>@shahdokht81</v>
      </c>
      <c r="C2069" s="6" t="s">
        <v>2396</v>
      </c>
      <c r="D2069" s="5" t="s">
        <v>2395</v>
      </c>
      <c r="E2069" s="9" t="str">
        <f>HYPERLINK("https://twitter.com/shahdokht81/status/1045163479181791233","1045163479181791233")</f>
        <v>1045163479181791233</v>
      </c>
      <c r="F2069" s="10" t="s">
        <v>2391</v>
      </c>
      <c r="G2069" s="4"/>
      <c r="H2069" s="4"/>
      <c r="I2069" s="10" t="str">
        <f>HYPERLINK("http://twitter.com/download/iphone","Twitter for iPhone")</f>
        <v>Twitter for iPhone</v>
      </c>
      <c r="J2069" s="2">
        <v>2474</v>
      </c>
      <c r="K2069" s="2">
        <v>883</v>
      </c>
      <c r="L2069" s="2">
        <v>26</v>
      </c>
      <c r="M2069" s="2"/>
      <c r="N2069" s="8">
        <v>42152.47179398148</v>
      </c>
      <c r="O2069" s="4"/>
      <c r="P2069" s="3" t="s">
        <v>2394</v>
      </c>
      <c r="Q2069" s="4"/>
      <c r="R2069" s="4"/>
      <c r="S2069" s="9" t="str">
        <f>HYPERLINK("https://pbs.twimg.com/profile_images/1044856550685315073/I54LfqOP.jpg","View")</f>
        <v>View</v>
      </c>
    </row>
    <row r="2070" spans="1:19" ht="30">
      <c r="A2070" s="8">
        <v>43370.318611111114</v>
      </c>
      <c r="B2070" s="11" t="str">
        <f>HYPERLINK("https://twitter.com/hooshmandk","@hooshmandk")</f>
        <v>@hooshmandk</v>
      </c>
      <c r="C2070" s="6" t="s">
        <v>2393</v>
      </c>
      <c r="D2070" s="5" t="s">
        <v>2392</v>
      </c>
      <c r="E2070" s="9" t="str">
        <f>HYPERLINK("https://twitter.com/hooshmandk/status/1045163319739351040","1045163319739351040")</f>
        <v>1045163319739351040</v>
      </c>
      <c r="F2070" s="10" t="s">
        <v>2391</v>
      </c>
      <c r="G2070" s="10" t="s">
        <v>2338</v>
      </c>
      <c r="H2070" s="4"/>
      <c r="I2070" s="10" t="str">
        <f>HYPERLINK("http://twitter.com/download/android","Twitter for Android")</f>
        <v>Twitter for Android</v>
      </c>
      <c r="J2070" s="2">
        <v>17079</v>
      </c>
      <c r="K2070" s="2">
        <v>1290</v>
      </c>
      <c r="L2070" s="2">
        <v>196</v>
      </c>
      <c r="M2070" s="2"/>
      <c r="N2070" s="8">
        <v>41464.903124999997</v>
      </c>
      <c r="O2070" s="4" t="s">
        <v>2390</v>
      </c>
      <c r="P2070" s="3" t="s">
        <v>2389</v>
      </c>
      <c r="Q2070" s="10" t="s">
        <v>2388</v>
      </c>
      <c r="R2070" s="4"/>
      <c r="S2070" s="9" t="str">
        <f>HYPERLINK("https://pbs.twimg.com/profile_images/881343825557540864/jCn89kdt.jpg","View")</f>
        <v>View</v>
      </c>
    </row>
    <row r="2071" spans="1:19" ht="20">
      <c r="A2071" s="8">
        <v>43370.318599537037</v>
      </c>
      <c r="B2071" s="11" t="str">
        <f>HYPERLINK("https://twitter.com/shahe_shahan","@shahe_shahan")</f>
        <v>@shahe_shahan</v>
      </c>
      <c r="C2071" s="6" t="s">
        <v>2387</v>
      </c>
      <c r="D2071" s="5" t="s">
        <v>2386</v>
      </c>
      <c r="E2071" s="9" t="str">
        <f>HYPERLINK("https://twitter.com/shahe_shahan/status/1045163315318718465","1045163315318718465")</f>
        <v>1045163315318718465</v>
      </c>
      <c r="F2071" s="4"/>
      <c r="G2071" s="4"/>
      <c r="H2071" s="4"/>
      <c r="I2071" s="10" t="str">
        <f>HYPERLINK("http://twitter.com/download/iphone","Twitter for iPhone")</f>
        <v>Twitter for iPhone</v>
      </c>
      <c r="J2071" s="2">
        <v>702</v>
      </c>
      <c r="K2071" s="2">
        <v>375</v>
      </c>
      <c r="L2071" s="2">
        <v>5</v>
      </c>
      <c r="M2071" s="2"/>
      <c r="N2071" s="8">
        <v>41119.511620370373</v>
      </c>
      <c r="O2071" s="4"/>
      <c r="P2071" s="3" t="s">
        <v>2385</v>
      </c>
      <c r="Q2071" s="4"/>
      <c r="R2071" s="4"/>
      <c r="S2071" s="9" t="str">
        <f>HYPERLINK("https://pbs.twimg.com/profile_images/1044645002285068296/qK-38Isg.jpg","View")</f>
        <v>View</v>
      </c>
    </row>
    <row r="2072" spans="1:19" ht="20">
      <c r="A2072" s="8">
        <v>43370.315844907411</v>
      </c>
      <c r="B2072" s="11" t="str">
        <f>HYPERLINK("https://twitter.com/RadioPopcorn1","@RadioPopcorn1")</f>
        <v>@RadioPopcorn1</v>
      </c>
      <c r="C2072" s="6" t="s">
        <v>2384</v>
      </c>
      <c r="D2072" s="5" t="s">
        <v>2383</v>
      </c>
      <c r="E2072" s="9" t="str">
        <f>HYPERLINK("https://twitter.com/RadioPopcorn1/status/1045162319360270338","1045162319360270338")</f>
        <v>1045162319360270338</v>
      </c>
      <c r="F2072" s="4"/>
      <c r="G2072" s="10" t="s">
        <v>2382</v>
      </c>
      <c r="H2072" s="4"/>
      <c r="I2072" s="10" t="str">
        <f>HYPERLINK("https://mobile.twitter.com","Twitter Lite")</f>
        <v>Twitter Lite</v>
      </c>
      <c r="J2072" s="2">
        <v>12</v>
      </c>
      <c r="K2072" s="2">
        <v>159</v>
      </c>
      <c r="L2072" s="2">
        <v>0</v>
      </c>
      <c r="M2072" s="2"/>
      <c r="N2072" s="8">
        <v>43357.004918981482</v>
      </c>
      <c r="O2072" s="4" t="s">
        <v>2381</v>
      </c>
      <c r="P2072" s="3" t="s">
        <v>2380</v>
      </c>
      <c r="Q2072" s="10" t="s">
        <v>2379</v>
      </c>
      <c r="R2072" s="4"/>
      <c r="S2072" s="9" t="str">
        <f>HYPERLINK("https://pbs.twimg.com/profile_images/1040326808275759110/J-X_f29z.jpg","View")</f>
        <v>View</v>
      </c>
    </row>
    <row r="2073" spans="1:19" ht="40">
      <c r="A2073" s="8">
        <v>43370.315335648149</v>
      </c>
      <c r="B2073" s="11" t="str">
        <f>HYPERLINK("https://twitter.com/japp8394","@japp8394")</f>
        <v>@japp8394</v>
      </c>
      <c r="C2073" s="6" t="s">
        <v>2378</v>
      </c>
      <c r="D2073" s="5" t="s">
        <v>1814</v>
      </c>
      <c r="E2073" s="9" t="str">
        <f>HYPERLINK("https://twitter.com/japp8394/status/1045162133514842112","1045162133514842112")</f>
        <v>1045162133514842112</v>
      </c>
      <c r="F2073" s="4"/>
      <c r="G2073" s="4"/>
      <c r="H2073" s="4"/>
      <c r="I2073" s="10" t="str">
        <f>HYPERLINK("http://twitter.com/download/android","Twitter for Android")</f>
        <v>Twitter for Android</v>
      </c>
      <c r="J2073" s="2">
        <v>317</v>
      </c>
      <c r="K2073" s="2">
        <v>375</v>
      </c>
      <c r="L2073" s="2">
        <v>0</v>
      </c>
      <c r="M2073" s="2"/>
      <c r="N2073" s="8">
        <v>43231.505601851852</v>
      </c>
      <c r="O2073" s="4"/>
      <c r="P2073" s="3" t="s">
        <v>2377</v>
      </c>
      <c r="Q2073" s="4"/>
      <c r="R2073" s="4"/>
      <c r="S2073" s="9" t="str">
        <f>HYPERLINK("https://pbs.twimg.com/profile_images/994845182834200576/Uq6T8Xaq.jpg","View")</f>
        <v>View</v>
      </c>
    </row>
    <row r="2074" spans="1:19" ht="30">
      <c r="A2074" s="8">
        <v>43370.315162037034</v>
      </c>
      <c r="B2074" s="11" t="str">
        <f>HYPERLINK("https://twitter.com/japp8394","@japp8394")</f>
        <v>@japp8394</v>
      </c>
      <c r="C2074" s="6" t="s">
        <v>2378</v>
      </c>
      <c r="D2074" s="5" t="s">
        <v>1520</v>
      </c>
      <c r="E2074" s="9" t="str">
        <f>HYPERLINK("https://twitter.com/japp8394/status/1045162071346810885","1045162071346810885")</f>
        <v>1045162071346810885</v>
      </c>
      <c r="F2074" s="4"/>
      <c r="G2074" s="4"/>
      <c r="H2074" s="4"/>
      <c r="I2074" s="10" t="str">
        <f>HYPERLINK("http://twitter.com/download/android","Twitter for Android")</f>
        <v>Twitter for Android</v>
      </c>
      <c r="J2074" s="2">
        <v>317</v>
      </c>
      <c r="K2074" s="2">
        <v>375</v>
      </c>
      <c r="L2074" s="2">
        <v>0</v>
      </c>
      <c r="M2074" s="2"/>
      <c r="N2074" s="8">
        <v>43231.505601851852</v>
      </c>
      <c r="O2074" s="4"/>
      <c r="P2074" s="3" t="s">
        <v>2377</v>
      </c>
      <c r="Q2074" s="4"/>
      <c r="R2074" s="4"/>
      <c r="S2074" s="9" t="str">
        <f>HYPERLINK("https://pbs.twimg.com/profile_images/994845182834200576/Uq6T8Xaq.jpg","View")</f>
        <v>View</v>
      </c>
    </row>
    <row r="2075" spans="1:19" ht="20">
      <c r="A2075" s="8">
        <v>43370.313680555555</v>
      </c>
      <c r="B2075" s="11" t="str">
        <f>HYPERLINK("https://twitter.com/shafaeieisa","@shafaeieisa")</f>
        <v>@shafaeieisa</v>
      </c>
      <c r="C2075" s="6" t="s">
        <v>2376</v>
      </c>
      <c r="D2075" s="5" t="s">
        <v>2375</v>
      </c>
      <c r="E2075" s="9" t="str">
        <f>HYPERLINK("https://twitter.com/shafaeieisa/status/1045161534085898240","1045161534085898240")</f>
        <v>1045161534085898240</v>
      </c>
      <c r="F2075" s="4"/>
      <c r="G2075" s="4"/>
      <c r="H2075" s="4"/>
      <c r="I2075" s="10" t="str">
        <f>HYPERLINK("http://twitter.com/download/android","Twitter for Android")</f>
        <v>Twitter for Android</v>
      </c>
      <c r="J2075" s="2">
        <v>12337</v>
      </c>
      <c r="K2075" s="2">
        <v>5741</v>
      </c>
      <c r="L2075" s="2">
        <v>27</v>
      </c>
      <c r="M2075" s="2"/>
      <c r="N2075" s="8">
        <v>43074.682523148149</v>
      </c>
      <c r="O2075" s="4" t="s">
        <v>62</v>
      </c>
      <c r="P2075" s="3" t="s">
        <v>2374</v>
      </c>
      <c r="Q2075" s="10" t="s">
        <v>2373</v>
      </c>
      <c r="R2075" s="4"/>
      <c r="S2075" s="9" t="str">
        <f>HYPERLINK("https://pbs.twimg.com/profile_images/973670939513819136/Jw4drL2c.jpg","View")</f>
        <v>View</v>
      </c>
    </row>
    <row r="2076" spans="1:19" ht="12.5">
      <c r="A2076" s="8">
        <v>43370.310381944444</v>
      </c>
      <c r="B2076" s="11" t="str">
        <f>HYPERLINK("https://twitter.com/Paeizz","@Paeizz")</f>
        <v>@Paeizz</v>
      </c>
      <c r="C2076" s="6" t="s">
        <v>2372</v>
      </c>
      <c r="D2076" s="5" t="s">
        <v>2371</v>
      </c>
      <c r="E2076" s="9" t="str">
        <f>HYPERLINK("https://twitter.com/Paeizz/status/1045160337601892353","1045160337601892353")</f>
        <v>1045160337601892353</v>
      </c>
      <c r="F2076" s="4"/>
      <c r="G2076" s="4"/>
      <c r="H2076" s="4"/>
      <c r="I2076" s="10" t="str">
        <f>HYPERLINK("https://mobile.twitter.com","Twitter Lite")</f>
        <v>Twitter Lite</v>
      </c>
      <c r="J2076" s="2">
        <v>93</v>
      </c>
      <c r="K2076" s="2">
        <v>50</v>
      </c>
      <c r="L2076" s="2">
        <v>1</v>
      </c>
      <c r="M2076" s="2"/>
      <c r="N2076" s="8">
        <v>42766.975347222222</v>
      </c>
      <c r="O2076" s="4"/>
      <c r="P2076" s="3" t="s">
        <v>2370</v>
      </c>
      <c r="Q2076" s="4"/>
      <c r="R2076" s="4"/>
      <c r="S2076" s="9" t="str">
        <f>HYPERLINK("https://pbs.twimg.com/profile_images/1027690902209355778/oniKfdnz.jpg","View")</f>
        <v>View</v>
      </c>
    </row>
    <row r="2077" spans="1:19" ht="12.5">
      <c r="A2077" s="8">
        <v>43370.310208333336</v>
      </c>
      <c r="B2077" s="11" t="str">
        <f>HYPERLINK("https://twitter.com/mammad_khannn","@mammad_khannn")</f>
        <v>@mammad_khannn</v>
      </c>
      <c r="C2077" s="6" t="s">
        <v>2366</v>
      </c>
      <c r="D2077" s="5" t="s">
        <v>2369</v>
      </c>
      <c r="E2077" s="9" t="str">
        <f>HYPERLINK("https://twitter.com/mammad_khannn/status/1045160276465774592","1045160276465774592")</f>
        <v>1045160276465774592</v>
      </c>
      <c r="F2077" s="4"/>
      <c r="G2077" s="4"/>
      <c r="H2077" s="4"/>
      <c r="I2077" s="10" t="str">
        <f>HYPERLINK("http://twitter.com/#!/download/ipad","Twitter for iPad")</f>
        <v>Twitter for iPad</v>
      </c>
      <c r="J2077" s="2">
        <v>641</v>
      </c>
      <c r="K2077" s="2">
        <v>1637</v>
      </c>
      <c r="L2077" s="2">
        <v>3</v>
      </c>
      <c r="M2077" s="2"/>
      <c r="N2077" s="8">
        <v>42525.52721064815</v>
      </c>
      <c r="O2077" s="4" t="s">
        <v>2364</v>
      </c>
      <c r="P2077" s="3" t="s">
        <v>2363</v>
      </c>
      <c r="Q2077" s="4"/>
      <c r="R2077" s="4"/>
      <c r="S2077" s="9" t="str">
        <f>HYPERLINK("https://pbs.twimg.com/profile_images/751779844728381440/ACcevEbd.jpg","View")</f>
        <v>View</v>
      </c>
    </row>
    <row r="2078" spans="1:19" ht="20">
      <c r="A2078" s="8">
        <v>43370.308217592596</v>
      </c>
      <c r="B2078" s="11" t="str">
        <f>HYPERLINK("https://twitter.com/faarshaadi","@faarshaadi")</f>
        <v>@faarshaadi</v>
      </c>
      <c r="C2078" s="6" t="s">
        <v>1240</v>
      </c>
      <c r="D2078" s="5" t="s">
        <v>2368</v>
      </c>
      <c r="E2078" s="9" t="str">
        <f>HYPERLINK("https://twitter.com/faarshaadi/status/1045159552642166784","1045159552642166784")</f>
        <v>1045159552642166784</v>
      </c>
      <c r="F2078" s="4"/>
      <c r="G2078" s="4"/>
      <c r="H2078" s="4"/>
      <c r="I2078" s="10" t="str">
        <f>HYPERLINK("http://twitter.com/download/iphone","Twitter for iPhone")</f>
        <v>Twitter for iPhone</v>
      </c>
      <c r="J2078" s="2">
        <v>636</v>
      </c>
      <c r="K2078" s="2">
        <v>641</v>
      </c>
      <c r="L2078" s="2">
        <v>5</v>
      </c>
      <c r="M2078" s="2"/>
      <c r="N2078" s="8">
        <v>41705.619085648148</v>
      </c>
      <c r="O2078" s="4"/>
      <c r="P2078" s="3" t="s">
        <v>2367</v>
      </c>
      <c r="Q2078" s="4"/>
      <c r="R2078" s="4"/>
      <c r="S2078" s="9" t="str">
        <f>HYPERLINK("https://pbs.twimg.com/profile_images/988039356085661696/h9ZjbTIt.jpg","View")</f>
        <v>View</v>
      </c>
    </row>
    <row r="2079" spans="1:19" ht="12.5">
      <c r="A2079" s="8">
        <v>43370.306817129633</v>
      </c>
      <c r="B2079" s="11" t="str">
        <f>HYPERLINK("https://twitter.com/mammad_khannn","@mammad_khannn")</f>
        <v>@mammad_khannn</v>
      </c>
      <c r="C2079" s="6" t="s">
        <v>2366</v>
      </c>
      <c r="D2079" s="5" t="s">
        <v>2365</v>
      </c>
      <c r="E2079" s="9" t="str">
        <f>HYPERLINK("https://twitter.com/mammad_khannn/status/1045159045496229888","1045159045496229888")</f>
        <v>1045159045496229888</v>
      </c>
      <c r="F2079" s="4"/>
      <c r="G2079" s="4"/>
      <c r="H2079" s="4"/>
      <c r="I2079" s="10" t="str">
        <f>HYPERLINK("http://twitter.com/#!/download/ipad","Twitter for iPad")</f>
        <v>Twitter for iPad</v>
      </c>
      <c r="J2079" s="2">
        <v>641</v>
      </c>
      <c r="K2079" s="2">
        <v>1637</v>
      </c>
      <c r="L2079" s="2">
        <v>3</v>
      </c>
      <c r="M2079" s="2"/>
      <c r="N2079" s="8">
        <v>42525.52721064815</v>
      </c>
      <c r="O2079" s="4" t="s">
        <v>2364</v>
      </c>
      <c r="P2079" s="3" t="s">
        <v>2363</v>
      </c>
      <c r="Q2079" s="4"/>
      <c r="R2079" s="4"/>
      <c r="S2079" s="9" t="str">
        <f>HYPERLINK("https://pbs.twimg.com/profile_images/751779844728381440/ACcevEbd.jpg","View")</f>
        <v>View</v>
      </c>
    </row>
    <row r="2080" spans="1:19" ht="30">
      <c r="A2080" s="8">
        <v>43370.303854166668</v>
      </c>
      <c r="B2080" s="11" t="str">
        <f>HYPERLINK("https://twitter.com/ra3i_al3in","@ra3i_al3in")</f>
        <v>@ra3i_al3in</v>
      </c>
      <c r="C2080" s="6" t="s">
        <v>2362</v>
      </c>
      <c r="D2080" s="5" t="s">
        <v>2250</v>
      </c>
      <c r="E2080" s="9" t="str">
        <f>HYPERLINK("https://twitter.com/ra3i_al3in/status/1045157972492656640","1045157972492656640")</f>
        <v>1045157972492656640</v>
      </c>
      <c r="F2080" s="4"/>
      <c r="G2080" s="10" t="s">
        <v>2247</v>
      </c>
      <c r="H2080" s="4"/>
      <c r="I2080" s="10" t="str">
        <f>HYPERLINK("http://twitter.com/download/iphone","Twitter for iPhone")</f>
        <v>Twitter for iPhone</v>
      </c>
      <c r="J2080" s="2">
        <v>5083</v>
      </c>
      <c r="K2080" s="2">
        <v>809</v>
      </c>
      <c r="L2080" s="2">
        <v>31</v>
      </c>
      <c r="M2080" s="2"/>
      <c r="N2080" s="8">
        <v>40774.540810185186</v>
      </c>
      <c r="O2080" s="4" t="s">
        <v>2361</v>
      </c>
      <c r="P2080" s="3" t="s">
        <v>2360</v>
      </c>
      <c r="Q2080" s="10" t="s">
        <v>2359</v>
      </c>
      <c r="R2080" s="4"/>
      <c r="S2080" s="9" t="str">
        <f>HYPERLINK("https://pbs.twimg.com/profile_images/1000480222335074310/CuIQYtWd.jpg","View")</f>
        <v>View</v>
      </c>
    </row>
    <row r="2081" spans="1:19" ht="70">
      <c r="A2081" s="8">
        <v>43370.30196759259</v>
      </c>
      <c r="B2081" s="11" t="str">
        <f>HYPERLINK("https://twitter.com/Raharahi5","@Raharahi5")</f>
        <v>@Raharahi5</v>
      </c>
      <c r="C2081" s="6" t="s">
        <v>2358</v>
      </c>
      <c r="D2081" s="5" t="s">
        <v>2357</v>
      </c>
      <c r="E2081" s="9" t="str">
        <f>HYPERLINK("https://twitter.com/Raharahi5/status/1045157291056660480","1045157291056660480")</f>
        <v>1045157291056660480</v>
      </c>
      <c r="F2081" s="10" t="s">
        <v>2356</v>
      </c>
      <c r="G2081" s="4"/>
      <c r="H2081" s="4"/>
      <c r="I2081" s="10" t="str">
        <f>HYPERLINK("http://twitter.com/download/iphone","Twitter for iPhone")</f>
        <v>Twitter for iPhone</v>
      </c>
      <c r="J2081" s="2">
        <v>168</v>
      </c>
      <c r="K2081" s="2">
        <v>356</v>
      </c>
      <c r="L2081" s="2">
        <v>2</v>
      </c>
      <c r="M2081" s="2"/>
      <c r="N2081" s="8">
        <v>42867.846967592588</v>
      </c>
      <c r="O2081" s="4" t="s">
        <v>10</v>
      </c>
      <c r="P2081" s="3" t="s">
        <v>2355</v>
      </c>
      <c r="Q2081" s="4"/>
      <c r="R2081" s="4"/>
      <c r="S2081" s="9" t="str">
        <f>HYPERLINK("https://pbs.twimg.com/profile_images/1025397382794620928/Gz4s7cCD.jpg","View")</f>
        <v>View</v>
      </c>
    </row>
    <row r="2082" spans="1:19" ht="20">
      <c r="A2082" s="8">
        <v>43370.299710648149</v>
      </c>
      <c r="B2082" s="11" t="str">
        <f>HYPERLINK("https://twitter.com/behnazkaveh1983","@behnazkaveh1983")</f>
        <v>@behnazkaveh1983</v>
      </c>
      <c r="C2082" s="6" t="s">
        <v>2354</v>
      </c>
      <c r="D2082" s="5" t="s">
        <v>2353</v>
      </c>
      <c r="E2082" s="9" t="str">
        <f>HYPERLINK("https://twitter.com/behnazkaveh1983/status/1045156472936689664","1045156472936689664")</f>
        <v>1045156472936689664</v>
      </c>
      <c r="F2082" s="4"/>
      <c r="G2082" s="4"/>
      <c r="H2082" s="4"/>
      <c r="I2082" s="10" t="str">
        <f>HYPERLINK("http://twitter.com/download/iphone","Twitter for iPhone")</f>
        <v>Twitter for iPhone</v>
      </c>
      <c r="J2082" s="2">
        <v>86</v>
      </c>
      <c r="K2082" s="2">
        <v>90</v>
      </c>
      <c r="L2082" s="2">
        <v>0</v>
      </c>
      <c r="M2082" s="2"/>
      <c r="N2082" s="8">
        <v>43219.578888888893</v>
      </c>
      <c r="O2082" s="4"/>
      <c r="P2082" s="3" t="s">
        <v>2352</v>
      </c>
      <c r="Q2082" s="4"/>
      <c r="R2082" s="4"/>
      <c r="S2082" s="9" t="str">
        <f>HYPERLINK("https://pbs.twimg.com/profile_images/990523351008456704/LcZdEHBx.jpg","View")</f>
        <v>View</v>
      </c>
    </row>
    <row r="2083" spans="1:19" ht="20">
      <c r="A2083" s="8">
        <v>43370.291759259257</v>
      </c>
      <c r="B2083" s="11" t="str">
        <f>HYPERLINK("https://twitter.com/97morning_star","@97morning_star")</f>
        <v>@97morning_star</v>
      </c>
      <c r="C2083" s="6" t="s">
        <v>2351</v>
      </c>
      <c r="D2083" s="5" t="s">
        <v>2350</v>
      </c>
      <c r="E2083" s="9" t="str">
        <f>HYPERLINK("https://twitter.com/97morning_star/status/1045153590854209536","1045153590854209536")</f>
        <v>1045153590854209536</v>
      </c>
      <c r="F2083" s="4"/>
      <c r="G2083" s="4"/>
      <c r="H2083" s="4"/>
      <c r="I2083" s="10" t="str">
        <f>HYPERLINK("http://twitter.com/download/android","Twitter for Android")</f>
        <v>Twitter for Android</v>
      </c>
      <c r="J2083" s="2">
        <v>7</v>
      </c>
      <c r="K2083" s="2">
        <v>29</v>
      </c>
      <c r="L2083" s="2">
        <v>0</v>
      </c>
      <c r="M2083" s="2"/>
      <c r="N2083" s="8">
        <v>43355.363136574073</v>
      </c>
      <c r="O2083" s="4" t="s">
        <v>2349</v>
      </c>
      <c r="P2083" s="3" t="s">
        <v>2348</v>
      </c>
      <c r="Q2083" s="4"/>
      <c r="R2083" s="4"/>
      <c r="S2083" s="9" t="str">
        <f>HYPERLINK("https://pbs.twimg.com/profile_images/1039730621227196416/X6D_yDjX.jpg","View")</f>
        <v>View</v>
      </c>
    </row>
    <row r="2084" spans="1:19" ht="30">
      <c r="A2084" s="8">
        <v>43370.289594907408</v>
      </c>
      <c r="B2084" s="11" t="str">
        <f>HYPERLINK("https://twitter.com/kargadan","@kargadan")</f>
        <v>@kargadan</v>
      </c>
      <c r="C2084" s="6" t="s">
        <v>2346</v>
      </c>
      <c r="D2084" s="5" t="s">
        <v>2347</v>
      </c>
      <c r="E2084" s="9" t="str">
        <f>HYPERLINK("https://twitter.com/kargadan/status/1045152806733135872","1045152806733135872")</f>
        <v>1045152806733135872</v>
      </c>
      <c r="F2084" s="4"/>
      <c r="G2084" s="4"/>
      <c r="H2084" s="4"/>
      <c r="I2084" s="10" t="str">
        <f>HYPERLINK("http://twitter.com/download/android","Twitter for Android")</f>
        <v>Twitter for Android</v>
      </c>
      <c r="J2084" s="2">
        <v>4448</v>
      </c>
      <c r="K2084" s="2">
        <v>1833</v>
      </c>
      <c r="L2084" s="2">
        <v>56</v>
      </c>
      <c r="M2084" s="2"/>
      <c r="N2084" s="8">
        <v>39571.822939814811</v>
      </c>
      <c r="O2084" s="4" t="s">
        <v>2344</v>
      </c>
      <c r="P2084" s="3" t="s">
        <v>2343</v>
      </c>
      <c r="Q2084" s="4"/>
      <c r="R2084" s="4"/>
      <c r="S2084" s="9" t="str">
        <f>HYPERLINK("https://pbs.twimg.com/profile_images/805164738980311040/dubk66JB.jpg","View")</f>
        <v>View</v>
      </c>
    </row>
    <row r="2085" spans="1:19" ht="30">
      <c r="A2085" s="8">
        <v>43370.289513888885</v>
      </c>
      <c r="B2085" s="11" t="str">
        <f>HYPERLINK("https://twitter.com/kargadan","@kargadan")</f>
        <v>@kargadan</v>
      </c>
      <c r="C2085" s="6" t="s">
        <v>2346</v>
      </c>
      <c r="D2085" s="5" t="s">
        <v>2345</v>
      </c>
      <c r="E2085" s="9" t="str">
        <f>HYPERLINK("https://twitter.com/kargadan/status/1045152776165048321","1045152776165048321")</f>
        <v>1045152776165048321</v>
      </c>
      <c r="F2085" s="4"/>
      <c r="G2085" s="10" t="s">
        <v>2338</v>
      </c>
      <c r="H2085" s="4"/>
      <c r="I2085" s="10" t="str">
        <f>HYPERLINK("http://twitter.com/download/android","Twitter for Android")</f>
        <v>Twitter for Android</v>
      </c>
      <c r="J2085" s="2">
        <v>4448</v>
      </c>
      <c r="K2085" s="2">
        <v>1833</v>
      </c>
      <c r="L2085" s="2">
        <v>56</v>
      </c>
      <c r="M2085" s="2"/>
      <c r="N2085" s="8">
        <v>39571.822939814811</v>
      </c>
      <c r="O2085" s="4" t="s">
        <v>2344</v>
      </c>
      <c r="P2085" s="3" t="s">
        <v>2343</v>
      </c>
      <c r="Q2085" s="4"/>
      <c r="R2085" s="4"/>
      <c r="S2085" s="9" t="str">
        <f>HYPERLINK("https://pbs.twimg.com/profile_images/805164738980311040/dubk66JB.jpg","View")</f>
        <v>View</v>
      </c>
    </row>
    <row r="2086" spans="1:19" ht="30">
      <c r="A2086" s="8">
        <v>43370.287835648152</v>
      </c>
      <c r="B2086" s="11" t="str">
        <f>HYPERLINK("https://twitter.com/morteza_kaka","@morteza_kaka")</f>
        <v>@morteza_kaka</v>
      </c>
      <c r="C2086" s="6" t="s">
        <v>2316</v>
      </c>
      <c r="D2086" s="5" t="s">
        <v>2342</v>
      </c>
      <c r="E2086" s="9" t="str">
        <f>HYPERLINK("https://twitter.com/morteza_kaka/status/1045152168519634944","1045152168519634944")</f>
        <v>1045152168519634944</v>
      </c>
      <c r="F2086" s="4"/>
      <c r="G2086" s="4"/>
      <c r="H2086" s="4"/>
      <c r="I2086" s="10" t="str">
        <f>HYPERLINK("http://twitter.com/download/android","Twitter for Android")</f>
        <v>Twitter for Android</v>
      </c>
      <c r="J2086" s="2">
        <v>269</v>
      </c>
      <c r="K2086" s="2">
        <v>696</v>
      </c>
      <c r="L2086" s="2">
        <v>0</v>
      </c>
      <c r="M2086" s="2"/>
      <c r="N2086" s="8">
        <v>43222.718402777777</v>
      </c>
      <c r="O2086" s="4" t="s">
        <v>62</v>
      </c>
      <c r="P2086" s="3" t="s">
        <v>2314</v>
      </c>
      <c r="Q2086" s="4"/>
      <c r="R2086" s="4"/>
      <c r="S2086" s="9" t="str">
        <f>HYPERLINK("https://pbs.twimg.com/profile_images/1017196513896878080/Cvtn01BA.jpg","View")</f>
        <v>View</v>
      </c>
    </row>
    <row r="2087" spans="1:19" ht="20">
      <c r="A2087" s="8">
        <v>43370.28528935185</v>
      </c>
      <c r="B2087" s="11" t="str">
        <f>HYPERLINK("https://twitter.com/omiidG2","@omiidG2")</f>
        <v>@omiidG2</v>
      </c>
      <c r="C2087" s="6" t="s">
        <v>2341</v>
      </c>
      <c r="D2087" s="5" t="s">
        <v>2340</v>
      </c>
      <c r="E2087" s="9" t="str">
        <f>HYPERLINK("https://twitter.com/omiidG2/status/1045151244581568513","1045151244581568513")</f>
        <v>1045151244581568513</v>
      </c>
      <c r="F2087" s="4"/>
      <c r="G2087" s="4"/>
      <c r="H2087" s="4"/>
      <c r="I2087" s="10" t="str">
        <f>HYPERLINK("https://mobile.twitter.com","Mobile Web (M2)")</f>
        <v>Mobile Web (M2)</v>
      </c>
      <c r="J2087" s="2">
        <v>35</v>
      </c>
      <c r="K2087" s="2">
        <v>219</v>
      </c>
      <c r="L2087" s="2">
        <v>0</v>
      </c>
      <c r="M2087" s="2"/>
      <c r="N2087" s="8">
        <v>42500.104479166665</v>
      </c>
      <c r="O2087" s="4" t="s">
        <v>10</v>
      </c>
      <c r="P2087" s="3"/>
      <c r="Q2087" s="4"/>
      <c r="R2087" s="4"/>
      <c r="S2087" s="9" t="str">
        <f>HYPERLINK("https://pbs.twimg.com/profile_images/733262386434560001/-CF5uVGo.jpg","View")</f>
        <v>View</v>
      </c>
    </row>
    <row r="2088" spans="1:19" ht="20">
      <c r="A2088" s="8">
        <v>43370.28162037037</v>
      </c>
      <c r="B2088" s="11" t="str">
        <f>HYPERLINK("https://twitter.com/PerspolisFCIran","@PerspolisFCIran")</f>
        <v>@PerspolisFCIran</v>
      </c>
      <c r="C2088" s="6" t="s">
        <v>314</v>
      </c>
      <c r="D2088" s="5" t="s">
        <v>2339</v>
      </c>
      <c r="E2088" s="9" t="str">
        <f>HYPERLINK("https://twitter.com/PerspolisFCIran/status/1045149916308402176","1045149916308402176")</f>
        <v>1045149916308402176</v>
      </c>
      <c r="F2088" s="4"/>
      <c r="G2088" s="10" t="s">
        <v>2338</v>
      </c>
      <c r="H2088" s="4"/>
      <c r="I2088" s="10" t="str">
        <f>HYPERLINK("http://twitter.com/download/iphone","Twitter for iPhone")</f>
        <v>Twitter for iPhone</v>
      </c>
      <c r="J2088" s="2">
        <v>55254</v>
      </c>
      <c r="K2088" s="2">
        <v>17</v>
      </c>
      <c r="L2088" s="2">
        <v>86</v>
      </c>
      <c r="M2088" s="2"/>
      <c r="N2088" s="8">
        <v>41046.775138888886</v>
      </c>
      <c r="O2088" s="4" t="s">
        <v>311</v>
      </c>
      <c r="P2088" s="3" t="s">
        <v>310</v>
      </c>
      <c r="Q2088" s="10" t="s">
        <v>309</v>
      </c>
      <c r="R2088" s="4"/>
      <c r="S2088" s="9" t="str">
        <f>HYPERLINK("https://pbs.twimg.com/profile_images/857246758069567488/yDozVZti.jpg","View")</f>
        <v>View</v>
      </c>
    </row>
    <row r="2089" spans="1:19" ht="12.5">
      <c r="A2089" s="8">
        <v>43370.279097222221</v>
      </c>
      <c r="B2089" s="11" t="str">
        <f>HYPERLINK("https://twitter.com/Cheshmaak","@Cheshmaak")</f>
        <v>@Cheshmaak</v>
      </c>
      <c r="C2089" s="6" t="s">
        <v>2337</v>
      </c>
      <c r="D2089" s="5" t="s">
        <v>2336</v>
      </c>
      <c r="E2089" s="9" t="str">
        <f>HYPERLINK("https://twitter.com/Cheshmaak/status/1045149003262947328","1045149003262947328")</f>
        <v>1045149003262947328</v>
      </c>
      <c r="F2089" s="4"/>
      <c r="G2089" s="4"/>
      <c r="H2089" s="4"/>
      <c r="I2089" s="10" t="str">
        <f>HYPERLINK("http://twitter.com/download/android","Twitter for Android")</f>
        <v>Twitter for Android</v>
      </c>
      <c r="J2089" s="2">
        <v>1096</v>
      </c>
      <c r="K2089" s="2">
        <v>576</v>
      </c>
      <c r="L2089" s="2">
        <v>6</v>
      </c>
      <c r="M2089" s="2"/>
      <c r="N2089" s="8">
        <v>43132.819085648152</v>
      </c>
      <c r="O2089" s="4" t="s">
        <v>2335</v>
      </c>
      <c r="P2089" s="3" t="s">
        <v>2334</v>
      </c>
      <c r="Q2089" s="4"/>
      <c r="R2089" s="4"/>
      <c r="S2089" s="9" t="str">
        <f>HYPERLINK("https://pbs.twimg.com/profile_images/959103258571825152/0vEYG2hI.jpg","View")</f>
        <v>View</v>
      </c>
    </row>
    <row r="2090" spans="1:19" ht="20">
      <c r="A2090" s="8">
        <v>43370.278553240743</v>
      </c>
      <c r="B2090" s="11" t="str">
        <f>HYPERLINK("https://twitter.com/violet37210","@violet37210")</f>
        <v>@violet37210</v>
      </c>
      <c r="C2090" s="6" t="s">
        <v>2333</v>
      </c>
      <c r="D2090" s="5" t="s">
        <v>2332</v>
      </c>
      <c r="E2090" s="9" t="str">
        <f>HYPERLINK("https://twitter.com/violet37210/status/1045148804419399680","1045148804419399680")</f>
        <v>1045148804419399680</v>
      </c>
      <c r="F2090" s="4"/>
      <c r="G2090" s="4"/>
      <c r="H2090" s="4"/>
      <c r="I2090" s="10" t="str">
        <f>HYPERLINK("http://twitter.com/download/android","Twitter for Android")</f>
        <v>Twitter for Android</v>
      </c>
      <c r="J2090" s="2">
        <v>1639</v>
      </c>
      <c r="K2090" s="2">
        <v>1062</v>
      </c>
      <c r="L2090" s="2">
        <v>9</v>
      </c>
      <c r="M2090" s="2"/>
      <c r="N2090" s="8">
        <v>42704.876747685186</v>
      </c>
      <c r="O2090" s="4" t="s">
        <v>254</v>
      </c>
      <c r="P2090" s="3" t="s">
        <v>2331</v>
      </c>
      <c r="Q2090" s="4"/>
      <c r="R2090" s="4"/>
      <c r="S2090" s="9" t="str">
        <f>HYPERLINK("https://pbs.twimg.com/profile_images/938849969427091457/Xp5jMeMX.jpg","View")</f>
        <v>View</v>
      </c>
    </row>
    <row r="2091" spans="1:19" ht="20">
      <c r="A2091" s="8">
        <v>43370.277847222227</v>
      </c>
      <c r="B2091" s="11" t="str">
        <f>HYPERLINK("https://twitter.com/saeedahmadi86","@saeedahmadi86")</f>
        <v>@saeedahmadi86</v>
      </c>
      <c r="C2091" s="6" t="s">
        <v>2330</v>
      </c>
      <c r="D2091" s="5" t="s">
        <v>2329</v>
      </c>
      <c r="E2091" s="9" t="str">
        <f>HYPERLINK("https://twitter.com/saeedahmadi86/status/1045148547904098304","1045148547904098304")</f>
        <v>1045148547904098304</v>
      </c>
      <c r="F2091" s="4"/>
      <c r="G2091" s="10" t="s">
        <v>2328</v>
      </c>
      <c r="H2091" s="4"/>
      <c r="I2091" s="10" t="str">
        <f>HYPERLINK("http://twitter.com/download/android","Twitter for Android")</f>
        <v>Twitter for Android</v>
      </c>
      <c r="J2091" s="2">
        <v>104</v>
      </c>
      <c r="K2091" s="2">
        <v>251</v>
      </c>
      <c r="L2091" s="2">
        <v>0</v>
      </c>
      <c r="M2091" s="2"/>
      <c r="N2091" s="8">
        <v>41853.834120370375</v>
      </c>
      <c r="O2091" s="4" t="s">
        <v>200</v>
      </c>
      <c r="P2091" s="3" t="s">
        <v>2327</v>
      </c>
      <c r="Q2091" s="4"/>
      <c r="R2091" s="4"/>
      <c r="S2091" s="9" t="str">
        <f>HYPERLINK("https://pbs.twimg.com/profile_images/1020702698201583618/j29ndKSD.jpg","View")</f>
        <v>View</v>
      </c>
    </row>
    <row r="2092" spans="1:19" ht="20">
      <c r="A2092" s="8">
        <v>43370.27725694445</v>
      </c>
      <c r="B2092" s="11" t="str">
        <f>HYPERLINK("https://twitter.com/RealBenyAmin","@RealBenyAmin")</f>
        <v>@RealBenyAmin</v>
      </c>
      <c r="C2092" s="6" t="s">
        <v>2326</v>
      </c>
      <c r="D2092" s="5" t="s">
        <v>1705</v>
      </c>
      <c r="E2092" s="9" t="str">
        <f>HYPERLINK("https://twitter.com/RealBenyAmin/status/1045148336255373313","1045148336255373313")</f>
        <v>1045148336255373313</v>
      </c>
      <c r="F2092" s="4"/>
      <c r="G2092" s="4"/>
      <c r="H2092" s="4"/>
      <c r="I2092" s="10" t="str">
        <f>HYPERLINK("http://twitter.com/download/android","Twitter for Android")</f>
        <v>Twitter for Android</v>
      </c>
      <c r="J2092" s="2">
        <v>4864</v>
      </c>
      <c r="K2092" s="2">
        <v>4796</v>
      </c>
      <c r="L2092" s="2">
        <v>3</v>
      </c>
      <c r="M2092" s="2"/>
      <c r="N2092" s="8">
        <v>42597.624502314815</v>
      </c>
      <c r="O2092" s="4" t="s">
        <v>2325</v>
      </c>
      <c r="P2092" s="3" t="s">
        <v>2324</v>
      </c>
      <c r="Q2092" s="10" t="s">
        <v>2323</v>
      </c>
      <c r="R2092" s="4"/>
      <c r="S2092" s="9" t="str">
        <f>HYPERLINK("https://pbs.twimg.com/profile_images/1035966168966852610/NqiLUOKA.jpg","View")</f>
        <v>View</v>
      </c>
    </row>
    <row r="2093" spans="1:19" ht="40">
      <c r="A2093" s="8">
        <v>43370.274814814809</v>
      </c>
      <c r="B2093" s="11" t="str">
        <f>HYPERLINK("https://twitter.com/Luxelinii","@Luxelinii")</f>
        <v>@Luxelinii</v>
      </c>
      <c r="C2093" s="6" t="s">
        <v>2322</v>
      </c>
      <c r="D2093" s="5" t="s">
        <v>2321</v>
      </c>
      <c r="E2093" s="9" t="str">
        <f>HYPERLINK("https://twitter.com/Luxelinii/status/1045147448627384320","1045147448627384320")</f>
        <v>1045147448627384320</v>
      </c>
      <c r="F2093" s="4"/>
      <c r="G2093" s="10" t="s">
        <v>2320</v>
      </c>
      <c r="H2093" s="4"/>
      <c r="I2093" s="10" t="str">
        <f>HYPERLINK("http://twitter.com","Twitter Web Client")</f>
        <v>Twitter Web Client</v>
      </c>
      <c r="J2093" s="2">
        <v>458</v>
      </c>
      <c r="K2093" s="2">
        <v>313</v>
      </c>
      <c r="L2093" s="2">
        <v>0</v>
      </c>
      <c r="M2093" s="2"/>
      <c r="N2093" s="8">
        <v>43105.146203703705</v>
      </c>
      <c r="O2093" s="4" t="s">
        <v>2319</v>
      </c>
      <c r="P2093" s="3" t="s">
        <v>2318</v>
      </c>
      <c r="Q2093" s="4"/>
      <c r="R2093" s="4"/>
      <c r="S2093" s="9" t="str">
        <f>HYPERLINK("https://pbs.twimg.com/profile_images/1010018521932165122/oT7IocqS.jpg","View")</f>
        <v>View</v>
      </c>
    </row>
    <row r="2094" spans="1:19" ht="30">
      <c r="A2094" s="8">
        <v>43370.274085648147</v>
      </c>
      <c r="B2094" s="11" t="str">
        <f>HYPERLINK("https://twitter.com/morteza_kaka","@morteza_kaka")</f>
        <v>@morteza_kaka</v>
      </c>
      <c r="C2094" s="6" t="s">
        <v>2316</v>
      </c>
      <c r="D2094" s="5" t="s">
        <v>2317</v>
      </c>
      <c r="E2094" s="9" t="str">
        <f>HYPERLINK("https://twitter.com/morteza_kaka/status/1045147183840997382","1045147183840997382")</f>
        <v>1045147183840997382</v>
      </c>
      <c r="F2094" s="4"/>
      <c r="G2094" s="4"/>
      <c r="H2094" s="4"/>
      <c r="I2094" s="10" t="str">
        <f>HYPERLINK("http://twitter.com/download/android","Twitter for Android")</f>
        <v>Twitter for Android</v>
      </c>
      <c r="J2094" s="2">
        <v>269</v>
      </c>
      <c r="K2094" s="2">
        <v>696</v>
      </c>
      <c r="L2094" s="2">
        <v>0</v>
      </c>
      <c r="M2094" s="2"/>
      <c r="N2094" s="8">
        <v>43222.718402777777</v>
      </c>
      <c r="O2094" s="4" t="s">
        <v>62</v>
      </c>
      <c r="P2094" s="3" t="s">
        <v>2314</v>
      </c>
      <c r="Q2094" s="4"/>
      <c r="R2094" s="4"/>
      <c r="S2094" s="9" t="str">
        <f>HYPERLINK("https://pbs.twimg.com/profile_images/1017196513896878080/Cvtn01BA.jpg","View")</f>
        <v>View</v>
      </c>
    </row>
    <row r="2095" spans="1:19" ht="30">
      <c r="A2095" s="8">
        <v>43370.273391203707</v>
      </c>
      <c r="B2095" s="11" t="str">
        <f>HYPERLINK("https://twitter.com/morteza_kaka","@morteza_kaka")</f>
        <v>@morteza_kaka</v>
      </c>
      <c r="C2095" s="6" t="s">
        <v>2316</v>
      </c>
      <c r="D2095" s="5" t="s">
        <v>2315</v>
      </c>
      <c r="E2095" s="9" t="str">
        <f>HYPERLINK("https://twitter.com/morteza_kaka/status/1045146934065983488","1045146934065983488")</f>
        <v>1045146934065983488</v>
      </c>
      <c r="F2095" s="4"/>
      <c r="G2095" s="4"/>
      <c r="H2095" s="4"/>
      <c r="I2095" s="10" t="str">
        <f>HYPERLINK("http://twitter.com/download/android","Twitter for Android")</f>
        <v>Twitter for Android</v>
      </c>
      <c r="J2095" s="2">
        <v>269</v>
      </c>
      <c r="K2095" s="2">
        <v>696</v>
      </c>
      <c r="L2095" s="2">
        <v>0</v>
      </c>
      <c r="M2095" s="2"/>
      <c r="N2095" s="8">
        <v>43222.718402777777</v>
      </c>
      <c r="O2095" s="4" t="s">
        <v>62</v>
      </c>
      <c r="P2095" s="3" t="s">
        <v>2314</v>
      </c>
      <c r="Q2095" s="4"/>
      <c r="R2095" s="4"/>
      <c r="S2095" s="9" t="str">
        <f>HYPERLINK("https://pbs.twimg.com/profile_images/1017196513896878080/Cvtn01BA.jpg","View")</f>
        <v>View</v>
      </c>
    </row>
    <row r="2096" spans="1:19" ht="30">
      <c r="A2096" s="8">
        <v>43370.270821759259</v>
      </c>
      <c r="B2096" s="11" t="str">
        <f>HYPERLINK("https://twitter.com/chmaaryaa","@chmaaryaa")</f>
        <v>@chmaaryaa</v>
      </c>
      <c r="C2096" s="6" t="s">
        <v>2313</v>
      </c>
      <c r="D2096" s="5" t="s">
        <v>2208</v>
      </c>
      <c r="E2096" s="9" t="str">
        <f>HYPERLINK("https://twitter.com/chmaaryaa/status/1045146002355818497","1045146002355818497")</f>
        <v>1045146002355818497</v>
      </c>
      <c r="F2096" s="4"/>
      <c r="G2096" s="10" t="s">
        <v>2202</v>
      </c>
      <c r="H2096" s="4"/>
      <c r="I2096" s="10" t="str">
        <f>HYPERLINK("http://twitter.com/download/android","Twitter for Android")</f>
        <v>Twitter for Android</v>
      </c>
      <c r="J2096" s="2">
        <v>1592</v>
      </c>
      <c r="K2096" s="2">
        <v>1560</v>
      </c>
      <c r="L2096" s="2">
        <v>4</v>
      </c>
      <c r="M2096" s="2"/>
      <c r="N2096" s="8">
        <v>42383.633194444439</v>
      </c>
      <c r="O2096" s="4" t="s">
        <v>72</v>
      </c>
      <c r="P2096" s="3" t="s">
        <v>2312</v>
      </c>
      <c r="Q2096" s="10" t="s">
        <v>2311</v>
      </c>
      <c r="R2096" s="4"/>
      <c r="S2096" s="9" t="str">
        <f>HYPERLINK("https://pbs.twimg.com/profile_images/994626248906346496/H6NSR6fd.jpg","View")</f>
        <v>View</v>
      </c>
    </row>
    <row r="2097" spans="1:19" ht="20">
      <c r="A2097" s="8">
        <v>43370.26425925926</v>
      </c>
      <c r="B2097" s="11" t="str">
        <f>HYPERLINK("https://twitter.com/ebra_za","@ebra_za")</f>
        <v>@ebra_za</v>
      </c>
      <c r="C2097" s="6" t="s">
        <v>2310</v>
      </c>
      <c r="D2097" s="5" t="s">
        <v>1242</v>
      </c>
      <c r="E2097" s="9" t="str">
        <f>HYPERLINK("https://twitter.com/ebra_za/status/1045143624097435653","1045143624097435653")</f>
        <v>1045143624097435653</v>
      </c>
      <c r="F2097" s="4"/>
      <c r="G2097" s="4"/>
      <c r="H2097" s="4"/>
      <c r="I2097" s="10" t="str">
        <f>HYPERLINK("http://twitter.com/download/android","Twitter for Android")</f>
        <v>Twitter for Android</v>
      </c>
      <c r="J2097" s="2">
        <v>517</v>
      </c>
      <c r="K2097" s="2">
        <v>515</v>
      </c>
      <c r="L2097" s="2">
        <v>1</v>
      </c>
      <c r="M2097" s="2"/>
      <c r="N2097" s="8">
        <v>43228.120486111111</v>
      </c>
      <c r="O2097" s="4" t="s">
        <v>2309</v>
      </c>
      <c r="P2097" s="3" t="s">
        <v>2308</v>
      </c>
      <c r="Q2097" s="4"/>
      <c r="R2097" s="4"/>
      <c r="S2097" s="9" t="str">
        <f>HYPERLINK("https://pbs.twimg.com/profile_images/1043808200171106305/iuDkGQUD.jpg","View")</f>
        <v>View</v>
      </c>
    </row>
    <row r="2098" spans="1:19" ht="20">
      <c r="A2098" s="8">
        <v>43370.262199074074</v>
      </c>
      <c r="B2098" s="11" t="str">
        <f>HYPERLINK("https://twitter.com/Alfered70324716","@Alfered70324716")</f>
        <v>@Alfered70324716</v>
      </c>
      <c r="C2098" s="6" t="s">
        <v>2307</v>
      </c>
      <c r="D2098" s="5" t="s">
        <v>2</v>
      </c>
      <c r="E2098" s="9" t="str">
        <f>HYPERLINK("https://twitter.com/Alfered70324716/status/1045142879172218881","1045142879172218881")</f>
        <v>1045142879172218881</v>
      </c>
      <c r="F2098" s="4"/>
      <c r="G2098" s="4"/>
      <c r="H2098" s="4"/>
      <c r="I2098" s="10" t="str">
        <f>HYPERLINK("http://twitter.com/download/iphone","Twitter for iPhone")</f>
        <v>Twitter for iPhone</v>
      </c>
      <c r="J2098" s="2">
        <v>499</v>
      </c>
      <c r="K2098" s="2">
        <v>698</v>
      </c>
      <c r="L2098" s="2">
        <v>0</v>
      </c>
      <c r="M2098" s="2"/>
      <c r="N2098" s="8">
        <v>43169.266886574071</v>
      </c>
      <c r="O2098" s="4"/>
      <c r="P2098" s="3" t="s">
        <v>2306</v>
      </c>
      <c r="Q2098" s="4"/>
      <c r="R2098" s="4"/>
      <c r="S2098" s="9" t="str">
        <f>HYPERLINK("https://pbs.twimg.com/profile_images/981666409603190784/wW1LuaZ7.jpg","View")</f>
        <v>View</v>
      </c>
    </row>
    <row r="2099" spans="1:19" ht="20">
      <c r="A2099" s="8">
        <v>43370.261226851857</v>
      </c>
      <c r="B2099" s="11" t="str">
        <f>HYPERLINK("https://twitter.com/MohsenM18927370","@MohsenM18927370")</f>
        <v>@MohsenM18927370</v>
      </c>
      <c r="C2099" s="6" t="s">
        <v>2305</v>
      </c>
      <c r="D2099" s="5" t="s">
        <v>1812</v>
      </c>
      <c r="E2099" s="9" t="str">
        <f>HYPERLINK("https://twitter.com/MohsenM18927370/status/1045142526842347524","1045142526842347524")</f>
        <v>1045142526842347524</v>
      </c>
      <c r="F2099" s="4"/>
      <c r="G2099" s="4"/>
      <c r="H2099" s="4"/>
      <c r="I2099" s="10" t="str">
        <f>HYPERLINK("http://twitter.com/download/android","Twitter for Android")</f>
        <v>Twitter for Android</v>
      </c>
      <c r="J2099" s="2">
        <v>2902</v>
      </c>
      <c r="K2099" s="2">
        <v>4123</v>
      </c>
      <c r="L2099" s="2">
        <v>3</v>
      </c>
      <c r="M2099" s="2"/>
      <c r="N2099" s="8">
        <v>43235.390196759261</v>
      </c>
      <c r="O2099" s="4" t="s">
        <v>10</v>
      </c>
      <c r="P2099" s="3" t="s">
        <v>2304</v>
      </c>
      <c r="Q2099" s="10" t="s">
        <v>2303</v>
      </c>
      <c r="R2099" s="4"/>
      <c r="S2099" s="9" t="str">
        <f>HYPERLINK("https://pbs.twimg.com/profile_images/996264944495624192/KDFD3KaG.jpg","View")</f>
        <v>View</v>
      </c>
    </row>
    <row r="2100" spans="1:19" ht="30">
      <c r="A2100" s="8">
        <v>43370.26116898148</v>
      </c>
      <c r="B2100" s="11" t="str">
        <f>HYPERLINK("https://twitter.com/a_alnu3ami","@a_alnu3ami")</f>
        <v>@a_alnu3ami</v>
      </c>
      <c r="C2100" s="6" t="s">
        <v>2302</v>
      </c>
      <c r="D2100" s="5" t="s">
        <v>2250</v>
      </c>
      <c r="E2100" s="9" t="str">
        <f>HYPERLINK("https://twitter.com/a_alnu3ami/status/1045142504163692544","1045142504163692544")</f>
        <v>1045142504163692544</v>
      </c>
      <c r="F2100" s="4"/>
      <c r="G2100" s="10" t="s">
        <v>2247</v>
      </c>
      <c r="H2100" s="4"/>
      <c r="I2100" s="10" t="str">
        <f>HYPERLINK("http://twitter.com/download/iphone","Twitter for iPhone")</f>
        <v>Twitter for iPhone</v>
      </c>
      <c r="J2100" s="2">
        <v>5015</v>
      </c>
      <c r="K2100" s="2">
        <v>843</v>
      </c>
      <c r="L2100" s="2">
        <v>16</v>
      </c>
      <c r="M2100" s="2"/>
      <c r="N2100" s="8">
        <v>40646.184652777782</v>
      </c>
      <c r="O2100" s="4" t="s">
        <v>2301</v>
      </c>
      <c r="P2100" s="3" t="s">
        <v>2300</v>
      </c>
      <c r="Q2100" s="10" t="s">
        <v>2299</v>
      </c>
      <c r="R2100" s="4"/>
      <c r="S2100" s="9" t="str">
        <f>HYPERLINK("https://pbs.twimg.com/profile_images/1005245083501973504/bmbcinjS.jpg","View")</f>
        <v>View</v>
      </c>
    </row>
    <row r="2101" spans="1:19" ht="20">
      <c r="A2101" s="8">
        <v>43370.258622685185</v>
      </c>
      <c r="B2101" s="11" t="str">
        <f>HYPERLINK("https://twitter.com/piter_beilish","@piter_beilish")</f>
        <v>@piter_beilish</v>
      </c>
      <c r="C2101" s="6" t="s">
        <v>2298</v>
      </c>
      <c r="D2101" s="5" t="s">
        <v>2297</v>
      </c>
      <c r="E2101" s="9" t="str">
        <f>HYPERLINK("https://twitter.com/piter_beilish/status/1045141580687056896","1045141580687056896")</f>
        <v>1045141580687056896</v>
      </c>
      <c r="F2101" s="4"/>
      <c r="G2101" s="10" t="s">
        <v>2296</v>
      </c>
      <c r="H2101" s="4"/>
      <c r="I2101" s="10" t="str">
        <f>HYPERLINK("http://twitter.com/download/android","Twitter for Android")</f>
        <v>Twitter for Android</v>
      </c>
      <c r="J2101" s="2">
        <v>309</v>
      </c>
      <c r="K2101" s="2">
        <v>205</v>
      </c>
      <c r="L2101" s="2">
        <v>7</v>
      </c>
      <c r="M2101" s="2"/>
      <c r="N2101" s="8">
        <v>43064.416087962964</v>
      </c>
      <c r="O2101" s="4"/>
      <c r="P2101" s="3"/>
      <c r="Q2101" s="4"/>
      <c r="R2101" s="4"/>
      <c r="S2101" s="9" t="str">
        <f>HYPERLINK("https://pbs.twimg.com/profile_images/1045013201426042881/6slvTjlW.jpg","View")</f>
        <v>View</v>
      </c>
    </row>
    <row r="2102" spans="1:19" ht="12.5">
      <c r="A2102" s="8">
        <v>43370.258460648147</v>
      </c>
      <c r="B2102" s="11" t="str">
        <f>HYPERLINK("https://twitter.com/Farzininjast","@Farzininjast")</f>
        <v>@Farzininjast</v>
      </c>
      <c r="C2102" s="6" t="s">
        <v>2295</v>
      </c>
      <c r="D2102" s="5" t="s">
        <v>2294</v>
      </c>
      <c r="E2102" s="9" t="str">
        <f>HYPERLINK("https://twitter.com/Farzininjast/status/1045141524579844097","1045141524579844097")</f>
        <v>1045141524579844097</v>
      </c>
      <c r="F2102" s="4"/>
      <c r="G2102" s="4"/>
      <c r="H2102" s="4"/>
      <c r="I2102" s="10" t="str">
        <f>HYPERLINK("http://twitter.com/download/android","Twitter for Android")</f>
        <v>Twitter for Android</v>
      </c>
      <c r="J2102" s="2">
        <v>3416</v>
      </c>
      <c r="K2102" s="2">
        <v>3049</v>
      </c>
      <c r="L2102" s="2">
        <v>6</v>
      </c>
      <c r="M2102" s="2"/>
      <c r="N2102" s="8">
        <v>43219.640300925923</v>
      </c>
      <c r="O2102" s="4" t="s">
        <v>2293</v>
      </c>
      <c r="P2102" s="3" t="s">
        <v>2292</v>
      </c>
      <c r="Q2102" s="10" t="s">
        <v>2291</v>
      </c>
      <c r="R2102" s="4"/>
      <c r="S2102" s="9" t="str">
        <f>HYPERLINK("https://pbs.twimg.com/profile_images/1044764695897546753/sCPyKsFo.jpg","View")</f>
        <v>View</v>
      </c>
    </row>
    <row r="2103" spans="1:19" ht="30">
      <c r="A2103" s="8">
        <v>43370.253692129627</v>
      </c>
      <c r="B2103" s="11" t="str">
        <f>HYPERLINK("https://twitter.com/Zaid1559zaid","@Zaid1559zaid")</f>
        <v>@Zaid1559zaid</v>
      </c>
      <c r="C2103" s="6" t="s">
        <v>2290</v>
      </c>
      <c r="D2103" s="5" t="s">
        <v>2250</v>
      </c>
      <c r="E2103" s="9" t="str">
        <f>HYPERLINK("https://twitter.com/Zaid1559zaid/status/1045139796509839360","1045139796509839360")</f>
        <v>1045139796509839360</v>
      </c>
      <c r="F2103" s="4"/>
      <c r="G2103" s="10" t="s">
        <v>2247</v>
      </c>
      <c r="H2103" s="4"/>
      <c r="I2103" s="10" t="str">
        <f>HYPERLINK("http://twitter.com/download/iphone","Twitter for iPhone")</f>
        <v>Twitter for iPhone</v>
      </c>
      <c r="J2103" s="2">
        <v>2690</v>
      </c>
      <c r="K2103" s="2">
        <v>2988</v>
      </c>
      <c r="L2103" s="2">
        <v>2</v>
      </c>
      <c r="M2103" s="2"/>
      <c r="N2103" s="8">
        <v>43282.516574074078</v>
      </c>
      <c r="O2103" s="4" t="s">
        <v>2289</v>
      </c>
      <c r="P2103" s="3" t="s">
        <v>2288</v>
      </c>
      <c r="Q2103" s="10" t="s">
        <v>2287</v>
      </c>
      <c r="R2103" s="4"/>
      <c r="S2103" s="9" t="str">
        <f>HYPERLINK("https://pbs.twimg.com/profile_images/1013330514940395521/rsOyEiEI.jpg","View")</f>
        <v>View</v>
      </c>
    </row>
    <row r="2104" spans="1:19" ht="20">
      <c r="A2104" s="8">
        <v>43370.248194444444</v>
      </c>
      <c r="B2104" s="11" t="str">
        <f>HYPERLINK("https://twitter.com/Somi28428186","@Somi28428186")</f>
        <v>@Somi28428186</v>
      </c>
      <c r="C2104" s="6" t="s">
        <v>2286</v>
      </c>
      <c r="D2104" s="5" t="s">
        <v>1812</v>
      </c>
      <c r="E2104" s="9" t="str">
        <f>HYPERLINK("https://twitter.com/Somi28428186/status/1045137802575458304","1045137802575458304")</f>
        <v>1045137802575458304</v>
      </c>
      <c r="F2104" s="4"/>
      <c r="G2104" s="4"/>
      <c r="H2104" s="4"/>
      <c r="I2104" s="10" t="str">
        <f>HYPERLINK("http://twitter.com/download/android","Twitter for Android")</f>
        <v>Twitter for Android</v>
      </c>
      <c r="J2104" s="2">
        <v>618</v>
      </c>
      <c r="K2104" s="2">
        <v>624</v>
      </c>
      <c r="L2104" s="2">
        <v>1</v>
      </c>
      <c r="M2104" s="2"/>
      <c r="N2104" s="8">
        <v>43290.999432870369</v>
      </c>
      <c r="O2104" s="4"/>
      <c r="P2104" s="3"/>
      <c r="Q2104" s="4"/>
      <c r="R2104" s="4"/>
      <c r="S2104" s="9" t="str">
        <f>HYPERLINK("https://pbs.twimg.com/profile_images/1042398248386871299/ALjGMLfN.jpg","View")</f>
        <v>View</v>
      </c>
    </row>
    <row r="2105" spans="1:19" ht="20">
      <c r="A2105" s="8">
        <v>43370.242430555554</v>
      </c>
      <c r="B2105" s="11" t="str">
        <f>HYPERLINK("https://twitter.com/amin_rt07","@amin_rt07")</f>
        <v>@amin_rt07</v>
      </c>
      <c r="C2105" s="6" t="s">
        <v>1197</v>
      </c>
      <c r="D2105" s="5" t="s">
        <v>2285</v>
      </c>
      <c r="E2105" s="9" t="str">
        <f>HYPERLINK("https://twitter.com/amin_rt07/status/1045135712625086464","1045135712625086464")</f>
        <v>1045135712625086464</v>
      </c>
      <c r="F2105" s="4"/>
      <c r="G2105" s="4"/>
      <c r="H2105" s="4"/>
      <c r="I2105" s="10" t="str">
        <f>HYPERLINK("http://example.com","RT_03")</f>
        <v>RT_03</v>
      </c>
      <c r="J2105" s="2">
        <v>3061</v>
      </c>
      <c r="K2105" s="2">
        <v>2325</v>
      </c>
      <c r="L2105" s="2">
        <v>10</v>
      </c>
      <c r="M2105" s="2"/>
      <c r="N2105" s="8">
        <v>42935.376192129625</v>
      </c>
      <c r="O2105" s="4" t="s">
        <v>1195</v>
      </c>
      <c r="P2105" s="3" t="s">
        <v>1194</v>
      </c>
      <c r="Q2105" s="4"/>
      <c r="R2105" s="4"/>
      <c r="S2105" s="9" t="str">
        <f>HYPERLINK("https://pbs.twimg.com/profile_images/890462059804188672/m3LVcUUm.jpg","View")</f>
        <v>View</v>
      </c>
    </row>
    <row r="2106" spans="1:19" ht="30">
      <c r="A2106" s="8">
        <v>43370.241759259261</v>
      </c>
      <c r="B2106" s="11" t="str">
        <f>HYPERLINK("https://twitter.com/ABALFAZLLL","@ABALFAZLLL")</f>
        <v>@ABALFAZLLL</v>
      </c>
      <c r="C2106" s="6" t="s">
        <v>2264</v>
      </c>
      <c r="D2106" s="5" t="s">
        <v>2284</v>
      </c>
      <c r="E2106" s="9" t="str">
        <f>HYPERLINK("https://twitter.com/ABALFAZLLL/status/1045135470873784320","1045135470873784320")</f>
        <v>1045135470873784320</v>
      </c>
      <c r="F2106" s="4"/>
      <c r="G2106" s="4"/>
      <c r="H2106" s="4"/>
      <c r="I2106" s="10" t="str">
        <f>HYPERLINK("http://twitter.com/download/android","Twitter for Android")</f>
        <v>Twitter for Android</v>
      </c>
      <c r="J2106" s="2">
        <v>483</v>
      </c>
      <c r="K2106" s="2">
        <v>202</v>
      </c>
      <c r="L2106" s="2">
        <v>1</v>
      </c>
      <c r="M2106" s="2"/>
      <c r="N2106" s="8">
        <v>42129.583506944444</v>
      </c>
      <c r="O2106" s="4" t="s">
        <v>62</v>
      </c>
      <c r="P2106" s="3" t="s">
        <v>2263</v>
      </c>
      <c r="Q2106" s="4"/>
      <c r="R2106" s="4"/>
      <c r="S2106" s="9" t="str">
        <f>HYPERLINK("https://pbs.twimg.com/profile_images/1038986075669188608/jeY3qSDl.jpg","View")</f>
        <v>View</v>
      </c>
    </row>
    <row r="2107" spans="1:19" ht="30">
      <c r="A2107" s="8">
        <v>43370.240393518514</v>
      </c>
      <c r="B2107" s="11" t="str">
        <f>HYPERLINK("https://twitter.com/barandazambot","@barandazambot")</f>
        <v>@barandazambot</v>
      </c>
      <c r="C2107" s="6" t="s">
        <v>46</v>
      </c>
      <c r="D2107" s="5" t="s">
        <v>2283</v>
      </c>
      <c r="E2107" s="9" t="str">
        <f>HYPERLINK("https://twitter.com/barandazambot/status/1045134977489412099","1045134977489412099")</f>
        <v>1045134977489412099</v>
      </c>
      <c r="F2107" s="4"/>
      <c r="G2107" s="4"/>
      <c r="H2107" s="4"/>
      <c r="I2107" s="10" t="str">
        <f>HYPERLINK("http://127.0.0.1","barandazambot")</f>
        <v>barandazambot</v>
      </c>
      <c r="J2107" s="2">
        <v>958</v>
      </c>
      <c r="K2107" s="2">
        <v>23</v>
      </c>
      <c r="L2107" s="2">
        <v>2</v>
      </c>
      <c r="M2107" s="2"/>
      <c r="N2107" s="8">
        <v>43293.668993055559</v>
      </c>
      <c r="O2107" s="4" t="s">
        <v>45</v>
      </c>
      <c r="P2107" s="3" t="s">
        <v>44</v>
      </c>
      <c r="Q2107" s="4"/>
      <c r="R2107" s="4"/>
      <c r="S2107" s="9" t="str">
        <f>HYPERLINK("https://pbs.twimg.com/profile_images/1017382724485730305/hGaBNoXG.jpg","View")</f>
        <v>View</v>
      </c>
    </row>
    <row r="2108" spans="1:19" ht="30">
      <c r="A2108" s="8">
        <v>43370.240393518514</v>
      </c>
      <c r="B2108" s="11" t="str">
        <f>HYPERLINK("https://twitter.com/ABALFAZLLL","@ABALFAZLLL")</f>
        <v>@ABALFAZLLL</v>
      </c>
      <c r="C2108" s="6" t="s">
        <v>2264</v>
      </c>
      <c r="D2108" s="5" t="s">
        <v>825</v>
      </c>
      <c r="E2108" s="9" t="str">
        <f>HYPERLINK("https://twitter.com/ABALFAZLLL/status/1045134976243699712","1045134976243699712")</f>
        <v>1045134976243699712</v>
      </c>
      <c r="F2108" s="4"/>
      <c r="G2108" s="4"/>
      <c r="H2108" s="4"/>
      <c r="I2108" s="10" t="str">
        <f>HYPERLINK("http://twitter.com/download/android","Twitter for Android")</f>
        <v>Twitter for Android</v>
      </c>
      <c r="J2108" s="2">
        <v>483</v>
      </c>
      <c r="K2108" s="2">
        <v>202</v>
      </c>
      <c r="L2108" s="2">
        <v>1</v>
      </c>
      <c r="M2108" s="2"/>
      <c r="N2108" s="8">
        <v>42129.583506944444</v>
      </c>
      <c r="O2108" s="4" t="s">
        <v>62</v>
      </c>
      <c r="P2108" s="3" t="s">
        <v>2263</v>
      </c>
      <c r="Q2108" s="4"/>
      <c r="R2108" s="4"/>
      <c r="S2108" s="9" t="str">
        <f>HYPERLINK("https://pbs.twimg.com/profile_images/1038986075669188608/jeY3qSDl.jpg","View")</f>
        <v>View</v>
      </c>
    </row>
    <row r="2109" spans="1:19" ht="30">
      <c r="A2109" s="8">
        <v>43370.240104166667</v>
      </c>
      <c r="B2109" s="11" t="str">
        <f>HYPERLINK("https://twitter.com/bar_andazam","@bar_andazam")</f>
        <v>@bar_andazam</v>
      </c>
      <c r="C2109" s="6" t="s">
        <v>2282</v>
      </c>
      <c r="D2109" s="5" t="s">
        <v>2281</v>
      </c>
      <c r="E2109" s="9" t="str">
        <f>HYPERLINK("https://twitter.com/bar_andazam/status/1045134872451457025","1045134872451457025")</f>
        <v>1045134872451457025</v>
      </c>
      <c r="F2109" s="4"/>
      <c r="G2109" s="4"/>
      <c r="H2109" s="4"/>
      <c r="I2109" s="10" t="str">
        <f>HYPERLINK("http://twitter.com/download/android","Twitter for Android")</f>
        <v>Twitter for Android</v>
      </c>
      <c r="J2109" s="2">
        <v>50</v>
      </c>
      <c r="K2109" s="2">
        <v>25</v>
      </c>
      <c r="L2109" s="2">
        <v>0</v>
      </c>
      <c r="M2109" s="2"/>
      <c r="N2109" s="8">
        <v>43270.316400462965</v>
      </c>
      <c r="O2109" s="4" t="s">
        <v>2280</v>
      </c>
      <c r="P2109" s="3" t="s">
        <v>2279</v>
      </c>
      <c r="Q2109" s="4"/>
      <c r="R2109" s="4"/>
      <c r="S2109" s="9" t="str">
        <f>HYPERLINK("https://pbs.twimg.com/profile_images/1009047631321026560/HuycapP2.jpg","View")</f>
        <v>View</v>
      </c>
    </row>
    <row r="2110" spans="1:19" ht="20">
      <c r="A2110" s="8">
        <v>43370.24009259259</v>
      </c>
      <c r="B2110" s="11" t="str">
        <f>HYPERLINK("https://twitter.com/m_amin_karimi","@m_amin_karimi")</f>
        <v>@m_amin_karimi</v>
      </c>
      <c r="C2110" s="6" t="s">
        <v>2278</v>
      </c>
      <c r="D2110" s="5" t="s">
        <v>2277</v>
      </c>
      <c r="E2110" s="9" t="str">
        <f>HYPERLINK("https://twitter.com/m_amin_karimi/status/1045134865384050688","1045134865384050688")</f>
        <v>1045134865384050688</v>
      </c>
      <c r="F2110" s="4"/>
      <c r="G2110" s="4"/>
      <c r="H2110" s="4"/>
      <c r="I2110" s="10" t="str">
        <f>HYPERLINK("https://mobile.twitter.com","Twitter Lite")</f>
        <v>Twitter Lite</v>
      </c>
      <c r="J2110" s="2">
        <v>1806</v>
      </c>
      <c r="K2110" s="2">
        <v>2931</v>
      </c>
      <c r="L2110" s="2">
        <v>2</v>
      </c>
      <c r="M2110" s="2"/>
      <c r="N2110" s="8">
        <v>42736.904363425929</v>
      </c>
      <c r="O2110" s="4" t="s">
        <v>62</v>
      </c>
      <c r="P2110" s="3" t="s">
        <v>2276</v>
      </c>
      <c r="Q2110" s="4"/>
      <c r="R2110" s="4"/>
      <c r="S2110" s="9" t="str">
        <f>HYPERLINK("https://pbs.twimg.com/profile_images/1039225070919380993/9A36KAHj.jpg","View")</f>
        <v>View</v>
      </c>
    </row>
    <row r="2111" spans="1:19" ht="30">
      <c r="A2111" s="8">
        <v>43370.23982638889</v>
      </c>
      <c r="B2111" s="11" t="str">
        <f>HYPERLINK("https://twitter.com/SoroorMohammad","@SoroorMohammad")</f>
        <v>@SoroorMohammad</v>
      </c>
      <c r="C2111" s="6" t="s">
        <v>2240</v>
      </c>
      <c r="D2111" s="5" t="s">
        <v>1317</v>
      </c>
      <c r="E2111" s="9" t="str">
        <f>HYPERLINK("https://twitter.com/SoroorMohammad/status/1045134770135609344","1045134770135609344")</f>
        <v>1045134770135609344</v>
      </c>
      <c r="F2111" s="4"/>
      <c r="G2111" s="4"/>
      <c r="H2111" s="4"/>
      <c r="I2111" s="10" t="str">
        <f>HYPERLINK("http://twitter.com/download/android","Twitter for Android")</f>
        <v>Twitter for Android</v>
      </c>
      <c r="J2111" s="2">
        <v>3600</v>
      </c>
      <c r="K2111" s="2">
        <v>3419</v>
      </c>
      <c r="L2111" s="2">
        <v>5</v>
      </c>
      <c r="M2111" s="2"/>
      <c r="N2111" s="8">
        <v>42955.453888888893</v>
      </c>
      <c r="O2111" s="4" t="s">
        <v>10</v>
      </c>
      <c r="P2111" s="3" t="s">
        <v>2239</v>
      </c>
      <c r="Q2111" s="4"/>
      <c r="R2111" s="4"/>
      <c r="S2111" s="9" t="str">
        <f>HYPERLINK("https://pbs.twimg.com/profile_images/899343943430811648/FZoT55it.jpg","View")</f>
        <v>View</v>
      </c>
    </row>
    <row r="2112" spans="1:19" ht="30">
      <c r="A2112" s="8">
        <v>43370.239780092597</v>
      </c>
      <c r="B2112" s="11" t="str">
        <f>HYPERLINK("https://twitter.com/hamidkoper","@hamidkoper")</f>
        <v>@hamidkoper</v>
      </c>
      <c r="C2112" s="6" t="s">
        <v>2275</v>
      </c>
      <c r="D2112" s="5" t="s">
        <v>2274</v>
      </c>
      <c r="E2112" s="9" t="str">
        <f>HYPERLINK("https://twitter.com/hamidkoper/status/1045134752255234048","1045134752255234048")</f>
        <v>1045134752255234048</v>
      </c>
      <c r="F2112" s="4"/>
      <c r="G2112" s="10" t="s">
        <v>2273</v>
      </c>
      <c r="H2112" s="4"/>
      <c r="I2112" s="10" t="str">
        <f>HYPERLINK("http://twitter.com","Twitter Web Client")</f>
        <v>Twitter Web Client</v>
      </c>
      <c r="J2112" s="2">
        <v>207</v>
      </c>
      <c r="K2112" s="2">
        <v>263</v>
      </c>
      <c r="L2112" s="2">
        <v>0</v>
      </c>
      <c r="M2112" s="2"/>
      <c r="N2112" s="8">
        <v>41670.175474537034</v>
      </c>
      <c r="O2112" s="4"/>
      <c r="P2112" s="3" t="s">
        <v>2272</v>
      </c>
      <c r="Q2112" s="4"/>
      <c r="R2112" s="4"/>
      <c r="S2112" s="2" t="s">
        <v>259</v>
      </c>
    </row>
    <row r="2113" spans="1:19" ht="50">
      <c r="A2113" s="8">
        <v>43370.237557870365</v>
      </c>
      <c r="B2113" s="11" t="str">
        <f>HYPERLINK("https://twitter.com/radecapelli","@radecapelli")</f>
        <v>@radecapelli</v>
      </c>
      <c r="C2113" s="6" t="s">
        <v>2271</v>
      </c>
      <c r="D2113" s="5" t="s">
        <v>1168</v>
      </c>
      <c r="E2113" s="9" t="str">
        <f>HYPERLINK("https://twitter.com/radecapelli/status/1045133947850633216","1045133947850633216")</f>
        <v>1045133947850633216</v>
      </c>
      <c r="F2113" s="4"/>
      <c r="G2113" s="10" t="s">
        <v>907</v>
      </c>
      <c r="H2113" s="4"/>
      <c r="I2113" s="10" t="str">
        <f>HYPERLINK("http://twitter.com/download/iphone","Twitter for iPhone")</f>
        <v>Twitter for iPhone</v>
      </c>
      <c r="J2113" s="2">
        <v>1564</v>
      </c>
      <c r="K2113" s="2">
        <v>5005</v>
      </c>
      <c r="L2113" s="2">
        <v>4</v>
      </c>
      <c r="M2113" s="2"/>
      <c r="N2113" s="8">
        <v>41694.889421296299</v>
      </c>
      <c r="O2113" s="4" t="s">
        <v>10</v>
      </c>
      <c r="P2113" s="3" t="s">
        <v>2270</v>
      </c>
      <c r="Q2113" s="4"/>
      <c r="R2113" s="4"/>
      <c r="S2113" s="9" t="str">
        <f>HYPERLINK("https://pbs.twimg.com/profile_images/1035568044817494016/HrYVvpRt.jpg","View")</f>
        <v>View</v>
      </c>
    </row>
    <row r="2114" spans="1:19" ht="20">
      <c r="A2114" s="8">
        <v>43370.236701388887</v>
      </c>
      <c r="B2114" s="11" t="str">
        <f>HYPERLINK("https://twitter.com/Eyewitness777","@Eyewitness777")</f>
        <v>@Eyewitness777</v>
      </c>
      <c r="C2114" s="6" t="s">
        <v>2269</v>
      </c>
      <c r="D2114" s="5" t="s">
        <v>2268</v>
      </c>
      <c r="E2114" s="9" t="str">
        <f>HYPERLINK("https://twitter.com/Eyewitness777/status/1045133639078436864","1045133639078436864")</f>
        <v>1045133639078436864</v>
      </c>
      <c r="F2114" s="4"/>
      <c r="G2114" s="4"/>
      <c r="H2114" s="4"/>
      <c r="I2114" s="10" t="str">
        <f>HYPERLINK("http://twitter.com/download/iphone","Twitter for iPhone")</f>
        <v>Twitter for iPhone</v>
      </c>
      <c r="J2114" s="2">
        <v>75</v>
      </c>
      <c r="K2114" s="2">
        <v>431</v>
      </c>
      <c r="L2114" s="2">
        <v>0</v>
      </c>
      <c r="M2114" s="2"/>
      <c r="N2114" s="8">
        <v>43223.516828703709</v>
      </c>
      <c r="O2114" s="4" t="s">
        <v>2267</v>
      </c>
      <c r="P2114" s="3" t="s">
        <v>2266</v>
      </c>
      <c r="Q2114" s="4"/>
      <c r="R2114" s="4"/>
      <c r="S2114" s="9" t="str">
        <f>HYPERLINK("https://pbs.twimg.com/profile_images/992152221981728768/oduFyWkg.jpg","View")</f>
        <v>View</v>
      </c>
    </row>
    <row r="2115" spans="1:19" ht="30">
      <c r="A2115" s="8">
        <v>43370.236458333333</v>
      </c>
      <c r="B2115" s="11" t="str">
        <f>HYPERLINK("https://twitter.com/ABALFAZLLL","@ABALFAZLLL")</f>
        <v>@ABALFAZLLL</v>
      </c>
      <c r="C2115" s="6" t="s">
        <v>2264</v>
      </c>
      <c r="D2115" s="5" t="s">
        <v>2265</v>
      </c>
      <c r="E2115" s="9" t="str">
        <f>HYPERLINK("https://twitter.com/ABALFAZLLL/status/1045133549026902017","1045133549026902017")</f>
        <v>1045133549026902017</v>
      </c>
      <c r="F2115" s="4"/>
      <c r="G2115" s="4"/>
      <c r="H2115" s="4"/>
      <c r="I2115" s="10" t="str">
        <f>HYPERLINK("http://twitter.com/download/android","Twitter for Android")</f>
        <v>Twitter for Android</v>
      </c>
      <c r="J2115" s="2">
        <v>483</v>
      </c>
      <c r="K2115" s="2">
        <v>202</v>
      </c>
      <c r="L2115" s="2">
        <v>1</v>
      </c>
      <c r="M2115" s="2"/>
      <c r="N2115" s="8">
        <v>42129.583506944444</v>
      </c>
      <c r="O2115" s="4" t="s">
        <v>62</v>
      </c>
      <c r="P2115" s="3" t="s">
        <v>2263</v>
      </c>
      <c r="Q2115" s="4"/>
      <c r="R2115" s="4"/>
      <c r="S2115" s="9" t="str">
        <f>HYPERLINK("https://pbs.twimg.com/profile_images/1038986075669188608/jeY3qSDl.jpg","View")</f>
        <v>View</v>
      </c>
    </row>
    <row r="2116" spans="1:19" ht="30">
      <c r="A2116" s="8">
        <v>43370.233807870369</v>
      </c>
      <c r="B2116" s="11" t="str">
        <f>HYPERLINK("https://twitter.com/ABALFAZLLL","@ABALFAZLLL")</f>
        <v>@ABALFAZLLL</v>
      </c>
      <c r="C2116" s="6" t="s">
        <v>2264</v>
      </c>
      <c r="D2116" s="5" t="s">
        <v>354</v>
      </c>
      <c r="E2116" s="9" t="str">
        <f>HYPERLINK("https://twitter.com/ABALFAZLLL/status/1045132589969887233","1045132589969887233")</f>
        <v>1045132589969887233</v>
      </c>
      <c r="F2116" s="4"/>
      <c r="G2116" s="4"/>
      <c r="H2116" s="4"/>
      <c r="I2116" s="10" t="str">
        <f>HYPERLINK("http://twitter.com/download/android","Twitter for Android")</f>
        <v>Twitter for Android</v>
      </c>
      <c r="J2116" s="2">
        <v>483</v>
      </c>
      <c r="K2116" s="2">
        <v>202</v>
      </c>
      <c r="L2116" s="2">
        <v>1</v>
      </c>
      <c r="M2116" s="2"/>
      <c r="N2116" s="8">
        <v>42129.583506944444</v>
      </c>
      <c r="O2116" s="4" t="s">
        <v>62</v>
      </c>
      <c r="P2116" s="3" t="s">
        <v>2263</v>
      </c>
      <c r="Q2116" s="4"/>
      <c r="R2116" s="4"/>
      <c r="S2116" s="9" t="str">
        <f>HYPERLINK("https://pbs.twimg.com/profile_images/1038986075669188608/jeY3qSDl.jpg","View")</f>
        <v>View</v>
      </c>
    </row>
    <row r="2117" spans="1:19" ht="20">
      <c r="A2117" s="8">
        <v>43370.230624999997</v>
      </c>
      <c r="B2117" s="11" t="str">
        <f>HYPERLINK("https://twitter.com/RoboRevealer","@RoboRevealer")</f>
        <v>@RoboRevealer</v>
      </c>
      <c r="C2117" s="6" t="s">
        <v>2262</v>
      </c>
      <c r="D2117" s="5" t="s">
        <v>2141</v>
      </c>
      <c r="E2117" s="9" t="str">
        <f>HYPERLINK("https://twitter.com/RoboRevealer/status/1045131435621978112","1045131435621978112")</f>
        <v>1045131435621978112</v>
      </c>
      <c r="F2117" s="4"/>
      <c r="G2117" s="4"/>
      <c r="H2117" s="4"/>
      <c r="I2117" s="10" t="str">
        <f>HYPERLINK("http://twitter.com","Twitter Web Client")</f>
        <v>Twitter Web Client</v>
      </c>
      <c r="J2117" s="2">
        <v>334</v>
      </c>
      <c r="K2117" s="2">
        <v>360</v>
      </c>
      <c r="L2117" s="2">
        <v>0</v>
      </c>
      <c r="M2117" s="2"/>
      <c r="N2117" s="8">
        <v>39980.385706018518</v>
      </c>
      <c r="O2117" s="4" t="s">
        <v>741</v>
      </c>
      <c r="P2117" s="3" t="s">
        <v>2261</v>
      </c>
      <c r="Q2117" s="4"/>
      <c r="R2117" s="4"/>
      <c r="S2117" s="9" t="str">
        <f>HYPERLINK("https://pbs.twimg.com/profile_images/1025078653313581056/NgaR2oZk.jpg","View")</f>
        <v>View</v>
      </c>
    </row>
    <row r="2118" spans="1:19" ht="20">
      <c r="A2118" s="8">
        <v>43370.228101851855</v>
      </c>
      <c r="B2118" s="11" t="str">
        <f>HYPERLINK("https://twitter.com/majid2018majid","@majid2018majid")</f>
        <v>@majid2018majid</v>
      </c>
      <c r="C2118" s="6" t="s">
        <v>2255</v>
      </c>
      <c r="D2118" s="5" t="s">
        <v>2260</v>
      </c>
      <c r="E2118" s="9" t="str">
        <f>HYPERLINK("https://twitter.com/majid2018majid/status/1045130522731728896","1045130522731728896")</f>
        <v>1045130522731728896</v>
      </c>
      <c r="F2118" s="4"/>
      <c r="G2118" s="10" t="s">
        <v>2259</v>
      </c>
      <c r="H2118" s="4"/>
      <c r="I2118" s="10" t="str">
        <f>HYPERLINK("http://twitter.com/download/android","Twitter for Android")</f>
        <v>Twitter for Android</v>
      </c>
      <c r="J2118" s="2">
        <v>220</v>
      </c>
      <c r="K2118" s="2">
        <v>56</v>
      </c>
      <c r="L2118" s="2">
        <v>2</v>
      </c>
      <c r="M2118" s="2"/>
      <c r="N2118" s="8">
        <v>43150.472407407404</v>
      </c>
      <c r="O2118" s="4"/>
      <c r="P2118" s="3" t="s">
        <v>2252</v>
      </c>
      <c r="Q2118" s="4"/>
      <c r="R2118" s="4"/>
      <c r="S2118" s="9" t="str">
        <f>HYPERLINK("https://pbs.twimg.com/profile_images/1044683603840503809/EJaEYTeR.jpg","View")</f>
        <v>View</v>
      </c>
    </row>
    <row r="2119" spans="1:19" ht="30">
      <c r="A2119" s="8">
        <v>43370.226458333331</v>
      </c>
      <c r="B2119" s="11" t="str">
        <f>HYPERLINK("https://twitter.com/Perspolis6_0","@Perspolis6_0")</f>
        <v>@Perspolis6_0</v>
      </c>
      <c r="C2119" s="6" t="s">
        <v>197</v>
      </c>
      <c r="D2119" s="5" t="s">
        <v>498</v>
      </c>
      <c r="E2119" s="9" t="str">
        <f>HYPERLINK("https://twitter.com/Perspolis6_0/status/1045129925592842241","1045129925592842241")</f>
        <v>1045129925592842241</v>
      </c>
      <c r="F2119" s="4"/>
      <c r="G2119" s="4"/>
      <c r="H2119" s="4"/>
      <c r="I2119" s="10" t="str">
        <f>HYPERLINK("http://twitter.com/download/android","Twitter for Android")</f>
        <v>Twitter for Android</v>
      </c>
      <c r="J2119" s="2">
        <v>332</v>
      </c>
      <c r="K2119" s="2">
        <v>351</v>
      </c>
      <c r="L2119" s="2">
        <v>12</v>
      </c>
      <c r="M2119" s="2"/>
      <c r="N2119" s="8">
        <v>42450.975451388891</v>
      </c>
      <c r="O2119" s="4" t="s">
        <v>194</v>
      </c>
      <c r="P2119" s="3" t="s">
        <v>193</v>
      </c>
      <c r="Q2119" s="4"/>
      <c r="R2119" s="4"/>
      <c r="S2119" s="9" t="str">
        <f>HYPERLINK("https://pbs.twimg.com/profile_images/1044270545569816581/KqyeAtBB.jpg","View")</f>
        <v>View</v>
      </c>
    </row>
    <row r="2120" spans="1:19" ht="20">
      <c r="A2120" s="8">
        <v>43370.218831018516</v>
      </c>
      <c r="B2120" s="11" t="str">
        <f>HYPERLINK("https://twitter.com/Y_sd____","@Y_sd____")</f>
        <v>@Y_sd____</v>
      </c>
      <c r="C2120" s="6" t="s">
        <v>2258</v>
      </c>
      <c r="D2120" s="5" t="s">
        <v>2257</v>
      </c>
      <c r="E2120" s="9" t="str">
        <f>HYPERLINK("https://twitter.com/Y_sd____/status/1045127163341688837","1045127163341688837")</f>
        <v>1045127163341688837</v>
      </c>
      <c r="F2120" s="4"/>
      <c r="G2120" s="4"/>
      <c r="H2120" s="4"/>
      <c r="I2120" s="10" t="str">
        <f>HYPERLINK("http://twitter.com/download/android","Twitter for Android")</f>
        <v>Twitter for Android</v>
      </c>
      <c r="J2120" s="2">
        <v>399</v>
      </c>
      <c r="K2120" s="2">
        <v>476</v>
      </c>
      <c r="L2120" s="2">
        <v>0</v>
      </c>
      <c r="M2120" s="2"/>
      <c r="N2120" s="8">
        <v>43168.484861111108</v>
      </c>
      <c r="O2120" s="4"/>
      <c r="P2120" s="3" t="s">
        <v>2256</v>
      </c>
      <c r="Q2120" s="4"/>
      <c r="R2120" s="4"/>
      <c r="S2120" s="9" t="str">
        <f>HYPERLINK("https://pbs.twimg.com/profile_images/1041363139936374785/-yqOUjTQ.jpg","View")</f>
        <v>View</v>
      </c>
    </row>
    <row r="2121" spans="1:19" ht="20">
      <c r="A2121" s="8">
        <v>43370.218182870369</v>
      </c>
      <c r="B2121" s="11" t="str">
        <f>HYPERLINK("https://twitter.com/majid2018majid","@majid2018majid")</f>
        <v>@majid2018majid</v>
      </c>
      <c r="C2121" s="6" t="s">
        <v>2255</v>
      </c>
      <c r="D2121" s="5" t="s">
        <v>2254</v>
      </c>
      <c r="E2121" s="9" t="str">
        <f>HYPERLINK("https://twitter.com/majid2018majid/status/1045126928477376512","1045126928477376512")</f>
        <v>1045126928477376512</v>
      </c>
      <c r="F2121" s="4"/>
      <c r="G2121" s="10" t="s">
        <v>2253</v>
      </c>
      <c r="H2121" s="4"/>
      <c r="I2121" s="10" t="str">
        <f>HYPERLINK("http://twitter.com/download/android","Twitter for Android")</f>
        <v>Twitter for Android</v>
      </c>
      <c r="J2121" s="2">
        <v>220</v>
      </c>
      <c r="K2121" s="2">
        <v>56</v>
      </c>
      <c r="L2121" s="2">
        <v>2</v>
      </c>
      <c r="M2121" s="2"/>
      <c r="N2121" s="8">
        <v>43150.472407407404</v>
      </c>
      <c r="O2121" s="4"/>
      <c r="P2121" s="3" t="s">
        <v>2252</v>
      </c>
      <c r="Q2121" s="4"/>
      <c r="R2121" s="4"/>
      <c r="S2121" s="9" t="str">
        <f>HYPERLINK("https://pbs.twimg.com/profile_images/1044683603840503809/EJaEYTeR.jpg","View")</f>
        <v>View</v>
      </c>
    </row>
    <row r="2122" spans="1:19" ht="30">
      <c r="A2122" s="8">
        <v>43370.218159722222</v>
      </c>
      <c r="B2122" s="11" t="str">
        <f>HYPERLINK("https://twitter.com/abdulwahedkaabi","@abdulwahedkaabi")</f>
        <v>@abdulwahedkaabi</v>
      </c>
      <c r="C2122" s="6" t="s">
        <v>2251</v>
      </c>
      <c r="D2122" s="5" t="s">
        <v>2250</v>
      </c>
      <c r="E2122" s="9" t="str">
        <f>HYPERLINK("https://twitter.com/abdulwahedkaabi/status/1045126919455485958","1045126919455485958")</f>
        <v>1045126919455485958</v>
      </c>
      <c r="F2122" s="4"/>
      <c r="G2122" s="10" t="s">
        <v>2247</v>
      </c>
      <c r="H2122" s="4"/>
      <c r="I2122" s="10" t="str">
        <f>HYPERLINK("http://twitter.com/download/iphone","Twitter for iPhone")</f>
        <v>Twitter for iPhone</v>
      </c>
      <c r="J2122" s="2">
        <v>2320</v>
      </c>
      <c r="K2122" s="2">
        <v>930</v>
      </c>
      <c r="L2122" s="2">
        <v>7</v>
      </c>
      <c r="M2122" s="2"/>
      <c r="N2122" s="8">
        <v>41167.545636574076</v>
      </c>
      <c r="O2122" s="4"/>
      <c r="P2122" s="3"/>
      <c r="Q2122" s="4"/>
      <c r="R2122" s="4"/>
      <c r="S2122" s="9" t="str">
        <f>HYPERLINK("https://pbs.twimg.com/profile_images/1028668369808109573/aImsfXap.jpg","View")</f>
        <v>View</v>
      </c>
    </row>
    <row r="2123" spans="1:19" ht="30">
      <c r="A2123" s="8">
        <v>43370.216365740736</v>
      </c>
      <c r="B2123" s="11" t="str">
        <f>HYPERLINK("https://twitter.com/alain_4u","@alain_4u")</f>
        <v>@alain_4u</v>
      </c>
      <c r="C2123" s="6" t="s">
        <v>2249</v>
      </c>
      <c r="D2123" s="5" t="s">
        <v>2248</v>
      </c>
      <c r="E2123" s="9" t="str">
        <f>HYPERLINK("https://twitter.com/alain_4u/status/1045126269048958986","1045126269048958986")</f>
        <v>1045126269048958986</v>
      </c>
      <c r="F2123" s="4"/>
      <c r="G2123" s="10" t="s">
        <v>2247</v>
      </c>
      <c r="H2123" s="4"/>
      <c r="I2123" s="10" t="str">
        <f>HYPERLINK("https://about.twitter.com/products/tweetdeck","TweetDeck")</f>
        <v>TweetDeck</v>
      </c>
      <c r="J2123" s="2">
        <v>1502531</v>
      </c>
      <c r="K2123" s="2">
        <v>7</v>
      </c>
      <c r="L2123" s="2">
        <v>423</v>
      </c>
      <c r="M2123" s="2" t="s">
        <v>1701</v>
      </c>
      <c r="N2123" s="8">
        <v>41082.86855324074</v>
      </c>
      <c r="O2123" s="4" t="s">
        <v>2246</v>
      </c>
      <c r="P2123" s="3" t="s">
        <v>2245</v>
      </c>
      <c r="Q2123" s="10" t="s">
        <v>2244</v>
      </c>
      <c r="R2123" s="4"/>
      <c r="S2123" s="9" t="str">
        <f>HYPERLINK("https://pbs.twimg.com/profile_images/1018132189446397952/na0gVTqc.jpg","View")</f>
        <v>View</v>
      </c>
    </row>
    <row r="2124" spans="1:19" ht="40">
      <c r="A2124" s="8">
        <v>43370.216261574074</v>
      </c>
      <c r="B2124" s="11" t="str">
        <f>HYPERLINK("https://twitter.com/Perspolis6_0","@Perspolis6_0")</f>
        <v>@Perspolis6_0</v>
      </c>
      <c r="C2124" s="6" t="s">
        <v>197</v>
      </c>
      <c r="D2124" s="5" t="s">
        <v>29</v>
      </c>
      <c r="E2124" s="9" t="str">
        <f>HYPERLINK("https://twitter.com/Perspolis6_0/status/1045126230440366082","1045126230440366082")</f>
        <v>1045126230440366082</v>
      </c>
      <c r="F2124" s="4"/>
      <c r="G2124" s="10" t="s">
        <v>28</v>
      </c>
      <c r="H2124" s="4"/>
      <c r="I2124" s="10" t="str">
        <f>HYPERLINK("http://twitter.com/download/android","Twitter for Android")</f>
        <v>Twitter for Android</v>
      </c>
      <c r="J2124" s="2">
        <v>332</v>
      </c>
      <c r="K2124" s="2">
        <v>352</v>
      </c>
      <c r="L2124" s="2">
        <v>12</v>
      </c>
      <c r="M2124" s="2"/>
      <c r="N2124" s="8">
        <v>42450.975451388891</v>
      </c>
      <c r="O2124" s="4" t="s">
        <v>194</v>
      </c>
      <c r="P2124" s="3" t="s">
        <v>193</v>
      </c>
      <c r="Q2124" s="4"/>
      <c r="R2124" s="4"/>
      <c r="S2124" s="9" t="str">
        <f>HYPERLINK("https://pbs.twimg.com/profile_images/1044270545569816581/KqyeAtBB.jpg","View")</f>
        <v>View</v>
      </c>
    </row>
    <row r="2125" spans="1:19" ht="50">
      <c r="A2125" s="8">
        <v>43370.210543981477</v>
      </c>
      <c r="B2125" s="11" t="str">
        <f>HYPERLINK("https://twitter.com/barandazambot","@barandazambot")</f>
        <v>@barandazambot</v>
      </c>
      <c r="C2125" s="6" t="s">
        <v>46</v>
      </c>
      <c r="D2125" s="5" t="s">
        <v>927</v>
      </c>
      <c r="E2125" s="9" t="str">
        <f>HYPERLINK("https://twitter.com/barandazambot/status/1045124157791490053","1045124157791490053")</f>
        <v>1045124157791490053</v>
      </c>
      <c r="F2125" s="4"/>
      <c r="G2125" s="10" t="s">
        <v>926</v>
      </c>
      <c r="H2125" s="4"/>
      <c r="I2125" s="10" t="str">
        <f>HYPERLINK("http://127.0.0.1","barandazambot")</f>
        <v>barandazambot</v>
      </c>
      <c r="J2125" s="2">
        <v>955</v>
      </c>
      <c r="K2125" s="2">
        <v>23</v>
      </c>
      <c r="L2125" s="2">
        <v>2</v>
      </c>
      <c r="M2125" s="2"/>
      <c r="N2125" s="8">
        <v>43293.668993055559</v>
      </c>
      <c r="O2125" s="4" t="s">
        <v>45</v>
      </c>
      <c r="P2125" s="3" t="s">
        <v>44</v>
      </c>
      <c r="Q2125" s="4"/>
      <c r="R2125" s="4"/>
      <c r="S2125" s="9" t="str">
        <f>HYPERLINK("https://pbs.twimg.com/profile_images/1017382724485730305/hGaBNoXG.jpg","View")</f>
        <v>View</v>
      </c>
    </row>
    <row r="2126" spans="1:19" ht="50">
      <c r="A2126" s="8">
        <v>43370.210092592592</v>
      </c>
      <c r="B2126" s="11" t="str">
        <f>HYPERLINK("https://twitter.com/farzandIR","@farzandIR")</f>
        <v>@farzandIR</v>
      </c>
      <c r="C2126" s="6" t="s">
        <v>2243</v>
      </c>
      <c r="D2126" s="5" t="s">
        <v>927</v>
      </c>
      <c r="E2126" s="9" t="str">
        <f>HYPERLINK("https://twitter.com/farzandIR/status/1045123995450966016","1045123995450966016")</f>
        <v>1045123995450966016</v>
      </c>
      <c r="F2126" s="4"/>
      <c r="G2126" s="10" t="s">
        <v>926</v>
      </c>
      <c r="H2126" s="4"/>
      <c r="I2126" s="10" t="str">
        <f>HYPERLINK("http://twitter.com/download/android","Twitter for Android")</f>
        <v>Twitter for Android</v>
      </c>
      <c r="J2126" s="2">
        <v>2549</v>
      </c>
      <c r="K2126" s="2">
        <v>4447</v>
      </c>
      <c r="L2126" s="2">
        <v>2</v>
      </c>
      <c r="M2126" s="2"/>
      <c r="N2126" s="8">
        <v>43132.345486111109</v>
      </c>
      <c r="O2126" s="4" t="s">
        <v>2242</v>
      </c>
      <c r="P2126" s="3" t="s">
        <v>2241</v>
      </c>
      <c r="Q2126" s="4"/>
      <c r="R2126" s="4"/>
      <c r="S2126" s="9" t="str">
        <f>HYPERLINK("https://pbs.twimg.com/profile_images/1025679533012393984/Hxcn89AY.jpg","View")</f>
        <v>View</v>
      </c>
    </row>
    <row r="2127" spans="1:19" ht="30">
      <c r="A2127" s="8">
        <v>43370.205879629633</v>
      </c>
      <c r="B2127" s="11" t="str">
        <f>HYPERLINK("https://twitter.com/SoroorMohammad","@SoroorMohammad")</f>
        <v>@SoroorMohammad</v>
      </c>
      <c r="C2127" s="6" t="s">
        <v>2240</v>
      </c>
      <c r="D2127" s="5" t="s">
        <v>1812</v>
      </c>
      <c r="E2127" s="9" t="str">
        <f>HYPERLINK("https://twitter.com/SoroorMohammad/status/1045122467872821248","1045122467872821248")</f>
        <v>1045122467872821248</v>
      </c>
      <c r="F2127" s="4"/>
      <c r="G2127" s="4"/>
      <c r="H2127" s="4"/>
      <c r="I2127" s="10" t="str">
        <f>HYPERLINK("http://twitter.com/download/android","Twitter for Android")</f>
        <v>Twitter for Android</v>
      </c>
      <c r="J2127" s="2">
        <v>3600</v>
      </c>
      <c r="K2127" s="2">
        <v>3419</v>
      </c>
      <c r="L2127" s="2">
        <v>5</v>
      </c>
      <c r="M2127" s="2"/>
      <c r="N2127" s="8">
        <v>42955.453888888893</v>
      </c>
      <c r="O2127" s="4" t="s">
        <v>10</v>
      </c>
      <c r="P2127" s="3" t="s">
        <v>2239</v>
      </c>
      <c r="Q2127" s="4"/>
      <c r="R2127" s="4"/>
      <c r="S2127" s="9" t="str">
        <f>HYPERLINK("https://pbs.twimg.com/profile_images/899343943430811648/FZoT55it.jpg","View")</f>
        <v>View</v>
      </c>
    </row>
    <row r="2128" spans="1:19" ht="40">
      <c r="A2128" s="8">
        <v>43370.199293981481</v>
      </c>
      <c r="B2128" s="11" t="str">
        <f>HYPERLINK("https://twitter.com/Mimabedi","@Mimabedi")</f>
        <v>@Mimabedi</v>
      </c>
      <c r="C2128" s="6" t="s">
        <v>2238</v>
      </c>
      <c r="D2128" s="5" t="s">
        <v>20</v>
      </c>
      <c r="E2128" s="9" t="str">
        <f>HYPERLINK("https://twitter.com/Mimabedi/status/1045120082521853952","1045120082521853952")</f>
        <v>1045120082521853952</v>
      </c>
      <c r="F2128" s="4"/>
      <c r="G2128" s="10" t="s">
        <v>19</v>
      </c>
      <c r="H2128" s="4"/>
      <c r="I2128" s="10" t="str">
        <f>HYPERLINK("http://twitter.com","Twitter Web Client")</f>
        <v>Twitter Web Client</v>
      </c>
      <c r="J2128" s="2">
        <v>7227</v>
      </c>
      <c r="K2128" s="2">
        <v>395</v>
      </c>
      <c r="L2128" s="2">
        <v>64</v>
      </c>
      <c r="M2128" s="2"/>
      <c r="N2128" s="8">
        <v>40447.307557870372</v>
      </c>
      <c r="O2128" s="4"/>
      <c r="P2128" s="3" t="s">
        <v>2237</v>
      </c>
      <c r="Q2128" s="10" t="s">
        <v>2236</v>
      </c>
      <c r="R2128" s="4"/>
      <c r="S2128" s="9" t="str">
        <f>HYPERLINK("https://pbs.twimg.com/profile_images/892342564065386496/2bf2FIyd.jpg","View")</f>
        <v>View</v>
      </c>
    </row>
    <row r="2129" spans="1:19" ht="20">
      <c r="A2129" s="8">
        <v>43370.184317129635</v>
      </c>
      <c r="B2129" s="11" t="str">
        <f>HYPERLINK("https://twitter.com/filleduprintemp","@filleduprintemp")</f>
        <v>@filleduprintemp</v>
      </c>
      <c r="C2129" s="6" t="s">
        <v>2235</v>
      </c>
      <c r="D2129" s="5" t="s">
        <v>2227</v>
      </c>
      <c r="E2129" s="9" t="str">
        <f>HYPERLINK("https://twitter.com/filleduprintemp/status/1045114652261322752","1045114652261322752")</f>
        <v>1045114652261322752</v>
      </c>
      <c r="F2129" s="4"/>
      <c r="G2129" s="10" t="s">
        <v>2226</v>
      </c>
      <c r="H2129" s="4"/>
      <c r="I2129" s="10" t="str">
        <f>HYPERLINK("http://twitter.com/download/iphone","Twitter for iPhone")</f>
        <v>Twitter for iPhone</v>
      </c>
      <c r="J2129" s="2">
        <v>2482</v>
      </c>
      <c r="K2129" s="2">
        <v>470</v>
      </c>
      <c r="L2129" s="2">
        <v>21</v>
      </c>
      <c r="M2129" s="2"/>
      <c r="N2129" s="8">
        <v>41554.406539351854</v>
      </c>
      <c r="O2129" s="4" t="s">
        <v>2234</v>
      </c>
      <c r="P2129" s="3" t="s">
        <v>2233</v>
      </c>
      <c r="Q2129" s="4"/>
      <c r="R2129" s="4"/>
      <c r="S2129" s="9" t="str">
        <f>HYPERLINK("https://pbs.twimg.com/profile_images/938479349615026177/ITCLjmVy.jpg","View")</f>
        <v>View</v>
      </c>
    </row>
    <row r="2130" spans="1:19" ht="30">
      <c r="A2130" s="8">
        <v>43370.184016203704</v>
      </c>
      <c r="B2130" s="11" t="str">
        <f>HYPERLINK("https://twitter.com/___delbar___","@___delbar___")</f>
        <v>@___delbar___</v>
      </c>
      <c r="C2130" s="6" t="s">
        <v>2232</v>
      </c>
      <c r="D2130" s="5" t="s">
        <v>2227</v>
      </c>
      <c r="E2130" s="9" t="str">
        <f>HYPERLINK("https://twitter.com/___delbar___/status/1045114543091929089","1045114543091929089")</f>
        <v>1045114543091929089</v>
      </c>
      <c r="F2130" s="4"/>
      <c r="G2130" s="10" t="s">
        <v>2226</v>
      </c>
      <c r="H2130" s="4"/>
      <c r="I2130" s="10" t="str">
        <f>HYPERLINK("http://twitter.com/download/iphone","Twitter for iPhone")</f>
        <v>Twitter for iPhone</v>
      </c>
      <c r="J2130" s="2">
        <v>7337</v>
      </c>
      <c r="K2130" s="2">
        <v>594</v>
      </c>
      <c r="L2130" s="2">
        <v>18</v>
      </c>
      <c r="M2130" s="2"/>
      <c r="N2130" s="8">
        <v>41395.631192129629</v>
      </c>
      <c r="O2130" s="4" t="s">
        <v>2231</v>
      </c>
      <c r="P2130" s="3" t="s">
        <v>2230</v>
      </c>
      <c r="Q2130" s="10" t="s">
        <v>2229</v>
      </c>
      <c r="R2130" s="4"/>
      <c r="S2130" s="9" t="str">
        <f>HYPERLINK("https://pbs.twimg.com/profile_images/1044713534825869314/a6_9GRnv.jpg","View")</f>
        <v>View</v>
      </c>
    </row>
    <row r="2131" spans="1:19" ht="20">
      <c r="A2131" s="8">
        <v>43370.183379629627</v>
      </c>
      <c r="B2131" s="11" t="str">
        <f>HYPERLINK("https://twitter.com/sorbitolC6H14O6","@sorbitolC6H14O6")</f>
        <v>@sorbitolC6H14O6</v>
      </c>
      <c r="C2131" s="6" t="s">
        <v>2228</v>
      </c>
      <c r="D2131" s="5" t="s">
        <v>2227</v>
      </c>
      <c r="E2131" s="9" t="str">
        <f>HYPERLINK("https://twitter.com/sorbitolC6H14O6/status/1045114312912785408","1045114312912785408")</f>
        <v>1045114312912785408</v>
      </c>
      <c r="F2131" s="4"/>
      <c r="G2131" s="10" t="s">
        <v>2226</v>
      </c>
      <c r="H2131" s="4"/>
      <c r="I2131" s="10" t="str">
        <f>HYPERLINK("http://twitter.com/download/iphone","Twitter for iPhone")</f>
        <v>Twitter for iPhone</v>
      </c>
      <c r="J2131" s="2">
        <v>3799</v>
      </c>
      <c r="K2131" s="2">
        <v>741</v>
      </c>
      <c r="L2131" s="2">
        <v>29</v>
      </c>
      <c r="M2131" s="2"/>
      <c r="N2131" s="8">
        <v>41463.060115740736</v>
      </c>
      <c r="O2131" s="4"/>
      <c r="P2131" s="3" t="s">
        <v>2225</v>
      </c>
      <c r="Q2131" s="4"/>
      <c r="R2131" s="4"/>
      <c r="S2131" s="9" t="str">
        <f>HYPERLINK("https://pbs.twimg.com/profile_images/1030410919799607296/-jLihCd2.jpg","View")</f>
        <v>View</v>
      </c>
    </row>
    <row r="2132" spans="1:19" ht="30">
      <c r="A2132" s="8">
        <v>43370.181226851855</v>
      </c>
      <c r="B2132" s="11" t="str">
        <f>HYPERLINK("https://twitter.com/soheilhbk","@soheilhbk")</f>
        <v>@soheilhbk</v>
      </c>
      <c r="C2132" s="6" t="s">
        <v>2224</v>
      </c>
      <c r="D2132" s="5" t="s">
        <v>2223</v>
      </c>
      <c r="E2132" s="9" t="str">
        <f>HYPERLINK("https://twitter.com/soheilhbk/status/1045113534617653248","1045113534617653248")</f>
        <v>1045113534617653248</v>
      </c>
      <c r="F2132" s="4"/>
      <c r="G2132" s="10" t="s">
        <v>2222</v>
      </c>
      <c r="H2132" s="4"/>
      <c r="I2132" s="10" t="str">
        <f>HYPERLINK("http://twitter.com/download/android","Twitter for Android")</f>
        <v>Twitter for Android</v>
      </c>
      <c r="J2132" s="2">
        <v>24</v>
      </c>
      <c r="K2132" s="2">
        <v>17</v>
      </c>
      <c r="L2132" s="2">
        <v>0</v>
      </c>
      <c r="M2132" s="2"/>
      <c r="N2132" s="8">
        <v>43110.08929398148</v>
      </c>
      <c r="O2132" s="4"/>
      <c r="P2132" s="3" t="s">
        <v>2221</v>
      </c>
      <c r="Q2132" s="4"/>
      <c r="R2132" s="4"/>
      <c r="S2132" s="9" t="str">
        <f>HYPERLINK("https://pbs.twimg.com/profile_images/1031298744023695361/fvvOkJkx.jpg","View")</f>
        <v>View</v>
      </c>
    </row>
    <row r="2133" spans="1:19" ht="30">
      <c r="A2133" s="8">
        <v>43370.180844907409</v>
      </c>
      <c r="B2133" s="11" t="str">
        <f>HYPERLINK("https://twitter.com/RafedhiAbololo","@RafedhiAbololo")</f>
        <v>@RafedhiAbololo</v>
      </c>
      <c r="C2133" s="6" t="s">
        <v>2220</v>
      </c>
      <c r="D2133" s="5" t="s">
        <v>2181</v>
      </c>
      <c r="E2133" s="9" t="str">
        <f>HYPERLINK("https://twitter.com/RafedhiAbololo/status/1045113395253575680","1045113395253575680")</f>
        <v>1045113395253575680</v>
      </c>
      <c r="F2133" s="4"/>
      <c r="G2133" s="4"/>
      <c r="H2133" s="4"/>
      <c r="I2133" s="10" t="str">
        <f>HYPERLINK("http://twitter.com/download/android","Twitter for Android")</f>
        <v>Twitter for Android</v>
      </c>
      <c r="J2133" s="2">
        <v>2039</v>
      </c>
      <c r="K2133" s="2">
        <v>875</v>
      </c>
      <c r="L2133" s="2">
        <v>14</v>
      </c>
      <c r="M2133" s="2"/>
      <c r="N2133" s="8">
        <v>41918.44190972222</v>
      </c>
      <c r="O2133" s="4" t="s">
        <v>2219</v>
      </c>
      <c r="P2133" s="3" t="s">
        <v>2218</v>
      </c>
      <c r="Q2133" s="4"/>
      <c r="R2133" s="4"/>
      <c r="S2133" s="9" t="str">
        <f>HYPERLINK("https://pbs.twimg.com/profile_images/710116703775158272/rs45I5HZ.jpg","View")</f>
        <v>View</v>
      </c>
    </row>
    <row r="2134" spans="1:19" ht="20">
      <c r="A2134" s="8">
        <v>43370.175115740742</v>
      </c>
      <c r="B2134" s="11" t="str">
        <f>HYPERLINK("https://twitter.com/supreme_ronin","@supreme_ronin")</f>
        <v>@supreme_ronin</v>
      </c>
      <c r="C2134" s="6" t="s">
        <v>2124</v>
      </c>
      <c r="D2134" s="5" t="s">
        <v>726</v>
      </c>
      <c r="E2134" s="9" t="str">
        <f>HYPERLINK("https://twitter.com/supreme_ronin/status/1045111318896934912","1045111318896934912")</f>
        <v>1045111318896934912</v>
      </c>
      <c r="F2134" s="4"/>
      <c r="G2134" s="10" t="s">
        <v>725</v>
      </c>
      <c r="H2134" s="4"/>
      <c r="I2134" s="10" t="str">
        <f>HYPERLINK("http://twitter.com/download/android","Twitter for Android")</f>
        <v>Twitter for Android</v>
      </c>
      <c r="J2134" s="2">
        <v>916</v>
      </c>
      <c r="K2134" s="2">
        <v>803</v>
      </c>
      <c r="L2134" s="2">
        <v>8</v>
      </c>
      <c r="M2134" s="2"/>
      <c r="N2134" s="8">
        <v>41393.092210648145</v>
      </c>
      <c r="O2134" s="4" t="s">
        <v>2123</v>
      </c>
      <c r="P2134" s="3" t="s">
        <v>2122</v>
      </c>
      <c r="Q2134" s="4"/>
      <c r="R2134" s="4"/>
      <c r="S2134" s="9" t="str">
        <f>HYPERLINK("https://pbs.twimg.com/profile_images/1038975779978313730/pyhfNdmN.jpg","View")</f>
        <v>View</v>
      </c>
    </row>
    <row r="2135" spans="1:19" ht="20">
      <c r="A2135" s="8">
        <v>43370.174930555557</v>
      </c>
      <c r="B2135" s="11" t="str">
        <f>HYPERLINK("https://twitter.com/supreme_ronin","@supreme_ronin")</f>
        <v>@supreme_ronin</v>
      </c>
      <c r="C2135" s="6" t="s">
        <v>2124</v>
      </c>
      <c r="D2135" s="5" t="s">
        <v>2217</v>
      </c>
      <c r="E2135" s="9" t="str">
        <f>HYPERLINK("https://twitter.com/supreme_ronin/status/1045111250647240704","1045111250647240704")</f>
        <v>1045111250647240704</v>
      </c>
      <c r="F2135" s="4"/>
      <c r="G2135" s="4"/>
      <c r="H2135" s="4"/>
      <c r="I2135" s="10" t="str">
        <f>HYPERLINK("http://twitter.com/download/android","Twitter for Android")</f>
        <v>Twitter for Android</v>
      </c>
      <c r="J2135" s="2">
        <v>916</v>
      </c>
      <c r="K2135" s="2">
        <v>803</v>
      </c>
      <c r="L2135" s="2">
        <v>8</v>
      </c>
      <c r="M2135" s="2"/>
      <c r="N2135" s="8">
        <v>41393.092210648145</v>
      </c>
      <c r="O2135" s="4" t="s">
        <v>2123</v>
      </c>
      <c r="P2135" s="3" t="s">
        <v>2122</v>
      </c>
      <c r="Q2135" s="4"/>
      <c r="R2135" s="4"/>
      <c r="S2135" s="9" t="str">
        <f>HYPERLINK("https://pbs.twimg.com/profile_images/1038975779978313730/pyhfNdmN.jpg","View")</f>
        <v>View</v>
      </c>
    </row>
    <row r="2136" spans="1:19" ht="20">
      <c r="A2136" s="8">
        <v>43370.174837962964</v>
      </c>
      <c r="B2136" s="11" t="str">
        <f>HYPERLINK("https://twitter.com/supreme_ronin","@supreme_ronin")</f>
        <v>@supreme_ronin</v>
      </c>
      <c r="C2136" s="6" t="s">
        <v>2124</v>
      </c>
      <c r="D2136" s="5" t="s">
        <v>2216</v>
      </c>
      <c r="E2136" s="9" t="str">
        <f>HYPERLINK("https://twitter.com/supreme_ronin/status/1045111219605164032","1045111219605164032")</f>
        <v>1045111219605164032</v>
      </c>
      <c r="F2136" s="4"/>
      <c r="G2136" s="4"/>
      <c r="H2136" s="4"/>
      <c r="I2136" s="10" t="str">
        <f>HYPERLINK("http://twitter.com/download/android","Twitter for Android")</f>
        <v>Twitter for Android</v>
      </c>
      <c r="J2136" s="2">
        <v>916</v>
      </c>
      <c r="K2136" s="2">
        <v>803</v>
      </c>
      <c r="L2136" s="2">
        <v>8</v>
      </c>
      <c r="M2136" s="2"/>
      <c r="N2136" s="8">
        <v>41393.092210648145</v>
      </c>
      <c r="O2136" s="4" t="s">
        <v>2123</v>
      </c>
      <c r="P2136" s="3" t="s">
        <v>2122</v>
      </c>
      <c r="Q2136" s="4"/>
      <c r="R2136" s="4"/>
      <c r="S2136" s="9" t="str">
        <f>HYPERLINK("https://pbs.twimg.com/profile_images/1038975779978313730/pyhfNdmN.jpg","View")</f>
        <v>View</v>
      </c>
    </row>
    <row r="2137" spans="1:19" ht="20">
      <c r="A2137" s="8">
        <v>43370.174791666665</v>
      </c>
      <c r="B2137" s="11" t="str">
        <f>HYPERLINK("https://twitter.com/supreme_ronin","@supreme_ronin")</f>
        <v>@supreme_ronin</v>
      </c>
      <c r="C2137" s="6" t="s">
        <v>2124</v>
      </c>
      <c r="D2137" s="5" t="s">
        <v>2215</v>
      </c>
      <c r="E2137" s="9" t="str">
        <f>HYPERLINK("https://twitter.com/supreme_ronin/status/1045111203171897345","1045111203171897345")</f>
        <v>1045111203171897345</v>
      </c>
      <c r="F2137" s="4"/>
      <c r="G2137" s="10" t="s">
        <v>2214</v>
      </c>
      <c r="H2137" s="4"/>
      <c r="I2137" s="10" t="str">
        <f>HYPERLINK("http://twitter.com/download/android","Twitter for Android")</f>
        <v>Twitter for Android</v>
      </c>
      <c r="J2137" s="2">
        <v>916</v>
      </c>
      <c r="K2137" s="2">
        <v>803</v>
      </c>
      <c r="L2137" s="2">
        <v>8</v>
      </c>
      <c r="M2137" s="2"/>
      <c r="N2137" s="8">
        <v>41393.092210648145</v>
      </c>
      <c r="O2137" s="4" t="s">
        <v>2123</v>
      </c>
      <c r="P2137" s="3" t="s">
        <v>2122</v>
      </c>
      <c r="Q2137" s="4"/>
      <c r="R2137" s="4"/>
      <c r="S2137" s="9" t="str">
        <f>HYPERLINK("https://pbs.twimg.com/profile_images/1038975779978313730/pyhfNdmN.jpg","View")</f>
        <v>View</v>
      </c>
    </row>
    <row r="2138" spans="1:19" ht="50">
      <c r="A2138" s="8">
        <v>43370.172106481477</v>
      </c>
      <c r="B2138" s="11" t="str">
        <f>HYPERLINK("https://twitter.com/captain_cga","@captain_cga")</f>
        <v>@captain_cga</v>
      </c>
      <c r="C2138" s="6" t="s">
        <v>1757</v>
      </c>
      <c r="D2138" s="5" t="s">
        <v>927</v>
      </c>
      <c r="E2138" s="9" t="str">
        <f>HYPERLINK("https://twitter.com/captain_cga/status/1045110230475034624","1045110230475034624")</f>
        <v>1045110230475034624</v>
      </c>
      <c r="F2138" s="4"/>
      <c r="G2138" s="10" t="s">
        <v>926</v>
      </c>
      <c r="H2138" s="4"/>
      <c r="I2138" s="10" t="str">
        <f>HYPERLINK("http://twitter.com/download/android","Twitter for Android")</f>
        <v>Twitter for Android</v>
      </c>
      <c r="J2138" s="2">
        <v>187</v>
      </c>
      <c r="K2138" s="2">
        <v>89</v>
      </c>
      <c r="L2138" s="2">
        <v>0</v>
      </c>
      <c r="M2138" s="2"/>
      <c r="N2138" s="8">
        <v>43100.014664351853</v>
      </c>
      <c r="O2138" s="4" t="s">
        <v>1755</v>
      </c>
      <c r="P2138" s="3" t="s">
        <v>1754</v>
      </c>
      <c r="Q2138" s="4"/>
      <c r="R2138" s="4"/>
      <c r="S2138" s="9" t="str">
        <f>HYPERLINK("https://pbs.twimg.com/profile_images/1035910889860460545/y7XsIiEa.jpg","View")</f>
        <v>View</v>
      </c>
    </row>
    <row r="2139" spans="1:19" ht="20">
      <c r="A2139" s="8">
        <v>43370.168425925927</v>
      </c>
      <c r="B2139" s="11" t="str">
        <f>HYPERLINK("https://twitter.com/ABandeloo","@ABandeloo")</f>
        <v>@ABandeloo</v>
      </c>
      <c r="C2139" s="6" t="s">
        <v>2213</v>
      </c>
      <c r="D2139" s="5" t="s">
        <v>2212</v>
      </c>
      <c r="E2139" s="9" t="str">
        <f>HYPERLINK("https://twitter.com/ABandeloo/status/1045108895847534592","1045108895847534592")</f>
        <v>1045108895847534592</v>
      </c>
      <c r="F2139" s="4"/>
      <c r="G2139" s="4"/>
      <c r="H2139" s="4"/>
      <c r="I2139" s="10" t="str">
        <f>HYPERLINK("http://twitter.com/download/iphone","Twitter for iPhone")</f>
        <v>Twitter for iPhone</v>
      </c>
      <c r="J2139" s="2">
        <v>154</v>
      </c>
      <c r="K2139" s="2">
        <v>90</v>
      </c>
      <c r="L2139" s="2">
        <v>1</v>
      </c>
      <c r="M2139" s="2"/>
      <c r="N2139" s="8">
        <v>43313.125393518523</v>
      </c>
      <c r="O2139" s="4" t="s">
        <v>2211</v>
      </c>
      <c r="P2139" s="3" t="s">
        <v>2210</v>
      </c>
      <c r="Q2139" s="4"/>
      <c r="R2139" s="4"/>
      <c r="S2139" s="9" t="str">
        <f>HYPERLINK("https://pbs.twimg.com/profile_images/1029551004998610944/AsB4SHD9.jpg","View")</f>
        <v>View</v>
      </c>
    </row>
    <row r="2140" spans="1:19" ht="30">
      <c r="A2140" s="8">
        <v>43370.165555555555</v>
      </c>
      <c r="B2140" s="11" t="str">
        <f>HYPERLINK("https://twitter.com/shim____shim","@shim____shim")</f>
        <v>@shim____shim</v>
      </c>
      <c r="C2140" s="6" t="s">
        <v>2209</v>
      </c>
      <c r="D2140" s="5" t="s">
        <v>2208</v>
      </c>
      <c r="E2140" s="9" t="str">
        <f>HYPERLINK("https://twitter.com/shim____shim/status/1045107856096284673","1045107856096284673")</f>
        <v>1045107856096284673</v>
      </c>
      <c r="F2140" s="4"/>
      <c r="G2140" s="10" t="s">
        <v>2202</v>
      </c>
      <c r="H2140" s="4"/>
      <c r="I2140" s="10" t="str">
        <f>HYPERLINK("http://twitter.com/download/iphone","Twitter for iPhone")</f>
        <v>Twitter for iPhone</v>
      </c>
      <c r="J2140" s="2">
        <v>1808</v>
      </c>
      <c r="K2140" s="2">
        <v>231</v>
      </c>
      <c r="L2140" s="2">
        <v>9</v>
      </c>
      <c r="M2140" s="2"/>
      <c r="N2140" s="8">
        <v>42602.213518518518</v>
      </c>
      <c r="O2140" s="4" t="s">
        <v>2207</v>
      </c>
      <c r="P2140" s="3" t="s">
        <v>2206</v>
      </c>
      <c r="Q2140" s="4"/>
      <c r="R2140" s="4"/>
      <c r="S2140" s="9" t="str">
        <f>HYPERLINK("https://pbs.twimg.com/profile_images/1034229222787743747/pVNs5CKn.jpg","View")</f>
        <v>View</v>
      </c>
    </row>
    <row r="2141" spans="1:19" ht="40">
      <c r="A2141" s="8">
        <v>43370.164571759262</v>
      </c>
      <c r="B2141" s="11" t="str">
        <f>HYPERLINK("https://twitter.com/Javid_Iran","@Javid_Iran")</f>
        <v>@Javid_Iran</v>
      </c>
      <c r="C2141" s="6" t="s">
        <v>708</v>
      </c>
      <c r="D2141" s="5" t="s">
        <v>2205</v>
      </c>
      <c r="E2141" s="9" t="str">
        <f>HYPERLINK("https://twitter.com/Javid_Iran/status/1045107500012302336","1045107500012302336")</f>
        <v>1045107500012302336</v>
      </c>
      <c r="F2141" s="4"/>
      <c r="G2141" s="4"/>
      <c r="H2141" s="4"/>
      <c r="I2141" s="10" t="str">
        <f>HYPERLINK("http://twitter.com/download/android","Twitter for Android")</f>
        <v>Twitter for Android</v>
      </c>
      <c r="J2141" s="2">
        <v>185</v>
      </c>
      <c r="K2141" s="2">
        <v>170</v>
      </c>
      <c r="L2141" s="2">
        <v>0</v>
      </c>
      <c r="M2141" s="2"/>
      <c r="N2141" s="8">
        <v>39981.311307870368</v>
      </c>
      <c r="O2141" s="4"/>
      <c r="P2141" s="3"/>
      <c r="Q2141" s="4"/>
      <c r="R2141" s="4"/>
      <c r="S2141" s="9" t="str">
        <f>HYPERLINK("https://pbs.twimg.com/profile_images/267672580/www_mihanam_com_old_20_280_29-Derafshe_Kavyani.jpg","View")</f>
        <v>View</v>
      </c>
    </row>
    <row r="2142" spans="1:19" ht="30">
      <c r="A2142" s="8">
        <v>43370.160034722227</v>
      </c>
      <c r="B2142" s="11" t="str">
        <f>HYPERLINK("https://twitter.com/babianconeri","@babianconeri")</f>
        <v>@babianconeri</v>
      </c>
      <c r="C2142" s="6" t="s">
        <v>2204</v>
      </c>
      <c r="D2142" s="5" t="s">
        <v>2203</v>
      </c>
      <c r="E2142" s="9" t="str">
        <f>HYPERLINK("https://twitter.com/babianconeri/status/1045105852519264256","1045105852519264256")</f>
        <v>1045105852519264256</v>
      </c>
      <c r="F2142" s="4"/>
      <c r="G2142" s="10" t="s">
        <v>2202</v>
      </c>
      <c r="H2142" s="4"/>
      <c r="I2142" s="10" t="str">
        <f>HYPERLINK("http://twitter.com","Twitter Web Client")</f>
        <v>Twitter Web Client</v>
      </c>
      <c r="J2142" s="2">
        <v>2865</v>
      </c>
      <c r="K2142" s="2">
        <v>4706</v>
      </c>
      <c r="L2142" s="2">
        <v>2</v>
      </c>
      <c r="M2142" s="2"/>
      <c r="N2142" s="8">
        <v>42903.697326388894</v>
      </c>
      <c r="O2142" s="4" t="s">
        <v>2201</v>
      </c>
      <c r="P2142" s="3" t="s">
        <v>2200</v>
      </c>
      <c r="Q2142" s="4"/>
      <c r="R2142" s="4"/>
      <c r="S2142" s="9" t="str">
        <f>HYPERLINK("https://pbs.twimg.com/profile_images/1003107417704427522/Gz3CUgqe.jpg","View")</f>
        <v>View</v>
      </c>
    </row>
    <row r="2143" spans="1:19" ht="12.5">
      <c r="A2143" s="8">
        <v>43370.155659722222</v>
      </c>
      <c r="B2143" s="11" t="str">
        <f>HYPERLINK("https://twitter.com/EPlBLpadaQpgbl1","@EPlBLpadaQpgbl1")</f>
        <v>@EPlBLpadaQpgbl1</v>
      </c>
      <c r="C2143" s="6" t="s">
        <v>2199</v>
      </c>
      <c r="D2143" s="5" t="s">
        <v>2198</v>
      </c>
      <c r="E2143" s="9" t="str">
        <f>HYPERLINK("https://twitter.com/EPlBLpadaQpgbl1/status/1045104271103070210","1045104271103070210")</f>
        <v>1045104271103070210</v>
      </c>
      <c r="F2143" s="4"/>
      <c r="G2143" s="10" t="s">
        <v>2197</v>
      </c>
      <c r="H2143" s="4"/>
      <c r="I2143" s="10" t="str">
        <f>HYPERLINK("http://twitter.com/download/android","Twitter for Android")</f>
        <v>Twitter for Android</v>
      </c>
      <c r="J2143" s="2">
        <v>60</v>
      </c>
      <c r="K2143" s="2">
        <v>67</v>
      </c>
      <c r="L2143" s="2">
        <v>0</v>
      </c>
      <c r="M2143" s="2"/>
      <c r="N2143" s="8">
        <v>43326.532175925924</v>
      </c>
      <c r="O2143" s="4"/>
      <c r="P2143" s="3"/>
      <c r="Q2143" s="4"/>
      <c r="R2143" s="4"/>
      <c r="S2143" s="9" t="str">
        <f>HYPERLINK("https://pbs.twimg.com/profile_images/1031057471069192192/Afu0dA1P.jpg","View")</f>
        <v>View</v>
      </c>
    </row>
    <row r="2144" spans="1:19" ht="20">
      <c r="A2144" s="8">
        <v>43370.155497685184</v>
      </c>
      <c r="B2144" s="11" t="str">
        <f>HYPERLINK("https://twitter.com/alidadaaaaaa","@alidadaaaaaa")</f>
        <v>@alidadaaaaaa</v>
      </c>
      <c r="C2144" s="6" t="s">
        <v>2144</v>
      </c>
      <c r="D2144" s="5" t="s">
        <v>2196</v>
      </c>
      <c r="E2144" s="9" t="str">
        <f>HYPERLINK("https://twitter.com/alidadaaaaaa/status/1045104208960258048","1045104208960258048")</f>
        <v>1045104208960258048</v>
      </c>
      <c r="F2144" s="4"/>
      <c r="G2144" s="4"/>
      <c r="H2144" s="4"/>
      <c r="I2144" s="10" t="str">
        <f>HYPERLINK("http://twitter.com/download/iphone","Twitter for iPhone")</f>
        <v>Twitter for iPhone</v>
      </c>
      <c r="J2144" s="2">
        <v>2</v>
      </c>
      <c r="K2144" s="2">
        <v>73</v>
      </c>
      <c r="L2144" s="2">
        <v>0</v>
      </c>
      <c r="M2144" s="2"/>
      <c r="N2144" s="8">
        <v>43367.972395833334</v>
      </c>
      <c r="O2144" s="4"/>
      <c r="P2144" s="3"/>
      <c r="Q2144" s="4"/>
      <c r="R2144" s="4"/>
      <c r="S2144" s="9" t="str">
        <f>HYPERLINK("https://pbs.twimg.com/profile_images/1044316091311419392/sFG9SMB3.jpg","View")</f>
        <v>View</v>
      </c>
    </row>
    <row r="2145" spans="1:19" ht="20">
      <c r="A2145" s="8">
        <v>43370.15525462963</v>
      </c>
      <c r="B2145" s="11" t="str">
        <f>HYPERLINK("https://twitter.com/fatemehora","@fatemehora")</f>
        <v>@fatemehora</v>
      </c>
      <c r="C2145" s="6" t="s">
        <v>2195</v>
      </c>
      <c r="D2145" s="5" t="s">
        <v>2194</v>
      </c>
      <c r="E2145" s="9" t="str">
        <f>HYPERLINK("https://twitter.com/fatemehora/status/1045104124352757762","1045104124352757762")</f>
        <v>1045104124352757762</v>
      </c>
      <c r="F2145" s="4"/>
      <c r="G2145" s="4"/>
      <c r="H2145" s="4"/>
      <c r="I2145" s="10" t="str">
        <f>HYPERLINK("http://twitter.com/download/iphone","Twitter for iPhone")</f>
        <v>Twitter for iPhone</v>
      </c>
      <c r="J2145" s="2">
        <v>261</v>
      </c>
      <c r="K2145" s="2">
        <v>253</v>
      </c>
      <c r="L2145" s="2">
        <v>0</v>
      </c>
      <c r="M2145" s="2"/>
      <c r="N2145" s="8">
        <v>43110.384953703702</v>
      </c>
      <c r="O2145" s="4" t="s">
        <v>200</v>
      </c>
      <c r="P2145" s="3" t="s">
        <v>2193</v>
      </c>
      <c r="Q2145" s="4"/>
      <c r="R2145" s="4"/>
      <c r="S2145" s="9" t="str">
        <f>HYPERLINK("https://pbs.twimg.com/profile_images/986153113814958086/_bQzF1de.jpg","View")</f>
        <v>View</v>
      </c>
    </row>
    <row r="2146" spans="1:19" ht="30">
      <c r="A2146" s="8">
        <v>43370.15347222222</v>
      </c>
      <c r="B2146" s="11" t="str">
        <f>HYPERLINK("https://twitter.com/SheeroKhorshid","@SheeroKhorshid")</f>
        <v>@SheeroKhorshid</v>
      </c>
      <c r="C2146" s="6" t="s">
        <v>2192</v>
      </c>
      <c r="D2146" s="5" t="s">
        <v>408</v>
      </c>
      <c r="E2146" s="9" t="str">
        <f>HYPERLINK("https://twitter.com/SheeroKhorshid/status/1045103475481346048","1045103475481346048")</f>
        <v>1045103475481346048</v>
      </c>
      <c r="F2146" s="4"/>
      <c r="G2146" s="4"/>
      <c r="H2146" s="4"/>
      <c r="I2146" s="10" t="str">
        <f>HYPERLINK("http://twitter.com/download/android","Twitter for Android")</f>
        <v>Twitter for Android</v>
      </c>
      <c r="J2146" s="2">
        <v>2147</v>
      </c>
      <c r="K2146" s="2">
        <v>4992</v>
      </c>
      <c r="L2146" s="2">
        <v>16</v>
      </c>
      <c r="M2146" s="2"/>
      <c r="N2146" s="8">
        <v>40596.189340277779</v>
      </c>
      <c r="O2146" s="4" t="s">
        <v>793</v>
      </c>
      <c r="P2146" s="3" t="s">
        <v>2191</v>
      </c>
      <c r="Q2146" s="4"/>
      <c r="R2146" s="4"/>
      <c r="S2146" s="9" t="str">
        <f>HYPERLINK("https://pbs.twimg.com/profile_images/642800500283441152/JCcivIzA.jpg","View")</f>
        <v>View</v>
      </c>
    </row>
    <row r="2147" spans="1:19" ht="20">
      <c r="A2147" s="8">
        <v>43370.151122685187</v>
      </c>
      <c r="B2147" s="11" t="str">
        <f>HYPERLINK("https://twitter.com/DanialNt3","@DanialNt3")</f>
        <v>@DanialNt3</v>
      </c>
      <c r="C2147" s="6" t="s">
        <v>2190</v>
      </c>
      <c r="D2147" s="5" t="s">
        <v>2171</v>
      </c>
      <c r="E2147" s="9" t="str">
        <f>HYPERLINK("https://twitter.com/DanialNt3/status/1045102626159906816","1045102626159906816")</f>
        <v>1045102626159906816</v>
      </c>
      <c r="F2147" s="4"/>
      <c r="G2147" s="4"/>
      <c r="H2147" s="4"/>
      <c r="I2147" s="10" t="str">
        <f>HYPERLINK("http://twitter.com/download/android","Twitter for Android")</f>
        <v>Twitter for Android</v>
      </c>
      <c r="J2147" s="2">
        <v>3084</v>
      </c>
      <c r="K2147" s="2">
        <v>2932</v>
      </c>
      <c r="L2147" s="2">
        <v>5</v>
      </c>
      <c r="M2147" s="2"/>
      <c r="N2147" s="8">
        <v>43047.045902777776</v>
      </c>
      <c r="O2147" s="4" t="s">
        <v>2189</v>
      </c>
      <c r="P2147" s="3" t="s">
        <v>2188</v>
      </c>
      <c r="Q2147" s="10" t="s">
        <v>2187</v>
      </c>
      <c r="R2147" s="4"/>
      <c r="S2147" s="9" t="str">
        <f>HYPERLINK("https://pbs.twimg.com/profile_images/1028075591642304512/m6UdQQbs.jpg","View")</f>
        <v>View</v>
      </c>
    </row>
    <row r="2148" spans="1:19" ht="30">
      <c r="A2148" s="8">
        <v>43370.148541666669</v>
      </c>
      <c r="B2148" s="11" t="str">
        <f>HYPERLINK("https://twitter.com/amiiir80","@amiiir80")</f>
        <v>@amiiir80</v>
      </c>
      <c r="C2148" s="6" t="s">
        <v>2186</v>
      </c>
      <c r="D2148" s="5" t="s">
        <v>2185</v>
      </c>
      <c r="E2148" s="9" t="str">
        <f>HYPERLINK("https://twitter.com/amiiir80/status/1045101689626398721","1045101689626398721")</f>
        <v>1045101689626398721</v>
      </c>
      <c r="F2148" s="4"/>
      <c r="G2148" s="4"/>
      <c r="H2148" s="4"/>
      <c r="I2148" s="10" t="str">
        <f>HYPERLINK("http://twitter.com/download/iphone","Twitter for iPhone")</f>
        <v>Twitter for iPhone</v>
      </c>
      <c r="J2148" s="2">
        <v>480</v>
      </c>
      <c r="K2148" s="2">
        <v>450</v>
      </c>
      <c r="L2148" s="2">
        <v>0</v>
      </c>
      <c r="M2148" s="2"/>
      <c r="N2148" s="8">
        <v>39918.01898148148</v>
      </c>
      <c r="O2148" s="4" t="s">
        <v>2184</v>
      </c>
      <c r="P2148" s="3" t="s">
        <v>2183</v>
      </c>
      <c r="Q2148" s="4"/>
      <c r="R2148" s="4"/>
      <c r="S2148" s="9" t="str">
        <f>HYPERLINK("https://pbs.twimg.com/profile_images/1033121792355909633/JqF4qPVJ.jpg","View")</f>
        <v>View</v>
      </c>
    </row>
    <row r="2149" spans="1:19" ht="30">
      <c r="A2149" s="8">
        <v>43370.147314814814</v>
      </c>
      <c r="B2149" s="11" t="str">
        <f>HYPERLINK("https://twitter.com/jn_ahmadian","@jn_ahmadian")</f>
        <v>@jn_ahmadian</v>
      </c>
      <c r="C2149" s="6" t="s">
        <v>2182</v>
      </c>
      <c r="D2149" s="5" t="s">
        <v>2181</v>
      </c>
      <c r="E2149" s="9" t="str">
        <f>HYPERLINK("https://twitter.com/jn_ahmadian/status/1045101244128395264","1045101244128395264")</f>
        <v>1045101244128395264</v>
      </c>
      <c r="F2149" s="4"/>
      <c r="G2149" s="4"/>
      <c r="H2149" s="4"/>
      <c r="I2149" s="10" t="str">
        <f>HYPERLINK("http://twitter.com/download/android","Twitter for Android")</f>
        <v>Twitter for Android</v>
      </c>
      <c r="J2149" s="2">
        <v>4363</v>
      </c>
      <c r="K2149" s="2">
        <v>4313</v>
      </c>
      <c r="L2149" s="2">
        <v>5</v>
      </c>
      <c r="M2149" s="2"/>
      <c r="N2149" s="8">
        <v>42896.548703703702</v>
      </c>
      <c r="O2149" s="4" t="s">
        <v>2180</v>
      </c>
      <c r="P2149" s="3" t="s">
        <v>2179</v>
      </c>
      <c r="Q2149" s="4"/>
      <c r="R2149" s="4"/>
      <c r="S2149" s="9" t="str">
        <f>HYPERLINK("https://pbs.twimg.com/profile_images/1043151057625522177/OJrd761J.jpg","View")</f>
        <v>View</v>
      </c>
    </row>
    <row r="2150" spans="1:19" ht="30">
      <c r="A2150" s="8">
        <v>43370.146770833337</v>
      </c>
      <c r="B2150" s="11" t="str">
        <f>HYPERLINK("https://twitter.com/rohamjoon","@rohamjoon")</f>
        <v>@rohamjoon</v>
      </c>
      <c r="C2150" s="6" t="s">
        <v>2178</v>
      </c>
      <c r="D2150" s="5" t="s">
        <v>408</v>
      </c>
      <c r="E2150" s="9" t="str">
        <f>HYPERLINK("https://twitter.com/rohamjoon/status/1045101045901340673","1045101045901340673")</f>
        <v>1045101045901340673</v>
      </c>
      <c r="F2150" s="4"/>
      <c r="G2150" s="4"/>
      <c r="H2150" s="4"/>
      <c r="I2150" s="10" t="str">
        <f>HYPERLINK("http://twitter.com/download/android","Twitter for Android")</f>
        <v>Twitter for Android</v>
      </c>
      <c r="J2150" s="2">
        <v>570</v>
      </c>
      <c r="K2150" s="2">
        <v>125</v>
      </c>
      <c r="L2150" s="2">
        <v>2</v>
      </c>
      <c r="M2150" s="2"/>
      <c r="N2150" s="8">
        <v>42333.476238425923</v>
      </c>
      <c r="O2150" s="4"/>
      <c r="P2150" s="3" t="s">
        <v>2177</v>
      </c>
      <c r="Q2150" s="4"/>
      <c r="R2150" s="4"/>
      <c r="S2150" s="9" t="str">
        <f>HYPERLINK("https://pbs.twimg.com/profile_images/971083126008156160/rDqqy5s7.jpg","View")</f>
        <v>View</v>
      </c>
    </row>
    <row r="2151" spans="1:19" ht="20">
      <c r="A2151" s="8">
        <v>43370.146145833336</v>
      </c>
      <c r="B2151" s="11" t="str">
        <f>HYPERLINK("https://twitter.com/mojtaba_m1","@mojtaba_m1")</f>
        <v>@mojtaba_m1</v>
      </c>
      <c r="C2151" s="6" t="s">
        <v>756</v>
      </c>
      <c r="D2151" s="5" t="s">
        <v>1616</v>
      </c>
      <c r="E2151" s="9" t="str">
        <f>HYPERLINK("https://twitter.com/mojtaba_m1/status/1045100819559927810","1045100819559927810")</f>
        <v>1045100819559927810</v>
      </c>
      <c r="F2151" s="4"/>
      <c r="G2151" s="4"/>
      <c r="H2151" s="4"/>
      <c r="I2151" s="10" t="str">
        <f>HYPERLINK("http://twitter.com/download/android","Twitter for Android")</f>
        <v>Twitter for Android</v>
      </c>
      <c r="J2151" s="2">
        <v>716</v>
      </c>
      <c r="K2151" s="2">
        <v>1373</v>
      </c>
      <c r="L2151" s="2">
        <v>0</v>
      </c>
      <c r="M2151" s="2"/>
      <c r="N2151" s="8">
        <v>43280.203182870369</v>
      </c>
      <c r="O2151" s="4" t="s">
        <v>200</v>
      </c>
      <c r="P2151" s="3"/>
      <c r="Q2151" s="4"/>
      <c r="R2151" s="4"/>
      <c r="S2151" s="9" t="str">
        <f>HYPERLINK("https://pbs.twimg.com/profile_images/1028490471847485442/jBZ3D4aN.jpg","View")</f>
        <v>View</v>
      </c>
    </row>
    <row r="2152" spans="1:19" ht="20">
      <c r="A2152" s="8">
        <v>43370.146064814813</v>
      </c>
      <c r="B2152" s="11" t="str">
        <f>HYPERLINK("https://twitter.com/mojtaba_m1","@mojtaba_m1")</f>
        <v>@mojtaba_m1</v>
      </c>
      <c r="C2152" s="6" t="s">
        <v>756</v>
      </c>
      <c r="D2152" s="5" t="s">
        <v>1812</v>
      </c>
      <c r="E2152" s="9" t="str">
        <f>HYPERLINK("https://twitter.com/mojtaba_m1/status/1045100793031012352","1045100793031012352")</f>
        <v>1045100793031012352</v>
      </c>
      <c r="F2152" s="4"/>
      <c r="G2152" s="4"/>
      <c r="H2152" s="4"/>
      <c r="I2152" s="10" t="str">
        <f>HYPERLINK("http://twitter.com/download/android","Twitter for Android")</f>
        <v>Twitter for Android</v>
      </c>
      <c r="J2152" s="2">
        <v>716</v>
      </c>
      <c r="K2152" s="2">
        <v>1373</v>
      </c>
      <c r="L2152" s="2">
        <v>0</v>
      </c>
      <c r="M2152" s="2"/>
      <c r="N2152" s="8">
        <v>43280.203182870369</v>
      </c>
      <c r="O2152" s="4" t="s">
        <v>200</v>
      </c>
      <c r="P2152" s="3"/>
      <c r="Q2152" s="4"/>
      <c r="R2152" s="4"/>
      <c r="S2152" s="9" t="str">
        <f>HYPERLINK("https://pbs.twimg.com/profile_images/1028490471847485442/jBZ3D4aN.jpg","View")</f>
        <v>View</v>
      </c>
    </row>
    <row r="2153" spans="1:19" ht="30">
      <c r="A2153" s="8">
        <v>43370.143148148149</v>
      </c>
      <c r="B2153" s="11" t="str">
        <f>HYPERLINK("https://twitter.com/YeM3H8BSuHEPPSz","@YeM3H8BSuHEPPSz")</f>
        <v>@YeM3H8BSuHEPPSz</v>
      </c>
      <c r="C2153" s="6" t="s">
        <v>2176</v>
      </c>
      <c r="D2153" s="5" t="s">
        <v>2175</v>
      </c>
      <c r="E2153" s="9" t="str">
        <f>HYPERLINK("https://twitter.com/YeM3H8BSuHEPPSz/status/1045099735584002048","1045099735584002048")</f>
        <v>1045099735584002048</v>
      </c>
      <c r="F2153" s="4" t="s">
        <v>2174</v>
      </c>
      <c r="G2153" s="10" t="s">
        <v>2173</v>
      </c>
      <c r="H2153" s="4"/>
      <c r="I2153" s="10" t="str">
        <f>HYPERLINK("http://twitter.com/download/android","Twitter for Android")</f>
        <v>Twitter for Android</v>
      </c>
      <c r="J2153" s="2">
        <v>174</v>
      </c>
      <c r="K2153" s="2">
        <v>137</v>
      </c>
      <c r="L2153" s="2">
        <v>0</v>
      </c>
      <c r="M2153" s="2"/>
      <c r="N2153" s="8">
        <v>42971.10802083333</v>
      </c>
      <c r="O2153" s="4"/>
      <c r="P2153" s="3"/>
      <c r="Q2153" s="4"/>
      <c r="R2153" s="4"/>
      <c r="S2153" s="9" t="str">
        <f>HYPERLINK("https://pbs.twimg.com/profile_images/900482715295920132/I-bWWsPj.jpg","View")</f>
        <v>View</v>
      </c>
    </row>
    <row r="2154" spans="1:19" ht="20">
      <c r="A2154" s="8">
        <v>43370.139826388884</v>
      </c>
      <c r="B2154" s="11" t="str">
        <f>HYPERLINK("https://twitter.com/M3hdiii_N","@M3hdiii_N")</f>
        <v>@M3hdiii_N</v>
      </c>
      <c r="C2154" s="6" t="s">
        <v>2172</v>
      </c>
      <c r="D2154" s="5" t="s">
        <v>2171</v>
      </c>
      <c r="E2154" s="9" t="str">
        <f>HYPERLINK("https://twitter.com/M3hdiii_N/status/1045098531411750912","1045098531411750912")</f>
        <v>1045098531411750912</v>
      </c>
      <c r="F2154" s="4"/>
      <c r="G2154" s="4"/>
      <c r="H2154" s="4"/>
      <c r="I2154" s="10" t="str">
        <f>HYPERLINK("http://twitter.com/download/android","Twitter for Android")</f>
        <v>Twitter for Android</v>
      </c>
      <c r="J2154" s="2">
        <v>1051</v>
      </c>
      <c r="K2154" s="2">
        <v>1619</v>
      </c>
      <c r="L2154" s="2">
        <v>3</v>
      </c>
      <c r="M2154" s="2"/>
      <c r="N2154" s="8">
        <v>41505.995856481481</v>
      </c>
      <c r="O2154" s="4" t="s">
        <v>2170</v>
      </c>
      <c r="P2154" s="3" t="s">
        <v>2169</v>
      </c>
      <c r="Q2154" s="10" t="s">
        <v>2168</v>
      </c>
      <c r="R2154" s="4"/>
      <c r="S2154" s="9" t="str">
        <f>HYPERLINK("https://pbs.twimg.com/profile_images/1013548988329611266/dNLGCLaP.jpg","View")</f>
        <v>View</v>
      </c>
    </row>
    <row r="2155" spans="1:19" ht="30">
      <c r="A2155" s="8">
        <v>43370.138310185182</v>
      </c>
      <c r="B2155" s="11" t="str">
        <f>HYPERLINK("https://twitter.com/dariushkh58","@dariushkh58")</f>
        <v>@dariushkh58</v>
      </c>
      <c r="C2155" s="6" t="s">
        <v>1253</v>
      </c>
      <c r="D2155" s="5" t="s">
        <v>2167</v>
      </c>
      <c r="E2155" s="9" t="str">
        <f>HYPERLINK("https://twitter.com/dariushkh58/status/1045097983610695681","1045097983610695681")</f>
        <v>1045097983610695681</v>
      </c>
      <c r="F2155" s="4"/>
      <c r="G2155" s="10" t="s">
        <v>2147</v>
      </c>
      <c r="H2155" s="4"/>
      <c r="I2155" s="10" t="str">
        <f>HYPERLINK("http://twitter.com/download/android","Twitter for Android")</f>
        <v>Twitter for Android</v>
      </c>
      <c r="J2155" s="2">
        <v>506</v>
      </c>
      <c r="K2155" s="2">
        <v>1783</v>
      </c>
      <c r="L2155" s="2">
        <v>1</v>
      </c>
      <c r="M2155" s="2"/>
      <c r="N2155" s="8">
        <v>41373.710312499999</v>
      </c>
      <c r="O2155" s="4" t="s">
        <v>254</v>
      </c>
      <c r="P2155" s="3" t="s">
        <v>1251</v>
      </c>
      <c r="Q2155" s="10" t="s">
        <v>1250</v>
      </c>
      <c r="R2155" s="4"/>
      <c r="S2155" s="9" t="str">
        <f>HYPERLINK("https://pbs.twimg.com/profile_images/1044547955620040706/YfeWSlxq.jpg","View")</f>
        <v>View</v>
      </c>
    </row>
    <row r="2156" spans="1:19" ht="12.5">
      <c r="A2156" s="8">
        <v>43370.137650462959</v>
      </c>
      <c r="B2156" s="11" t="str">
        <f>HYPERLINK("https://twitter.com/wallace_mia99","@wallace_mia99")</f>
        <v>@wallace_mia99</v>
      </c>
      <c r="C2156" s="6" t="s">
        <v>2166</v>
      </c>
      <c r="D2156" s="5" t="s">
        <v>1003</v>
      </c>
      <c r="E2156" s="9" t="str">
        <f>HYPERLINK("https://twitter.com/wallace_mia99/status/1045097744489156609","1045097744489156609")</f>
        <v>1045097744489156609</v>
      </c>
      <c r="F2156" s="4"/>
      <c r="G2156" s="4"/>
      <c r="H2156" s="4"/>
      <c r="I2156" s="10" t="str">
        <f>HYPERLINK("http://twitter.com/download/iphone","Twitter for iPhone")</f>
        <v>Twitter for iPhone</v>
      </c>
      <c r="J2156" s="2">
        <v>1077</v>
      </c>
      <c r="K2156" s="2">
        <v>790</v>
      </c>
      <c r="L2156" s="2">
        <v>3</v>
      </c>
      <c r="M2156" s="2"/>
      <c r="N2156" s="8">
        <v>43213.686087962968</v>
      </c>
      <c r="O2156" s="4"/>
      <c r="P2156" s="3" t="s">
        <v>2165</v>
      </c>
      <c r="Q2156" s="10" t="s">
        <v>2164</v>
      </c>
      <c r="R2156" s="4"/>
      <c r="S2156" s="9" t="str">
        <f>HYPERLINK("https://pbs.twimg.com/profile_images/1044347019152642048/9JWtIo6i.jpg","View")</f>
        <v>View</v>
      </c>
    </row>
    <row r="2157" spans="1:19" ht="20">
      <c r="A2157" s="8">
        <v>43370.137361111112</v>
      </c>
      <c r="B2157" s="11" t="str">
        <f>HYPERLINK("https://twitter.com/Amiralisadeqi65","@Amiralisadeqi65")</f>
        <v>@Amiralisadeqi65</v>
      </c>
      <c r="C2157" s="6" t="s">
        <v>2163</v>
      </c>
      <c r="D2157" s="5" t="s">
        <v>2162</v>
      </c>
      <c r="E2157" s="9" t="str">
        <f>HYPERLINK("https://twitter.com/Amiralisadeqi65/status/1045097636083183616","1045097636083183616")</f>
        <v>1045097636083183616</v>
      </c>
      <c r="F2157" s="4"/>
      <c r="G2157" s="4"/>
      <c r="H2157" s="4"/>
      <c r="I2157" s="10" t="str">
        <f>HYPERLINK("http://twitter.com/download/iphone","Twitter for iPhone")</f>
        <v>Twitter for iPhone</v>
      </c>
      <c r="J2157" s="2">
        <v>2</v>
      </c>
      <c r="K2157" s="2">
        <v>43</v>
      </c>
      <c r="L2157" s="2">
        <v>0</v>
      </c>
      <c r="M2157" s="2"/>
      <c r="N2157" s="8">
        <v>42468.165937500002</v>
      </c>
      <c r="O2157" s="4" t="s">
        <v>2161</v>
      </c>
      <c r="P2157" s="3" t="s">
        <v>2160</v>
      </c>
      <c r="Q2157" s="10" t="s">
        <v>2159</v>
      </c>
      <c r="R2157" s="4"/>
      <c r="S2157" s="9" t="str">
        <f>HYPERLINK("https://pbs.twimg.com/profile_images/1043892158334468096/lzIvF26C.jpg","View")</f>
        <v>View</v>
      </c>
    </row>
    <row r="2158" spans="1:19" ht="20">
      <c r="A2158" s="8">
        <v>43370.137326388889</v>
      </c>
      <c r="B2158" s="11" t="str">
        <f>HYPERLINK("https://twitter.com/Perspolis_tweet","@Perspolis_tweet")</f>
        <v>@Perspolis_tweet</v>
      </c>
      <c r="C2158" s="6" t="s">
        <v>2097</v>
      </c>
      <c r="D2158" s="5" t="s">
        <v>1978</v>
      </c>
      <c r="E2158" s="9" t="str">
        <f>HYPERLINK("https://twitter.com/Perspolis_tweet/status/1045097627078074368","1045097627078074368")</f>
        <v>1045097627078074368</v>
      </c>
      <c r="F2158" s="4"/>
      <c r="G2158" s="4"/>
      <c r="H2158" s="4"/>
      <c r="I2158" s="10" t="str">
        <f>HYPERLINK("http://twitter.com/download/android","Twitter for Android")</f>
        <v>Twitter for Android</v>
      </c>
      <c r="J2158" s="2">
        <v>232</v>
      </c>
      <c r="K2158" s="2">
        <v>110</v>
      </c>
      <c r="L2158" s="2">
        <v>0</v>
      </c>
      <c r="M2158" s="2"/>
      <c r="N2158" s="8">
        <v>43097.109166666662</v>
      </c>
      <c r="O2158" s="4"/>
      <c r="P2158" s="3" t="s">
        <v>2096</v>
      </c>
      <c r="Q2158" s="10" t="s">
        <v>2095</v>
      </c>
      <c r="R2158" s="4"/>
      <c r="S2158" s="9" t="str">
        <f>HYPERLINK("https://pbs.twimg.com/profile_images/946158309475799040/V_9Ko5sZ.jpg","View")</f>
        <v>View</v>
      </c>
    </row>
    <row r="2159" spans="1:19" ht="30">
      <c r="A2159" s="8">
        <v>43370.135995370365</v>
      </c>
      <c r="B2159" s="11" t="str">
        <f>HYPERLINK("https://twitter.com/HashemSoq","@HashemSoq")</f>
        <v>@HashemSoq</v>
      </c>
      <c r="C2159" s="6" t="s">
        <v>2158</v>
      </c>
      <c r="D2159" s="5" t="s">
        <v>2157</v>
      </c>
      <c r="E2159" s="9" t="str">
        <f>HYPERLINK("https://twitter.com/HashemSoq/status/1045097143764160512","1045097143764160512")</f>
        <v>1045097143764160512</v>
      </c>
      <c r="F2159" s="4"/>
      <c r="G2159" s="10" t="s">
        <v>1987</v>
      </c>
      <c r="H2159" s="4"/>
      <c r="I2159" s="10" t="str">
        <f>HYPERLINK("http://twitter.com/download/android","Twitter for Android")</f>
        <v>Twitter for Android</v>
      </c>
      <c r="J2159" s="2">
        <v>684</v>
      </c>
      <c r="K2159" s="2">
        <v>742</v>
      </c>
      <c r="L2159" s="2">
        <v>0</v>
      </c>
      <c r="M2159" s="2"/>
      <c r="N2159" s="8">
        <v>42903.004594907412</v>
      </c>
      <c r="O2159" s="4" t="s">
        <v>10</v>
      </c>
      <c r="P2159" s="3" t="s">
        <v>2156</v>
      </c>
      <c r="Q2159" s="4"/>
      <c r="R2159" s="4"/>
      <c r="S2159" s="9" t="str">
        <f>HYPERLINK("https://pbs.twimg.com/profile_images/1041822995080273920/kUhwc-rl.jpg","View")</f>
        <v>View</v>
      </c>
    </row>
    <row r="2160" spans="1:19" ht="40">
      <c r="A2160" s="8">
        <v>43370.134884259256</v>
      </c>
      <c r="B2160" s="11" t="str">
        <f>HYPERLINK("https://twitter.com/NAVID20002","@NAVID20002")</f>
        <v>@NAVID20002</v>
      </c>
      <c r="C2160" s="6" t="s">
        <v>2155</v>
      </c>
      <c r="D2160" s="5" t="s">
        <v>2154</v>
      </c>
      <c r="E2160" s="9" t="str">
        <f>HYPERLINK("https://twitter.com/NAVID20002/status/1045096739601092608","1045096739601092608")</f>
        <v>1045096739601092608</v>
      </c>
      <c r="F2160" s="4"/>
      <c r="G2160" s="4"/>
      <c r="H2160" s="4"/>
      <c r="I2160" s="10" t="str">
        <f>HYPERLINK("https://mobile.twitter.com","Twitter Lite")</f>
        <v>Twitter Lite</v>
      </c>
      <c r="J2160" s="2">
        <v>89</v>
      </c>
      <c r="K2160" s="2">
        <v>184</v>
      </c>
      <c r="L2160" s="2">
        <v>0</v>
      </c>
      <c r="M2160" s="2"/>
      <c r="N2160" s="8">
        <v>41131.931550925925</v>
      </c>
      <c r="O2160" s="4"/>
      <c r="P2160" s="3" t="s">
        <v>2153</v>
      </c>
      <c r="Q2160" s="4"/>
      <c r="R2160" s="4"/>
      <c r="S2160" s="9" t="str">
        <f>HYPERLINK("https://pbs.twimg.com/profile_images/947444231920062464/LD7A-vyT.jpg","View")</f>
        <v>View</v>
      </c>
    </row>
    <row r="2161" spans="1:19" ht="30">
      <c r="A2161" s="8">
        <v>43370.131423611107</v>
      </c>
      <c r="B2161" s="11" t="str">
        <f>HYPERLINK("https://twitter.com/Id_Strong","@Id_Strong")</f>
        <v>@Id_Strong</v>
      </c>
      <c r="C2161" s="6" t="s">
        <v>2152</v>
      </c>
      <c r="D2161" s="5" t="s">
        <v>2151</v>
      </c>
      <c r="E2161" s="9" t="str">
        <f>HYPERLINK("https://twitter.com/Id_Strong/status/1045095484409417728","1045095484409417728")</f>
        <v>1045095484409417728</v>
      </c>
      <c r="F2161" s="4"/>
      <c r="G2161" s="4"/>
      <c r="H2161" s="4"/>
      <c r="I2161" s="10" t="str">
        <f>HYPERLINK("http://twitter.com/download/android","Twitter for Android")</f>
        <v>Twitter for Android</v>
      </c>
      <c r="J2161" s="2">
        <v>1451</v>
      </c>
      <c r="K2161" s="2">
        <v>2494</v>
      </c>
      <c r="L2161" s="2">
        <v>4</v>
      </c>
      <c r="M2161" s="2"/>
      <c r="N2161" s="8">
        <v>43090.880891203706</v>
      </c>
      <c r="O2161" s="4"/>
      <c r="P2161" s="3" t="s">
        <v>2150</v>
      </c>
      <c r="Q2161" s="4"/>
      <c r="R2161" s="4"/>
      <c r="S2161" s="9" t="str">
        <f>HYPERLINK("https://pbs.twimg.com/profile_images/970455097061859329/1SwhTc4u.jpg","View")</f>
        <v>View</v>
      </c>
    </row>
    <row r="2162" spans="1:19" ht="20">
      <c r="A2162" s="8">
        <v>43370.130891203706</v>
      </c>
      <c r="B2162" s="11" t="str">
        <f>HYPERLINK("https://twitter.com/khabar_varzeshi","@khabar_varzeshi")</f>
        <v>@khabar_varzeshi</v>
      </c>
      <c r="C2162" s="6" t="s">
        <v>2149</v>
      </c>
      <c r="D2162" s="5" t="s">
        <v>2148</v>
      </c>
      <c r="E2162" s="9" t="str">
        <f>HYPERLINK("https://twitter.com/khabar_varzeshi/status/1045095292406833158","1045095292406833158")</f>
        <v>1045095292406833158</v>
      </c>
      <c r="F2162" s="4"/>
      <c r="G2162" s="10" t="s">
        <v>2147</v>
      </c>
      <c r="H2162" s="4"/>
      <c r="I2162" s="10" t="str">
        <f>HYPERLINK("http://twitter.com/download/iphone","Twitter for iPhone")</f>
        <v>Twitter for iPhone</v>
      </c>
      <c r="J2162" s="2">
        <v>1375</v>
      </c>
      <c r="K2162" s="2">
        <v>14</v>
      </c>
      <c r="L2162" s="2">
        <v>5</v>
      </c>
      <c r="M2162" s="2"/>
      <c r="N2162" s="8">
        <v>41846.097685185188</v>
      </c>
      <c r="O2162" s="4" t="s">
        <v>10</v>
      </c>
      <c r="P2162" s="3" t="s">
        <v>2146</v>
      </c>
      <c r="Q2162" s="10" t="s">
        <v>2145</v>
      </c>
      <c r="R2162" s="4"/>
      <c r="S2162" s="9" t="str">
        <f>HYPERLINK("https://pbs.twimg.com/profile_images/1012878354972860419/-iMHGVhI.jpg","View")</f>
        <v>View</v>
      </c>
    </row>
    <row r="2163" spans="1:19" ht="30">
      <c r="A2163" s="8">
        <v>43370.130335648151</v>
      </c>
      <c r="B2163" s="11" t="str">
        <f>HYPERLINK("https://twitter.com/alidadaaaaaa","@alidadaaaaaa")</f>
        <v>@alidadaaaaaa</v>
      </c>
      <c r="C2163" s="6" t="s">
        <v>2144</v>
      </c>
      <c r="D2163" s="5" t="s">
        <v>2143</v>
      </c>
      <c r="E2163" s="9" t="str">
        <f>HYPERLINK("https://twitter.com/alidadaaaaaa/status/1045095092678201344","1045095092678201344")</f>
        <v>1045095092678201344</v>
      </c>
      <c r="F2163" s="4"/>
      <c r="G2163" s="4"/>
      <c r="H2163" s="4"/>
      <c r="I2163" s="10" t="str">
        <f>HYPERLINK("http://twitter.com/download/iphone","Twitter for iPhone")</f>
        <v>Twitter for iPhone</v>
      </c>
      <c r="J2163" s="2">
        <v>2</v>
      </c>
      <c r="K2163" s="2">
        <v>72</v>
      </c>
      <c r="L2163" s="2">
        <v>0</v>
      </c>
      <c r="M2163" s="2"/>
      <c r="N2163" s="8">
        <v>43367.972395833334</v>
      </c>
      <c r="O2163" s="4"/>
      <c r="P2163" s="3"/>
      <c r="Q2163" s="4"/>
      <c r="R2163" s="4"/>
      <c r="S2163" s="9" t="str">
        <f>HYPERLINK("https://pbs.twimg.com/profile_images/1044316091311419392/sFG9SMB3.jpg","View")</f>
        <v>View</v>
      </c>
    </row>
    <row r="2164" spans="1:19" ht="30">
      <c r="A2164" s="8">
        <v>43370.12572916667</v>
      </c>
      <c r="B2164" s="11" t="str">
        <f>HYPERLINK("https://twitter.com/pormahak","@pormahak")</f>
        <v>@pormahak</v>
      </c>
      <c r="C2164" s="6" t="s">
        <v>2142</v>
      </c>
      <c r="D2164" s="5" t="s">
        <v>2141</v>
      </c>
      <c r="E2164" s="9" t="str">
        <f>HYPERLINK("https://twitter.com/pormahak/status/1045093423810777088","1045093423810777088")</f>
        <v>1045093423810777088</v>
      </c>
      <c r="F2164" s="4"/>
      <c r="G2164" s="4"/>
      <c r="H2164" s="4"/>
      <c r="I2164" s="10" t="str">
        <f>HYPERLINK("http://twitter.com/download/android","Twitter for Android")</f>
        <v>Twitter for Android</v>
      </c>
      <c r="J2164" s="2">
        <v>394</v>
      </c>
      <c r="K2164" s="2">
        <v>294</v>
      </c>
      <c r="L2164" s="2">
        <v>0</v>
      </c>
      <c r="M2164" s="2"/>
      <c r="N2164" s="8">
        <v>41558.088379629626</v>
      </c>
      <c r="O2164" s="4"/>
      <c r="P2164" s="3" t="s">
        <v>2140</v>
      </c>
      <c r="Q2164" s="4"/>
      <c r="R2164" s="4"/>
      <c r="S2164" s="9" t="str">
        <f>HYPERLINK("https://pbs.twimg.com/profile_images/966360476379762689/NO3fYBI_.jpg","View")</f>
        <v>View</v>
      </c>
    </row>
    <row r="2165" spans="1:19" ht="30">
      <c r="A2165" s="8">
        <v>43370.125509259262</v>
      </c>
      <c r="B2165" s="11" t="str">
        <f>HYPERLINK("https://twitter.com/YouTaab","@YouTaab")</f>
        <v>@YouTaab</v>
      </c>
      <c r="C2165" s="6" t="s">
        <v>2139</v>
      </c>
      <c r="D2165" s="5" t="s">
        <v>408</v>
      </c>
      <c r="E2165" s="9" t="str">
        <f>HYPERLINK("https://twitter.com/YouTaab/status/1045093343770730496","1045093343770730496")</f>
        <v>1045093343770730496</v>
      </c>
      <c r="F2165" s="4"/>
      <c r="G2165" s="4"/>
      <c r="H2165" s="4"/>
      <c r="I2165" s="10" t="str">
        <f>HYPERLINK("http://twitter.com/download/android","Twitter for Android")</f>
        <v>Twitter for Android</v>
      </c>
      <c r="J2165" s="2">
        <v>771</v>
      </c>
      <c r="K2165" s="2">
        <v>712</v>
      </c>
      <c r="L2165" s="2">
        <v>4</v>
      </c>
      <c r="M2165" s="2"/>
      <c r="N2165" s="8">
        <v>40805.832789351851</v>
      </c>
      <c r="O2165" s="4" t="s">
        <v>524</v>
      </c>
      <c r="P2165" s="3" t="s">
        <v>2138</v>
      </c>
      <c r="Q2165" s="4"/>
      <c r="R2165" s="4"/>
      <c r="S2165" s="9" t="str">
        <f>HYPERLINK("https://pbs.twimg.com/profile_images/1026045631243010048/RWUjPTcH.jpg","View")</f>
        <v>View</v>
      </c>
    </row>
    <row r="2166" spans="1:19" ht="20">
      <c r="A2166" s="8">
        <v>43370.125023148154</v>
      </c>
      <c r="B2166" s="11" t="str">
        <f>HYPERLINK("https://twitter.com/mah_khanalipoor","@mah_khanalipoor")</f>
        <v>@mah_khanalipoor</v>
      </c>
      <c r="C2166" s="6" t="s">
        <v>2137</v>
      </c>
      <c r="D2166" s="5" t="s">
        <v>1812</v>
      </c>
      <c r="E2166" s="9" t="str">
        <f>HYPERLINK("https://twitter.com/mah_khanalipoor/status/1045093165856948225","1045093165856948225")</f>
        <v>1045093165856948225</v>
      </c>
      <c r="F2166" s="4"/>
      <c r="G2166" s="4"/>
      <c r="H2166" s="4"/>
      <c r="I2166" s="10" t="str">
        <f>HYPERLINK("http://twitter.com/download/android","Twitter for Android")</f>
        <v>Twitter for Android</v>
      </c>
      <c r="J2166" s="2">
        <v>1144</v>
      </c>
      <c r="K2166" s="2">
        <v>1123</v>
      </c>
      <c r="L2166" s="2">
        <v>0</v>
      </c>
      <c r="M2166" s="2"/>
      <c r="N2166" s="8">
        <v>43256.188634259262</v>
      </c>
      <c r="O2166" s="4" t="s">
        <v>200</v>
      </c>
      <c r="P2166" s="3" t="s">
        <v>2136</v>
      </c>
      <c r="Q2166" s="4"/>
      <c r="R2166" s="4"/>
      <c r="S2166" s="9" t="str">
        <f>HYPERLINK("https://pbs.twimg.com/profile_images/1028487936323579904/M8qrvE29.jpg","View")</f>
        <v>View</v>
      </c>
    </row>
    <row r="2167" spans="1:19" ht="20">
      <c r="A2167" s="8">
        <v>43370.124953703707</v>
      </c>
      <c r="B2167" s="11" t="str">
        <f>HYPERLINK("https://twitter.com/mah_khanalipoor","@mah_khanalipoor")</f>
        <v>@mah_khanalipoor</v>
      </c>
      <c r="C2167" s="6" t="s">
        <v>2137</v>
      </c>
      <c r="D2167" s="5" t="s">
        <v>1616</v>
      </c>
      <c r="E2167" s="9" t="str">
        <f>HYPERLINK("https://twitter.com/mah_khanalipoor/status/1045093142347874304","1045093142347874304")</f>
        <v>1045093142347874304</v>
      </c>
      <c r="F2167" s="4"/>
      <c r="G2167" s="4"/>
      <c r="H2167" s="4"/>
      <c r="I2167" s="10" t="str">
        <f>HYPERLINK("http://twitter.com/download/android","Twitter for Android")</f>
        <v>Twitter for Android</v>
      </c>
      <c r="J2167" s="2">
        <v>1144</v>
      </c>
      <c r="K2167" s="2">
        <v>1123</v>
      </c>
      <c r="L2167" s="2">
        <v>0</v>
      </c>
      <c r="M2167" s="2"/>
      <c r="N2167" s="8">
        <v>43256.188634259262</v>
      </c>
      <c r="O2167" s="4" t="s">
        <v>200</v>
      </c>
      <c r="P2167" s="3" t="s">
        <v>2136</v>
      </c>
      <c r="Q2167" s="4"/>
      <c r="R2167" s="4"/>
      <c r="S2167" s="9" t="str">
        <f>HYPERLINK("https://pbs.twimg.com/profile_images/1028487936323579904/M8qrvE29.jpg","View")</f>
        <v>View</v>
      </c>
    </row>
    <row r="2168" spans="1:19" ht="30">
      <c r="A2168" s="8">
        <v>43370.124826388885</v>
      </c>
      <c r="B2168" s="11" t="str">
        <f>HYPERLINK("https://twitter.com/MinaDavis_1984","@MinaDavis_1984")</f>
        <v>@MinaDavis_1984</v>
      </c>
      <c r="C2168" s="6" t="s">
        <v>2135</v>
      </c>
      <c r="D2168" s="5" t="s">
        <v>408</v>
      </c>
      <c r="E2168" s="9" t="str">
        <f>HYPERLINK("https://twitter.com/MinaDavis_1984/status/1045093094914478081","1045093094914478081")</f>
        <v>1045093094914478081</v>
      </c>
      <c r="F2168" s="4"/>
      <c r="G2168" s="4"/>
      <c r="H2168" s="4"/>
      <c r="I2168" s="10" t="str">
        <f>HYPERLINK("http://twitter.com/download/android","Twitter for Android")</f>
        <v>Twitter for Android</v>
      </c>
      <c r="J2168" s="2">
        <v>311</v>
      </c>
      <c r="K2168" s="2">
        <v>555</v>
      </c>
      <c r="L2168" s="2">
        <v>0</v>
      </c>
      <c r="M2168" s="2"/>
      <c r="N2168" s="8">
        <v>43111.119872685187</v>
      </c>
      <c r="O2168" s="4"/>
      <c r="P2168" s="3" t="s">
        <v>2134</v>
      </c>
      <c r="Q2168" s="4"/>
      <c r="R2168" s="4"/>
      <c r="S2168" s="9" t="str">
        <f>HYPERLINK("https://pbs.twimg.com/profile_images/961194430639235072/hJtXSKvF.jpg","View")</f>
        <v>View</v>
      </c>
    </row>
    <row r="2169" spans="1:19" ht="20">
      <c r="A2169" s="8">
        <v>43370.123935185184</v>
      </c>
      <c r="B2169" s="11" t="str">
        <f>HYPERLINK("https://twitter.com/Mehrddad","@Mehrddad")</f>
        <v>@Mehrddad</v>
      </c>
      <c r="C2169" s="6" t="s">
        <v>2133</v>
      </c>
      <c r="D2169" s="5" t="s">
        <v>276</v>
      </c>
      <c r="E2169" s="9" t="str">
        <f>HYPERLINK("https://twitter.com/Mehrddad/status/1045092774360567809","1045092774360567809")</f>
        <v>1045092774360567809</v>
      </c>
      <c r="F2169" s="4"/>
      <c r="G2169" s="4"/>
      <c r="H2169" s="4"/>
      <c r="I2169" s="10" t="str">
        <f>HYPERLINK("http://twitter.com/download/iphone","Twitter for iPhone")</f>
        <v>Twitter for iPhone</v>
      </c>
      <c r="J2169" s="2">
        <v>1364</v>
      </c>
      <c r="K2169" s="2">
        <v>883</v>
      </c>
      <c r="L2169" s="2">
        <v>4</v>
      </c>
      <c r="M2169" s="2"/>
      <c r="N2169" s="8">
        <v>43008.124409722222</v>
      </c>
      <c r="O2169" s="4" t="s">
        <v>2132</v>
      </c>
      <c r="P2169" s="3" t="s">
        <v>2131</v>
      </c>
      <c r="Q2169" s="4"/>
      <c r="R2169" s="4"/>
      <c r="S2169" s="9" t="str">
        <f>HYPERLINK("https://pbs.twimg.com/profile_images/986651432588898304/f8VKwZtB.jpg","View")</f>
        <v>View</v>
      </c>
    </row>
    <row r="2170" spans="1:19" ht="40">
      <c r="A2170" s="8">
        <v>43370.121979166666</v>
      </c>
      <c r="B2170" s="11" t="str">
        <f>HYPERLINK("https://twitter.com/YekNerd","@YekNerd")</f>
        <v>@YekNerd</v>
      </c>
      <c r="C2170" s="6" t="s">
        <v>2130</v>
      </c>
      <c r="D2170" s="5" t="s">
        <v>2129</v>
      </c>
      <c r="E2170" s="9" t="str">
        <f>HYPERLINK("https://twitter.com/YekNerd/status/1045092064432553985","1045092064432553985")</f>
        <v>1045092064432553985</v>
      </c>
      <c r="F2170" s="10" t="s">
        <v>2048</v>
      </c>
      <c r="G2170" s="4"/>
      <c r="H2170" s="4"/>
      <c r="I2170" s="10" t="str">
        <f>HYPERLINK("https://mobile.twitter.com","Twitter Lite")</f>
        <v>Twitter Lite</v>
      </c>
      <c r="J2170" s="2">
        <v>718</v>
      </c>
      <c r="K2170" s="2">
        <v>748</v>
      </c>
      <c r="L2170" s="2">
        <v>4</v>
      </c>
      <c r="M2170" s="2"/>
      <c r="N2170" s="8">
        <v>40025.064803240741</v>
      </c>
      <c r="O2170" s="4" t="s">
        <v>72</v>
      </c>
      <c r="P2170" s="3" t="s">
        <v>2128</v>
      </c>
      <c r="Q2170" s="10" t="s">
        <v>2127</v>
      </c>
      <c r="R2170" s="4"/>
      <c r="S2170" s="9" t="str">
        <f>HYPERLINK("https://pbs.twimg.com/profile_images/1037007644609794049/c4KSAh-h.jpg","View")</f>
        <v>View</v>
      </c>
    </row>
    <row r="2171" spans="1:19" ht="20">
      <c r="A2171" s="8">
        <v>43370.121087962965</v>
      </c>
      <c r="B2171" s="11" t="str">
        <f>HYPERLINK("https://twitter.com/yalasarat","@yalasarat")</f>
        <v>@yalasarat</v>
      </c>
      <c r="C2171" s="6" t="s">
        <v>2126</v>
      </c>
      <c r="D2171" s="5" t="s">
        <v>354</v>
      </c>
      <c r="E2171" s="9" t="str">
        <f>HYPERLINK("https://twitter.com/yalasarat/status/1045091739441221632","1045091739441221632")</f>
        <v>1045091739441221632</v>
      </c>
      <c r="F2171" s="4"/>
      <c r="G2171" s="4"/>
      <c r="H2171" s="4"/>
      <c r="I2171" s="10" t="str">
        <f>HYPERLINK("http://twitter.com/download/android","Twitter for Android")</f>
        <v>Twitter for Android</v>
      </c>
      <c r="J2171" s="2">
        <v>306</v>
      </c>
      <c r="K2171" s="2">
        <v>212</v>
      </c>
      <c r="L2171" s="2">
        <v>1</v>
      </c>
      <c r="M2171" s="2"/>
      <c r="N2171" s="8">
        <v>43244.682291666672</v>
      </c>
      <c r="O2171" s="4" t="s">
        <v>200</v>
      </c>
      <c r="P2171" s="3" t="s">
        <v>2125</v>
      </c>
      <c r="Q2171" s="4"/>
      <c r="R2171" s="4"/>
      <c r="S2171" s="9" t="str">
        <f>HYPERLINK("https://pbs.twimg.com/profile_images/1021153765632741376/9HdN55He.jpg","View")</f>
        <v>View</v>
      </c>
    </row>
    <row r="2172" spans="1:19" ht="20">
      <c r="A2172" s="8">
        <v>43370.114861111113</v>
      </c>
      <c r="B2172" s="11" t="str">
        <f>HYPERLINK("https://twitter.com/supreme_ronin","@supreme_ronin")</f>
        <v>@supreme_ronin</v>
      </c>
      <c r="C2172" s="6" t="s">
        <v>2124</v>
      </c>
      <c r="D2172" s="5" t="s">
        <v>276</v>
      </c>
      <c r="E2172" s="9" t="str">
        <f>HYPERLINK("https://twitter.com/supreme_ronin/status/1045089485980135425","1045089485980135425")</f>
        <v>1045089485980135425</v>
      </c>
      <c r="F2172" s="4"/>
      <c r="G2172" s="4"/>
      <c r="H2172" s="4"/>
      <c r="I2172" s="10" t="str">
        <f>HYPERLINK("http://twitter.com/download/android","Twitter for Android")</f>
        <v>Twitter for Android</v>
      </c>
      <c r="J2172" s="2">
        <v>915</v>
      </c>
      <c r="K2172" s="2">
        <v>803</v>
      </c>
      <c r="L2172" s="2">
        <v>8</v>
      </c>
      <c r="M2172" s="2"/>
      <c r="N2172" s="8">
        <v>41393.092210648145</v>
      </c>
      <c r="O2172" s="4" t="s">
        <v>2123</v>
      </c>
      <c r="P2172" s="3" t="s">
        <v>2122</v>
      </c>
      <c r="Q2172" s="4"/>
      <c r="R2172" s="4"/>
      <c r="S2172" s="9" t="str">
        <f>HYPERLINK("https://pbs.twimg.com/profile_images/1038975779978313730/pyhfNdmN.jpg","View")</f>
        <v>View</v>
      </c>
    </row>
    <row r="2173" spans="1:19" ht="50">
      <c r="A2173" s="8">
        <v>43370.114710648151</v>
      </c>
      <c r="B2173" s="11" t="str">
        <f>HYPERLINK("https://twitter.com/fadaimihan","@fadaimihan")</f>
        <v>@fadaimihan</v>
      </c>
      <c r="C2173" s="6" t="s">
        <v>2121</v>
      </c>
      <c r="D2173" s="5" t="s">
        <v>927</v>
      </c>
      <c r="E2173" s="9" t="str">
        <f>HYPERLINK("https://twitter.com/fadaimihan/status/1045089428748849153","1045089428748849153")</f>
        <v>1045089428748849153</v>
      </c>
      <c r="F2173" s="4"/>
      <c r="G2173" s="10" t="s">
        <v>926</v>
      </c>
      <c r="H2173" s="4"/>
      <c r="I2173" s="10" t="str">
        <f>HYPERLINK("http://twitter.com/download/android","Twitter for Android")</f>
        <v>Twitter for Android</v>
      </c>
      <c r="J2173" s="2">
        <v>2019</v>
      </c>
      <c r="K2173" s="2">
        <v>2371</v>
      </c>
      <c r="L2173" s="2">
        <v>4</v>
      </c>
      <c r="M2173" s="2"/>
      <c r="N2173" s="8">
        <v>43108.092592592591</v>
      </c>
      <c r="O2173" s="4"/>
      <c r="P2173" s="3" t="s">
        <v>2120</v>
      </c>
      <c r="Q2173" s="4"/>
      <c r="R2173" s="4"/>
      <c r="S2173" s="9" t="str">
        <f>HYPERLINK("https://pbs.twimg.com/profile_images/1025862753460871168/2nJx98hx.jpg","View")</f>
        <v>View</v>
      </c>
    </row>
    <row r="2174" spans="1:19" ht="12.5">
      <c r="A2174" s="8">
        <v>43370.114618055552</v>
      </c>
      <c r="B2174" s="11" t="str">
        <f>HYPERLINK("https://twitter.com/ahoo_khanoom93","@ahoo_khanoom93")</f>
        <v>@ahoo_khanoom93</v>
      </c>
      <c r="C2174" s="6" t="s">
        <v>2119</v>
      </c>
      <c r="D2174" s="5" t="s">
        <v>2118</v>
      </c>
      <c r="E2174" s="9" t="str">
        <f>HYPERLINK("https://twitter.com/ahoo_khanoom93/status/1045089396524019713","1045089396524019713")</f>
        <v>1045089396524019713</v>
      </c>
      <c r="F2174" s="4"/>
      <c r="G2174" s="4"/>
      <c r="H2174" s="4"/>
      <c r="I2174" s="10" t="str">
        <f>HYPERLINK("http://twitter.com/download/android","Twitter for Android")</f>
        <v>Twitter for Android</v>
      </c>
      <c r="J2174" s="2">
        <v>1297</v>
      </c>
      <c r="K2174" s="2">
        <v>543</v>
      </c>
      <c r="L2174" s="2">
        <v>5</v>
      </c>
      <c r="M2174" s="2"/>
      <c r="N2174" s="8">
        <v>43101.800509259258</v>
      </c>
      <c r="O2174" s="4" t="s">
        <v>2117</v>
      </c>
      <c r="P2174" s="3" t="s">
        <v>2116</v>
      </c>
      <c r="Q2174" s="4"/>
      <c r="R2174" s="4"/>
      <c r="S2174" s="9" t="str">
        <f>HYPERLINK("https://pbs.twimg.com/profile_images/1045004659298095104/bbl58kVg.jpg","View")</f>
        <v>View</v>
      </c>
    </row>
    <row r="2175" spans="1:19" ht="20">
      <c r="A2175" s="8">
        <v>43370.114375000005</v>
      </c>
      <c r="B2175" s="11" t="str">
        <f>HYPERLINK("https://twitter.com/haji_komando","@haji_komando")</f>
        <v>@haji_komando</v>
      </c>
      <c r="C2175" s="6" t="s">
        <v>2115</v>
      </c>
      <c r="D2175" s="5" t="s">
        <v>1616</v>
      </c>
      <c r="E2175" s="9" t="str">
        <f>HYPERLINK("https://twitter.com/haji_komando/status/1045089308061945856","1045089308061945856")</f>
        <v>1045089308061945856</v>
      </c>
      <c r="F2175" s="4"/>
      <c r="G2175" s="4"/>
      <c r="H2175" s="4"/>
      <c r="I2175" s="10" t="str">
        <f>HYPERLINK("http://twitter.com/download/android","Twitter for Android")</f>
        <v>Twitter for Android</v>
      </c>
      <c r="J2175" s="2">
        <v>176</v>
      </c>
      <c r="K2175" s="2">
        <v>215</v>
      </c>
      <c r="L2175" s="2">
        <v>0</v>
      </c>
      <c r="M2175" s="2"/>
      <c r="N2175" s="8">
        <v>43349.485138888893</v>
      </c>
      <c r="O2175" s="4" t="s">
        <v>2114</v>
      </c>
      <c r="P2175" s="3" t="s">
        <v>2113</v>
      </c>
      <c r="Q2175" s="4"/>
      <c r="R2175" s="4"/>
      <c r="S2175" s="9" t="str">
        <f>HYPERLINK("https://pbs.twimg.com/profile_images/1039204361883267072/Qa1PCv-q.jpg","View")</f>
        <v>View</v>
      </c>
    </row>
    <row r="2176" spans="1:19" ht="50">
      <c r="A2176" s="8">
        <v>43370.113263888888</v>
      </c>
      <c r="B2176" s="11" t="str">
        <f>HYPERLINK("https://twitter.com/sarbaz_irani_","@sarbaz_irani_")</f>
        <v>@sarbaz_irani_</v>
      </c>
      <c r="C2176" s="6" t="s">
        <v>2112</v>
      </c>
      <c r="D2176" s="5" t="s">
        <v>927</v>
      </c>
      <c r="E2176" s="9" t="str">
        <f>HYPERLINK("https://twitter.com/sarbaz_irani_/status/1045088905668759554","1045088905668759554")</f>
        <v>1045088905668759554</v>
      </c>
      <c r="F2176" s="4"/>
      <c r="G2176" s="10" t="s">
        <v>926</v>
      </c>
      <c r="H2176" s="4"/>
      <c r="I2176" s="10" t="str">
        <f>HYPERLINK("http://twitter.com/download/android","Twitter for Android")</f>
        <v>Twitter for Android</v>
      </c>
      <c r="J2176" s="2">
        <v>1840</v>
      </c>
      <c r="K2176" s="2">
        <v>1629</v>
      </c>
      <c r="L2176" s="2">
        <v>2</v>
      </c>
      <c r="M2176" s="2"/>
      <c r="N2176" s="8">
        <v>43015.024780092594</v>
      </c>
      <c r="O2176" s="4" t="s">
        <v>2111</v>
      </c>
      <c r="P2176" s="3" t="s">
        <v>2110</v>
      </c>
      <c r="Q2176" s="10" t="s">
        <v>2109</v>
      </c>
      <c r="R2176" s="4"/>
      <c r="S2176" s="9" t="str">
        <f>HYPERLINK("https://pbs.twimg.com/profile_images/1041419118321299456/QssCzwX0.jpg","View")</f>
        <v>View</v>
      </c>
    </row>
    <row r="2177" spans="1:19" ht="50">
      <c r="A2177" s="8">
        <v>43370.112430555557</v>
      </c>
      <c r="B2177" s="11" t="str">
        <f>HYPERLINK("https://twitter.com/Shahin_key","@Shahin_key")</f>
        <v>@Shahin_key</v>
      </c>
      <c r="C2177" s="6" t="s">
        <v>2108</v>
      </c>
      <c r="D2177" s="5" t="s">
        <v>927</v>
      </c>
      <c r="E2177" s="9" t="str">
        <f>HYPERLINK("https://twitter.com/Shahin_key/status/1045088604211630085","1045088604211630085")</f>
        <v>1045088604211630085</v>
      </c>
      <c r="F2177" s="4"/>
      <c r="G2177" s="10" t="s">
        <v>926</v>
      </c>
      <c r="H2177" s="4"/>
      <c r="I2177" s="10" t="str">
        <f>HYPERLINK("http://twitter.com/download/iphone","Twitter for iPhone")</f>
        <v>Twitter for iPhone</v>
      </c>
      <c r="J2177" s="2">
        <v>566</v>
      </c>
      <c r="K2177" s="2">
        <v>356</v>
      </c>
      <c r="L2177" s="2">
        <v>0</v>
      </c>
      <c r="M2177" s="2"/>
      <c r="N2177" s="8">
        <v>42774.973217592589</v>
      </c>
      <c r="O2177" s="4" t="s">
        <v>72</v>
      </c>
      <c r="P2177" s="3" t="s">
        <v>2107</v>
      </c>
      <c r="Q2177" s="4"/>
      <c r="R2177" s="4"/>
      <c r="S2177" s="9" t="str">
        <f>HYPERLINK("https://pbs.twimg.com/profile_images/844310350388482049/G3PkayqH.jpg","View")</f>
        <v>View</v>
      </c>
    </row>
    <row r="2178" spans="1:19" ht="30">
      <c r="A2178" s="8">
        <v>43370.111516203702</v>
      </c>
      <c r="B2178" s="11" t="str">
        <f>HYPERLINK("https://twitter.com/ehsan_cheraghi","@ehsan_cheraghi")</f>
        <v>@ehsan_cheraghi</v>
      </c>
      <c r="C2178" s="6" t="s">
        <v>2106</v>
      </c>
      <c r="D2178" s="5" t="s">
        <v>2105</v>
      </c>
      <c r="E2178" s="9" t="str">
        <f>HYPERLINK("https://twitter.com/ehsan_cheraghi/status/1045088272140185600","1045088272140185600")</f>
        <v>1045088272140185600</v>
      </c>
      <c r="F2178" s="4"/>
      <c r="G2178" s="4"/>
      <c r="H2178" s="4"/>
      <c r="I2178" s="10" t="str">
        <f>HYPERLINK("http://twitter.com/download/android","Twitter for Android")</f>
        <v>Twitter for Android</v>
      </c>
      <c r="J2178" s="2">
        <v>387</v>
      </c>
      <c r="K2178" s="2">
        <v>370</v>
      </c>
      <c r="L2178" s="2">
        <v>0</v>
      </c>
      <c r="M2178" s="2"/>
      <c r="N2178" s="8">
        <v>41306.649108796293</v>
      </c>
      <c r="O2178" s="4"/>
      <c r="P2178" s="3" t="s">
        <v>2104</v>
      </c>
      <c r="Q2178" s="4"/>
      <c r="R2178" s="4"/>
      <c r="S2178" s="9" t="str">
        <f>HYPERLINK("https://pbs.twimg.com/profile_images/1011668002532622339/OSoaz6fi.jpg","View")</f>
        <v>View</v>
      </c>
    </row>
    <row r="2179" spans="1:19" ht="50">
      <c r="A2179" s="8">
        <v>43370.111203703702</v>
      </c>
      <c r="B2179" s="11" t="str">
        <f>HYPERLINK("https://twitter.com/FarzaneGholami","@FarzaneGholami")</f>
        <v>@FarzaneGholami</v>
      </c>
      <c r="C2179" s="6" t="s">
        <v>1640</v>
      </c>
      <c r="D2179" s="5" t="s">
        <v>2103</v>
      </c>
      <c r="E2179" s="9" t="str">
        <f>HYPERLINK("https://twitter.com/FarzaneGholami/status/1045088159338500099","1045088159338500099")</f>
        <v>1045088159338500099</v>
      </c>
      <c r="F2179" s="4"/>
      <c r="G2179" s="4"/>
      <c r="H2179" s="4"/>
      <c r="I2179" s="10" t="str">
        <f>HYPERLINK("http://twitter.com/download/iphone","Twitter for iPhone")</f>
        <v>Twitter for iPhone</v>
      </c>
      <c r="J2179" s="2">
        <v>1424</v>
      </c>
      <c r="K2179" s="2">
        <v>351</v>
      </c>
      <c r="L2179" s="2">
        <v>7</v>
      </c>
      <c r="M2179" s="2"/>
      <c r="N2179" s="8">
        <v>42913.865844907406</v>
      </c>
      <c r="O2179" s="4" t="s">
        <v>1638</v>
      </c>
      <c r="P2179" s="3" t="s">
        <v>1637</v>
      </c>
      <c r="Q2179" s="10" t="s">
        <v>1636</v>
      </c>
      <c r="R2179" s="4"/>
      <c r="S2179" s="9" t="str">
        <f>HYPERLINK("https://pbs.twimg.com/profile_images/935662282071248898/p2xZ02IS.jpg","View")</f>
        <v>View</v>
      </c>
    </row>
    <row r="2180" spans="1:19" ht="50">
      <c r="A2180" s="8">
        <v>43370.111145833333</v>
      </c>
      <c r="B2180" s="11" t="str">
        <f>HYPERLINK("https://twitter.com/Amirilicious1","@Amirilicious1")</f>
        <v>@Amirilicious1</v>
      </c>
      <c r="C2180" s="6" t="s">
        <v>2102</v>
      </c>
      <c r="D2180" s="5" t="s">
        <v>1168</v>
      </c>
      <c r="E2180" s="9" t="str">
        <f>HYPERLINK("https://twitter.com/Amirilicious1/status/1045088138140557312","1045088138140557312")</f>
        <v>1045088138140557312</v>
      </c>
      <c r="F2180" s="4"/>
      <c r="G2180" s="10" t="s">
        <v>907</v>
      </c>
      <c r="H2180" s="4"/>
      <c r="I2180" s="10" t="str">
        <f>HYPERLINK("http://twitter.com/download/iphone","Twitter for iPhone")</f>
        <v>Twitter for iPhone</v>
      </c>
      <c r="J2180" s="2">
        <v>72</v>
      </c>
      <c r="K2180" s="2">
        <v>176</v>
      </c>
      <c r="L2180" s="2">
        <v>0</v>
      </c>
      <c r="M2180" s="2"/>
      <c r="N2180" s="8">
        <v>43255.758935185186</v>
      </c>
      <c r="O2180" s="4" t="s">
        <v>72</v>
      </c>
      <c r="P2180" s="3" t="s">
        <v>2101</v>
      </c>
      <c r="Q2180" s="4"/>
      <c r="R2180" s="4"/>
      <c r="S2180" s="9" t="str">
        <f>HYPERLINK("https://pbs.twimg.com/profile_images/1021143684753092610/y6B3VA8A.jpg","View")</f>
        <v>View</v>
      </c>
    </row>
    <row r="2181" spans="1:19" ht="50">
      <c r="A2181" s="8">
        <v>43370.111030092594</v>
      </c>
      <c r="B2181" s="11" t="str">
        <f>HYPERLINK("https://twitter.com/Agent47mr","@Agent47mr")</f>
        <v>@Agent47mr</v>
      </c>
      <c r="C2181" s="6" t="s">
        <v>2100</v>
      </c>
      <c r="D2181" s="5" t="s">
        <v>1168</v>
      </c>
      <c r="E2181" s="9" t="str">
        <f>HYPERLINK("https://twitter.com/Agent47mr/status/1045088094020603905","1045088094020603905")</f>
        <v>1045088094020603905</v>
      </c>
      <c r="F2181" s="4"/>
      <c r="G2181" s="10" t="s">
        <v>907</v>
      </c>
      <c r="H2181" s="4"/>
      <c r="I2181" s="10" t="str">
        <f>HYPERLINK("http://twitter.com/download/android","Twitter for Android")</f>
        <v>Twitter for Android</v>
      </c>
      <c r="J2181" s="2">
        <v>667</v>
      </c>
      <c r="K2181" s="2">
        <v>969</v>
      </c>
      <c r="L2181" s="2">
        <v>1</v>
      </c>
      <c r="M2181" s="2"/>
      <c r="N2181" s="8">
        <v>41991.465370370366</v>
      </c>
      <c r="O2181" s="4" t="s">
        <v>2099</v>
      </c>
      <c r="P2181" s="3" t="s">
        <v>2098</v>
      </c>
      <c r="Q2181" s="4"/>
      <c r="R2181" s="4"/>
      <c r="S2181" s="9" t="str">
        <f>HYPERLINK("https://pbs.twimg.com/profile_images/990340598317142016/Ny58hbzQ.jpg","View")</f>
        <v>View</v>
      </c>
    </row>
    <row r="2182" spans="1:19" ht="40">
      <c r="A2182" s="8">
        <v>43370.110902777778</v>
      </c>
      <c r="B2182" s="11" t="str">
        <f>HYPERLINK("https://twitter.com/Perspolis_tweet","@Perspolis_tweet")</f>
        <v>@Perspolis_tweet</v>
      </c>
      <c r="C2182" s="6" t="s">
        <v>2097</v>
      </c>
      <c r="D2182" s="5" t="s">
        <v>1468</v>
      </c>
      <c r="E2182" s="9" t="str">
        <f>HYPERLINK("https://twitter.com/Perspolis_tweet/status/1045088048478912513","1045088048478912513")</f>
        <v>1045088048478912513</v>
      </c>
      <c r="F2182" s="4"/>
      <c r="G2182" s="4"/>
      <c r="H2182" s="4"/>
      <c r="I2182" s="10" t="str">
        <f>HYPERLINK("http://twitter.com/download/android","Twitter for Android")</f>
        <v>Twitter for Android</v>
      </c>
      <c r="J2182" s="2">
        <v>232</v>
      </c>
      <c r="K2182" s="2">
        <v>110</v>
      </c>
      <c r="L2182" s="2">
        <v>0</v>
      </c>
      <c r="M2182" s="2"/>
      <c r="N2182" s="8">
        <v>43097.109166666662</v>
      </c>
      <c r="O2182" s="4"/>
      <c r="P2182" s="3" t="s">
        <v>2096</v>
      </c>
      <c r="Q2182" s="10" t="s">
        <v>2095</v>
      </c>
      <c r="R2182" s="4"/>
      <c r="S2182" s="9" t="str">
        <f>HYPERLINK("https://pbs.twimg.com/profile_images/946158309475799040/V_9Ko5sZ.jpg","View")</f>
        <v>View</v>
      </c>
    </row>
    <row r="2183" spans="1:19" ht="20">
      <c r="A2183" s="8">
        <v>43370.109791666662</v>
      </c>
      <c r="B2183" s="11" t="str">
        <f>HYPERLINK("https://twitter.com/iammahdiyar","@iammahdiyar")</f>
        <v>@iammahdiyar</v>
      </c>
      <c r="C2183" s="6" t="s">
        <v>2094</v>
      </c>
      <c r="D2183" s="5" t="s">
        <v>2093</v>
      </c>
      <c r="E2183" s="9" t="str">
        <f>HYPERLINK("https://twitter.com/iammahdiyar/status/1045087647188889600","1045087647188889600")</f>
        <v>1045087647188889600</v>
      </c>
      <c r="F2183" s="4"/>
      <c r="G2183" s="10" t="s">
        <v>2092</v>
      </c>
      <c r="H2183" s="4"/>
      <c r="I2183" s="10" t="str">
        <f>HYPERLINK("http://twitter.com/download/iphone","Twitter for iPhone")</f>
        <v>Twitter for iPhone</v>
      </c>
      <c r="J2183" s="2">
        <v>349</v>
      </c>
      <c r="K2183" s="2">
        <v>196</v>
      </c>
      <c r="L2183" s="2">
        <v>1</v>
      </c>
      <c r="M2183" s="2"/>
      <c r="N2183" s="8">
        <v>43071.896469907406</v>
      </c>
      <c r="O2183" s="4" t="s">
        <v>2091</v>
      </c>
      <c r="P2183" s="3" t="s">
        <v>2090</v>
      </c>
      <c r="Q2183" s="10" t="s">
        <v>2089</v>
      </c>
      <c r="R2183" s="4"/>
      <c r="S2183" s="9" t="str">
        <f>HYPERLINK("https://pbs.twimg.com/profile_images/1037028566616158208/9ZFjLiSp.jpg","View")</f>
        <v>View</v>
      </c>
    </row>
    <row r="2184" spans="1:19" ht="20">
      <c r="A2184" s="8">
        <v>43370.109201388885</v>
      </c>
      <c r="B2184" s="11" t="str">
        <f>HYPERLINK("https://twitter.com/hawraman_sj","@hawraman_sj")</f>
        <v>@hawraman_sj</v>
      </c>
      <c r="C2184" s="6" t="s">
        <v>2088</v>
      </c>
      <c r="D2184" s="5" t="s">
        <v>2087</v>
      </c>
      <c r="E2184" s="9" t="str">
        <f>HYPERLINK("https://twitter.com/hawraman_sj/status/1045087432390184960","1045087432390184960")</f>
        <v>1045087432390184960</v>
      </c>
      <c r="F2184" s="4"/>
      <c r="G2184" s="10" t="s">
        <v>2086</v>
      </c>
      <c r="H2184" s="4"/>
      <c r="I2184" s="10" t="str">
        <f>HYPERLINK("http://twitter.com","Twitter Web Client")</f>
        <v>Twitter Web Client</v>
      </c>
      <c r="J2184" s="2">
        <v>350</v>
      </c>
      <c r="K2184" s="2">
        <v>343</v>
      </c>
      <c r="L2184" s="2">
        <v>5</v>
      </c>
      <c r="M2184" s="2"/>
      <c r="N2184" s="8">
        <v>42554.297037037039</v>
      </c>
      <c r="O2184" s="4" t="s">
        <v>2085</v>
      </c>
      <c r="P2184" s="3"/>
      <c r="Q2184" s="4"/>
      <c r="R2184" s="4"/>
      <c r="S2184" s="9" t="str">
        <f>HYPERLINK("https://pbs.twimg.com/profile_images/1044725114426712064/nro0UP80.jpg","View")</f>
        <v>View</v>
      </c>
    </row>
    <row r="2185" spans="1:19" ht="30">
      <c r="A2185" s="8">
        <v>43370.108831018515</v>
      </c>
      <c r="B2185" s="11" t="str">
        <f>HYPERLINK("https://twitter.com/rahgozaregharib","@rahgozaregharib")</f>
        <v>@rahgozaregharib</v>
      </c>
      <c r="C2185" s="6" t="s">
        <v>2024</v>
      </c>
      <c r="D2185" s="5" t="s">
        <v>2084</v>
      </c>
      <c r="E2185" s="9" t="str">
        <f>HYPERLINK("https://twitter.com/rahgozaregharib/status/1045087298650624000","1045087298650624000")</f>
        <v>1045087298650624000</v>
      </c>
      <c r="F2185" s="4"/>
      <c r="G2185" s="4"/>
      <c r="H2185" s="4"/>
      <c r="I2185" s="10" t="str">
        <f>HYPERLINK("http://twitter.com/download/android","Twitter for Android")</f>
        <v>Twitter for Android</v>
      </c>
      <c r="J2185" s="2">
        <v>28</v>
      </c>
      <c r="K2185" s="2">
        <v>99</v>
      </c>
      <c r="L2185" s="2">
        <v>0</v>
      </c>
      <c r="M2185" s="2"/>
      <c r="N2185" s="8">
        <v>41479.225555555553</v>
      </c>
      <c r="O2185" s="4" t="s">
        <v>2022</v>
      </c>
      <c r="P2185" s="3" t="s">
        <v>2021</v>
      </c>
      <c r="Q2185" s="4"/>
      <c r="R2185" s="4"/>
      <c r="S2185" s="9" t="str">
        <f>HYPERLINK("https://pbs.twimg.com/profile_images/1044197740148920320/jLLMxL_r.jpg","View")</f>
        <v>View</v>
      </c>
    </row>
    <row r="2186" spans="1:19" ht="20">
      <c r="A2186" s="8">
        <v>43370.107962962968</v>
      </c>
      <c r="B2186" s="11" t="str">
        <f>HYPERLINK("https://twitter.com/vahidkamali8","@vahidkamali8")</f>
        <v>@vahidkamali8</v>
      </c>
      <c r="C2186" s="6" t="s">
        <v>1125</v>
      </c>
      <c r="D2186" s="5" t="s">
        <v>1616</v>
      </c>
      <c r="E2186" s="9" t="str">
        <f>HYPERLINK("https://twitter.com/vahidkamali8/status/1045086986242060291","1045086986242060291")</f>
        <v>1045086986242060291</v>
      </c>
      <c r="F2186" s="4"/>
      <c r="G2186" s="4"/>
      <c r="H2186" s="4"/>
      <c r="I2186" s="10" t="str">
        <f>HYPERLINK("http://twitter.com/download/android","Twitter for Android")</f>
        <v>Twitter for Android</v>
      </c>
      <c r="J2186" s="2">
        <v>1186</v>
      </c>
      <c r="K2186" s="2">
        <v>760</v>
      </c>
      <c r="L2186" s="2">
        <v>3</v>
      </c>
      <c r="M2186" s="2"/>
      <c r="N2186" s="8">
        <v>43014.959097222221</v>
      </c>
      <c r="O2186" s="4" t="s">
        <v>1124</v>
      </c>
      <c r="P2186" s="3" t="s">
        <v>1123</v>
      </c>
      <c r="Q2186" s="4"/>
      <c r="R2186" s="4"/>
      <c r="S2186" s="9" t="str">
        <f>HYPERLINK("https://pbs.twimg.com/profile_images/1038771428496224256/S5RZcTKt.jpg","View")</f>
        <v>View</v>
      </c>
    </row>
    <row r="2187" spans="1:19" ht="30">
      <c r="A2187" s="8">
        <v>43370.10738425926</v>
      </c>
      <c r="B2187" s="11" t="str">
        <f>HYPERLINK("https://twitter.com/hani_nemenem","@hani_nemenem")</f>
        <v>@hani_nemenem</v>
      </c>
      <c r="C2187" s="6" t="s">
        <v>2083</v>
      </c>
      <c r="D2187" s="5" t="s">
        <v>2057</v>
      </c>
      <c r="E2187" s="9" t="str">
        <f>HYPERLINK("https://twitter.com/hani_nemenem/status/1045086775943811073","1045086775943811073")</f>
        <v>1045086775943811073</v>
      </c>
      <c r="F2187" s="4"/>
      <c r="G2187" s="4"/>
      <c r="H2187" s="4"/>
      <c r="I2187" s="10" t="str">
        <f>HYPERLINK("http://twitter.com/download/iphone","Twitter for iPhone")</f>
        <v>Twitter for iPhone</v>
      </c>
      <c r="J2187" s="2">
        <v>534</v>
      </c>
      <c r="K2187" s="2">
        <v>526</v>
      </c>
      <c r="L2187" s="2">
        <v>2</v>
      </c>
      <c r="M2187" s="2"/>
      <c r="N2187" s="8">
        <v>41740.793194444443</v>
      </c>
      <c r="O2187" s="4" t="s">
        <v>1283</v>
      </c>
      <c r="P2187" s="3" t="s">
        <v>2082</v>
      </c>
      <c r="Q2187" s="4"/>
      <c r="R2187" s="4"/>
      <c r="S2187" s="9" t="str">
        <f>HYPERLINK("https://pbs.twimg.com/profile_images/1014172433568423937/D8dlC5cN.jpg","View")</f>
        <v>View</v>
      </c>
    </row>
    <row r="2188" spans="1:19" ht="50">
      <c r="A2188" s="8">
        <v>43370.104386574079</v>
      </c>
      <c r="B2188" s="11" t="str">
        <f>HYPERLINK("https://twitter.com/Montaghedhastam","@Montaghedhastam")</f>
        <v>@Montaghedhastam</v>
      </c>
      <c r="C2188" s="6" t="s">
        <v>2081</v>
      </c>
      <c r="D2188" s="5" t="s">
        <v>1168</v>
      </c>
      <c r="E2188" s="9" t="str">
        <f>HYPERLINK("https://twitter.com/Montaghedhastam/status/1045085688696266752","1045085688696266752")</f>
        <v>1045085688696266752</v>
      </c>
      <c r="F2188" s="4"/>
      <c r="G2188" s="10" t="s">
        <v>907</v>
      </c>
      <c r="H2188" s="4"/>
      <c r="I2188" s="10" t="str">
        <f>HYPERLINK("http://twitter.com","Twitter Web Client")</f>
        <v>Twitter Web Client</v>
      </c>
      <c r="J2188" s="2">
        <v>3</v>
      </c>
      <c r="K2188" s="2">
        <v>30</v>
      </c>
      <c r="L2188" s="2">
        <v>0</v>
      </c>
      <c r="M2188" s="2"/>
      <c r="N2188" s="8">
        <v>43369.025381944448</v>
      </c>
      <c r="O2188" s="4" t="s">
        <v>72</v>
      </c>
      <c r="P2188" s="3" t="s">
        <v>2080</v>
      </c>
      <c r="Q2188" s="4"/>
      <c r="R2188" s="4"/>
      <c r="S2188" s="9" t="str">
        <f>HYPERLINK("https://pbs.twimg.com/profile_images/1044701776425832448/NoRTAKIf.jpg","View")</f>
        <v>View</v>
      </c>
    </row>
    <row r="2189" spans="1:19" ht="20">
      <c r="A2189" s="8">
        <v>43370.103599537033</v>
      </c>
      <c r="B2189" s="11" t="str">
        <f>HYPERLINK("https://twitter.com/Sorkheh3","@Sorkheh3")</f>
        <v>@Sorkheh3</v>
      </c>
      <c r="C2189" s="6" t="s">
        <v>2079</v>
      </c>
      <c r="D2189" s="5" t="s">
        <v>276</v>
      </c>
      <c r="E2189" s="9" t="str">
        <f>HYPERLINK("https://twitter.com/Sorkheh3/status/1045085403101958144","1045085403101958144")</f>
        <v>1045085403101958144</v>
      </c>
      <c r="F2189" s="4"/>
      <c r="G2189" s="4"/>
      <c r="H2189" s="4"/>
      <c r="I2189" s="10" t="str">
        <f>HYPERLINK("http://twitter.com/download/android","Twitter for Android")</f>
        <v>Twitter for Android</v>
      </c>
      <c r="J2189" s="2">
        <v>1062</v>
      </c>
      <c r="K2189" s="2">
        <v>797</v>
      </c>
      <c r="L2189" s="2">
        <v>2</v>
      </c>
      <c r="M2189" s="2"/>
      <c r="N2189" s="8">
        <v>43335.377303240741</v>
      </c>
      <c r="O2189" s="4" t="s">
        <v>2078</v>
      </c>
      <c r="P2189" s="3" t="s">
        <v>2077</v>
      </c>
      <c r="Q2189" s="4"/>
      <c r="R2189" s="4"/>
      <c r="S2189" s="9" t="str">
        <f>HYPERLINK("https://pbs.twimg.com/profile_images/1035080116756332545/6YIns1GG.jpg","View")</f>
        <v>View</v>
      </c>
    </row>
    <row r="2190" spans="1:19" ht="50">
      <c r="A2190" s="8">
        <v>43370.102951388893</v>
      </c>
      <c r="B2190" s="11" t="str">
        <f>HYPERLINK("https://twitter.com/Shima1992sh","@Shima1992sh")</f>
        <v>@Shima1992sh</v>
      </c>
      <c r="C2190" s="11" t="s">
        <v>1870</v>
      </c>
      <c r="D2190" s="5" t="s">
        <v>1951</v>
      </c>
      <c r="E2190" s="9" t="str">
        <f>HYPERLINK("https://twitter.com/Shima1992sh/status/1045085169248587777","1045085169248587777")</f>
        <v>1045085169248587777</v>
      </c>
      <c r="F2190" s="4"/>
      <c r="G2190" s="4"/>
      <c r="H2190" s="4"/>
      <c r="I2190" s="10" t="str">
        <f>HYPERLINK("http://twitter.com/download/android","Twitter for Android")</f>
        <v>Twitter for Android</v>
      </c>
      <c r="J2190" s="2">
        <v>592</v>
      </c>
      <c r="K2190" s="2">
        <v>772</v>
      </c>
      <c r="L2190" s="2">
        <v>1</v>
      </c>
      <c r="M2190" s="2"/>
      <c r="N2190" s="8">
        <v>43251.959814814814</v>
      </c>
      <c r="O2190" s="4"/>
      <c r="P2190" s="3" t="s">
        <v>1869</v>
      </c>
      <c r="Q2190" s="4"/>
      <c r="R2190" s="4"/>
      <c r="S2190" s="9" t="str">
        <f>HYPERLINK("https://pbs.twimg.com/profile_images/1034519761969983488/qg-63yV7.jpg","View")</f>
        <v>View</v>
      </c>
    </row>
    <row r="2191" spans="1:19" ht="20">
      <c r="A2191" s="8">
        <v>43370.102800925924</v>
      </c>
      <c r="B2191" s="11" t="str">
        <f>HYPERLINK("https://twitter.com/setila290","@setila290")</f>
        <v>@setila290</v>
      </c>
      <c r="C2191" s="6" t="s">
        <v>2076</v>
      </c>
      <c r="D2191" s="5" t="s">
        <v>1812</v>
      </c>
      <c r="E2191" s="9" t="str">
        <f>HYPERLINK("https://twitter.com/setila290/status/1045085111690170368","1045085111690170368")</f>
        <v>1045085111690170368</v>
      </c>
      <c r="F2191" s="4"/>
      <c r="G2191" s="4"/>
      <c r="H2191" s="4"/>
      <c r="I2191" s="10" t="str">
        <f>HYPERLINK("http://twitter.com/download/android","Twitter for Android")</f>
        <v>Twitter for Android</v>
      </c>
      <c r="J2191" s="2">
        <v>3483</v>
      </c>
      <c r="K2191" s="2">
        <v>3849</v>
      </c>
      <c r="L2191" s="2">
        <v>7</v>
      </c>
      <c r="M2191" s="2"/>
      <c r="N2191" s="8">
        <v>43075.566770833335</v>
      </c>
      <c r="O2191" s="4" t="s">
        <v>414</v>
      </c>
      <c r="P2191" s="3" t="s">
        <v>2075</v>
      </c>
      <c r="Q2191" s="4"/>
      <c r="R2191" s="4"/>
      <c r="S2191" s="9" t="str">
        <f>HYPERLINK("https://pbs.twimg.com/profile_images/1038509182280978432/htTchfmh.jpg","View")</f>
        <v>View</v>
      </c>
    </row>
    <row r="2192" spans="1:19" ht="30">
      <c r="A2192" s="8">
        <v>43370.102430555555</v>
      </c>
      <c r="B2192" s="11" t="str">
        <f>HYPERLINK("https://twitter.com/mgh75596918","@mgh75596918")</f>
        <v>@mgh75596918</v>
      </c>
      <c r="C2192" s="6" t="s">
        <v>2074</v>
      </c>
      <c r="D2192" s="5" t="s">
        <v>2073</v>
      </c>
      <c r="E2192" s="9" t="str">
        <f>HYPERLINK("https://twitter.com/mgh75596918/status/1045084980400009216","1045084980400009216")</f>
        <v>1045084980400009216</v>
      </c>
      <c r="F2192" s="4"/>
      <c r="G2192" s="4"/>
      <c r="H2192" s="4"/>
      <c r="I2192" s="10" t="str">
        <f>HYPERLINK("http://twitter.com/download/android","Twitter for Android")</f>
        <v>Twitter for Android</v>
      </c>
      <c r="J2192" s="2">
        <v>2224</v>
      </c>
      <c r="K2192" s="2">
        <v>2738</v>
      </c>
      <c r="L2192" s="2">
        <v>1</v>
      </c>
      <c r="M2192" s="2"/>
      <c r="N2192" s="8">
        <v>42754.983159722222</v>
      </c>
      <c r="O2192" s="4"/>
      <c r="P2192" s="3" t="s">
        <v>2072</v>
      </c>
      <c r="Q2192" s="4"/>
      <c r="R2192" s="4"/>
      <c r="S2192" s="9" t="str">
        <f>HYPERLINK("https://pbs.twimg.com/profile_images/1045079783695167489/3LS9gxVH.jpg","View")</f>
        <v>View</v>
      </c>
    </row>
    <row r="2193" spans="1:19" ht="30">
      <c r="A2193" s="8">
        <v>43370.101030092592</v>
      </c>
      <c r="B2193" s="11" t="str">
        <f>HYPERLINK("https://twitter.com/Negan_s8","@Negan_s8")</f>
        <v>@Negan_s8</v>
      </c>
      <c r="C2193" s="6" t="s">
        <v>2071</v>
      </c>
      <c r="D2193" s="5" t="s">
        <v>2070</v>
      </c>
      <c r="E2193" s="9" t="str">
        <f>HYPERLINK("https://twitter.com/Negan_s8/status/1045084471417016321","1045084471417016321")</f>
        <v>1045084471417016321</v>
      </c>
      <c r="F2193" s="4"/>
      <c r="G2193" s="4"/>
      <c r="H2193" s="4"/>
      <c r="I2193" s="10" t="str">
        <f>HYPERLINK("http://twitter.com/download/android","Twitter for Android")</f>
        <v>Twitter for Android</v>
      </c>
      <c r="J2193" s="2">
        <v>462</v>
      </c>
      <c r="K2193" s="2">
        <v>437</v>
      </c>
      <c r="L2193" s="2">
        <v>0</v>
      </c>
      <c r="M2193" s="2"/>
      <c r="N2193" s="8">
        <v>43177.904872685191</v>
      </c>
      <c r="O2193" s="4"/>
      <c r="P2193" s="3" t="s">
        <v>2069</v>
      </c>
      <c r="Q2193" s="4"/>
      <c r="R2193" s="4"/>
      <c r="S2193" s="9" t="str">
        <f>HYPERLINK("https://pbs.twimg.com/profile_images/1016250387383365632/50T_dUOI.jpg","View")</f>
        <v>View</v>
      </c>
    </row>
    <row r="2194" spans="1:19" ht="30">
      <c r="A2194" s="8">
        <v>43370.100266203706</v>
      </c>
      <c r="B2194" s="11" t="str">
        <f>HYPERLINK("https://twitter.com/lui_gdv","@lui_gdv")</f>
        <v>@lui_gdv</v>
      </c>
      <c r="C2194" s="6" t="s">
        <v>2068</v>
      </c>
      <c r="D2194" s="5" t="s">
        <v>408</v>
      </c>
      <c r="E2194" s="9" t="str">
        <f>HYPERLINK("https://twitter.com/lui_gdv/status/1045084193242386432","1045084193242386432")</f>
        <v>1045084193242386432</v>
      </c>
      <c r="F2194" s="4"/>
      <c r="G2194" s="4"/>
      <c r="H2194" s="4"/>
      <c r="I2194" s="10" t="str">
        <f>HYPERLINK("http://twitter.com/download/iphone","Twitter for iPhone")</f>
        <v>Twitter for iPhone</v>
      </c>
      <c r="J2194" s="2">
        <v>1029</v>
      </c>
      <c r="K2194" s="2">
        <v>1739</v>
      </c>
      <c r="L2194" s="2">
        <v>13</v>
      </c>
      <c r="M2194" s="2"/>
      <c r="N2194" s="8">
        <v>42735.794618055559</v>
      </c>
      <c r="O2194" s="4"/>
      <c r="P2194" s="3" t="s">
        <v>2067</v>
      </c>
      <c r="Q2194" s="4"/>
      <c r="R2194" s="4"/>
      <c r="S2194" s="9" t="str">
        <f>HYPERLINK("https://pbs.twimg.com/profile_images/905251791121633280/K8RjY_Gd.jpg","View")</f>
        <v>View</v>
      </c>
    </row>
    <row r="2195" spans="1:19" ht="30">
      <c r="A2195" s="8">
        <v>43370.100092592591</v>
      </c>
      <c r="B2195" s="11" t="str">
        <f>HYPERLINK("https://twitter.com/ghalam313","@ghalam313")</f>
        <v>@ghalam313</v>
      </c>
      <c r="C2195" s="6" t="s">
        <v>2066</v>
      </c>
      <c r="D2195" s="5" t="s">
        <v>2065</v>
      </c>
      <c r="E2195" s="9" t="str">
        <f>HYPERLINK("https://twitter.com/ghalam313/status/1045084133595205634","1045084133595205634")</f>
        <v>1045084133595205634</v>
      </c>
      <c r="F2195" s="4"/>
      <c r="G2195" s="4"/>
      <c r="H2195" s="4"/>
      <c r="I2195" s="10" t="str">
        <f>HYPERLINK("http://twitter.com/download/android","Twitter for Android")</f>
        <v>Twitter for Android</v>
      </c>
      <c r="J2195" s="2">
        <v>154</v>
      </c>
      <c r="K2195" s="2">
        <v>13</v>
      </c>
      <c r="L2195" s="2">
        <v>0</v>
      </c>
      <c r="M2195" s="2"/>
      <c r="N2195" s="8">
        <v>43360.238379629634</v>
      </c>
      <c r="O2195" s="4"/>
      <c r="P2195" s="3" t="s">
        <v>2064</v>
      </c>
      <c r="Q2195" s="4"/>
      <c r="R2195" s="4"/>
      <c r="S2195" s="9" t="str">
        <f>HYPERLINK("https://pbs.twimg.com/profile_images/1041500924324311040/PShkM2SO.jpg","View")</f>
        <v>View</v>
      </c>
    </row>
    <row r="2196" spans="1:19" ht="30">
      <c r="A2196" s="8">
        <v>43370.098622685182</v>
      </c>
      <c r="B2196" s="11" t="str">
        <f>HYPERLINK("https://twitter.com/KwI2AnDuxl7a2jM","@KwI2AnDuxl7a2jM")</f>
        <v>@KwI2AnDuxl7a2jM</v>
      </c>
      <c r="C2196" s="6" t="s">
        <v>2063</v>
      </c>
      <c r="D2196" s="5" t="s">
        <v>37</v>
      </c>
      <c r="E2196" s="9" t="str">
        <f>HYPERLINK("https://twitter.com/KwI2AnDuxl7a2jM/status/1045083600469798912","1045083600469798912")</f>
        <v>1045083600469798912</v>
      </c>
      <c r="F2196" s="4"/>
      <c r="G2196" s="4"/>
      <c r="H2196" s="4"/>
      <c r="I2196" s="10" t="str">
        <f>HYPERLINK("http://twitter.com/download/android","Twitter for Android")</f>
        <v>Twitter for Android</v>
      </c>
      <c r="J2196" s="2">
        <v>392</v>
      </c>
      <c r="K2196" s="2">
        <v>519</v>
      </c>
      <c r="L2196" s="2">
        <v>0</v>
      </c>
      <c r="M2196" s="2"/>
      <c r="N2196" s="8">
        <v>43249.705868055556</v>
      </c>
      <c r="O2196" s="4" t="s">
        <v>2062</v>
      </c>
      <c r="P2196" s="3" t="s">
        <v>2061</v>
      </c>
      <c r="Q2196" s="4"/>
      <c r="R2196" s="4"/>
      <c r="S2196" s="9" t="str">
        <f>HYPERLINK("https://pbs.twimg.com/profile_images/1013265657557868545/sHHD0bzQ.jpg","View")</f>
        <v>View</v>
      </c>
    </row>
    <row r="2197" spans="1:19" ht="30">
      <c r="A2197" s="8">
        <v>43370.097696759258</v>
      </c>
      <c r="B2197" s="11" t="str">
        <f>HYPERLINK("https://twitter.com/Armin_persian","@Armin_persian")</f>
        <v>@Armin_persian</v>
      </c>
      <c r="C2197" s="6" t="s">
        <v>2060</v>
      </c>
      <c r="D2197" s="5" t="s">
        <v>2057</v>
      </c>
      <c r="E2197" s="9" t="str">
        <f>HYPERLINK("https://twitter.com/Armin_persian/status/1045083262555758594","1045083262555758594")</f>
        <v>1045083262555758594</v>
      </c>
      <c r="F2197" s="4"/>
      <c r="G2197" s="4"/>
      <c r="H2197" s="4"/>
      <c r="I2197" s="10" t="str">
        <f>HYPERLINK("http://twitter.com/download/android","Twitter for Android")</f>
        <v>Twitter for Android</v>
      </c>
      <c r="J2197" s="2">
        <v>2923</v>
      </c>
      <c r="K2197" s="2">
        <v>2977</v>
      </c>
      <c r="L2197" s="2">
        <v>0</v>
      </c>
      <c r="M2197" s="2"/>
      <c r="N2197" s="8">
        <v>43220.861562499995</v>
      </c>
      <c r="O2197" s="4" t="s">
        <v>72</v>
      </c>
      <c r="P2197" s="3" t="s">
        <v>2059</v>
      </c>
      <c r="Q2197" s="4"/>
      <c r="R2197" s="4"/>
      <c r="S2197" s="9" t="str">
        <f>HYPERLINK("https://pbs.twimg.com/profile_images/1044347315572609024/YLvxqiTd.jpg","View")</f>
        <v>View</v>
      </c>
    </row>
    <row r="2198" spans="1:19" ht="30">
      <c r="A2198" s="8">
        <v>43370.097500000003</v>
      </c>
      <c r="B2198" s="11" t="str">
        <f>HYPERLINK("https://twitter.com/Sheldon_Javan","@Sheldon_Javan")</f>
        <v>@Sheldon_Javan</v>
      </c>
      <c r="C2198" s="6" t="s">
        <v>2058</v>
      </c>
      <c r="D2198" s="5" t="s">
        <v>2057</v>
      </c>
      <c r="E2198" s="9" t="str">
        <f>HYPERLINK("https://twitter.com/Sheldon_Javan/status/1045083193450385411","1045083193450385411")</f>
        <v>1045083193450385411</v>
      </c>
      <c r="F2198" s="4"/>
      <c r="G2198" s="4"/>
      <c r="H2198" s="4"/>
      <c r="I2198" s="10" t="str">
        <f>HYPERLINK("http://twitter.com/download/android","Twitter for Android")</f>
        <v>Twitter for Android</v>
      </c>
      <c r="J2198" s="2">
        <v>649</v>
      </c>
      <c r="K2198" s="2">
        <v>648</v>
      </c>
      <c r="L2198" s="2">
        <v>0</v>
      </c>
      <c r="M2198" s="2"/>
      <c r="N2198" s="8">
        <v>43239.509259259255</v>
      </c>
      <c r="O2198" s="4" t="s">
        <v>55</v>
      </c>
      <c r="P2198" s="3" t="s">
        <v>2056</v>
      </c>
      <c r="Q2198" s="4"/>
      <c r="R2198" s="4"/>
      <c r="S2198" s="9" t="str">
        <f>HYPERLINK("https://pbs.twimg.com/profile_images/1034461218495492097/YtUyHZJZ.jpg","View")</f>
        <v>View</v>
      </c>
    </row>
    <row r="2199" spans="1:19" ht="20">
      <c r="A2199" s="8">
        <v>43370.095983796295</v>
      </c>
      <c r="B2199" s="11" t="str">
        <f>HYPERLINK("https://twitter.com/PSPHPC","@PSPHPC")</f>
        <v>@PSPHPC</v>
      </c>
      <c r="C2199" s="6" t="s">
        <v>2055</v>
      </c>
      <c r="D2199" s="5" t="s">
        <v>2016</v>
      </c>
      <c r="E2199" s="9" t="str">
        <f>HYPERLINK("https://twitter.com/PSPHPC/status/1045082642096562176","1045082642096562176")</f>
        <v>1045082642096562176</v>
      </c>
      <c r="F2199" s="4"/>
      <c r="G2199" s="4"/>
      <c r="H2199" s="4"/>
      <c r="I2199" s="10" t="str">
        <f>HYPERLINK("http://twitter.com/download/android","Twitter for Android")</f>
        <v>Twitter for Android</v>
      </c>
      <c r="J2199" s="2">
        <v>517</v>
      </c>
      <c r="K2199" s="2">
        <v>122</v>
      </c>
      <c r="L2199" s="2">
        <v>0</v>
      </c>
      <c r="M2199" s="2"/>
      <c r="N2199" s="8">
        <v>40223.039606481485</v>
      </c>
      <c r="O2199" s="4" t="s">
        <v>2054</v>
      </c>
      <c r="P2199" s="3" t="s">
        <v>2053</v>
      </c>
      <c r="Q2199" s="4"/>
      <c r="R2199" s="4"/>
      <c r="S2199" s="9" t="str">
        <f>HYPERLINK("https://pbs.twimg.com/profile_images/954011323096018944/9S_7OzVX.jpg","View")</f>
        <v>View</v>
      </c>
    </row>
    <row r="2200" spans="1:19" ht="30">
      <c r="A2200" s="8">
        <v>43370.095925925925</v>
      </c>
      <c r="B2200" s="11" t="str">
        <f>HYPERLINK("https://twitter.com/mr_mirfenderski","@mr_mirfenderski")</f>
        <v>@mr_mirfenderski</v>
      </c>
      <c r="C2200" s="6" t="s">
        <v>2052</v>
      </c>
      <c r="D2200" s="5" t="s">
        <v>2051</v>
      </c>
      <c r="E2200" s="9" t="str">
        <f>HYPERLINK("https://twitter.com/mr_mirfenderski/status/1045082621334761472","1045082621334761472")</f>
        <v>1045082621334761472</v>
      </c>
      <c r="F2200" s="4"/>
      <c r="G2200" s="4"/>
      <c r="H2200" s="4"/>
      <c r="I2200" s="10" t="str">
        <f>HYPERLINK("http://twitter.com/download/android","Twitter for Android")</f>
        <v>Twitter for Android</v>
      </c>
      <c r="J2200" s="2">
        <v>53</v>
      </c>
      <c r="K2200" s="2">
        <v>46</v>
      </c>
      <c r="L2200" s="2">
        <v>0</v>
      </c>
      <c r="M2200" s="2"/>
      <c r="N2200" s="8">
        <v>41884.007650462961</v>
      </c>
      <c r="O2200" s="4" t="s">
        <v>72</v>
      </c>
      <c r="P2200" s="3" t="s">
        <v>2050</v>
      </c>
      <c r="Q2200" s="4"/>
      <c r="R2200" s="4"/>
      <c r="S2200" s="9" t="str">
        <f>HYPERLINK("https://pbs.twimg.com/profile_images/948444002310901760/o_2TmJ9H.jpg","View")</f>
        <v>View</v>
      </c>
    </row>
    <row r="2201" spans="1:19" ht="80">
      <c r="A2201" s="8">
        <v>43370.091805555552</v>
      </c>
      <c r="B2201" s="11" t="str">
        <f>HYPERLINK("https://twitter.com/ArtLover1367","@ArtLover1367")</f>
        <v>@ArtLover1367</v>
      </c>
      <c r="C2201" s="6" t="s">
        <v>1660</v>
      </c>
      <c r="D2201" s="5" t="s">
        <v>2049</v>
      </c>
      <c r="E2201" s="9" t="str">
        <f>HYPERLINK("https://twitter.com/ArtLover1367/status/1045081129970282498","1045081129970282498")</f>
        <v>1045081129970282498</v>
      </c>
      <c r="F2201" s="10" t="s">
        <v>2048</v>
      </c>
      <c r="G2201" s="10" t="s">
        <v>2047</v>
      </c>
      <c r="H2201" s="4"/>
      <c r="I2201" s="10" t="str">
        <f>HYPERLINK("http://twitter.com/download/android","Twitter for Android")</f>
        <v>Twitter for Android</v>
      </c>
      <c r="J2201" s="2">
        <v>3000</v>
      </c>
      <c r="K2201" s="2">
        <v>655</v>
      </c>
      <c r="L2201" s="2">
        <v>17</v>
      </c>
      <c r="M2201" s="2"/>
      <c r="N2201" s="8">
        <v>42573.976516203707</v>
      </c>
      <c r="O2201" s="4"/>
      <c r="P2201" s="3" t="s">
        <v>1658</v>
      </c>
      <c r="Q2201" s="4"/>
      <c r="R2201" s="4"/>
      <c r="S2201" s="9" t="str">
        <f>HYPERLINK("https://pbs.twimg.com/profile_images/1042732563138314240/wqRPjiv7.jpg","View")</f>
        <v>View</v>
      </c>
    </row>
    <row r="2202" spans="1:19" ht="20">
      <c r="A2202" s="8">
        <v>43370.091805555552</v>
      </c>
      <c r="B2202" s="11" t="str">
        <f>HYPERLINK("https://twitter.com/aideenmot1359","@aideenmot1359")</f>
        <v>@aideenmot1359</v>
      </c>
      <c r="C2202" s="6" t="s">
        <v>1791</v>
      </c>
      <c r="D2202" s="5" t="s">
        <v>1844</v>
      </c>
      <c r="E2202" s="9" t="str">
        <f>HYPERLINK("https://twitter.com/aideenmot1359/status/1045081128711933953","1045081128711933953")</f>
        <v>1045081128711933953</v>
      </c>
      <c r="F2202" s="4"/>
      <c r="G2202" s="10" t="s">
        <v>1789</v>
      </c>
      <c r="H2202" s="4"/>
      <c r="I2202" s="10" t="str">
        <f>HYPERLINK("http://twitter.com/download/iphone","Twitter for iPhone")</f>
        <v>Twitter for iPhone</v>
      </c>
      <c r="J2202" s="2">
        <v>771</v>
      </c>
      <c r="K2202" s="2">
        <v>905</v>
      </c>
      <c r="L2202" s="2">
        <v>1</v>
      </c>
      <c r="M2202" s="2"/>
      <c r="N2202" s="8">
        <v>42656.096099537041</v>
      </c>
      <c r="O2202" s="4" t="s">
        <v>10</v>
      </c>
      <c r="P2202" s="3" t="s">
        <v>1788</v>
      </c>
      <c r="Q2202" s="4"/>
      <c r="R2202" s="4"/>
      <c r="S2202" s="9" t="str">
        <f>HYPERLINK("https://pbs.twimg.com/profile_images/1037809286179631106/sEtxbZ0Q.jpg","View")</f>
        <v>View</v>
      </c>
    </row>
    <row r="2203" spans="1:19" ht="20">
      <c r="A2203" s="8">
        <v>43370.091006944444</v>
      </c>
      <c r="B2203" s="11" t="str">
        <f>HYPERLINK("https://twitter.com/Carl_hastam","@Carl_hastam")</f>
        <v>@Carl_hastam</v>
      </c>
      <c r="C2203" s="6" t="s">
        <v>2046</v>
      </c>
      <c r="D2203" s="5" t="s">
        <v>2016</v>
      </c>
      <c r="E2203" s="9" t="str">
        <f>HYPERLINK("https://twitter.com/Carl_hastam/status/1045080839388844032","1045080839388844032")</f>
        <v>1045080839388844032</v>
      </c>
      <c r="F2203" s="4"/>
      <c r="G2203" s="4"/>
      <c r="H2203" s="4"/>
      <c r="I2203" s="10" t="str">
        <f>HYPERLINK("http://twitter.com/download/android","Twitter for Android")</f>
        <v>Twitter for Android</v>
      </c>
      <c r="J2203" s="2">
        <v>421</v>
      </c>
      <c r="K2203" s="2">
        <v>1848</v>
      </c>
      <c r="L2203" s="2">
        <v>0</v>
      </c>
      <c r="M2203" s="2"/>
      <c r="N2203" s="8">
        <v>42971.595173611116</v>
      </c>
      <c r="O2203" s="4" t="s">
        <v>2045</v>
      </c>
      <c r="P2203" s="3" t="s">
        <v>2044</v>
      </c>
      <c r="Q2203" s="4"/>
      <c r="R2203" s="4"/>
      <c r="S2203" s="9" t="str">
        <f>HYPERLINK("https://pbs.twimg.com/profile_images/1023326287438536704/vuSeNu07.jpg","View")</f>
        <v>View</v>
      </c>
    </row>
    <row r="2204" spans="1:19" ht="30">
      <c r="A2204" s="8">
        <v>43370.089918981481</v>
      </c>
      <c r="B2204" s="11" t="str">
        <f>HYPERLINK("https://twitter.com/yaghob_saffari","@yaghob_saffari")</f>
        <v>@yaghob_saffari</v>
      </c>
      <c r="C2204" s="6" t="s">
        <v>2043</v>
      </c>
      <c r="D2204" s="5" t="s">
        <v>2042</v>
      </c>
      <c r="E2204" s="9" t="str">
        <f>HYPERLINK("https://twitter.com/yaghob_saffari/status/1045080445405159424","1045080445405159424")</f>
        <v>1045080445405159424</v>
      </c>
      <c r="F2204" s="4"/>
      <c r="G2204" s="4"/>
      <c r="H2204" s="4"/>
      <c r="I2204" s="10" t="str">
        <f>HYPERLINK("http://twitter.com/#!/download/ipad","Twitter for iPad")</f>
        <v>Twitter for iPad</v>
      </c>
      <c r="J2204" s="2">
        <v>1536</v>
      </c>
      <c r="K2204" s="2">
        <v>866</v>
      </c>
      <c r="L2204" s="2">
        <v>5</v>
      </c>
      <c r="M2204" s="2"/>
      <c r="N2204" s="8">
        <v>43140.915925925925</v>
      </c>
      <c r="O2204" s="4"/>
      <c r="P2204" s="3" t="s">
        <v>2041</v>
      </c>
      <c r="Q2204" s="4"/>
      <c r="R2204" s="4"/>
      <c r="S2204" s="9" t="str">
        <f>HYPERLINK("https://pbs.twimg.com/profile_images/989926881909661696/nMhQqsnN.jpg","View")</f>
        <v>View</v>
      </c>
    </row>
    <row r="2205" spans="1:19" ht="30">
      <c r="A2205" s="8">
        <v>43370.088449074072</v>
      </c>
      <c r="B2205" s="11" t="str">
        <f>HYPERLINK("https://twitter.com/_jeanreno","@_jeanreno")</f>
        <v>@_jeanreno</v>
      </c>
      <c r="C2205" s="6" t="s">
        <v>2040</v>
      </c>
      <c r="D2205" s="5" t="s">
        <v>2039</v>
      </c>
      <c r="E2205" s="9" t="str">
        <f>HYPERLINK("https://twitter.com/_jeanreno/status/1045079913706016769","1045079913706016769")</f>
        <v>1045079913706016769</v>
      </c>
      <c r="F2205" s="4"/>
      <c r="G2205" s="4"/>
      <c r="H2205" s="4"/>
      <c r="I2205" s="10" t="str">
        <f>HYPERLINK("http://twitter.com/download/android","Twitter for Android")</f>
        <v>Twitter for Android</v>
      </c>
      <c r="J2205" s="2">
        <v>411</v>
      </c>
      <c r="K2205" s="2">
        <v>409</v>
      </c>
      <c r="L2205" s="2">
        <v>0</v>
      </c>
      <c r="M2205" s="2"/>
      <c r="N2205" s="8">
        <v>43252.982256944444</v>
      </c>
      <c r="O2205" s="4" t="s">
        <v>2038</v>
      </c>
      <c r="P2205" s="3" t="s">
        <v>2037</v>
      </c>
      <c r="Q2205" s="4"/>
      <c r="R2205" s="4"/>
      <c r="S2205" s="9" t="str">
        <f>HYPERLINK("https://pbs.twimg.com/profile_images/1035984753831370752/S-L-fs7e.jpg","View")</f>
        <v>View</v>
      </c>
    </row>
    <row r="2206" spans="1:19" ht="50">
      <c r="A2206" s="8">
        <v>43370.088043981479</v>
      </c>
      <c r="B2206" s="11" t="str">
        <f>HYPERLINK("https://twitter.com/Godfath57391033","@Godfath57391033")</f>
        <v>@Godfath57391033</v>
      </c>
      <c r="C2206" s="6" t="s">
        <v>2036</v>
      </c>
      <c r="D2206" s="5" t="s">
        <v>1529</v>
      </c>
      <c r="E2206" s="9" t="str">
        <f>HYPERLINK("https://twitter.com/Godfath57391033/status/1045079765466718208","1045079765466718208")</f>
        <v>1045079765466718208</v>
      </c>
      <c r="F2206" s="4"/>
      <c r="G2206" s="10" t="s">
        <v>1528</v>
      </c>
      <c r="H2206" s="4"/>
      <c r="I2206" s="10" t="str">
        <f>HYPERLINK("http://twitter.com/download/android","Twitter for Android")</f>
        <v>Twitter for Android</v>
      </c>
      <c r="J2206" s="2">
        <v>33</v>
      </c>
      <c r="K2206" s="2">
        <v>399</v>
      </c>
      <c r="L2206" s="2">
        <v>0</v>
      </c>
      <c r="M2206" s="2"/>
      <c r="N2206" s="8">
        <v>43286.029606481483</v>
      </c>
      <c r="O2206" s="4"/>
      <c r="P2206" s="3"/>
      <c r="Q2206" s="4"/>
      <c r="R2206" s="4"/>
      <c r="S2206" s="9" t="str">
        <f>HYPERLINK("https://pbs.twimg.com/profile_images/1014605183429554176/od3GGgrR.jpg","View")</f>
        <v>View</v>
      </c>
    </row>
    <row r="2207" spans="1:19" ht="30">
      <c r="A2207" s="8">
        <v>43370.087766203702</v>
      </c>
      <c r="B2207" s="11" t="str">
        <f>HYPERLINK("https://twitter.com/Mrsl05588151","@Mrsl05588151")</f>
        <v>@Mrsl05588151</v>
      </c>
      <c r="C2207" s="6" t="s">
        <v>2035</v>
      </c>
      <c r="D2207" s="5" t="s">
        <v>2034</v>
      </c>
      <c r="E2207" s="9" t="str">
        <f>HYPERLINK("https://twitter.com/Mrsl05588151/status/1045079666631962624","1045079666631962624")</f>
        <v>1045079666631962624</v>
      </c>
      <c r="F2207" s="4"/>
      <c r="G2207" s="4"/>
      <c r="H2207" s="4"/>
      <c r="I2207" s="10" t="str">
        <f>HYPERLINK("http://twitter.com/download/android","Twitter for Android")</f>
        <v>Twitter for Android</v>
      </c>
      <c r="J2207" s="2">
        <v>12</v>
      </c>
      <c r="K2207" s="2">
        <v>117</v>
      </c>
      <c r="L2207" s="2">
        <v>0</v>
      </c>
      <c r="M2207" s="2"/>
      <c r="N2207" s="8">
        <v>43352.98101851852</v>
      </c>
      <c r="O2207" s="4"/>
      <c r="P2207" s="3" t="s">
        <v>2033</v>
      </c>
      <c r="Q2207" s="4"/>
      <c r="R2207" s="4"/>
      <c r="S2207" s="2" t="s">
        <v>259</v>
      </c>
    </row>
    <row r="2208" spans="1:19" ht="20">
      <c r="A2208" s="8">
        <v>43370.086712962962</v>
      </c>
      <c r="B2208" s="11" t="str">
        <f>HYPERLINK("https://twitter.com/ParsaRoleX","@ParsaRoleX")</f>
        <v>@ParsaRoleX</v>
      </c>
      <c r="C2208" s="6" t="s">
        <v>2032</v>
      </c>
      <c r="D2208" s="5" t="s">
        <v>2031</v>
      </c>
      <c r="E2208" s="9" t="str">
        <f>HYPERLINK("https://twitter.com/ParsaRoleX/status/1045079285600595969","1045079285600595969")</f>
        <v>1045079285600595969</v>
      </c>
      <c r="F2208" s="4"/>
      <c r="G2208" s="4"/>
      <c r="H2208" s="4"/>
      <c r="I2208" s="10" t="str">
        <f>HYPERLINK("http://twitter.com/download/android","Twitter for Android")</f>
        <v>Twitter for Android</v>
      </c>
      <c r="J2208" s="2">
        <v>113</v>
      </c>
      <c r="K2208" s="2">
        <v>38</v>
      </c>
      <c r="L2208" s="2">
        <v>0</v>
      </c>
      <c r="M2208" s="2"/>
      <c r="N2208" s="8">
        <v>41718.985590277778</v>
      </c>
      <c r="O2208" s="4" t="s">
        <v>2030</v>
      </c>
      <c r="P2208" s="3" t="s">
        <v>2029</v>
      </c>
      <c r="Q2208" s="10" t="s">
        <v>2028</v>
      </c>
      <c r="R2208" s="4"/>
      <c r="S2208" s="9" t="str">
        <f>HYPERLINK("https://pbs.twimg.com/profile_images/1044052391979618304/B1aBPUd1.jpg","View")</f>
        <v>View</v>
      </c>
    </row>
    <row r="2209" spans="1:19" ht="20">
      <c r="A2209" s="8">
        <v>43370.084780092591</v>
      </c>
      <c r="B2209" s="11" t="str">
        <f>HYPERLINK("https://twitter.com/irankhaton","@irankhaton")</f>
        <v>@irankhaton</v>
      </c>
      <c r="C2209" s="6" t="s">
        <v>1210</v>
      </c>
      <c r="D2209" s="5" t="s">
        <v>2016</v>
      </c>
      <c r="E2209" s="9" t="str">
        <f>HYPERLINK("https://twitter.com/irankhaton/status/1045078582060560384","1045078582060560384")</f>
        <v>1045078582060560384</v>
      </c>
      <c r="F2209" s="4"/>
      <c r="G2209" s="4"/>
      <c r="H2209" s="4"/>
      <c r="I2209" s="10" t="str">
        <f>HYPERLINK("http://twitter.com/download/android","Twitter for Android")</f>
        <v>Twitter for Android</v>
      </c>
      <c r="J2209" s="2">
        <v>152</v>
      </c>
      <c r="K2209" s="2">
        <v>182</v>
      </c>
      <c r="L2209" s="2">
        <v>0</v>
      </c>
      <c r="M2209" s="2"/>
      <c r="N2209" s="8">
        <v>43203.094085648147</v>
      </c>
      <c r="O2209" s="4" t="s">
        <v>1209</v>
      </c>
      <c r="P2209" s="3" t="s">
        <v>1208</v>
      </c>
      <c r="Q2209" s="4"/>
      <c r="R2209" s="4"/>
      <c r="S2209" s="9" t="str">
        <f>HYPERLINK("https://pbs.twimg.com/profile_images/1039301656083554305/rATHLEdJ.jpg","View")</f>
        <v>View</v>
      </c>
    </row>
    <row r="2210" spans="1:19" ht="30">
      <c r="A2210" s="8">
        <v>43370.084606481483</v>
      </c>
      <c r="B2210" s="11" t="str">
        <f>HYPERLINK("https://twitter.com/Nafiseh_Isapour","@Nafiseh_Isapour")</f>
        <v>@Nafiseh_Isapour</v>
      </c>
      <c r="C2210" s="6" t="s">
        <v>2027</v>
      </c>
      <c r="D2210" s="5" t="s">
        <v>687</v>
      </c>
      <c r="E2210" s="9" t="str">
        <f>HYPERLINK("https://twitter.com/Nafiseh_Isapour/status/1045078521129955330","1045078521129955330")</f>
        <v>1045078521129955330</v>
      </c>
      <c r="F2210" s="4"/>
      <c r="G2210" s="10" t="s">
        <v>686</v>
      </c>
      <c r="H2210" s="4"/>
      <c r="I2210" s="10" t="str">
        <f>HYPERLINK("http://twitter.com/download/iphone","Twitter for iPhone")</f>
        <v>Twitter for iPhone</v>
      </c>
      <c r="J2210" s="2">
        <v>8758</v>
      </c>
      <c r="K2210" s="2">
        <v>1954</v>
      </c>
      <c r="L2210" s="2">
        <v>22</v>
      </c>
      <c r="M2210" s="2"/>
      <c r="N2210" s="8">
        <v>43115.056967592594</v>
      </c>
      <c r="O2210" s="4" t="s">
        <v>2026</v>
      </c>
      <c r="P2210" s="3" t="s">
        <v>2025</v>
      </c>
      <c r="Q2210" s="4"/>
      <c r="R2210" s="4"/>
      <c r="S2210" s="9" t="str">
        <f>HYPERLINK("https://pbs.twimg.com/profile_images/1034809363570077696/b8QQh7k4.jpg","View")</f>
        <v>View</v>
      </c>
    </row>
    <row r="2211" spans="1:19" ht="30">
      <c r="A2211" s="8">
        <v>43370.084525462968</v>
      </c>
      <c r="B2211" s="11" t="str">
        <f>HYPERLINK("https://twitter.com/rahgozaregharib","@rahgozaregharib")</f>
        <v>@rahgozaregharib</v>
      </c>
      <c r="C2211" s="6" t="s">
        <v>2024</v>
      </c>
      <c r="D2211" s="5" t="s">
        <v>2023</v>
      </c>
      <c r="E2211" s="9" t="str">
        <f>HYPERLINK("https://twitter.com/rahgozaregharib/status/1045078488833806336","1045078488833806336")</f>
        <v>1045078488833806336</v>
      </c>
      <c r="F2211" s="4"/>
      <c r="G2211" s="4"/>
      <c r="H2211" s="4"/>
      <c r="I2211" s="10" t="str">
        <f>HYPERLINK("http://twitter.com/download/android","Twitter for Android")</f>
        <v>Twitter for Android</v>
      </c>
      <c r="J2211" s="2">
        <v>28</v>
      </c>
      <c r="K2211" s="2">
        <v>99</v>
      </c>
      <c r="L2211" s="2">
        <v>0</v>
      </c>
      <c r="M2211" s="2"/>
      <c r="N2211" s="8">
        <v>41479.225555555553</v>
      </c>
      <c r="O2211" s="4" t="s">
        <v>2022</v>
      </c>
      <c r="P2211" s="3" t="s">
        <v>2021</v>
      </c>
      <c r="Q2211" s="4"/>
      <c r="R2211" s="4"/>
      <c r="S2211" s="9" t="str">
        <f>HYPERLINK("https://pbs.twimg.com/profile_images/1044197740148920320/jLLMxL_r.jpg","View")</f>
        <v>View</v>
      </c>
    </row>
    <row r="2212" spans="1:19" ht="20">
      <c r="A2212" s="8">
        <v>43370.084432870368</v>
      </c>
      <c r="B2212" s="11" t="str">
        <f>HYPERLINK("https://twitter.com/ara5hhhh","@ara5hhhh")</f>
        <v>@ara5hhhh</v>
      </c>
      <c r="C2212" s="6" t="s">
        <v>2020</v>
      </c>
      <c r="D2212" s="5" t="s">
        <v>2016</v>
      </c>
      <c r="E2212" s="9" t="str">
        <f>HYPERLINK("https://twitter.com/ara5hhhh/status/1045078455958872069","1045078455958872069")</f>
        <v>1045078455958872069</v>
      </c>
      <c r="F2212" s="4"/>
      <c r="G2212" s="4"/>
      <c r="H2212" s="4"/>
      <c r="I2212" s="10" t="str">
        <f>HYPERLINK("http://twitter.com","Twitter Web Client")</f>
        <v>Twitter Web Client</v>
      </c>
      <c r="J2212" s="2">
        <v>1185</v>
      </c>
      <c r="K2212" s="2">
        <v>722</v>
      </c>
      <c r="L2212" s="2">
        <v>5</v>
      </c>
      <c r="M2212" s="2"/>
      <c r="N2212" s="8">
        <v>43200.524664351848</v>
      </c>
      <c r="O2212" s="4" t="s">
        <v>10</v>
      </c>
      <c r="P2212" s="3" t="s">
        <v>2019</v>
      </c>
      <c r="Q2212" s="10" t="s">
        <v>2018</v>
      </c>
      <c r="R2212" s="4"/>
      <c r="S2212" s="9" t="str">
        <f>HYPERLINK("https://pbs.twimg.com/profile_images/1016174823763075072/7Mhj9Hvj.jpg","View")</f>
        <v>View</v>
      </c>
    </row>
    <row r="2213" spans="1:19" ht="20">
      <c r="A2213" s="8">
        <v>43370.084027777775</v>
      </c>
      <c r="B2213" s="11" t="str">
        <f>HYPERLINK("https://twitter.com/keramati013","@keramati013")</f>
        <v>@keramati013</v>
      </c>
      <c r="C2213" s="6" t="s">
        <v>2009</v>
      </c>
      <c r="D2213" s="5" t="s">
        <v>1616</v>
      </c>
      <c r="E2213" s="9" t="str">
        <f>HYPERLINK("https://twitter.com/keramati013/status/1045078310034845697","1045078310034845697")</f>
        <v>1045078310034845697</v>
      </c>
      <c r="F2213" s="4"/>
      <c r="G2213" s="4"/>
      <c r="H2213" s="4"/>
      <c r="I2213" s="10" t="str">
        <f>HYPERLINK("http://twitter.com/download/android","Twitter for Android")</f>
        <v>Twitter for Android</v>
      </c>
      <c r="J2213" s="2">
        <v>5604</v>
      </c>
      <c r="K2213" s="2">
        <v>1437</v>
      </c>
      <c r="L2213" s="2">
        <v>20</v>
      </c>
      <c r="M2213" s="2"/>
      <c r="N2213" s="8">
        <v>43113.353425925925</v>
      </c>
      <c r="O2213" s="4" t="s">
        <v>2008</v>
      </c>
      <c r="P2213" s="3" t="s">
        <v>2007</v>
      </c>
      <c r="Q2213" s="10" t="s">
        <v>2006</v>
      </c>
      <c r="R2213" s="4"/>
      <c r="S2213" s="9" t="str">
        <f>HYPERLINK("https://pbs.twimg.com/profile_images/1044861687256543233/iDAaz3P0.jpg","View")</f>
        <v>View</v>
      </c>
    </row>
    <row r="2214" spans="1:19" ht="20">
      <c r="A2214" s="8">
        <v>43370.083807870367</v>
      </c>
      <c r="B2214" s="11" t="str">
        <f>HYPERLINK("https://twitter.com/HosseinAghaaa","@HosseinAghaaa")</f>
        <v>@HosseinAghaaa</v>
      </c>
      <c r="C2214" s="6" t="s">
        <v>2017</v>
      </c>
      <c r="D2214" s="5" t="s">
        <v>2016</v>
      </c>
      <c r="E2214" s="9" t="str">
        <f>HYPERLINK("https://twitter.com/HosseinAghaaa/status/1045078231316123648","1045078231316123648")</f>
        <v>1045078231316123648</v>
      </c>
      <c r="F2214" s="4"/>
      <c r="G2214" s="4"/>
      <c r="H2214" s="4"/>
      <c r="I2214" s="10" t="str">
        <f>HYPERLINK("http://twitter.com/download/android","Twitter for Android")</f>
        <v>Twitter for Android</v>
      </c>
      <c r="J2214" s="2">
        <v>4507</v>
      </c>
      <c r="K2214" s="2">
        <v>1893</v>
      </c>
      <c r="L2214" s="2">
        <v>21</v>
      </c>
      <c r="M2214" s="2"/>
      <c r="N2214" s="8">
        <v>39964.156215277777</v>
      </c>
      <c r="O2214" s="4" t="s">
        <v>62</v>
      </c>
      <c r="P2214" s="3" t="s">
        <v>2015</v>
      </c>
      <c r="Q2214" s="4"/>
      <c r="R2214" s="4"/>
      <c r="S2214" s="9" t="str">
        <f>HYPERLINK("https://pbs.twimg.com/profile_images/994710678270283776/BNRPGWPa.jpg","View")</f>
        <v>View</v>
      </c>
    </row>
    <row r="2215" spans="1:19" ht="12.5">
      <c r="A2215" s="8">
        <v>43370.081817129627</v>
      </c>
      <c r="B2215" s="11" t="str">
        <f>HYPERLINK("https://twitter.com/Babakghannad","@Babakghannad")</f>
        <v>@Babakghannad</v>
      </c>
      <c r="C2215" s="6" t="s">
        <v>2014</v>
      </c>
      <c r="D2215" s="5" t="s">
        <v>2013</v>
      </c>
      <c r="E2215" s="9" t="str">
        <f>HYPERLINK("https://twitter.com/Babakghannad/status/1045077509270904833","1045077509270904833")</f>
        <v>1045077509270904833</v>
      </c>
      <c r="F2215" s="4"/>
      <c r="G2215" s="10" t="s">
        <v>2012</v>
      </c>
      <c r="H2215" s="4"/>
      <c r="I2215" s="10" t="str">
        <f>HYPERLINK("http://twitter.com/download/android","Twitter for Android")</f>
        <v>Twitter for Android</v>
      </c>
      <c r="J2215" s="2">
        <v>1527</v>
      </c>
      <c r="K2215" s="2">
        <v>690</v>
      </c>
      <c r="L2215" s="2">
        <v>8</v>
      </c>
      <c r="M2215" s="2"/>
      <c r="N2215" s="8">
        <v>41463.669270833336</v>
      </c>
      <c r="O2215" s="4" t="s">
        <v>10</v>
      </c>
      <c r="P2215" s="12" t="s">
        <v>2011</v>
      </c>
      <c r="Q2215" s="10" t="s">
        <v>2010</v>
      </c>
      <c r="R2215" s="4"/>
      <c r="S2215" s="9" t="str">
        <f>HYPERLINK("https://pbs.twimg.com/profile_images/981620138653908992/Y7VWFCfE.jpg","View")</f>
        <v>View</v>
      </c>
    </row>
    <row r="2216" spans="1:19" ht="20">
      <c r="A2216" s="8">
        <v>43370.081793981481</v>
      </c>
      <c r="B2216" s="11" t="str">
        <f>HYPERLINK("https://twitter.com/keramati013","@keramati013")</f>
        <v>@keramati013</v>
      </c>
      <c r="C2216" s="6" t="s">
        <v>2009</v>
      </c>
      <c r="D2216" s="5" t="s">
        <v>1812</v>
      </c>
      <c r="E2216" s="9" t="str">
        <f>HYPERLINK("https://twitter.com/keramati013/status/1045077502832652288","1045077502832652288")</f>
        <v>1045077502832652288</v>
      </c>
      <c r="F2216" s="4"/>
      <c r="G2216" s="4"/>
      <c r="H2216" s="4"/>
      <c r="I2216" s="10" t="str">
        <f>HYPERLINK("http://twitter.com/download/android","Twitter for Android")</f>
        <v>Twitter for Android</v>
      </c>
      <c r="J2216" s="2">
        <v>5604</v>
      </c>
      <c r="K2216" s="2">
        <v>1437</v>
      </c>
      <c r="L2216" s="2">
        <v>20</v>
      </c>
      <c r="M2216" s="2"/>
      <c r="N2216" s="8">
        <v>43113.353425925925</v>
      </c>
      <c r="O2216" s="4" t="s">
        <v>2008</v>
      </c>
      <c r="P2216" s="3" t="s">
        <v>2007</v>
      </c>
      <c r="Q2216" s="10" t="s">
        <v>2006</v>
      </c>
      <c r="R2216" s="4"/>
      <c r="S2216" s="9" t="str">
        <f>HYPERLINK("https://pbs.twimg.com/profile_images/1044861687256543233/iDAaz3P0.jpg","View")</f>
        <v>View</v>
      </c>
    </row>
    <row r="2217" spans="1:19" ht="12.5">
      <c r="A2217" s="8">
        <v>43370.081608796296</v>
      </c>
      <c r="B2217" s="11" t="str">
        <f>HYPERLINK("https://twitter.com/Haanaa72","@Haanaa72")</f>
        <v>@Haanaa72</v>
      </c>
      <c r="C2217" s="6" t="s">
        <v>1104</v>
      </c>
      <c r="D2217" s="5" t="s">
        <v>2005</v>
      </c>
      <c r="E2217" s="9" t="str">
        <f>HYPERLINK("https://twitter.com/Haanaa72/status/1045077433442062338","1045077433442062338")</f>
        <v>1045077433442062338</v>
      </c>
      <c r="F2217" s="4"/>
      <c r="G2217" s="4"/>
      <c r="H2217" s="4"/>
      <c r="I2217" s="10" t="str">
        <f>HYPERLINK("http://twitter.com/download/android","Twitter for Android")</f>
        <v>Twitter for Android</v>
      </c>
      <c r="J2217" s="2">
        <v>413</v>
      </c>
      <c r="K2217" s="2">
        <v>182</v>
      </c>
      <c r="L2217" s="2">
        <v>2</v>
      </c>
      <c r="M2217" s="2"/>
      <c r="N2217" s="8">
        <v>43104.676030092596</v>
      </c>
      <c r="O2217" s="4" t="s">
        <v>1101</v>
      </c>
      <c r="P2217" s="3" t="s">
        <v>1100</v>
      </c>
      <c r="Q2217" s="4"/>
      <c r="R2217" s="4"/>
      <c r="S2217" s="9" t="str">
        <f>HYPERLINK("https://pbs.twimg.com/profile_images/1039064853388951552/bmqz3GqB.jpg","View")</f>
        <v>View</v>
      </c>
    </row>
    <row r="2218" spans="1:19" ht="20">
      <c r="A2218" s="8">
        <v>43370.081458333334</v>
      </c>
      <c r="B2218" s="11" t="str">
        <f>HYPERLINK("https://twitter.com/AminTalati","@AminTalati")</f>
        <v>@AminTalati</v>
      </c>
      <c r="C2218" s="6" t="s">
        <v>2004</v>
      </c>
      <c r="D2218" s="5" t="s">
        <v>354</v>
      </c>
      <c r="E2218" s="9" t="str">
        <f>HYPERLINK("https://twitter.com/AminTalati/status/1045077380585394181","1045077380585394181")</f>
        <v>1045077380585394181</v>
      </c>
      <c r="F2218" s="4"/>
      <c r="G2218" s="4"/>
      <c r="H2218" s="4"/>
      <c r="I2218" s="10" t="str">
        <f>HYPERLINK("http://twitter.com/download/iphone","Twitter for iPhone")</f>
        <v>Twitter for iPhone</v>
      </c>
      <c r="J2218" s="2">
        <v>71</v>
      </c>
      <c r="K2218" s="2">
        <v>71</v>
      </c>
      <c r="L2218" s="2">
        <v>0</v>
      </c>
      <c r="M2218" s="2"/>
      <c r="N2218" s="8">
        <v>43230.146956018521</v>
      </c>
      <c r="O2218" s="4" t="s">
        <v>55</v>
      </c>
      <c r="P2218" s="3" t="s">
        <v>2003</v>
      </c>
      <c r="Q2218" s="10" t="s">
        <v>2002</v>
      </c>
      <c r="R2218" s="4"/>
      <c r="S2218" s="9" t="str">
        <f>HYPERLINK("https://pbs.twimg.com/profile_images/1033118643784232960/kbzRKo5c.jpg","View")</f>
        <v>View</v>
      </c>
    </row>
    <row r="2219" spans="1:19" ht="20">
      <c r="A2219" s="8">
        <v>43370.081192129626</v>
      </c>
      <c r="B2219" s="11" t="str">
        <f>HYPERLINK("https://twitter.com/vahidkamali8","@vahidkamali8")</f>
        <v>@vahidkamali8</v>
      </c>
      <c r="C2219" s="6" t="s">
        <v>1125</v>
      </c>
      <c r="D2219" s="5" t="s">
        <v>1317</v>
      </c>
      <c r="E2219" s="9" t="str">
        <f>HYPERLINK("https://twitter.com/vahidkamali8/status/1045077284028379136","1045077284028379136")</f>
        <v>1045077284028379136</v>
      </c>
      <c r="F2219" s="4"/>
      <c r="G2219" s="4"/>
      <c r="H2219" s="4"/>
      <c r="I2219" s="10" t="str">
        <f>HYPERLINK("http://twitter.com/download/android","Twitter for Android")</f>
        <v>Twitter for Android</v>
      </c>
      <c r="J2219" s="2">
        <v>1186</v>
      </c>
      <c r="K2219" s="2">
        <v>760</v>
      </c>
      <c r="L2219" s="2">
        <v>3</v>
      </c>
      <c r="M2219" s="2"/>
      <c r="N2219" s="8">
        <v>43014.959097222221</v>
      </c>
      <c r="O2219" s="4" t="s">
        <v>1124</v>
      </c>
      <c r="P2219" s="3" t="s">
        <v>1123</v>
      </c>
      <c r="Q2219" s="4"/>
      <c r="R2219" s="4"/>
      <c r="S2219" s="9" t="str">
        <f>HYPERLINK("https://pbs.twimg.com/profile_images/1038771428496224256/S5RZcTKt.jpg","View")</f>
        <v>View</v>
      </c>
    </row>
    <row r="2220" spans="1:19" ht="50">
      <c r="A2220" s="8">
        <v>43370.081145833334</v>
      </c>
      <c r="B2220" s="11" t="str">
        <f>HYPERLINK("https://twitter.com/yaghiiiiiiii","@yaghiiiiiiii")</f>
        <v>@yaghiiiiiiii</v>
      </c>
      <c r="C2220" s="6" t="s">
        <v>2001</v>
      </c>
      <c r="D2220" s="5" t="s">
        <v>1168</v>
      </c>
      <c r="E2220" s="9" t="str">
        <f>HYPERLINK("https://twitter.com/yaghiiiiiiii/status/1045077267335065601","1045077267335065601")</f>
        <v>1045077267335065601</v>
      </c>
      <c r="F2220" s="4"/>
      <c r="G2220" s="10" t="s">
        <v>907</v>
      </c>
      <c r="H2220" s="4"/>
      <c r="I2220" s="10" t="str">
        <f>HYPERLINK("http://twitter.com/download/android","Twitter for Android")</f>
        <v>Twitter for Android</v>
      </c>
      <c r="J2220" s="2">
        <v>243</v>
      </c>
      <c r="K2220" s="2">
        <v>378</v>
      </c>
      <c r="L2220" s="2">
        <v>1</v>
      </c>
      <c r="M2220" s="2"/>
      <c r="N2220" s="8">
        <v>42774.165335648147</v>
      </c>
      <c r="O2220" s="4" t="s">
        <v>2000</v>
      </c>
      <c r="P2220" s="3" t="s">
        <v>1999</v>
      </c>
      <c r="Q2220" s="4"/>
      <c r="R2220" s="4"/>
      <c r="S2220" s="9" t="str">
        <f>HYPERLINK("https://pbs.twimg.com/profile_images/1044678530439802882/Jcpn3528.jpg","View")</f>
        <v>View</v>
      </c>
    </row>
    <row r="2221" spans="1:19" ht="20">
      <c r="A2221" s="8">
        <v>43370.081099537041</v>
      </c>
      <c r="B2221" s="11" t="str">
        <f>HYPERLINK("https://twitter.com/Rohoolladasht1","@Rohoolladasht1")</f>
        <v>@Rohoolladasht1</v>
      </c>
      <c r="C2221" s="6" t="s">
        <v>1998</v>
      </c>
      <c r="D2221" s="5" t="s">
        <v>1997</v>
      </c>
      <c r="E2221" s="9" t="str">
        <f>HYPERLINK("https://twitter.com/Rohoolladasht1/status/1045077249240825857","1045077249240825857")</f>
        <v>1045077249240825857</v>
      </c>
      <c r="F2221" s="4"/>
      <c r="G2221" s="4"/>
      <c r="H2221" s="4"/>
      <c r="I2221" s="10" t="str">
        <f>HYPERLINK("http://twitter.com/download/android","Twitter for Android")</f>
        <v>Twitter for Android</v>
      </c>
      <c r="J2221" s="2">
        <v>47</v>
      </c>
      <c r="K2221" s="2">
        <v>25</v>
      </c>
      <c r="L2221" s="2">
        <v>0</v>
      </c>
      <c r="M2221" s="2"/>
      <c r="N2221" s="8">
        <v>42799.929293981477</v>
      </c>
      <c r="O2221" s="4"/>
      <c r="P2221" s="3" t="s">
        <v>1996</v>
      </c>
      <c r="Q2221" s="4"/>
      <c r="R2221" s="4"/>
      <c r="S2221" s="9" t="str">
        <f>HYPERLINK("https://pbs.twimg.com/profile_images/1035402328524943360/RfE_BI3c.jpg","View")</f>
        <v>View</v>
      </c>
    </row>
    <row r="2222" spans="1:19" ht="30">
      <c r="A2222" s="8">
        <v>43370.079988425925</v>
      </c>
      <c r="B2222" s="11" t="str">
        <f>HYPERLINK("https://twitter.com/vmh1362","@vmh1362")</f>
        <v>@vmh1362</v>
      </c>
      <c r="C2222" s="6" t="s">
        <v>1995</v>
      </c>
      <c r="D2222" s="5" t="s">
        <v>1201</v>
      </c>
      <c r="E2222" s="9" t="str">
        <f>HYPERLINK("https://twitter.com/vmh1362/status/1045076847577509888","1045076847577509888")</f>
        <v>1045076847577509888</v>
      </c>
      <c r="F2222" s="4"/>
      <c r="G2222" s="4"/>
      <c r="H2222" s="4"/>
      <c r="I2222" s="10" t="str">
        <f>HYPERLINK("http://twitter.com/download/iphone","Twitter for iPhone")</f>
        <v>Twitter for iPhone</v>
      </c>
      <c r="J2222" s="2">
        <v>33</v>
      </c>
      <c r="K2222" s="2">
        <v>42</v>
      </c>
      <c r="L2222" s="2">
        <v>1</v>
      </c>
      <c r="M2222" s="2"/>
      <c r="N2222" s="8">
        <v>41704.448449074072</v>
      </c>
      <c r="O2222" s="4" t="s">
        <v>10</v>
      </c>
      <c r="P2222" s="3"/>
      <c r="Q2222" s="4"/>
      <c r="R2222" s="4"/>
      <c r="S2222" s="9" t="str">
        <f>HYPERLINK("https://pbs.twimg.com/profile_images/944337916188413953/bcb2Xj_S.jpg","View")</f>
        <v>View</v>
      </c>
    </row>
    <row r="2223" spans="1:19" ht="30">
      <c r="A2223" s="8">
        <v>43370.079328703709</v>
      </c>
      <c r="B2223" s="11" t="str">
        <f>HYPERLINK("https://twitter.com/yazdan9506","@yazdan9506")</f>
        <v>@yazdan9506</v>
      </c>
      <c r="C2223" s="6" t="s">
        <v>1994</v>
      </c>
      <c r="D2223" s="5" t="s">
        <v>1993</v>
      </c>
      <c r="E2223" s="9" t="str">
        <f>HYPERLINK("https://twitter.com/yazdan9506/status/1045076605901713409","1045076605901713409")</f>
        <v>1045076605901713409</v>
      </c>
      <c r="F2223" s="4"/>
      <c r="G2223" s="4"/>
      <c r="H2223" s="4"/>
      <c r="I2223" s="10" t="str">
        <f>HYPERLINK("http://twitter.com/download/iphone","Twitter for iPhone")</f>
        <v>Twitter for iPhone</v>
      </c>
      <c r="J2223" s="2">
        <v>29</v>
      </c>
      <c r="K2223" s="2">
        <v>103</v>
      </c>
      <c r="L2223" s="2">
        <v>0</v>
      </c>
      <c r="M2223" s="2"/>
      <c r="N2223" s="8">
        <v>42581.923622685186</v>
      </c>
      <c r="O2223" s="4" t="s">
        <v>1992</v>
      </c>
      <c r="P2223" s="3" t="s">
        <v>1991</v>
      </c>
      <c r="Q2223" s="10" t="s">
        <v>1990</v>
      </c>
      <c r="R2223" s="4"/>
      <c r="S2223" s="9" t="str">
        <f>HYPERLINK("https://pbs.twimg.com/profile_images/1043460090110595073/Mi_8Jj9u.jpg","View")</f>
        <v>View</v>
      </c>
    </row>
    <row r="2224" spans="1:19" ht="12.5">
      <c r="A2224" s="8">
        <v>43370.078958333332</v>
      </c>
      <c r="B2224" s="11" t="str">
        <f>HYPERLINK("https://twitter.com/BaymaniSetayesh","@BaymaniSetayesh")</f>
        <v>@BaymaniSetayesh</v>
      </c>
      <c r="C2224" s="6" t="s">
        <v>1989</v>
      </c>
      <c r="D2224" s="5" t="s">
        <v>1988</v>
      </c>
      <c r="E2224" s="9" t="str">
        <f>HYPERLINK("https://twitter.com/BaymaniSetayesh/status/1045076474200567816","1045076474200567816")</f>
        <v>1045076474200567816</v>
      </c>
      <c r="F2224" s="4"/>
      <c r="G2224" s="10" t="s">
        <v>1987</v>
      </c>
      <c r="H2224" s="4"/>
      <c r="I2224" s="10" t="str">
        <f>HYPERLINK("http://twitter.com/download/android","Twitter for Android")</f>
        <v>Twitter for Android</v>
      </c>
      <c r="J2224" s="2">
        <v>492</v>
      </c>
      <c r="K2224" s="2">
        <v>490</v>
      </c>
      <c r="L2224" s="2">
        <v>1</v>
      </c>
      <c r="M2224" s="2"/>
      <c r="N2224" s="8">
        <v>43290.46837962963</v>
      </c>
      <c r="O2224" s="4" t="s">
        <v>36</v>
      </c>
      <c r="P2224" s="3" t="s">
        <v>1986</v>
      </c>
      <c r="Q2224" s="10" t="s">
        <v>1985</v>
      </c>
      <c r="R2224" s="4"/>
      <c r="S2224" s="9" t="str">
        <f>HYPERLINK("https://pbs.twimg.com/profile_images/1038314475986845696/U_uK8ZIP.jpg","View")</f>
        <v>View</v>
      </c>
    </row>
    <row r="2225" spans="1:19" ht="20">
      <c r="A2225" s="8">
        <v>43370.07876157407</v>
      </c>
      <c r="B2225" s="11" t="str">
        <f>HYPERLINK("https://twitter.com/Tahtaqari","@Tahtaqari")</f>
        <v>@Tahtaqari</v>
      </c>
      <c r="C2225" s="6" t="s">
        <v>1984</v>
      </c>
      <c r="D2225" s="5" t="s">
        <v>1983</v>
      </c>
      <c r="E2225" s="9" t="str">
        <f>HYPERLINK("https://twitter.com/Tahtaqari/status/1045076403195121668","1045076403195121668")</f>
        <v>1045076403195121668</v>
      </c>
      <c r="F2225" s="4"/>
      <c r="G2225" s="4"/>
      <c r="H2225" s="4"/>
      <c r="I2225" s="10" t="str">
        <f>HYPERLINK("http://twitter.com/download/android","Twitter for Android")</f>
        <v>Twitter for Android</v>
      </c>
      <c r="J2225" s="2">
        <v>688</v>
      </c>
      <c r="K2225" s="2">
        <v>373</v>
      </c>
      <c r="L2225" s="2">
        <v>2</v>
      </c>
      <c r="M2225" s="2"/>
      <c r="N2225" s="8">
        <v>41892.681921296295</v>
      </c>
      <c r="O2225" s="4" t="s">
        <v>1982</v>
      </c>
      <c r="P2225" s="3"/>
      <c r="Q2225" s="4"/>
      <c r="R2225" s="4"/>
      <c r="S2225" s="9" t="str">
        <f>HYPERLINK("https://pbs.twimg.com/profile_images/1028242158392885248/SSb_5vMw.jpg","View")</f>
        <v>View</v>
      </c>
    </row>
    <row r="2226" spans="1:19" ht="30">
      <c r="A2226" s="8">
        <v>43370.077974537038</v>
      </c>
      <c r="B2226" s="11" t="str">
        <f>HYPERLINK("https://twitter.com/Mr30bilo","@Mr30bilo")</f>
        <v>@Mr30bilo</v>
      </c>
      <c r="C2226" s="6" t="s">
        <v>716</v>
      </c>
      <c r="D2226" s="5" t="s">
        <v>1680</v>
      </c>
      <c r="E2226" s="9" t="str">
        <f>HYPERLINK("https://twitter.com/Mr30bilo/status/1045076118972366848","1045076118972366848")</f>
        <v>1045076118972366848</v>
      </c>
      <c r="F2226" s="4"/>
      <c r="G2226" s="4"/>
      <c r="H2226" s="4"/>
      <c r="I2226" s="10" t="str">
        <f>HYPERLINK("http://twitter.com/download/android","Twitter for Android")</f>
        <v>Twitter for Android</v>
      </c>
      <c r="J2226" s="2">
        <v>1675</v>
      </c>
      <c r="K2226" s="2">
        <v>1659</v>
      </c>
      <c r="L2226" s="2">
        <v>2</v>
      </c>
      <c r="M2226" s="2"/>
      <c r="N2226" s="8">
        <v>43324.043113425927</v>
      </c>
      <c r="O2226" s="4" t="s">
        <v>62</v>
      </c>
      <c r="P2226" s="3" t="s">
        <v>715</v>
      </c>
      <c r="Q2226" s="10" t="s">
        <v>714</v>
      </c>
      <c r="R2226" s="4"/>
      <c r="S2226" s="9" t="str">
        <f>HYPERLINK("https://pbs.twimg.com/profile_images/1039795587997163521/Yv-4G512.jpg","View")</f>
        <v>View</v>
      </c>
    </row>
    <row r="2227" spans="1:19" ht="30">
      <c r="A2227" s="8">
        <v>43370.077951388885</v>
      </c>
      <c r="B2227" s="11" t="str">
        <f>HYPERLINK("https://twitter.com/barandazambot","@barandazambot")</f>
        <v>@barandazambot</v>
      </c>
      <c r="C2227" s="6" t="s">
        <v>46</v>
      </c>
      <c r="D2227" s="5" t="s">
        <v>1957</v>
      </c>
      <c r="E2227" s="9" t="str">
        <f>HYPERLINK("https://twitter.com/barandazambot/status/1045076109543518215","1045076109543518215")</f>
        <v>1045076109543518215</v>
      </c>
      <c r="F2227" s="10" t="s">
        <v>1929</v>
      </c>
      <c r="G2227" s="4"/>
      <c r="H2227" s="4"/>
      <c r="I2227" s="10" t="str">
        <f>HYPERLINK("http://127.0.0.1","barandazambot")</f>
        <v>barandazambot</v>
      </c>
      <c r="J2227" s="2">
        <v>950</v>
      </c>
      <c r="K2227" s="2">
        <v>23</v>
      </c>
      <c r="L2227" s="2">
        <v>2</v>
      </c>
      <c r="M2227" s="2"/>
      <c r="N2227" s="8">
        <v>43293.668993055559</v>
      </c>
      <c r="O2227" s="4" t="s">
        <v>45</v>
      </c>
      <c r="P2227" s="3" t="s">
        <v>44</v>
      </c>
      <c r="Q2227" s="4"/>
      <c r="R2227" s="4"/>
      <c r="S2227" s="9" t="str">
        <f>HYPERLINK("https://pbs.twimg.com/profile_images/1017382724485730305/hGaBNoXG.jpg","View")</f>
        <v>View</v>
      </c>
    </row>
    <row r="2228" spans="1:19" ht="20">
      <c r="A2228" s="8">
        <v>43370.077592592592</v>
      </c>
      <c r="B2228" s="11" t="str">
        <f>HYPERLINK("https://twitter.com/Kachaloom","@Kachaloom")</f>
        <v>@Kachaloom</v>
      </c>
      <c r="C2228" s="6" t="s">
        <v>1981</v>
      </c>
      <c r="D2228" s="5" t="s">
        <v>1957</v>
      </c>
      <c r="E2228" s="9" t="str">
        <f>HYPERLINK("https://twitter.com/Kachaloom/status/1045075977229996032","1045075977229996032")</f>
        <v>1045075977229996032</v>
      </c>
      <c r="F2228" s="10" t="s">
        <v>1929</v>
      </c>
      <c r="G2228" s="4"/>
      <c r="H2228" s="4"/>
      <c r="I2228" s="10" t="str">
        <f>HYPERLINK("https://mobile.twitter.com","Twitter Lite")</f>
        <v>Twitter Lite</v>
      </c>
      <c r="J2228" s="2">
        <v>167</v>
      </c>
      <c r="K2228" s="2">
        <v>245</v>
      </c>
      <c r="L2228" s="2">
        <v>0</v>
      </c>
      <c r="M2228" s="2"/>
      <c r="N2228" s="8">
        <v>43174.529305555552</v>
      </c>
      <c r="O2228" s="4"/>
      <c r="P2228" s="3"/>
      <c r="Q2228" s="4"/>
      <c r="R2228" s="4"/>
      <c r="S2228" s="9" t="str">
        <f>HYPERLINK("https://pbs.twimg.com/profile_images/1026070409538461696/diOSx8vQ.jpg","View")</f>
        <v>View</v>
      </c>
    </row>
    <row r="2229" spans="1:19" ht="20">
      <c r="A2229" s="8">
        <v>43370.076111111106</v>
      </c>
      <c r="B2229" s="11" t="str">
        <f>HYPERLINK("https://twitter.com/iamparhamm","@iamparhamm")</f>
        <v>@iamparhamm</v>
      </c>
      <c r="C2229" s="6" t="s">
        <v>1980</v>
      </c>
      <c r="D2229" s="5" t="s">
        <v>1593</v>
      </c>
      <c r="E2229" s="9" t="str">
        <f>HYPERLINK("https://twitter.com/iamparhamm/status/1045075442422681602","1045075442422681602")</f>
        <v>1045075442422681602</v>
      </c>
      <c r="F2229" s="4"/>
      <c r="G2229" s="4"/>
      <c r="H2229" s="4"/>
      <c r="I2229" s="10" t="str">
        <f>HYPERLINK("http://twitter.com/download/iphone","Twitter for iPhone")</f>
        <v>Twitter for iPhone</v>
      </c>
      <c r="J2229" s="2">
        <v>3319</v>
      </c>
      <c r="K2229" s="2">
        <v>1228</v>
      </c>
      <c r="L2229" s="2">
        <v>20</v>
      </c>
      <c r="M2229" s="2"/>
      <c r="N2229" s="8">
        <v>41296.694791666669</v>
      </c>
      <c r="O2229" s="4" t="s">
        <v>254</v>
      </c>
      <c r="P2229" s="3" t="s">
        <v>1979</v>
      </c>
      <c r="Q2229" s="4"/>
      <c r="R2229" s="4"/>
      <c r="S2229" s="9" t="str">
        <f>HYPERLINK("https://pbs.twimg.com/profile_images/1023840240736366592/JpNNjF5R.jpg","View")</f>
        <v>View</v>
      </c>
    </row>
    <row r="2230" spans="1:19" ht="12.5">
      <c r="A2230" s="8">
        <v>43370.075335648144</v>
      </c>
      <c r="B2230" s="11" t="str">
        <f>HYPERLINK("https://twitter.com/Arezush10","@Arezush10")</f>
        <v>@Arezush10</v>
      </c>
      <c r="C2230" s="6" t="s">
        <v>240</v>
      </c>
      <c r="D2230" s="5" t="s">
        <v>1978</v>
      </c>
      <c r="E2230" s="9" t="str">
        <f>HYPERLINK("https://twitter.com/Arezush10/status/1045075162562015233","1045075162562015233")</f>
        <v>1045075162562015233</v>
      </c>
      <c r="F2230" s="4"/>
      <c r="G2230" s="4"/>
      <c r="H2230" s="4"/>
      <c r="I2230" s="10" t="str">
        <f>HYPERLINK("http://twitter.com/download/iphone","Twitter for iPhone")</f>
        <v>Twitter for iPhone</v>
      </c>
      <c r="J2230" s="2">
        <v>375</v>
      </c>
      <c r="K2230" s="2">
        <v>122</v>
      </c>
      <c r="L2230" s="2">
        <v>3</v>
      </c>
      <c r="M2230" s="2"/>
      <c r="N2230" s="8">
        <v>43271.513159722221</v>
      </c>
      <c r="O2230" s="4"/>
      <c r="P2230" s="3" t="s">
        <v>1977</v>
      </c>
      <c r="Q2230" s="4"/>
      <c r="R2230" s="4"/>
      <c r="S2230" s="9" t="str">
        <f>HYPERLINK("https://pbs.twimg.com/profile_images/1043579672796311552/FgKOEwRD.jpg","View")</f>
        <v>View</v>
      </c>
    </row>
    <row r="2231" spans="1:19" ht="30">
      <c r="A2231" s="8">
        <v>43370.074687500004</v>
      </c>
      <c r="B2231" s="11" t="str">
        <f>HYPERLINK("https://twitter.com/tahoraalizad","@tahoraalizad")</f>
        <v>@tahoraalizad</v>
      </c>
      <c r="C2231" s="6" t="s">
        <v>1976</v>
      </c>
      <c r="D2231" s="5" t="s">
        <v>732</v>
      </c>
      <c r="E2231" s="9" t="str">
        <f>HYPERLINK("https://twitter.com/tahoraalizad/status/1045074924065492993","1045074924065492993")</f>
        <v>1045074924065492993</v>
      </c>
      <c r="F2231" s="4"/>
      <c r="G2231" s="10" t="s">
        <v>706</v>
      </c>
      <c r="H2231" s="4"/>
      <c r="I2231" s="10" t="str">
        <f>HYPERLINK("http://twitter.com/download/android","Twitter for Android")</f>
        <v>Twitter for Android</v>
      </c>
      <c r="J2231" s="2">
        <v>327</v>
      </c>
      <c r="K2231" s="2">
        <v>126</v>
      </c>
      <c r="L2231" s="2">
        <v>1</v>
      </c>
      <c r="M2231" s="2"/>
      <c r="N2231" s="8">
        <v>42989.106354166666</v>
      </c>
      <c r="O2231" s="4" t="s">
        <v>1975</v>
      </c>
      <c r="P2231" s="3" t="s">
        <v>1974</v>
      </c>
      <c r="Q2231" s="4"/>
      <c r="R2231" s="4"/>
      <c r="S2231" s="9" t="str">
        <f>HYPERLINK("https://pbs.twimg.com/profile_images/1018233167063502850/EZgjqTrQ.jpg","View")</f>
        <v>View</v>
      </c>
    </row>
    <row r="2232" spans="1:19" ht="30">
      <c r="A2232" s="8">
        <v>43370.07435185185</v>
      </c>
      <c r="B2232" s="11" t="str">
        <f>HYPERLINK("https://twitter.com/Sohrab_66","@Sohrab_66")</f>
        <v>@Sohrab_66</v>
      </c>
      <c r="C2232" s="6" t="s">
        <v>1973</v>
      </c>
      <c r="D2232" s="5" t="s">
        <v>1703</v>
      </c>
      <c r="E2232" s="9" t="str">
        <f>HYPERLINK("https://twitter.com/Sohrab_66/status/1045074804179496961","1045074804179496961")</f>
        <v>1045074804179496961</v>
      </c>
      <c r="F2232" s="4"/>
      <c r="G2232" s="10" t="s">
        <v>1702</v>
      </c>
      <c r="H2232" s="4"/>
      <c r="I2232" s="10" t="str">
        <f>HYPERLINK("http://twitter.com","Twitter Web Client")</f>
        <v>Twitter Web Client</v>
      </c>
      <c r="J2232" s="2">
        <v>1639</v>
      </c>
      <c r="K2232" s="2">
        <v>296</v>
      </c>
      <c r="L2232" s="2">
        <v>25</v>
      </c>
      <c r="M2232" s="2"/>
      <c r="N2232" s="8">
        <v>42129.81521990741</v>
      </c>
      <c r="O2232" s="4"/>
      <c r="P2232" s="3"/>
      <c r="Q2232" s="4"/>
      <c r="R2232" s="4"/>
      <c r="S2232" s="9" t="str">
        <f>HYPERLINK("https://pbs.twimg.com/profile_images/816285495311220736/1H4mVbVM.jpg","View")</f>
        <v>View</v>
      </c>
    </row>
    <row r="2233" spans="1:19" ht="20">
      <c r="A2233" s="8">
        <v>43370.072685185187</v>
      </c>
      <c r="B2233" s="11" t="str">
        <f>HYPERLINK("https://twitter.com/Mr30bilo","@Mr30bilo")</f>
        <v>@Mr30bilo</v>
      </c>
      <c r="C2233" s="6" t="s">
        <v>716</v>
      </c>
      <c r="D2233" s="5" t="s">
        <v>1965</v>
      </c>
      <c r="E2233" s="9" t="str">
        <f>HYPERLINK("https://twitter.com/Mr30bilo/status/1045074198991949825","1045074198991949825")</f>
        <v>1045074198991949825</v>
      </c>
      <c r="F2233" s="4"/>
      <c r="G2233" s="10" t="s">
        <v>1919</v>
      </c>
      <c r="H2233" s="4"/>
      <c r="I2233" s="10" t="str">
        <f>HYPERLINK("http://twitter.com/download/android","Twitter for Android")</f>
        <v>Twitter for Android</v>
      </c>
      <c r="J2233" s="2">
        <v>1675</v>
      </c>
      <c r="K2233" s="2">
        <v>1659</v>
      </c>
      <c r="L2233" s="2">
        <v>2</v>
      </c>
      <c r="M2233" s="2"/>
      <c r="N2233" s="8">
        <v>43324.043113425927</v>
      </c>
      <c r="O2233" s="4" t="s">
        <v>62</v>
      </c>
      <c r="P2233" s="3" t="s">
        <v>715</v>
      </c>
      <c r="Q2233" s="10" t="s">
        <v>714</v>
      </c>
      <c r="R2233" s="4"/>
      <c r="S2233" s="9" t="str">
        <f>HYPERLINK("https://pbs.twimg.com/profile_images/1039795587997163521/Yv-4G512.jpg","View")</f>
        <v>View</v>
      </c>
    </row>
    <row r="2234" spans="1:19" ht="12.5">
      <c r="A2234" s="8">
        <v>43370.072581018518</v>
      </c>
      <c r="B2234" s="11" t="str">
        <f>HYPERLINK("https://twitter.com/elyas_chapi","@elyas_chapi")</f>
        <v>@elyas_chapi</v>
      </c>
      <c r="C2234" s="6" t="s">
        <v>1960</v>
      </c>
      <c r="D2234" s="5" t="s">
        <v>1972</v>
      </c>
      <c r="E2234" s="9" t="str">
        <f>HYPERLINK("https://twitter.com/elyas_chapi/status/1045074163042521091","1045074163042521091")</f>
        <v>1045074163042521091</v>
      </c>
      <c r="F2234" s="4"/>
      <c r="G2234" s="10" t="s">
        <v>1971</v>
      </c>
      <c r="H2234" s="4"/>
      <c r="I2234" s="10" t="str">
        <f>HYPERLINK("http://twitter.com/download/android","Twitter for Android")</f>
        <v>Twitter for Android</v>
      </c>
      <c r="J2234" s="2">
        <v>37</v>
      </c>
      <c r="K2234" s="2">
        <v>37</v>
      </c>
      <c r="L2234" s="2">
        <v>0</v>
      </c>
      <c r="M2234" s="2"/>
      <c r="N2234" s="8">
        <v>43311.383414351847</v>
      </c>
      <c r="O2234" s="4"/>
      <c r="P2234" s="3"/>
      <c r="Q2234" s="4"/>
      <c r="R2234" s="4"/>
      <c r="S2234" s="2" t="s">
        <v>259</v>
      </c>
    </row>
    <row r="2235" spans="1:19" ht="20">
      <c r="A2235" s="8">
        <v>43370.071585648147</v>
      </c>
      <c r="B2235" s="11" t="str">
        <f>HYPERLINK("https://twitter.com/zooraki_maloos","@zooraki_maloos")</f>
        <v>@zooraki_maloos</v>
      </c>
      <c r="C2235" s="6" t="s">
        <v>1970</v>
      </c>
      <c r="D2235" s="5" t="s">
        <v>1969</v>
      </c>
      <c r="E2235" s="9" t="str">
        <f>HYPERLINK("https://twitter.com/zooraki_maloos/status/1045073803695587328","1045073803695587328")</f>
        <v>1045073803695587328</v>
      </c>
      <c r="F2235" s="4"/>
      <c r="G2235" s="4"/>
      <c r="H2235" s="4"/>
      <c r="I2235" s="10" t="str">
        <f>HYPERLINK("http://twitter.com/download/android","Twitter for Android")</f>
        <v>Twitter for Android</v>
      </c>
      <c r="J2235" s="2">
        <v>1213</v>
      </c>
      <c r="K2235" s="2">
        <v>1217</v>
      </c>
      <c r="L2235" s="2">
        <v>6</v>
      </c>
      <c r="M2235" s="2"/>
      <c r="N2235" s="8">
        <v>43223.589120370365</v>
      </c>
      <c r="O2235" s="4" t="s">
        <v>1968</v>
      </c>
      <c r="P2235" s="3" t="s">
        <v>1967</v>
      </c>
      <c r="Q2235" s="4"/>
      <c r="R2235" s="4"/>
      <c r="S2235" s="9" t="str">
        <f>HYPERLINK("https://pbs.twimg.com/profile_images/1044824752475578373/jyfIDOWP.jpg","View")</f>
        <v>View</v>
      </c>
    </row>
    <row r="2236" spans="1:19" ht="20">
      <c r="A2236" s="8">
        <v>43370.071527777778</v>
      </c>
      <c r="B2236" s="11" t="str">
        <f>HYPERLINK("https://twitter.com/alamdar14rst","@alamdar14rst")</f>
        <v>@alamdar14rst</v>
      </c>
      <c r="C2236" s="6" t="s">
        <v>1966</v>
      </c>
      <c r="D2236" s="5" t="s">
        <v>1965</v>
      </c>
      <c r="E2236" s="9" t="str">
        <f>HYPERLINK("https://twitter.com/alamdar14rst/status/1045073780039720967","1045073780039720967")</f>
        <v>1045073780039720967</v>
      </c>
      <c r="F2236" s="4"/>
      <c r="G2236" s="10" t="s">
        <v>1919</v>
      </c>
      <c r="H2236" s="4"/>
      <c r="I2236" s="10" t="str">
        <f>HYPERLINK("http://twitter.com/download/android","Twitter for Android")</f>
        <v>Twitter for Android</v>
      </c>
      <c r="J2236" s="2">
        <v>4526</v>
      </c>
      <c r="K2236" s="2">
        <v>4590</v>
      </c>
      <c r="L2236" s="2">
        <v>2</v>
      </c>
      <c r="M2236" s="2"/>
      <c r="N2236" s="8">
        <v>42906.006111111114</v>
      </c>
      <c r="O2236" s="4" t="s">
        <v>1964</v>
      </c>
      <c r="P2236" s="3" t="s">
        <v>1963</v>
      </c>
      <c r="Q2236" s="4"/>
      <c r="R2236" s="4"/>
      <c r="S2236" s="9" t="str">
        <f>HYPERLINK("https://pbs.twimg.com/profile_images/1039211132332982275/X6hL9Fpv.jpg","View")</f>
        <v>View</v>
      </c>
    </row>
    <row r="2237" spans="1:19" ht="20">
      <c r="A2237" s="8">
        <v>43370.071273148147</v>
      </c>
      <c r="B2237" s="11" t="str">
        <f>HYPERLINK("https://twitter.com/Miradis681","@Miradis681")</f>
        <v>@Miradis681</v>
      </c>
      <c r="C2237" s="6" t="s">
        <v>1962</v>
      </c>
      <c r="D2237" s="5" t="s">
        <v>163</v>
      </c>
      <c r="E2237" s="9" t="str">
        <f>HYPERLINK("https://twitter.com/Miradis681/status/1045073690248056832","1045073690248056832")</f>
        <v>1045073690248056832</v>
      </c>
      <c r="F2237" s="4"/>
      <c r="G2237" s="4"/>
      <c r="H2237" s="4"/>
      <c r="I2237" s="10" t="str">
        <f>HYPERLINK("http://twitter.com/download/android","Twitter for Android")</f>
        <v>Twitter for Android</v>
      </c>
      <c r="J2237" s="2">
        <v>89</v>
      </c>
      <c r="K2237" s="2">
        <v>26</v>
      </c>
      <c r="L2237" s="2">
        <v>0</v>
      </c>
      <c r="M2237" s="2"/>
      <c r="N2237" s="8">
        <v>43331.986064814817</v>
      </c>
      <c r="O2237" s="4" t="s">
        <v>200</v>
      </c>
      <c r="P2237" s="3" t="s">
        <v>1961</v>
      </c>
      <c r="Q2237" s="4"/>
      <c r="R2237" s="4"/>
      <c r="S2237" s="9" t="str">
        <f>HYPERLINK("https://pbs.twimg.com/profile_images/1035894047787962373/DEuYS0BO.jpg","View")</f>
        <v>View</v>
      </c>
    </row>
    <row r="2238" spans="1:19" ht="20">
      <c r="A2238" s="8">
        <v>43370.069814814815</v>
      </c>
      <c r="B2238" s="11" t="str">
        <f>HYPERLINK("https://twitter.com/elyas_chapi","@elyas_chapi")</f>
        <v>@elyas_chapi</v>
      </c>
      <c r="C2238" s="6" t="s">
        <v>1960</v>
      </c>
      <c r="D2238" s="5" t="s">
        <v>163</v>
      </c>
      <c r="E2238" s="9" t="str">
        <f>HYPERLINK("https://twitter.com/elyas_chapi/status/1045073159010111488","1045073159010111488")</f>
        <v>1045073159010111488</v>
      </c>
      <c r="F2238" s="4"/>
      <c r="G2238" s="4"/>
      <c r="H2238" s="4"/>
      <c r="I2238" s="10" t="str">
        <f>HYPERLINK("http://twitter.com/download/android","Twitter for Android")</f>
        <v>Twitter for Android</v>
      </c>
      <c r="J2238" s="2">
        <v>37</v>
      </c>
      <c r="K2238" s="2">
        <v>37</v>
      </c>
      <c r="L2238" s="2">
        <v>0</v>
      </c>
      <c r="M2238" s="2"/>
      <c r="N2238" s="8">
        <v>43311.383414351847</v>
      </c>
      <c r="O2238" s="4"/>
      <c r="P2238" s="3"/>
      <c r="Q2238" s="4"/>
      <c r="R2238" s="4"/>
      <c r="S2238" s="2" t="s">
        <v>259</v>
      </c>
    </row>
    <row r="2239" spans="1:19" ht="20">
      <c r="A2239" s="8">
        <v>43370.067789351851</v>
      </c>
      <c r="B2239" s="11" t="str">
        <f>HYPERLINK("https://twitter.com/ManMeysam","@ManMeysam")</f>
        <v>@ManMeysam</v>
      </c>
      <c r="C2239" s="6" t="s">
        <v>472</v>
      </c>
      <c r="D2239" s="5" t="s">
        <v>1959</v>
      </c>
      <c r="E2239" s="9" t="str">
        <f>HYPERLINK("https://twitter.com/ManMeysam/status/1045072426156150784","1045072426156150784")</f>
        <v>1045072426156150784</v>
      </c>
      <c r="F2239" s="4"/>
      <c r="G2239" s="4"/>
      <c r="H2239" s="4"/>
      <c r="I2239" s="10" t="str">
        <f>HYPERLINK("http://twitter.com/download/android","Twitter for Android")</f>
        <v>Twitter for Android</v>
      </c>
      <c r="J2239" s="2">
        <v>736</v>
      </c>
      <c r="K2239" s="2">
        <v>91</v>
      </c>
      <c r="L2239" s="2">
        <v>2</v>
      </c>
      <c r="M2239" s="2"/>
      <c r="N2239" s="8">
        <v>43080.934756944444</v>
      </c>
      <c r="O2239" s="4"/>
      <c r="P2239" s="3" t="s">
        <v>470</v>
      </c>
      <c r="Q2239" s="4"/>
      <c r="R2239" s="4"/>
      <c r="S2239" s="9" t="str">
        <f>HYPERLINK("https://pbs.twimg.com/profile_images/990240817024589824/h1PmTrjf.jpg","View")</f>
        <v>View</v>
      </c>
    </row>
    <row r="2240" spans="1:19" ht="20">
      <c r="A2240" s="8">
        <v>43370.067743055552</v>
      </c>
      <c r="B2240" s="11" t="str">
        <f>HYPERLINK("https://twitter.com/ronin5050","@ronin5050")</f>
        <v>@ronin5050</v>
      </c>
      <c r="C2240" s="6" t="s">
        <v>1958</v>
      </c>
      <c r="D2240" s="5" t="s">
        <v>1957</v>
      </c>
      <c r="E2240" s="9" t="str">
        <f>HYPERLINK("https://twitter.com/ronin5050/status/1045072410649800705","1045072410649800705")</f>
        <v>1045072410649800705</v>
      </c>
      <c r="F2240" s="10" t="s">
        <v>1929</v>
      </c>
      <c r="G2240" s="4"/>
      <c r="H2240" s="4"/>
      <c r="I2240" s="10" t="str">
        <f>HYPERLINK("https://mobile.twitter.com","Twitter Lite")</f>
        <v>Twitter Lite</v>
      </c>
      <c r="J2240" s="2">
        <v>157</v>
      </c>
      <c r="K2240" s="2">
        <v>106</v>
      </c>
      <c r="L2240" s="2">
        <v>0</v>
      </c>
      <c r="M2240" s="2"/>
      <c r="N2240" s="8">
        <v>43358.905509259261</v>
      </c>
      <c r="O2240" s="4"/>
      <c r="P2240" s="3" t="s">
        <v>1956</v>
      </c>
      <c r="Q2240" s="4"/>
      <c r="R2240" s="4"/>
      <c r="S2240" s="9" t="str">
        <f>HYPERLINK("https://pbs.twimg.com/profile_images/1041014754947555330/OqghBp_U.jpg","View")</f>
        <v>View</v>
      </c>
    </row>
    <row r="2241" spans="1:19" ht="30">
      <c r="A2241" s="8">
        <v>43370.067488425921</v>
      </c>
      <c r="B2241" s="11" t="str">
        <f>HYPERLINK("https://twitter.com/aytakiin","@aytakiin")</f>
        <v>@aytakiin</v>
      </c>
      <c r="C2241" s="6" t="s">
        <v>1955</v>
      </c>
      <c r="D2241" s="5" t="s">
        <v>1756</v>
      </c>
      <c r="E2241" s="9" t="str">
        <f>HYPERLINK("https://twitter.com/aytakiin/status/1045072315552337921","1045072315552337921")</f>
        <v>1045072315552337921</v>
      </c>
      <c r="F2241" s="4"/>
      <c r="G2241" s="4"/>
      <c r="H2241" s="4"/>
      <c r="I2241" s="10" t="str">
        <f>HYPERLINK("http://twitter.com/download/iphone","Twitter for iPhone")</f>
        <v>Twitter for iPhone</v>
      </c>
      <c r="J2241" s="2">
        <v>112</v>
      </c>
      <c r="K2241" s="2">
        <v>236</v>
      </c>
      <c r="L2241" s="2">
        <v>0</v>
      </c>
      <c r="M2241" s="2"/>
      <c r="N2241" s="8">
        <v>43314.032627314809</v>
      </c>
      <c r="O2241" s="4" t="s">
        <v>1954</v>
      </c>
      <c r="P2241" s="3" t="s">
        <v>1953</v>
      </c>
      <c r="Q2241" s="4"/>
      <c r="R2241" s="4"/>
      <c r="S2241" s="9" t="str">
        <f>HYPERLINK("https://pbs.twimg.com/profile_images/1044727407041802240/f7jrhvo-.jpg","View")</f>
        <v>View</v>
      </c>
    </row>
    <row r="2242" spans="1:19" ht="50">
      <c r="A2242" s="8">
        <v>43370.067465277782</v>
      </c>
      <c r="B2242" s="11" t="str">
        <f>HYPERLINK("https://twitter.com/SMSarkeshikian","@SMSarkeshikian")</f>
        <v>@SMSarkeshikian</v>
      </c>
      <c r="C2242" s="6" t="s">
        <v>1952</v>
      </c>
      <c r="D2242" s="5" t="s">
        <v>1951</v>
      </c>
      <c r="E2242" s="9" t="str">
        <f>HYPERLINK("https://twitter.com/SMSarkeshikian/status/1045072309084737536","1045072309084737536")</f>
        <v>1045072309084737536</v>
      </c>
      <c r="F2242" s="4"/>
      <c r="G2242" s="4"/>
      <c r="H2242" s="4"/>
      <c r="I2242" s="10" t="str">
        <f>HYPERLINK("http://twitter.com","Twitter Web Client")</f>
        <v>Twitter Web Client</v>
      </c>
      <c r="J2242" s="2">
        <v>3120</v>
      </c>
      <c r="K2242" s="2">
        <v>3135</v>
      </c>
      <c r="L2242" s="2">
        <v>8</v>
      </c>
      <c r="M2242" s="2"/>
      <c r="N2242" s="8">
        <v>42591.816643518519</v>
      </c>
      <c r="O2242" s="4" t="s">
        <v>62</v>
      </c>
      <c r="P2242" s="3" t="s">
        <v>1950</v>
      </c>
      <c r="Q2242" s="10" t="s">
        <v>1949</v>
      </c>
      <c r="R2242" s="4"/>
      <c r="S2242" s="9" t="str">
        <f>HYPERLINK("https://pbs.twimg.com/profile_images/939710904198926336/fnO_4B_w.jpg","View")</f>
        <v>View</v>
      </c>
    </row>
    <row r="2243" spans="1:19" ht="20">
      <c r="A2243" s="8">
        <v>43370.066944444443</v>
      </c>
      <c r="B2243" s="11" t="str">
        <f>HYPERLINK("https://twitter.com/hjdghnhdd","@hjdghnhdd")</f>
        <v>@hjdghnhdd</v>
      </c>
      <c r="C2243" s="6" t="s">
        <v>1948</v>
      </c>
      <c r="D2243" s="5" t="s">
        <v>1947</v>
      </c>
      <c r="E2243" s="9" t="str">
        <f>HYPERLINK("https://twitter.com/hjdghnhdd/status/1045072118982021120","1045072118982021120")</f>
        <v>1045072118982021120</v>
      </c>
      <c r="F2243" s="10" t="s">
        <v>1946</v>
      </c>
      <c r="G2243" s="4"/>
      <c r="H2243" s="4"/>
      <c r="I2243" s="10" t="str">
        <f>HYPERLINK("http://twitter.com/download/android","Twitter for Android")</f>
        <v>Twitter for Android</v>
      </c>
      <c r="J2243" s="2">
        <v>1213</v>
      </c>
      <c r="K2243" s="2">
        <v>219</v>
      </c>
      <c r="L2243" s="2">
        <v>12</v>
      </c>
      <c r="M2243" s="2"/>
      <c r="N2243" s="8">
        <v>41852.128101851849</v>
      </c>
      <c r="O2243" s="4"/>
      <c r="P2243" s="3" t="s">
        <v>1945</v>
      </c>
      <c r="Q2243" s="4"/>
      <c r="R2243" s="4"/>
      <c r="S2243" s="9" t="str">
        <f>HYPERLINK("https://pbs.twimg.com/profile_images/1045038383314161664/Y058Ez6e.jpg","View")</f>
        <v>View</v>
      </c>
    </row>
    <row r="2244" spans="1:19" ht="12.5">
      <c r="A2244" s="8">
        <v>43370.066076388888</v>
      </c>
      <c r="B2244" s="11" t="str">
        <f>HYPERLINK("https://twitter.com/sayeh15812921","@sayeh15812921")</f>
        <v>@sayeh15812921</v>
      </c>
      <c r="C2244" s="6" t="s">
        <v>1944</v>
      </c>
      <c r="D2244" s="5" t="s">
        <v>1943</v>
      </c>
      <c r="E2244" s="9" t="str">
        <f>HYPERLINK("https://twitter.com/sayeh15812921/status/1045071803570442242","1045071803570442242")</f>
        <v>1045071803570442242</v>
      </c>
      <c r="F2244" s="4"/>
      <c r="G2244" s="10" t="s">
        <v>1942</v>
      </c>
      <c r="H2244" s="4"/>
      <c r="I2244" s="10" t="str">
        <f>HYPERLINK("http://twitter.com/download/iphone","Twitter for iPhone")</f>
        <v>Twitter for iPhone</v>
      </c>
      <c r="J2244" s="2">
        <v>46</v>
      </c>
      <c r="K2244" s="2">
        <v>45</v>
      </c>
      <c r="L2244" s="2">
        <v>0</v>
      </c>
      <c r="M2244" s="2"/>
      <c r="N2244" s="8">
        <v>43267.111932870372</v>
      </c>
      <c r="O2244" s="4" t="s">
        <v>200</v>
      </c>
      <c r="P2244" s="3" t="s">
        <v>1941</v>
      </c>
      <c r="Q2244" s="4"/>
      <c r="R2244" s="4"/>
      <c r="S2244" s="9" t="str">
        <f>HYPERLINK("https://pbs.twimg.com/profile_images/1041667917044178950/KSvfIPfB.jpg","View")</f>
        <v>View</v>
      </c>
    </row>
    <row r="2245" spans="1:19" ht="30">
      <c r="A2245" s="8">
        <v>43370.065925925926</v>
      </c>
      <c r="B2245" s="11" t="str">
        <f>HYPERLINK("https://twitter.com/dioogenes_","@dioogenes_")</f>
        <v>@dioogenes_</v>
      </c>
      <c r="C2245" s="6" t="s">
        <v>1940</v>
      </c>
      <c r="D2245" s="5" t="s">
        <v>408</v>
      </c>
      <c r="E2245" s="9" t="str">
        <f>HYPERLINK("https://twitter.com/dioogenes_/status/1045071749841387521","1045071749841387521")</f>
        <v>1045071749841387521</v>
      </c>
      <c r="F2245" s="4"/>
      <c r="G2245" s="4"/>
      <c r="H2245" s="4"/>
      <c r="I2245" s="10" t="str">
        <f>HYPERLINK("http://twitter.com/download/android","Twitter for Android")</f>
        <v>Twitter for Android</v>
      </c>
      <c r="J2245" s="2">
        <v>3442</v>
      </c>
      <c r="K2245" s="2">
        <v>4397</v>
      </c>
      <c r="L2245" s="2">
        <v>9</v>
      </c>
      <c r="M2245" s="2"/>
      <c r="N2245" s="8">
        <v>41705.638182870374</v>
      </c>
      <c r="O2245" s="4" t="s">
        <v>1939</v>
      </c>
      <c r="P2245" s="3" t="s">
        <v>1938</v>
      </c>
      <c r="Q2245" s="4"/>
      <c r="R2245" s="4"/>
      <c r="S2245" s="9" t="str">
        <f>HYPERLINK("https://pbs.twimg.com/profile_images/1043099134914379776/2WWyFT_a.jpg","View")</f>
        <v>View</v>
      </c>
    </row>
    <row r="2246" spans="1:19" ht="12.5">
      <c r="A2246" s="8">
        <v>43370.065509259264</v>
      </c>
      <c r="B2246" s="11" t="str">
        <f>HYPERLINK("https://twitter.com/bi_sarzmin","@bi_sarzmin")</f>
        <v>@bi_sarzmin</v>
      </c>
      <c r="C2246" s="6" t="s">
        <v>818</v>
      </c>
      <c r="D2246" s="5" t="s">
        <v>140</v>
      </c>
      <c r="E2246" s="9" t="str">
        <f>HYPERLINK("https://twitter.com/bi_sarzmin/status/1045071599358103559","1045071599358103559")</f>
        <v>1045071599358103559</v>
      </c>
      <c r="F2246" s="4"/>
      <c r="G2246" s="10" t="s">
        <v>139</v>
      </c>
      <c r="H2246" s="4"/>
      <c r="I2246" s="10" t="str">
        <f>HYPERLINK("http://twitter.com/download/android","Twitter for Android")</f>
        <v>Twitter for Android</v>
      </c>
      <c r="J2246" s="2">
        <v>729</v>
      </c>
      <c r="K2246" s="2">
        <v>1521</v>
      </c>
      <c r="L2246" s="2">
        <v>3</v>
      </c>
      <c r="M2246" s="2"/>
      <c r="N2246" s="8">
        <v>42017.437696759254</v>
      </c>
      <c r="O2246" s="4"/>
      <c r="P2246" s="3"/>
      <c r="Q2246" s="4"/>
      <c r="R2246" s="4"/>
      <c r="S2246" s="9" t="str">
        <f>HYPERLINK("https://pbs.twimg.com/profile_images/948995430016278528/bgBUEkNw.jpg","View")</f>
        <v>View</v>
      </c>
    </row>
    <row r="2247" spans="1:19" ht="20">
      <c r="A2247" s="8">
        <v>43370.06486111111</v>
      </c>
      <c r="B2247" s="11" t="str">
        <f>HYPERLINK("https://twitter.com/nish_khat","@nish_khat")</f>
        <v>@nish_khat</v>
      </c>
      <c r="C2247" s="6" t="s">
        <v>1937</v>
      </c>
      <c r="D2247" s="5" t="s">
        <v>1079</v>
      </c>
      <c r="E2247" s="9" t="str">
        <f>HYPERLINK("https://twitter.com/nish_khat/status/1045071364426788864","1045071364426788864")</f>
        <v>1045071364426788864</v>
      </c>
      <c r="F2247" s="4"/>
      <c r="G2247" s="4"/>
      <c r="H2247" s="4"/>
      <c r="I2247" s="10" t="str">
        <f>HYPERLINK("http://twitter.com/download/android","Twitter for Android")</f>
        <v>Twitter for Android</v>
      </c>
      <c r="J2247" s="2">
        <v>7876</v>
      </c>
      <c r="K2247" s="2">
        <v>4130</v>
      </c>
      <c r="L2247" s="2">
        <v>16</v>
      </c>
      <c r="M2247" s="2"/>
      <c r="N2247" s="8">
        <v>42755.219641203701</v>
      </c>
      <c r="O2247" s="4"/>
      <c r="P2247" s="3" t="s">
        <v>1936</v>
      </c>
      <c r="Q2247" s="4"/>
      <c r="R2247" s="4"/>
      <c r="S2247" s="9" t="str">
        <f>HYPERLINK("https://pbs.twimg.com/profile_images/1037243428327673856/6ckgdRFN.jpg","View")</f>
        <v>View</v>
      </c>
    </row>
    <row r="2248" spans="1:19" ht="12.5">
      <c r="A2248" s="8">
        <v>43370.064456018517</v>
      </c>
      <c r="B2248" s="11" t="str">
        <f>HYPERLINK("https://twitter.com/ploto2546","@ploto2546")</f>
        <v>@ploto2546</v>
      </c>
      <c r="C2248" s="6" t="s">
        <v>264</v>
      </c>
      <c r="D2248" s="5" t="s">
        <v>1935</v>
      </c>
      <c r="E2248" s="9" t="str">
        <f>HYPERLINK("https://twitter.com/ploto2546/status/1045071218783768579","1045071218783768579")</f>
        <v>1045071218783768579</v>
      </c>
      <c r="F2248" s="4"/>
      <c r="G2248" s="4"/>
      <c r="H2248" s="4"/>
      <c r="I2248" s="10" t="str">
        <f>HYPERLINK("http://twitter.com/download/android","Twitter for Android")</f>
        <v>Twitter for Android</v>
      </c>
      <c r="J2248" s="2">
        <v>1666</v>
      </c>
      <c r="K2248" s="2">
        <v>1873</v>
      </c>
      <c r="L2248" s="2">
        <v>5</v>
      </c>
      <c r="M2248" s="2"/>
      <c r="N2248" s="8">
        <v>43207.184918981482</v>
      </c>
      <c r="O2248" s="4" t="s">
        <v>262</v>
      </c>
      <c r="P2248" s="3" t="s">
        <v>261</v>
      </c>
      <c r="Q2248" s="4"/>
      <c r="R2248" s="4"/>
      <c r="S2248" s="9" t="str">
        <f>HYPERLINK("https://pbs.twimg.com/profile_images/1025171503271301127/S_pGLx0M.jpg","View")</f>
        <v>View</v>
      </c>
    </row>
    <row r="2249" spans="1:19" ht="20">
      <c r="A2249" s="8">
        <v>43370.064421296294</v>
      </c>
      <c r="B2249" s="11" t="str">
        <f>HYPERLINK("https://twitter.com/moroormikonam","@moroormikonam")</f>
        <v>@moroormikonam</v>
      </c>
      <c r="C2249" s="6" t="s">
        <v>1934</v>
      </c>
      <c r="D2249" s="5" t="s">
        <v>1933</v>
      </c>
      <c r="E2249" s="9" t="str">
        <f>HYPERLINK("https://twitter.com/moroormikonam/status/1045071205147926528","1045071205147926528")</f>
        <v>1045071205147926528</v>
      </c>
      <c r="F2249" s="4"/>
      <c r="G2249" s="4"/>
      <c r="H2249" s="4"/>
      <c r="I2249" s="10" t="str">
        <f>HYPERLINK("https://mobile.twitter.com","Twitter Lite")</f>
        <v>Twitter Lite</v>
      </c>
      <c r="J2249" s="2">
        <v>481</v>
      </c>
      <c r="K2249" s="2">
        <v>433</v>
      </c>
      <c r="L2249" s="2">
        <v>0</v>
      </c>
      <c r="M2249" s="2"/>
      <c r="N2249" s="8">
        <v>43127.142708333333</v>
      </c>
      <c r="O2249" s="4" t="s">
        <v>62</v>
      </c>
      <c r="P2249" s="3" t="s">
        <v>1932</v>
      </c>
      <c r="Q2249" s="4"/>
      <c r="R2249" s="4"/>
      <c r="S2249" s="9" t="str">
        <f>HYPERLINK("https://pbs.twimg.com/profile_images/966231950792028160/lV6XNj6C.jpg","View")</f>
        <v>View</v>
      </c>
    </row>
    <row r="2250" spans="1:19" ht="50">
      <c r="A2250" s="8">
        <v>43370.063321759255</v>
      </c>
      <c r="B2250" s="11" t="str">
        <f>HYPERLINK("https://twitter.com/valerian_2018","@valerian_2018")</f>
        <v>@valerian_2018</v>
      </c>
      <c r="C2250" s="6" t="s">
        <v>1931</v>
      </c>
      <c r="D2250" s="5" t="s">
        <v>1930</v>
      </c>
      <c r="E2250" s="9" t="str">
        <f>HYPERLINK("https://twitter.com/valerian_2018/status/1045070806248828928","1045070806248828928")</f>
        <v>1045070806248828928</v>
      </c>
      <c r="F2250" s="10" t="s">
        <v>1929</v>
      </c>
      <c r="G2250" s="10" t="s">
        <v>1928</v>
      </c>
      <c r="H2250" s="4"/>
      <c r="I2250" s="10" t="str">
        <f>HYPERLINK("http://twitter.com/download/android","Twitter for Android")</f>
        <v>Twitter for Android</v>
      </c>
      <c r="J2250" s="2">
        <v>324</v>
      </c>
      <c r="K2250" s="2">
        <v>244</v>
      </c>
      <c r="L2250" s="2">
        <v>1</v>
      </c>
      <c r="M2250" s="2"/>
      <c r="N2250" s="8">
        <v>43321.443287037036</v>
      </c>
      <c r="O2250" s="4"/>
      <c r="P2250" s="3" t="s">
        <v>1927</v>
      </c>
      <c r="Q2250" s="4"/>
      <c r="R2250" s="4"/>
      <c r="S2250" s="9" t="str">
        <f>HYPERLINK("https://pbs.twimg.com/profile_images/1039790514252537856/pNpGX6Nr.jpg","View")</f>
        <v>View</v>
      </c>
    </row>
    <row r="2251" spans="1:19" ht="20">
      <c r="A2251" s="8">
        <v>43370.062465277777</v>
      </c>
      <c r="B2251" s="11" t="str">
        <f>HYPERLINK("https://twitter.com/mahboobe___20","@mahboobe___20")</f>
        <v>@mahboobe___20</v>
      </c>
      <c r="C2251" s="6" t="s">
        <v>1926</v>
      </c>
      <c r="D2251" s="5" t="s">
        <v>1079</v>
      </c>
      <c r="E2251" s="9" t="str">
        <f>HYPERLINK("https://twitter.com/mahboobe___20/status/1045070498428784644","1045070498428784644")</f>
        <v>1045070498428784644</v>
      </c>
      <c r="F2251" s="4"/>
      <c r="G2251" s="4"/>
      <c r="H2251" s="4"/>
      <c r="I2251" s="10" t="str">
        <f>HYPERLINK("http://twitter.com/download/iphone","Twitter for iPhone")</f>
        <v>Twitter for iPhone</v>
      </c>
      <c r="J2251" s="2">
        <v>2475</v>
      </c>
      <c r="K2251" s="2">
        <v>335</v>
      </c>
      <c r="L2251" s="2">
        <v>15</v>
      </c>
      <c r="M2251" s="2"/>
      <c r="N2251" s="8">
        <v>42577.786527777775</v>
      </c>
      <c r="O2251" s="4"/>
      <c r="P2251" s="3" t="s">
        <v>1925</v>
      </c>
      <c r="Q2251" s="4"/>
      <c r="R2251" s="4"/>
      <c r="S2251" s="9" t="str">
        <f>HYPERLINK("https://pbs.twimg.com/profile_images/1045038656849883136/CLSL1jQH.jpg","View")</f>
        <v>View</v>
      </c>
    </row>
    <row r="2252" spans="1:19" ht="20">
      <c r="A2252" s="8">
        <v>43370.062453703707</v>
      </c>
      <c r="B2252" s="11" t="str">
        <f>HYPERLINK("https://twitter.com/SajjadHjp","@SajjadHjp")</f>
        <v>@SajjadHjp</v>
      </c>
      <c r="C2252" s="6" t="s">
        <v>1924</v>
      </c>
      <c r="D2252" s="5" t="s">
        <v>1705</v>
      </c>
      <c r="E2252" s="9" t="str">
        <f>HYPERLINK("https://twitter.com/SajjadHjp/status/1045070492686782464","1045070492686782464")</f>
        <v>1045070492686782464</v>
      </c>
      <c r="F2252" s="4"/>
      <c r="G2252" s="4"/>
      <c r="H2252" s="4"/>
      <c r="I2252" s="10" t="str">
        <f>HYPERLINK("http://twitter.com/download/android","Twitter for Android")</f>
        <v>Twitter for Android</v>
      </c>
      <c r="J2252" s="2">
        <v>4574</v>
      </c>
      <c r="K2252" s="2">
        <v>2021</v>
      </c>
      <c r="L2252" s="2">
        <v>16</v>
      </c>
      <c r="M2252" s="2"/>
      <c r="N2252" s="8">
        <v>42461.20175925926</v>
      </c>
      <c r="O2252" s="4"/>
      <c r="P2252" s="3"/>
      <c r="Q2252" s="4"/>
      <c r="R2252" s="4"/>
      <c r="S2252" s="9" t="str">
        <f>HYPERLINK("https://pbs.twimg.com/profile_images/1028628316780195840/hstMUf0v.jpg","View")</f>
        <v>View</v>
      </c>
    </row>
    <row r="2253" spans="1:19" ht="30">
      <c r="A2253" s="8">
        <v>43370.062199074076</v>
      </c>
      <c r="B2253" s="11" t="str">
        <f>HYPERLINK("https://twitter.com/ffnightlight","@ffnightlight")</f>
        <v>@ffnightlight</v>
      </c>
      <c r="C2253" s="6" t="s">
        <v>1923</v>
      </c>
      <c r="D2253" s="5" t="s">
        <v>408</v>
      </c>
      <c r="E2253" s="9" t="str">
        <f>HYPERLINK("https://twitter.com/ffnightlight/status/1045070398960930818","1045070398960930818")</f>
        <v>1045070398960930818</v>
      </c>
      <c r="F2253" s="4"/>
      <c r="G2253" s="4"/>
      <c r="H2253" s="4"/>
      <c r="I2253" s="10" t="str">
        <f>HYPERLINK("http://twitter.com/download/iphone","Twitter for iPhone")</f>
        <v>Twitter for iPhone</v>
      </c>
      <c r="J2253" s="2">
        <v>1088</v>
      </c>
      <c r="K2253" s="2">
        <v>488</v>
      </c>
      <c r="L2253" s="2">
        <v>3</v>
      </c>
      <c r="M2253" s="2"/>
      <c r="N2253" s="8">
        <v>43101.595972222218</v>
      </c>
      <c r="O2253" s="4" t="s">
        <v>1922</v>
      </c>
      <c r="P2253" s="3" t="s">
        <v>1921</v>
      </c>
      <c r="Q2253" s="4"/>
      <c r="R2253" s="4"/>
      <c r="S2253" s="9" t="str">
        <f>HYPERLINK("https://pbs.twimg.com/profile_images/1036556013082734592/v5uw65EK.jpg","View")</f>
        <v>View</v>
      </c>
    </row>
    <row r="2254" spans="1:19" ht="20">
      <c r="A2254" s="8">
        <v>43370.062002314815</v>
      </c>
      <c r="B2254" s="11" t="str">
        <f>HYPERLINK("https://twitter.com/Reza_Gh1990","@Reza_Gh1990")</f>
        <v>@Reza_Gh1990</v>
      </c>
      <c r="C2254" s="6" t="s">
        <v>326</v>
      </c>
      <c r="D2254" s="5" t="s">
        <v>1684</v>
      </c>
      <c r="E2254" s="9" t="str">
        <f>HYPERLINK("https://twitter.com/Reza_Gh1990/status/1045070330799292417","1045070330799292417")</f>
        <v>1045070330799292417</v>
      </c>
      <c r="F2254" s="4"/>
      <c r="G2254" s="10" t="s">
        <v>1683</v>
      </c>
      <c r="H2254" s="4"/>
      <c r="I2254" s="10" t="str">
        <f>HYPERLINK("http://twitter.com","Twitter Web Client")</f>
        <v>Twitter Web Client</v>
      </c>
      <c r="J2254" s="2">
        <v>2620</v>
      </c>
      <c r="K2254" s="2">
        <v>1140</v>
      </c>
      <c r="L2254" s="2">
        <v>10</v>
      </c>
      <c r="M2254" s="2"/>
      <c r="N2254" s="8">
        <v>42034.77043981482</v>
      </c>
      <c r="O2254" s="4" t="s">
        <v>323</v>
      </c>
      <c r="P2254" s="3" t="s">
        <v>322</v>
      </c>
      <c r="Q2254" s="4"/>
      <c r="R2254" s="4"/>
      <c r="S2254" s="9" t="str">
        <f>HYPERLINK("https://pbs.twimg.com/profile_images/1044632756221890562/Kn6N1eml.jpg","View")</f>
        <v>View</v>
      </c>
    </row>
    <row r="2255" spans="1:19" ht="20">
      <c r="A2255" s="8">
        <v>43370.061180555553</v>
      </c>
      <c r="B2255" s="11" t="str">
        <f>HYPERLINK("https://twitter.com/Tahmineh_6","@Tahmineh_6")</f>
        <v>@Tahmineh_6</v>
      </c>
      <c r="C2255" s="6" t="s">
        <v>96</v>
      </c>
      <c r="D2255" s="5" t="s">
        <v>1920</v>
      </c>
      <c r="E2255" s="9" t="str">
        <f>HYPERLINK("https://twitter.com/Tahmineh_6/status/1045070029920899072","1045070029920899072")</f>
        <v>1045070029920899072</v>
      </c>
      <c r="F2255" s="4"/>
      <c r="G2255" s="10" t="s">
        <v>1919</v>
      </c>
      <c r="H2255" s="4"/>
      <c r="I2255" s="10" t="str">
        <f>HYPERLINK("http://twitter.com/download/android","Twitter for Android")</f>
        <v>Twitter for Android</v>
      </c>
      <c r="J2255" s="2">
        <v>7119</v>
      </c>
      <c r="K2255" s="2">
        <v>6682</v>
      </c>
      <c r="L2255" s="2">
        <v>5</v>
      </c>
      <c r="M2255" s="2"/>
      <c r="N2255" s="8">
        <v>43008.625925925924</v>
      </c>
      <c r="O2255" s="4" t="s">
        <v>94</v>
      </c>
      <c r="P2255" s="3" t="s">
        <v>93</v>
      </c>
      <c r="Q2255" s="4"/>
      <c r="R2255" s="4"/>
      <c r="S2255" s="9" t="str">
        <f>HYPERLINK("https://pbs.twimg.com/profile_images/1038869552568983558/284xNb8H.jpg","View")</f>
        <v>View</v>
      </c>
    </row>
    <row r="2256" spans="1:19" ht="20">
      <c r="A2256" s="8">
        <v>43370.060856481483</v>
      </c>
      <c r="B2256" s="11" t="str">
        <f>HYPERLINK("https://twitter.com/davanda5080","@davanda5080")</f>
        <v>@davanda5080</v>
      </c>
      <c r="C2256" s="6" t="s">
        <v>1918</v>
      </c>
      <c r="D2256" s="5" t="s">
        <v>825</v>
      </c>
      <c r="E2256" s="9" t="str">
        <f>HYPERLINK("https://twitter.com/davanda5080/status/1045069914728517633","1045069914728517633")</f>
        <v>1045069914728517633</v>
      </c>
      <c r="F2256" s="4"/>
      <c r="G2256" s="4"/>
      <c r="H2256" s="4"/>
      <c r="I2256" s="10" t="str">
        <f>HYPERLINK("http://twitter.com/download/android","Twitter for Android")</f>
        <v>Twitter for Android</v>
      </c>
      <c r="J2256" s="2">
        <v>266</v>
      </c>
      <c r="K2256" s="2">
        <v>200</v>
      </c>
      <c r="L2256" s="2">
        <v>1</v>
      </c>
      <c r="M2256" s="2"/>
      <c r="N2256" s="8">
        <v>43350.561388888891</v>
      </c>
      <c r="O2256" s="4" t="s">
        <v>62</v>
      </c>
      <c r="P2256" s="3" t="s">
        <v>1917</v>
      </c>
      <c r="Q2256" s="4"/>
      <c r="R2256" s="4"/>
      <c r="S2256" s="9" t="str">
        <f>HYPERLINK("https://pbs.twimg.com/profile_images/1038046462498750464/irqO3mGR.jpg","View")</f>
        <v>View</v>
      </c>
    </row>
    <row r="2257" spans="1:19" ht="20">
      <c r="A2257" s="8">
        <v>43370.05972222222</v>
      </c>
      <c r="B2257" s="11" t="str">
        <f>HYPERLINK("https://twitter.com/mahdii_58","@mahdii_58")</f>
        <v>@mahdii_58</v>
      </c>
      <c r="C2257" s="6" t="s">
        <v>1535</v>
      </c>
      <c r="D2257" s="5" t="s">
        <v>1916</v>
      </c>
      <c r="E2257" s="9" t="str">
        <f>HYPERLINK("https://twitter.com/mahdii_58/status/1045069503518859264","1045069503518859264")</f>
        <v>1045069503518859264</v>
      </c>
      <c r="F2257" s="4"/>
      <c r="G2257" s="4"/>
      <c r="H2257" s="4"/>
      <c r="I2257" s="10" t="str">
        <f>HYPERLINK("http://twitter.com","Twitter Web Client")</f>
        <v>Twitter Web Client</v>
      </c>
      <c r="J2257" s="2">
        <v>345</v>
      </c>
      <c r="K2257" s="2">
        <v>646</v>
      </c>
      <c r="L2257" s="2">
        <v>2</v>
      </c>
      <c r="M2257" s="2"/>
      <c r="N2257" s="8">
        <v>42894.222337962958</v>
      </c>
      <c r="O2257" s="4" t="s">
        <v>200</v>
      </c>
      <c r="P2257" s="3"/>
      <c r="Q2257" s="4"/>
      <c r="R2257" s="4"/>
      <c r="S2257" s="9" t="str">
        <f>HYPERLINK("https://pbs.twimg.com/profile_images/948614670155329537/GlFbvBfd.jpg","View")</f>
        <v>View</v>
      </c>
    </row>
    <row r="2258" spans="1:19" ht="20">
      <c r="A2258" s="8">
        <v>43370.059664351851</v>
      </c>
      <c r="B2258" s="11" t="str">
        <f>HYPERLINK("https://twitter.com/noohnbi","@noohnbi")</f>
        <v>@noohnbi</v>
      </c>
      <c r="C2258" s="6" t="s">
        <v>1915</v>
      </c>
      <c r="D2258" s="5" t="s">
        <v>2</v>
      </c>
      <c r="E2258" s="9" t="str">
        <f>HYPERLINK("https://twitter.com/noohnbi/status/1045069483159822338","1045069483159822338")</f>
        <v>1045069483159822338</v>
      </c>
      <c r="F2258" s="4"/>
      <c r="G2258" s="4"/>
      <c r="H2258" s="4"/>
      <c r="I2258" s="10" t="str">
        <f>HYPERLINK("http://twitter.com/download/iphone","Twitter for iPhone")</f>
        <v>Twitter for iPhone</v>
      </c>
      <c r="J2258" s="2">
        <v>275</v>
      </c>
      <c r="K2258" s="2">
        <v>1172</v>
      </c>
      <c r="L2258" s="2">
        <v>0</v>
      </c>
      <c r="M2258" s="2"/>
      <c r="N2258" s="8">
        <v>41090.761238425926</v>
      </c>
      <c r="O2258" s="4"/>
      <c r="P2258" s="3"/>
      <c r="Q2258" s="4"/>
      <c r="R2258" s="4"/>
      <c r="S2258" s="9" t="str">
        <f>HYPERLINK("https://pbs.twimg.com/profile_images/904785669414891520/ZaufOPfx.jpg","View")</f>
        <v>View</v>
      </c>
    </row>
    <row r="2259" spans="1:19" ht="20">
      <c r="A2259" s="8">
        <v>43370.059652777782</v>
      </c>
      <c r="B2259" s="11" t="str">
        <f>HYPERLINK("https://twitter.com/javan_1396","@javan_1396")</f>
        <v>@javan_1396</v>
      </c>
      <c r="C2259" s="6" t="s">
        <v>1024</v>
      </c>
      <c r="D2259" s="5" t="s">
        <v>1812</v>
      </c>
      <c r="E2259" s="9" t="str">
        <f>HYPERLINK("https://twitter.com/javan_1396/status/1045069478592237568","1045069478592237568")</f>
        <v>1045069478592237568</v>
      </c>
      <c r="F2259" s="4"/>
      <c r="G2259" s="4"/>
      <c r="H2259" s="4"/>
      <c r="I2259" s="10" t="str">
        <f>HYPERLINK("http://twitter.com/download/android","Twitter for Android")</f>
        <v>Twitter for Android</v>
      </c>
      <c r="J2259" s="2">
        <v>2736</v>
      </c>
      <c r="K2259" s="2">
        <v>2568</v>
      </c>
      <c r="L2259" s="2">
        <v>6</v>
      </c>
      <c r="M2259" s="2"/>
      <c r="N2259" s="8">
        <v>43121.492291666669</v>
      </c>
      <c r="O2259" s="4" t="s">
        <v>1022</v>
      </c>
      <c r="P2259" s="3" t="s">
        <v>1021</v>
      </c>
      <c r="Q2259" s="4"/>
      <c r="R2259" s="4"/>
      <c r="S2259" s="9" t="str">
        <f>HYPERLINK("https://pbs.twimg.com/profile_images/1039077322303975424/KT6ak9XH.jpg","View")</f>
        <v>View</v>
      </c>
    </row>
    <row r="2260" spans="1:19" ht="30">
      <c r="A2260" s="8">
        <v>43370.059293981481</v>
      </c>
      <c r="B2260" s="11" t="str">
        <f>HYPERLINK("https://twitter.com/sheldon_derder","@sheldon_derder")</f>
        <v>@sheldon_derder</v>
      </c>
      <c r="C2260" s="6" t="s">
        <v>1879</v>
      </c>
      <c r="D2260" s="5" t="s">
        <v>1914</v>
      </c>
      <c r="E2260" s="9" t="str">
        <f>HYPERLINK("https://twitter.com/sheldon_derder/status/1045069345687261184","1045069345687261184")</f>
        <v>1045069345687261184</v>
      </c>
      <c r="F2260" s="4"/>
      <c r="G2260" s="10" t="s">
        <v>1913</v>
      </c>
      <c r="H2260" s="4"/>
      <c r="I2260" s="10" t="str">
        <f>HYPERLINK("http://twitter.com/download/android","Twitter for Android")</f>
        <v>Twitter for Android</v>
      </c>
      <c r="J2260" s="2">
        <v>709</v>
      </c>
      <c r="K2260" s="2">
        <v>327</v>
      </c>
      <c r="L2260" s="2">
        <v>12</v>
      </c>
      <c r="M2260" s="2"/>
      <c r="N2260" s="8">
        <v>41363.798645833333</v>
      </c>
      <c r="O2260" s="4" t="s">
        <v>254</v>
      </c>
      <c r="P2260" s="3" t="s">
        <v>1878</v>
      </c>
      <c r="Q2260" s="4"/>
      <c r="R2260" s="4"/>
      <c r="S2260" s="9" t="str">
        <f>HYPERLINK("https://pbs.twimg.com/profile_images/868746557809717249/BNMUbrxn.jpg","View")</f>
        <v>View</v>
      </c>
    </row>
    <row r="2261" spans="1:19" ht="20">
      <c r="A2261" s="8">
        <v>43370.058425925927</v>
      </c>
      <c r="B2261" s="11" t="str">
        <f>HYPERLINK("https://twitter.com/Admin_mj","@Admin_mj")</f>
        <v>@Admin_mj</v>
      </c>
      <c r="C2261" s="6" t="s">
        <v>1912</v>
      </c>
      <c r="D2261" s="5" t="s">
        <v>1812</v>
      </c>
      <c r="E2261" s="9" t="str">
        <f>HYPERLINK("https://twitter.com/Admin_mj/status/1045069034222440448","1045069034222440448")</f>
        <v>1045069034222440448</v>
      </c>
      <c r="F2261" s="4"/>
      <c r="G2261" s="4"/>
      <c r="H2261" s="4"/>
      <c r="I2261" s="10" t="str">
        <f>HYPERLINK("http://twitter.com/download/android","Twitter for Android")</f>
        <v>Twitter for Android</v>
      </c>
      <c r="J2261" s="2">
        <v>1175</v>
      </c>
      <c r="K2261" s="2">
        <v>1286</v>
      </c>
      <c r="L2261" s="2">
        <v>0</v>
      </c>
      <c r="M2261" s="2"/>
      <c r="N2261" s="8">
        <v>43208.539687500001</v>
      </c>
      <c r="O2261" s="4"/>
      <c r="P2261" s="3" t="s">
        <v>1911</v>
      </c>
      <c r="Q2261" s="4"/>
      <c r="R2261" s="4"/>
      <c r="S2261" s="9" t="str">
        <f>HYPERLINK("https://pbs.twimg.com/profile_images/1039077508614905861/fOdtBXxV.jpg","View")</f>
        <v>View</v>
      </c>
    </row>
    <row r="2262" spans="1:19" ht="40">
      <c r="A2262" s="8">
        <v>43370.057881944449</v>
      </c>
      <c r="B2262" s="11" t="str">
        <f>HYPERLINK("https://twitter.com/Matiy1982","@Matiy1982")</f>
        <v>@Matiy1982</v>
      </c>
      <c r="C2262" s="6" t="s">
        <v>1910</v>
      </c>
      <c r="D2262" s="5" t="s">
        <v>20</v>
      </c>
      <c r="E2262" s="9" t="str">
        <f>HYPERLINK("https://twitter.com/Matiy1982/status/1045068834112237568","1045068834112237568")</f>
        <v>1045068834112237568</v>
      </c>
      <c r="F2262" s="4"/>
      <c r="G2262" s="10" t="s">
        <v>19</v>
      </c>
      <c r="H2262" s="4"/>
      <c r="I2262" s="10" t="str">
        <f>HYPERLINK("http://twitter.com/download/android","Twitter for Android")</f>
        <v>Twitter for Android</v>
      </c>
      <c r="J2262" s="2">
        <v>145</v>
      </c>
      <c r="K2262" s="2">
        <v>56</v>
      </c>
      <c r="L2262" s="2">
        <v>2</v>
      </c>
      <c r="M2262" s="2"/>
      <c r="N2262" s="8">
        <v>41867.844814814816</v>
      </c>
      <c r="O2262" s="4"/>
      <c r="P2262" s="3" t="s">
        <v>1909</v>
      </c>
      <c r="Q2262" s="4"/>
      <c r="R2262" s="4"/>
      <c r="S2262" s="9" t="str">
        <f>HYPERLINK("https://pbs.twimg.com/profile_images/1004363857316532224/KFMtI66a.jpg","View")</f>
        <v>View</v>
      </c>
    </row>
    <row r="2263" spans="1:19" ht="30">
      <c r="A2263" s="8">
        <v>43370.056851851856</v>
      </c>
      <c r="B2263" s="11" t="str">
        <f>HYPERLINK("https://twitter.com/Nazanin80062211","@Nazanin80062211")</f>
        <v>@Nazanin80062211</v>
      </c>
      <c r="C2263" s="6" t="s">
        <v>1908</v>
      </c>
      <c r="D2263" s="5" t="s">
        <v>408</v>
      </c>
      <c r="E2263" s="9" t="str">
        <f>HYPERLINK("https://twitter.com/Nazanin80062211/status/1045068463885209600","1045068463885209600")</f>
        <v>1045068463885209600</v>
      </c>
      <c r="F2263" s="4"/>
      <c r="G2263" s="4"/>
      <c r="H2263" s="4"/>
      <c r="I2263" s="10" t="str">
        <f>HYPERLINK("http://twitter.com/download/android","Twitter for Android")</f>
        <v>Twitter for Android</v>
      </c>
      <c r="J2263" s="2">
        <v>916</v>
      </c>
      <c r="K2263" s="2">
        <v>705</v>
      </c>
      <c r="L2263" s="2">
        <v>1</v>
      </c>
      <c r="M2263" s="2"/>
      <c r="N2263" s="8">
        <v>42884.782638888893</v>
      </c>
      <c r="O2263" s="4"/>
      <c r="P2263" s="3" t="s">
        <v>1907</v>
      </c>
      <c r="Q2263" s="4"/>
      <c r="R2263" s="4"/>
      <c r="S2263" s="9" t="str">
        <f>HYPERLINK("https://pbs.twimg.com/profile_images/1043554623674564608/i-Xa-K0N.jpg","View")</f>
        <v>View</v>
      </c>
    </row>
    <row r="2264" spans="1:19" ht="50">
      <c r="A2264" s="8">
        <v>43370.056331018517</v>
      </c>
      <c r="B2264" s="11" t="str">
        <f>HYPERLINK("https://twitter.com/7boy_t","@7boy_t")</f>
        <v>@7boy_t</v>
      </c>
      <c r="C2264" s="6" t="s">
        <v>1906</v>
      </c>
      <c r="D2264" s="5" t="s">
        <v>1168</v>
      </c>
      <c r="E2264" s="9" t="str">
        <f>HYPERLINK("https://twitter.com/7boy_t/status/1045068274407559169","1045068274407559169")</f>
        <v>1045068274407559169</v>
      </c>
      <c r="F2264" s="4"/>
      <c r="G2264" s="10" t="s">
        <v>907</v>
      </c>
      <c r="H2264" s="4"/>
      <c r="I2264" s="10" t="str">
        <f>HYPERLINK("http://twitter.com/download/iphone","Twitter for iPhone")</f>
        <v>Twitter for iPhone</v>
      </c>
      <c r="J2264" s="2">
        <v>35</v>
      </c>
      <c r="K2264" s="2">
        <v>84</v>
      </c>
      <c r="L2264" s="2">
        <v>0</v>
      </c>
      <c r="M2264" s="2"/>
      <c r="N2264" s="8">
        <v>41729.265972222223</v>
      </c>
      <c r="O2264" s="4"/>
      <c r="P2264" s="3"/>
      <c r="Q2264" s="4"/>
      <c r="R2264" s="4"/>
      <c r="S2264" s="9" t="str">
        <f>HYPERLINK("https://pbs.twimg.com/profile_images/1042675631912374272/BG9q-XYe.jpg","View")</f>
        <v>View</v>
      </c>
    </row>
    <row r="2265" spans="1:19" ht="20">
      <c r="A2265" s="8">
        <v>43370.056064814809</v>
      </c>
      <c r="B2265" s="11" t="str">
        <f>HYPERLINK("https://twitter.com/rof4el","@rof4el")</f>
        <v>@rof4el</v>
      </c>
      <c r="C2265" s="6" t="s">
        <v>1795</v>
      </c>
      <c r="D2265" s="5" t="s">
        <v>1812</v>
      </c>
      <c r="E2265" s="9" t="str">
        <f>HYPERLINK("https://twitter.com/rof4el/status/1045068176466169856","1045068176466169856")</f>
        <v>1045068176466169856</v>
      </c>
      <c r="F2265" s="4"/>
      <c r="G2265" s="4"/>
      <c r="H2265" s="4"/>
      <c r="I2265" s="10" t="str">
        <f>HYPERLINK("http://twitter.com","Twitter Web Client")</f>
        <v>Twitter Web Client</v>
      </c>
      <c r="J2265" s="2">
        <v>2251</v>
      </c>
      <c r="K2265" s="2">
        <v>1854</v>
      </c>
      <c r="L2265" s="2">
        <v>3</v>
      </c>
      <c r="M2265" s="2"/>
      <c r="N2265" s="8">
        <v>42897.364155092597</v>
      </c>
      <c r="O2265" s="4" t="s">
        <v>1793</v>
      </c>
      <c r="P2265" s="3" t="s">
        <v>1792</v>
      </c>
      <c r="Q2265" s="4"/>
      <c r="R2265" s="4"/>
      <c r="S2265" s="9" t="str">
        <f>HYPERLINK("https://pbs.twimg.com/profile_images/940719839475355648/dRDBBs-P.jpg","View")</f>
        <v>View</v>
      </c>
    </row>
    <row r="2266" spans="1:19" ht="40">
      <c r="A2266" s="8">
        <v>43370.052951388891</v>
      </c>
      <c r="B2266" s="11" t="str">
        <f>HYPERLINK("https://twitter.com/amiiraziimii","@amiiraziimii")</f>
        <v>@amiiraziimii</v>
      </c>
      <c r="C2266" s="6" t="s">
        <v>1905</v>
      </c>
      <c r="D2266" s="5" t="s">
        <v>20</v>
      </c>
      <c r="E2266" s="9" t="str">
        <f>HYPERLINK("https://twitter.com/amiiraziimii/status/1045067048076881922","1045067048076881922")</f>
        <v>1045067048076881922</v>
      </c>
      <c r="F2266" s="4"/>
      <c r="G2266" s="10" t="s">
        <v>19</v>
      </c>
      <c r="H2266" s="4"/>
      <c r="I2266" s="10" t="str">
        <f>HYPERLINK("http://twitter.com/download/android","Twitter for Android")</f>
        <v>Twitter for Android</v>
      </c>
      <c r="J2266" s="2">
        <v>248</v>
      </c>
      <c r="K2266" s="2">
        <v>558</v>
      </c>
      <c r="L2266" s="2">
        <v>2</v>
      </c>
      <c r="M2266" s="2"/>
      <c r="N2266" s="8">
        <v>42468.049120370371</v>
      </c>
      <c r="O2266" s="4" t="s">
        <v>72</v>
      </c>
      <c r="P2266" s="3" t="s">
        <v>1904</v>
      </c>
      <c r="Q2266" s="4"/>
      <c r="R2266" s="4"/>
      <c r="S2266" s="9" t="str">
        <f>HYPERLINK("https://pbs.twimg.com/profile_images/1022103692600848384/e2cezHC-.jpg","View")</f>
        <v>View</v>
      </c>
    </row>
    <row r="2267" spans="1:19" ht="20">
      <c r="A2267" s="8">
        <v>43370.052893518514</v>
      </c>
      <c r="B2267" s="11" t="str">
        <f>HYPERLINK("https://twitter.com/javane_enqelabi","@javane_enqelabi")</f>
        <v>@javane_enqelabi</v>
      </c>
      <c r="C2267" s="6" t="s">
        <v>1903</v>
      </c>
      <c r="D2267" s="5" t="s">
        <v>1902</v>
      </c>
      <c r="E2267" s="9" t="str">
        <f>HYPERLINK("https://twitter.com/javane_enqelabi/status/1045067025813557249","1045067025813557249")</f>
        <v>1045067025813557249</v>
      </c>
      <c r="F2267" s="4"/>
      <c r="G2267" s="4"/>
      <c r="H2267" s="4"/>
      <c r="I2267" s="10" t="str">
        <f>HYPERLINK("http://twitter.com/download/android","Twitter for Android")</f>
        <v>Twitter for Android</v>
      </c>
      <c r="J2267" s="2">
        <v>3155</v>
      </c>
      <c r="K2267" s="2">
        <v>2907</v>
      </c>
      <c r="L2267" s="2">
        <v>10</v>
      </c>
      <c r="M2267" s="2"/>
      <c r="N2267" s="8">
        <v>42615.09002314815</v>
      </c>
      <c r="O2267" s="4" t="s">
        <v>648</v>
      </c>
      <c r="P2267" s="3" t="s">
        <v>1901</v>
      </c>
      <c r="Q2267" s="4"/>
      <c r="R2267" s="4"/>
      <c r="S2267" s="9" t="str">
        <f>HYPERLINK("https://pbs.twimg.com/profile_images/1044215134539960320/mBwBa5aZ.jpg","View")</f>
        <v>View</v>
      </c>
    </row>
    <row r="2268" spans="1:19" ht="30">
      <c r="A2268" s="8">
        <v>43370.052858796298</v>
      </c>
      <c r="B2268" s="11" t="str">
        <f>HYPERLINK("https://twitter.com/Sihonar","@Sihonar")</f>
        <v>@Sihonar</v>
      </c>
      <c r="C2268" s="6" t="s">
        <v>1900</v>
      </c>
      <c r="D2268" s="5" t="s">
        <v>1680</v>
      </c>
      <c r="E2268" s="9" t="str">
        <f>HYPERLINK("https://twitter.com/Sihonar/status/1045067016615399425","1045067016615399425")</f>
        <v>1045067016615399425</v>
      </c>
      <c r="F2268" s="4"/>
      <c r="G2268" s="4"/>
      <c r="H2268" s="4"/>
      <c r="I2268" s="10" t="str">
        <f>HYPERLINK("http://twitter.com/download/android","Twitter for Android")</f>
        <v>Twitter for Android</v>
      </c>
      <c r="J2268" s="2">
        <v>754</v>
      </c>
      <c r="K2268" s="2">
        <v>893</v>
      </c>
      <c r="L2268" s="2">
        <v>4</v>
      </c>
      <c r="M2268" s="2"/>
      <c r="N2268" s="8">
        <v>42636.529756944445</v>
      </c>
      <c r="O2268" s="4" t="s">
        <v>200</v>
      </c>
      <c r="P2268" s="3" t="s">
        <v>1899</v>
      </c>
      <c r="Q2268" s="10" t="s">
        <v>1898</v>
      </c>
      <c r="R2268" s="4"/>
      <c r="S2268" s="9" t="str">
        <f>HYPERLINK("https://pbs.twimg.com/profile_images/1042809699966574592/trm6_v9a.jpg","View")</f>
        <v>View</v>
      </c>
    </row>
    <row r="2269" spans="1:19" ht="20">
      <c r="A2269" s="8">
        <v>43370.051493055551</v>
      </c>
      <c r="B2269" s="11" t="str">
        <f>HYPERLINK("https://twitter.com/MoeiniAliakbar","@MoeiniAliakbar")</f>
        <v>@MoeiniAliakbar</v>
      </c>
      <c r="C2269" s="6" t="s">
        <v>1897</v>
      </c>
      <c r="D2269" s="5" t="s">
        <v>1874</v>
      </c>
      <c r="E2269" s="9" t="str">
        <f>HYPERLINK("https://twitter.com/MoeiniAliakbar/status/1045066519158419456","1045066519158419456")</f>
        <v>1045066519158419456</v>
      </c>
      <c r="F2269" s="4"/>
      <c r="G2269" s="4"/>
      <c r="H2269" s="4"/>
      <c r="I2269" s="10" t="str">
        <f>HYPERLINK("http://twitter.com/download/android","Twitter for Android")</f>
        <v>Twitter for Android</v>
      </c>
      <c r="J2269" s="2">
        <v>1521</v>
      </c>
      <c r="K2269" s="2">
        <v>897</v>
      </c>
      <c r="L2269" s="2">
        <v>2</v>
      </c>
      <c r="M2269" s="2"/>
      <c r="N2269" s="8">
        <v>43231.068912037037</v>
      </c>
      <c r="O2269" s="4" t="s">
        <v>414</v>
      </c>
      <c r="P2269" s="3" t="s">
        <v>1896</v>
      </c>
      <c r="Q2269" s="4"/>
      <c r="R2269" s="4"/>
      <c r="S2269" s="9" t="str">
        <f>HYPERLINK("https://pbs.twimg.com/profile_images/1004538373229473793/SgZ67E9s.jpg","View")</f>
        <v>View</v>
      </c>
    </row>
    <row r="2270" spans="1:19" ht="30">
      <c r="A2270" s="8">
        <v>43370.051087962958</v>
      </c>
      <c r="B2270" s="11" t="str">
        <f>HYPERLINK("https://twitter.com/badenjan1","@badenjan1")</f>
        <v>@badenjan1</v>
      </c>
      <c r="C2270" s="6" t="s">
        <v>1895</v>
      </c>
      <c r="D2270" s="5" t="s">
        <v>1756</v>
      </c>
      <c r="E2270" s="9" t="str">
        <f>HYPERLINK("https://twitter.com/badenjan1/status/1045066372621971456","1045066372621971456")</f>
        <v>1045066372621971456</v>
      </c>
      <c r="F2270" s="4"/>
      <c r="G2270" s="4"/>
      <c r="H2270" s="4"/>
      <c r="I2270" s="10" t="str">
        <f>HYPERLINK("http://twitter.com/download/android","Twitter for Android")</f>
        <v>Twitter for Android</v>
      </c>
      <c r="J2270" s="2">
        <v>96</v>
      </c>
      <c r="K2270" s="2">
        <v>214</v>
      </c>
      <c r="L2270" s="2">
        <v>1</v>
      </c>
      <c r="M2270" s="2"/>
      <c r="N2270" s="8">
        <v>43330.755104166667</v>
      </c>
      <c r="O2270" s="4" t="s">
        <v>673</v>
      </c>
      <c r="P2270" s="3" t="s">
        <v>1894</v>
      </c>
      <c r="Q2270" s="4"/>
      <c r="R2270" s="4"/>
      <c r="S2270" s="9" t="str">
        <f>HYPERLINK("https://pbs.twimg.com/profile_images/1030813869386547202/qV-HeY-6.jpg","View")</f>
        <v>View</v>
      </c>
    </row>
    <row r="2271" spans="1:19" ht="20">
      <c r="A2271" s="8">
        <v>43370.05059027778</v>
      </c>
      <c r="B2271" s="11" t="str">
        <f>HYPERLINK("https://twitter.com/hamid_m3y","@hamid_m3y")</f>
        <v>@hamid_m3y</v>
      </c>
      <c r="C2271" s="6" t="s">
        <v>1893</v>
      </c>
      <c r="D2271" s="5" t="s">
        <v>825</v>
      </c>
      <c r="E2271" s="9" t="str">
        <f>HYPERLINK("https://twitter.com/hamid_m3y/status/1045066194435407872","1045066194435407872")</f>
        <v>1045066194435407872</v>
      </c>
      <c r="F2271" s="4"/>
      <c r="G2271" s="4"/>
      <c r="H2271" s="4"/>
      <c r="I2271" s="10" t="str">
        <f>HYPERLINK("http://twitter.com/download/android","Twitter for Android")</f>
        <v>Twitter for Android</v>
      </c>
      <c r="J2271" s="2">
        <v>1753</v>
      </c>
      <c r="K2271" s="2">
        <v>2370</v>
      </c>
      <c r="L2271" s="2">
        <v>2</v>
      </c>
      <c r="M2271" s="2"/>
      <c r="N2271" s="8">
        <v>43020.980150462958</v>
      </c>
      <c r="O2271" s="4"/>
      <c r="P2271" s="3" t="s">
        <v>1892</v>
      </c>
      <c r="Q2271" s="4"/>
      <c r="R2271" s="4"/>
      <c r="S2271" s="9" t="str">
        <f>HYPERLINK("https://pbs.twimg.com/profile_images/918940181679390720/JnWOUOaz.jpg","View")</f>
        <v>View</v>
      </c>
    </row>
    <row r="2272" spans="1:19" ht="40">
      <c r="A2272" s="8">
        <v>43370.050497685181</v>
      </c>
      <c r="B2272" s="11" t="str">
        <f>HYPERLINK("https://twitter.com/mohammad_mh94","@mohammad_mh94")</f>
        <v>@mohammad_mh94</v>
      </c>
      <c r="C2272" s="6" t="s">
        <v>1891</v>
      </c>
      <c r="D2272" s="5" t="s">
        <v>1890</v>
      </c>
      <c r="E2272" s="9" t="str">
        <f>HYPERLINK("https://twitter.com/mohammad_mh94/status/1045066161560453120","1045066161560453120")</f>
        <v>1045066161560453120</v>
      </c>
      <c r="F2272" s="4"/>
      <c r="G2272" s="4"/>
      <c r="H2272" s="4"/>
      <c r="I2272" s="10" t="str">
        <f>HYPERLINK("http://twitter.com/download/android","Twitter for Android")</f>
        <v>Twitter for Android</v>
      </c>
      <c r="J2272" s="2">
        <v>1454</v>
      </c>
      <c r="K2272" s="2">
        <v>379</v>
      </c>
      <c r="L2272" s="2">
        <v>10</v>
      </c>
      <c r="M2272" s="2"/>
      <c r="N2272" s="8">
        <v>41469.377916666665</v>
      </c>
      <c r="O2272" s="4"/>
      <c r="P2272" s="3" t="s">
        <v>1889</v>
      </c>
      <c r="Q2272" s="4"/>
      <c r="R2272" s="4"/>
      <c r="S2272" s="9" t="str">
        <f>HYPERLINK("https://pbs.twimg.com/profile_images/1042879325727596546/gL-5isvL.jpg","View")</f>
        <v>View</v>
      </c>
    </row>
    <row r="2273" spans="1:19" ht="50">
      <c r="A2273" s="8">
        <v>43370.049953703703</v>
      </c>
      <c r="B2273" s="11" t="str">
        <f>HYPERLINK("https://twitter.com/talan_gor","@talan_gor")</f>
        <v>@talan_gor</v>
      </c>
      <c r="C2273" s="6" t="s">
        <v>1888</v>
      </c>
      <c r="D2273" s="5" t="s">
        <v>1168</v>
      </c>
      <c r="E2273" s="9" t="str">
        <f>HYPERLINK("https://twitter.com/talan_gor/status/1045065962037358593","1045065962037358593")</f>
        <v>1045065962037358593</v>
      </c>
      <c r="F2273" s="4"/>
      <c r="G2273" s="10" t="s">
        <v>907</v>
      </c>
      <c r="H2273" s="4"/>
      <c r="I2273" s="10" t="str">
        <f>HYPERLINK("http://twitter.com/download/android","Twitter for Android")</f>
        <v>Twitter for Android</v>
      </c>
      <c r="J2273" s="2">
        <v>198</v>
      </c>
      <c r="K2273" s="2">
        <v>251</v>
      </c>
      <c r="L2273" s="2">
        <v>1</v>
      </c>
      <c r="M2273" s="2"/>
      <c r="N2273" s="8">
        <v>43104.089386574073</v>
      </c>
      <c r="O2273" s="4" t="s">
        <v>1887</v>
      </c>
      <c r="P2273" s="3" t="s">
        <v>1886</v>
      </c>
      <c r="Q2273" s="4"/>
      <c r="R2273" s="4"/>
      <c r="S2273" s="9" t="str">
        <f>HYPERLINK("https://pbs.twimg.com/profile_images/948823375022993413/HP5XD5ol.jpg","View")</f>
        <v>View</v>
      </c>
    </row>
    <row r="2274" spans="1:19" ht="30">
      <c r="A2274" s="8">
        <v>43370.049930555557</v>
      </c>
      <c r="B2274" s="11" t="str">
        <f>HYPERLINK("https://twitter.com/_Zahra72_","@_Zahra72_")</f>
        <v>@_Zahra72_</v>
      </c>
      <c r="C2274" s="6" t="s">
        <v>1594</v>
      </c>
      <c r="D2274" s="5" t="s">
        <v>1703</v>
      </c>
      <c r="E2274" s="9" t="str">
        <f>HYPERLINK("https://twitter.com/_Zahra72_/status/1045065955951464449","1045065955951464449")</f>
        <v>1045065955951464449</v>
      </c>
      <c r="F2274" s="4"/>
      <c r="G2274" s="10" t="s">
        <v>1702</v>
      </c>
      <c r="H2274" s="4"/>
      <c r="I2274" s="10" t="str">
        <f>HYPERLINK("http://twitter.com/download/android","Twitter for Android")</f>
        <v>Twitter for Android</v>
      </c>
      <c r="J2274" s="2">
        <v>80</v>
      </c>
      <c r="K2274" s="2">
        <v>88</v>
      </c>
      <c r="L2274" s="2">
        <v>0</v>
      </c>
      <c r="M2274" s="2"/>
      <c r="N2274" s="8">
        <v>43102.669062500005</v>
      </c>
      <c r="O2274" s="4" t="s">
        <v>1592</v>
      </c>
      <c r="P2274" s="3" t="s">
        <v>1591</v>
      </c>
      <c r="Q2274" s="4"/>
      <c r="R2274" s="4"/>
      <c r="S2274" s="9" t="str">
        <f>HYPERLINK("https://pbs.twimg.com/profile_images/1042018338317250560/NaFWvRIP.jpg","View")</f>
        <v>View</v>
      </c>
    </row>
    <row r="2275" spans="1:19" ht="12.5">
      <c r="A2275" s="8">
        <v>43370.049490740741</v>
      </c>
      <c r="B2275" s="11" t="str">
        <f>HYPERLINK("https://twitter.com/missmah2","@missmah2")</f>
        <v>@missmah2</v>
      </c>
      <c r="C2275" s="6" t="s">
        <v>1885</v>
      </c>
      <c r="D2275" s="5" t="s">
        <v>140</v>
      </c>
      <c r="E2275" s="9" t="str">
        <f>HYPERLINK("https://twitter.com/missmah2/status/1045065796240777217","1045065796240777217")</f>
        <v>1045065796240777217</v>
      </c>
      <c r="F2275" s="4"/>
      <c r="G2275" s="10" t="s">
        <v>139</v>
      </c>
      <c r="H2275" s="4"/>
      <c r="I2275" s="10" t="str">
        <f>HYPERLINK("http://twitter.com/download/android","Twitter for Android")</f>
        <v>Twitter for Android</v>
      </c>
      <c r="J2275" s="2">
        <v>1592</v>
      </c>
      <c r="K2275" s="2">
        <v>581</v>
      </c>
      <c r="L2275" s="2">
        <v>6</v>
      </c>
      <c r="M2275" s="2"/>
      <c r="N2275" s="8">
        <v>43234.060069444444</v>
      </c>
      <c r="O2275" s="4" t="s">
        <v>1884</v>
      </c>
      <c r="P2275" s="3" t="s">
        <v>1883</v>
      </c>
      <c r="Q2275" s="4"/>
      <c r="R2275" s="4"/>
      <c r="S2275" s="9" t="str">
        <f>HYPERLINK("https://pbs.twimg.com/profile_images/1044647526450769920/e6uwV4_o.jpg","View")</f>
        <v>View</v>
      </c>
    </row>
    <row r="2276" spans="1:19" ht="30">
      <c r="A2276" s="8">
        <v>43370.049074074079</v>
      </c>
      <c r="B2276" s="11" t="str">
        <f>HYPERLINK("https://twitter.com/mim_aftab","@mim_aftab")</f>
        <v>@mim_aftab</v>
      </c>
      <c r="C2276" s="6" t="s">
        <v>1882</v>
      </c>
      <c r="D2276" s="5" t="s">
        <v>1756</v>
      </c>
      <c r="E2276" s="9" t="str">
        <f>HYPERLINK("https://twitter.com/mim_aftab/status/1045065644662652929","1045065644662652929")</f>
        <v>1045065644662652929</v>
      </c>
      <c r="F2276" s="4"/>
      <c r="G2276" s="4"/>
      <c r="H2276" s="4"/>
      <c r="I2276" s="10" t="str">
        <f>HYPERLINK("http://twitter.com/download/android","Twitter for Android")</f>
        <v>Twitter for Android</v>
      </c>
      <c r="J2276" s="2">
        <v>452</v>
      </c>
      <c r="K2276" s="2">
        <v>703</v>
      </c>
      <c r="L2276" s="2">
        <v>1</v>
      </c>
      <c r="M2276" s="2"/>
      <c r="N2276" s="8">
        <v>43310.050462962958</v>
      </c>
      <c r="O2276" s="4" t="s">
        <v>1881</v>
      </c>
      <c r="P2276" s="3" t="s">
        <v>1880</v>
      </c>
      <c r="Q2276" s="4"/>
      <c r="R2276" s="4"/>
      <c r="S2276" s="9" t="str">
        <f>HYPERLINK("https://pbs.twimg.com/profile_images/1023311989307834369/aIEpE42C.jpg","View")</f>
        <v>View</v>
      </c>
    </row>
    <row r="2277" spans="1:19" ht="40">
      <c r="A2277" s="8">
        <v>43370.049016203702</v>
      </c>
      <c r="B2277" s="11" t="str">
        <f>HYPERLINK("https://twitter.com/sheldon_derder","@sheldon_derder")</f>
        <v>@sheldon_derder</v>
      </c>
      <c r="C2277" s="6" t="s">
        <v>1879</v>
      </c>
      <c r="D2277" s="5" t="s">
        <v>1468</v>
      </c>
      <c r="E2277" s="9" t="str">
        <f>HYPERLINK("https://twitter.com/sheldon_derder/status/1045065620675612673","1045065620675612673")</f>
        <v>1045065620675612673</v>
      </c>
      <c r="F2277" s="4"/>
      <c r="G2277" s="4"/>
      <c r="H2277" s="4"/>
      <c r="I2277" s="10" t="str">
        <f>HYPERLINK("http://twitter.com/download/android","Twitter for Android")</f>
        <v>Twitter for Android</v>
      </c>
      <c r="J2277" s="2">
        <v>710</v>
      </c>
      <c r="K2277" s="2">
        <v>325</v>
      </c>
      <c r="L2277" s="2">
        <v>12</v>
      </c>
      <c r="M2277" s="2"/>
      <c r="N2277" s="8">
        <v>41363.798645833333</v>
      </c>
      <c r="O2277" s="4" t="s">
        <v>254</v>
      </c>
      <c r="P2277" s="3" t="s">
        <v>1878</v>
      </c>
      <c r="Q2277" s="4"/>
      <c r="R2277" s="4"/>
      <c r="S2277" s="9" t="str">
        <f>HYPERLINK("https://pbs.twimg.com/profile_images/868746557809717249/BNMUbrxn.jpg","View")</f>
        <v>View</v>
      </c>
    </row>
    <row r="2278" spans="1:19" ht="20">
      <c r="A2278" s="8">
        <v>43370.048738425925</v>
      </c>
      <c r="B2278" s="11" t="str">
        <f>HYPERLINK("https://twitter.com/MJM_118","@MJM_118")</f>
        <v>@MJM_118</v>
      </c>
      <c r="C2278" s="6" t="s">
        <v>1877</v>
      </c>
      <c r="D2278" s="5" t="s">
        <v>1876</v>
      </c>
      <c r="E2278" s="9" t="str">
        <f>HYPERLINK("https://twitter.com/MJM_118/status/1045065523476795400","1045065523476795400")</f>
        <v>1045065523476795400</v>
      </c>
      <c r="F2278" s="4"/>
      <c r="G2278" s="4"/>
      <c r="H2278" s="4"/>
      <c r="I2278" s="10" t="str">
        <f>HYPERLINK("http://twitter.com/download/android","Twitter for Android")</f>
        <v>Twitter for Android</v>
      </c>
      <c r="J2278" s="2">
        <v>66</v>
      </c>
      <c r="K2278" s="2">
        <v>49</v>
      </c>
      <c r="L2278" s="2">
        <v>0</v>
      </c>
      <c r="M2278" s="2"/>
      <c r="N2278" s="8">
        <v>42859.092905092592</v>
      </c>
      <c r="O2278" s="4" t="s">
        <v>162</v>
      </c>
      <c r="P2278" s="3" t="s">
        <v>1875</v>
      </c>
      <c r="Q2278" s="4"/>
      <c r="R2278" s="4"/>
      <c r="S2278" s="9" t="str">
        <f>HYPERLINK("https://pbs.twimg.com/profile_images/1021314412743979009/Zw3gm_qX.jpg","View")</f>
        <v>View</v>
      </c>
    </row>
    <row r="2279" spans="1:19" ht="20">
      <c r="A2279" s="8">
        <v>43370.048217592594</v>
      </c>
      <c r="B2279" s="11" t="str">
        <f>HYPERLINK("https://twitter.com/Tahmineh_6","@Tahmineh_6")</f>
        <v>@Tahmineh_6</v>
      </c>
      <c r="C2279" s="6" t="s">
        <v>96</v>
      </c>
      <c r="D2279" s="5" t="s">
        <v>1874</v>
      </c>
      <c r="E2279" s="9" t="str">
        <f>HYPERLINK("https://twitter.com/Tahmineh_6/status/1045065334779252737","1045065334779252737")</f>
        <v>1045065334779252737</v>
      </c>
      <c r="F2279" s="4"/>
      <c r="G2279" s="4"/>
      <c r="H2279" s="4"/>
      <c r="I2279" s="10" t="str">
        <f>HYPERLINK("http://twitter.com/download/android","Twitter for Android")</f>
        <v>Twitter for Android</v>
      </c>
      <c r="J2279" s="2">
        <v>7119</v>
      </c>
      <c r="K2279" s="2">
        <v>6682</v>
      </c>
      <c r="L2279" s="2">
        <v>5</v>
      </c>
      <c r="M2279" s="2"/>
      <c r="N2279" s="8">
        <v>43008.625925925924</v>
      </c>
      <c r="O2279" s="4" t="s">
        <v>94</v>
      </c>
      <c r="P2279" s="3" t="s">
        <v>93</v>
      </c>
      <c r="Q2279" s="4"/>
      <c r="R2279" s="4"/>
      <c r="S2279" s="9" t="str">
        <f>HYPERLINK("https://pbs.twimg.com/profile_images/1038869552568983558/284xNb8H.jpg","View")</f>
        <v>View</v>
      </c>
    </row>
    <row r="2280" spans="1:19" ht="30">
      <c r="A2280" s="8">
        <v>43370.048055555555</v>
      </c>
      <c r="B2280" s="11" t="str">
        <f>HYPERLINK("https://twitter.com/cyber802s","@cyber802s")</f>
        <v>@cyber802s</v>
      </c>
      <c r="C2280" s="6" t="s">
        <v>1873</v>
      </c>
      <c r="D2280" s="5" t="s">
        <v>1812</v>
      </c>
      <c r="E2280" s="9" t="str">
        <f>HYPERLINK("https://twitter.com/cyber802s/status/1045065273844346882","1045065273844346882")</f>
        <v>1045065273844346882</v>
      </c>
      <c r="F2280" s="4"/>
      <c r="G2280" s="4"/>
      <c r="H2280" s="4"/>
      <c r="I2280" s="10" t="str">
        <f>HYPERLINK("http://twitter.com/download/android","Twitter for Android")</f>
        <v>Twitter for Android</v>
      </c>
      <c r="J2280" s="2">
        <v>4788</v>
      </c>
      <c r="K2280" s="2">
        <v>1490</v>
      </c>
      <c r="L2280" s="2">
        <v>17</v>
      </c>
      <c r="M2280" s="2"/>
      <c r="N2280" s="8">
        <v>43156.463206018518</v>
      </c>
      <c r="O2280" s="4" t="s">
        <v>62</v>
      </c>
      <c r="P2280" s="3" t="s">
        <v>1872</v>
      </c>
      <c r="Q2280" s="10" t="s">
        <v>1871</v>
      </c>
      <c r="R2280" s="4"/>
      <c r="S2280" s="9" t="str">
        <f>HYPERLINK("https://pbs.twimg.com/profile_images/1043488304224722945/DTDBnH87.jpg","View")</f>
        <v>View</v>
      </c>
    </row>
    <row r="2281" spans="1:19" ht="30">
      <c r="A2281" s="8">
        <v>43370.047777777778</v>
      </c>
      <c r="B2281" s="11" t="str">
        <f>HYPERLINK("https://twitter.com/Shima1992sh","@Shima1992sh")</f>
        <v>@Shima1992sh</v>
      </c>
      <c r="C2281" s="11" t="s">
        <v>1870</v>
      </c>
      <c r="D2281" s="5" t="s">
        <v>1812</v>
      </c>
      <c r="E2281" s="9" t="str">
        <f>HYPERLINK("https://twitter.com/Shima1992sh/status/1045065175932588032","1045065175932588032")</f>
        <v>1045065175932588032</v>
      </c>
      <c r="F2281" s="4"/>
      <c r="G2281" s="4"/>
      <c r="H2281" s="4"/>
      <c r="I2281" s="10" t="str">
        <f>HYPERLINK("http://twitter.com/download/android","Twitter for Android")</f>
        <v>Twitter for Android</v>
      </c>
      <c r="J2281" s="2">
        <v>593</v>
      </c>
      <c r="K2281" s="2">
        <v>771</v>
      </c>
      <c r="L2281" s="2">
        <v>1</v>
      </c>
      <c r="M2281" s="2"/>
      <c r="N2281" s="8">
        <v>43251.959814814814</v>
      </c>
      <c r="O2281" s="4"/>
      <c r="P2281" s="3" t="s">
        <v>1869</v>
      </c>
      <c r="Q2281" s="4"/>
      <c r="R2281" s="4"/>
      <c r="S2281" s="9" t="str">
        <f>HYPERLINK("https://pbs.twimg.com/profile_images/1034519761969983488/qg-63yV7.jpg","View")</f>
        <v>View</v>
      </c>
    </row>
    <row r="2282" spans="1:19" ht="40">
      <c r="A2282" s="8">
        <v>43370.047013888892</v>
      </c>
      <c r="B2282" s="11" t="str">
        <f>HYPERLINK("https://twitter.com/saras27772","@saras27772")</f>
        <v>@saras27772</v>
      </c>
      <c r="C2282" s="6" t="s">
        <v>458</v>
      </c>
      <c r="D2282" s="5" t="s">
        <v>422</v>
      </c>
      <c r="E2282" s="9" t="str">
        <f>HYPERLINK("https://twitter.com/saras27772/status/1045064895048413190","1045064895048413190")</f>
        <v>1045064895048413190</v>
      </c>
      <c r="F2282" s="4"/>
      <c r="G2282" s="10" t="s">
        <v>421</v>
      </c>
      <c r="H2282" s="4"/>
      <c r="I2282" s="10" t="str">
        <f>HYPERLINK("http://twitter.com/download/android","Twitter for Android")</f>
        <v>Twitter for Android</v>
      </c>
      <c r="J2282" s="2">
        <v>823</v>
      </c>
      <c r="K2282" s="2">
        <v>474</v>
      </c>
      <c r="L2282" s="2">
        <v>3</v>
      </c>
      <c r="M2282" s="2"/>
      <c r="N2282" s="8">
        <v>43231.791319444441</v>
      </c>
      <c r="O2282" s="4" t="s">
        <v>457</v>
      </c>
      <c r="P2282" s="3" t="s">
        <v>1868</v>
      </c>
      <c r="Q2282" s="10" t="s">
        <v>455</v>
      </c>
      <c r="R2282" s="4"/>
      <c r="S2282" s="9" t="str">
        <f>HYPERLINK("https://pbs.twimg.com/profile_images/1045024954469818368/cEFqCpwb.jpg","View")</f>
        <v>View</v>
      </c>
    </row>
    <row r="2283" spans="1:19" ht="20">
      <c r="A2283" s="8">
        <v>43370.046331018515</v>
      </c>
      <c r="B2283" s="11" t="str">
        <f>HYPERLINK("https://twitter.com/_ddani1onee_","@_ddani1onee_")</f>
        <v>@_ddani1onee_</v>
      </c>
      <c r="C2283" s="6" t="s">
        <v>1867</v>
      </c>
      <c r="D2283" s="5" t="s">
        <v>1812</v>
      </c>
      <c r="E2283" s="9" t="str">
        <f>HYPERLINK("https://twitter.com/_ddani1onee_/status/1045064651309035520","1045064651309035520")</f>
        <v>1045064651309035520</v>
      </c>
      <c r="F2283" s="4"/>
      <c r="G2283" s="4"/>
      <c r="H2283" s="4"/>
      <c r="I2283" s="10" t="str">
        <f>HYPERLINK("http://twitter.com/download/android","Twitter for Android")</f>
        <v>Twitter for Android</v>
      </c>
      <c r="J2283" s="2">
        <v>454</v>
      </c>
      <c r="K2283" s="2">
        <v>728</v>
      </c>
      <c r="L2283" s="2">
        <v>0</v>
      </c>
      <c r="M2283" s="2"/>
      <c r="N2283" s="8">
        <v>43244.166631944448</v>
      </c>
      <c r="O2283" s="4"/>
      <c r="P2283" s="3" t="s">
        <v>1866</v>
      </c>
      <c r="Q2283" s="4"/>
      <c r="R2283" s="4"/>
      <c r="S2283" s="9" t="str">
        <f>HYPERLINK("https://pbs.twimg.com/profile_images/1022781154456465408/62qs8h1Z.jpg","View")</f>
        <v>View</v>
      </c>
    </row>
    <row r="2284" spans="1:19" ht="20">
      <c r="A2284" s="8">
        <v>43370.046284722222</v>
      </c>
      <c r="B2284" s="11" t="str">
        <f>HYPERLINK("https://twitter.com/Reza_Gh1990","@Reza_Gh1990")</f>
        <v>@Reza_Gh1990</v>
      </c>
      <c r="C2284" s="6" t="s">
        <v>326</v>
      </c>
      <c r="D2284" s="5" t="s">
        <v>1684</v>
      </c>
      <c r="E2284" s="9" t="str">
        <f>HYPERLINK("https://twitter.com/Reza_Gh1990/status/1045064634779217920","1045064634779217920")</f>
        <v>1045064634779217920</v>
      </c>
      <c r="F2284" s="4"/>
      <c r="G2284" s="10" t="s">
        <v>1683</v>
      </c>
      <c r="H2284" s="4"/>
      <c r="I2284" s="10" t="str">
        <f>HYPERLINK("http://twitter.com","Twitter Web Client")</f>
        <v>Twitter Web Client</v>
      </c>
      <c r="J2284" s="2">
        <v>2617</v>
      </c>
      <c r="K2284" s="2">
        <v>1141</v>
      </c>
      <c r="L2284" s="2">
        <v>11</v>
      </c>
      <c r="M2284" s="2"/>
      <c r="N2284" s="8">
        <v>42034.77043981482</v>
      </c>
      <c r="O2284" s="4" t="s">
        <v>323</v>
      </c>
      <c r="P2284" s="3" t="s">
        <v>322</v>
      </c>
      <c r="Q2284" s="4"/>
      <c r="R2284" s="4"/>
      <c r="S2284" s="9" t="str">
        <f>HYPERLINK("https://pbs.twimg.com/profile_images/1044632756221890562/Kn6N1eml.jpg","View")</f>
        <v>View</v>
      </c>
    </row>
    <row r="2285" spans="1:19" ht="12.5">
      <c r="A2285" s="8">
        <v>43370.045983796299</v>
      </c>
      <c r="B2285" s="11" t="str">
        <f>HYPERLINK("https://twitter.com/jilbertow","@jilbertow")</f>
        <v>@jilbertow</v>
      </c>
      <c r="C2285" s="6" t="s">
        <v>1865</v>
      </c>
      <c r="D2285" s="5" t="s">
        <v>140</v>
      </c>
      <c r="E2285" s="9" t="str">
        <f>HYPERLINK("https://twitter.com/jilbertow/status/1045064522191572993","1045064522191572993")</f>
        <v>1045064522191572993</v>
      </c>
      <c r="F2285" s="4"/>
      <c r="G2285" s="10" t="s">
        <v>139</v>
      </c>
      <c r="H2285" s="4"/>
      <c r="I2285" s="10" t="str">
        <f>HYPERLINK("http://twitter.com/download/android","Twitter for Android")</f>
        <v>Twitter for Android</v>
      </c>
      <c r="J2285" s="2">
        <v>5135</v>
      </c>
      <c r="K2285" s="2">
        <v>2453</v>
      </c>
      <c r="L2285" s="2">
        <v>9</v>
      </c>
      <c r="M2285" s="2"/>
      <c r="N2285" s="8">
        <v>43150.901909722219</v>
      </c>
      <c r="O2285" s="4" t="s">
        <v>1864</v>
      </c>
      <c r="P2285" s="3" t="s">
        <v>1863</v>
      </c>
      <c r="Q2285" s="4"/>
      <c r="R2285" s="4"/>
      <c r="S2285" s="9" t="str">
        <f>HYPERLINK("https://pbs.twimg.com/profile_images/1045059807168929792/JCgqr502.jpg","View")</f>
        <v>View</v>
      </c>
    </row>
    <row r="2286" spans="1:19" ht="20">
      <c r="A2286" s="8">
        <v>43370.045844907407</v>
      </c>
      <c r="B2286" s="11" t="str">
        <f>HYPERLINK("https://twitter.com/Yanga47653106","@Yanga47653106")</f>
        <v>@Yanga47653106</v>
      </c>
      <c r="C2286" s="6" t="s">
        <v>1862</v>
      </c>
      <c r="D2286" s="5" t="s">
        <v>1861</v>
      </c>
      <c r="E2286" s="9" t="str">
        <f>HYPERLINK("https://twitter.com/Yanga47653106/status/1045064472459706368","1045064472459706368")</f>
        <v>1045064472459706368</v>
      </c>
      <c r="F2286" s="4"/>
      <c r="G2286" s="10" t="s">
        <v>1860</v>
      </c>
      <c r="H2286" s="4"/>
      <c r="I2286" s="10" t="str">
        <f>HYPERLINK("http://twitter.com/download/android","Twitter for Android")</f>
        <v>Twitter for Android</v>
      </c>
      <c r="J2286" s="2">
        <v>31</v>
      </c>
      <c r="K2286" s="2">
        <v>63</v>
      </c>
      <c r="L2286" s="2">
        <v>0</v>
      </c>
      <c r="M2286" s="2"/>
      <c r="N2286" s="8">
        <v>43247.970821759256</v>
      </c>
      <c r="O2286" s="4"/>
      <c r="P2286" s="3" t="s">
        <v>1859</v>
      </c>
      <c r="Q2286" s="4"/>
      <c r="R2286" s="4"/>
      <c r="S2286" s="9" t="str">
        <f>HYPERLINK("https://pbs.twimg.com/profile_images/1000814651318456320/dqPmg52O.jpg","View")</f>
        <v>View</v>
      </c>
    </row>
    <row r="2287" spans="1:19" ht="30">
      <c r="A2287" s="8">
        <v>43370.045405092591</v>
      </c>
      <c r="B2287" s="11" t="str">
        <f>HYPERLINK("https://twitter.com/Hamidehahrary2","@Hamidehahrary2")</f>
        <v>@Hamidehahrary2</v>
      </c>
      <c r="C2287" s="6" t="s">
        <v>1858</v>
      </c>
      <c r="D2287" s="5" t="s">
        <v>1756</v>
      </c>
      <c r="E2287" s="9" t="str">
        <f>HYPERLINK("https://twitter.com/Hamidehahrary2/status/1045064314942619648","1045064314942619648")</f>
        <v>1045064314942619648</v>
      </c>
      <c r="F2287" s="4"/>
      <c r="G2287" s="4"/>
      <c r="H2287" s="4"/>
      <c r="I2287" s="10" t="str">
        <f>HYPERLINK("https://mobile.twitter.com","Twitter Lite")</f>
        <v>Twitter Lite</v>
      </c>
      <c r="J2287" s="2">
        <v>302</v>
      </c>
      <c r="K2287" s="2">
        <v>575</v>
      </c>
      <c r="L2287" s="2">
        <v>0</v>
      </c>
      <c r="M2287" s="2"/>
      <c r="N2287" s="8">
        <v>43105.836168981477</v>
      </c>
      <c r="O2287" s="4"/>
      <c r="P2287" s="3" t="s">
        <v>1857</v>
      </c>
      <c r="Q2287" s="4"/>
      <c r="R2287" s="4"/>
      <c r="S2287" s="2" t="s">
        <v>259</v>
      </c>
    </row>
    <row r="2288" spans="1:19" ht="20">
      <c r="A2288" s="8">
        <v>43370.045208333337</v>
      </c>
      <c r="B2288" s="11" t="str">
        <f>HYPERLINK("https://twitter.com/haristo_stchv","@haristo_stchv")</f>
        <v>@haristo_stchv</v>
      </c>
      <c r="C2288" s="6" t="s">
        <v>479</v>
      </c>
      <c r="D2288" s="5" t="s">
        <v>1856</v>
      </c>
      <c r="E2288" s="9" t="str">
        <f>HYPERLINK("https://twitter.com/haristo_stchv/status/1045064244616736768","1045064244616736768")</f>
        <v>1045064244616736768</v>
      </c>
      <c r="F2288" s="4"/>
      <c r="G2288" s="4"/>
      <c r="H2288" s="4"/>
      <c r="I2288" s="10" t="str">
        <f>HYPERLINK("http://twitter.com/download/iphone","Twitter for iPhone")</f>
        <v>Twitter for iPhone</v>
      </c>
      <c r="J2288" s="2">
        <v>1222</v>
      </c>
      <c r="K2288" s="2">
        <v>1080</v>
      </c>
      <c r="L2288" s="2">
        <v>3</v>
      </c>
      <c r="M2288" s="2"/>
      <c r="N2288" s="8">
        <v>42950.472129629634</v>
      </c>
      <c r="O2288" s="4" t="s">
        <v>200</v>
      </c>
      <c r="P2288" s="3" t="s">
        <v>477</v>
      </c>
      <c r="Q2288" s="4"/>
      <c r="R2288" s="4"/>
      <c r="S2288" s="9" t="str">
        <f>HYPERLINK("https://pbs.twimg.com/profile_images/1041626242112528384/wCOP_idg.jpg","View")</f>
        <v>View</v>
      </c>
    </row>
    <row r="2289" spans="1:19" ht="30">
      <c r="A2289" s="8">
        <v>43370.045011574075</v>
      </c>
      <c r="B2289" s="11" t="str">
        <f>HYPERLINK("https://twitter.com/wellmaniran2","@wellmaniran2")</f>
        <v>@wellmaniran2</v>
      </c>
      <c r="C2289" s="6" t="s">
        <v>1855</v>
      </c>
      <c r="D2289" s="5" t="s">
        <v>408</v>
      </c>
      <c r="E2289" s="9" t="str">
        <f>HYPERLINK("https://twitter.com/wellmaniran2/status/1045064172306870274","1045064172306870274")</f>
        <v>1045064172306870274</v>
      </c>
      <c r="F2289" s="4"/>
      <c r="G2289" s="4"/>
      <c r="H2289" s="4"/>
      <c r="I2289" s="10" t="str">
        <f>HYPERLINK("http://twitter.com/download/android","Twitter for Android")</f>
        <v>Twitter for Android</v>
      </c>
      <c r="J2289" s="2">
        <v>596</v>
      </c>
      <c r="K2289" s="2">
        <v>723</v>
      </c>
      <c r="L2289" s="2">
        <v>1</v>
      </c>
      <c r="M2289" s="2"/>
      <c r="N2289" s="8">
        <v>43287.053298611107</v>
      </c>
      <c r="O2289" s="4"/>
      <c r="P2289" s="3"/>
      <c r="Q2289" s="4"/>
      <c r="R2289" s="4"/>
      <c r="S2289" s="9" t="str">
        <f>HYPERLINK("https://pbs.twimg.com/profile_images/1014979164393402373/TM6DRjMz.jpg","View")</f>
        <v>View</v>
      </c>
    </row>
    <row r="2290" spans="1:19" ht="12.5">
      <c r="A2290" s="8">
        <v>43370.044189814813</v>
      </c>
      <c r="B2290" s="11" t="str">
        <f>HYPERLINK("https://twitter.com/s_hamzehpour","@s_hamzehpour")</f>
        <v>@s_hamzehpour</v>
      </c>
      <c r="C2290" s="6" t="s">
        <v>1854</v>
      </c>
      <c r="D2290" s="5" t="s">
        <v>1853</v>
      </c>
      <c r="E2290" s="9" t="str">
        <f>HYPERLINK("https://twitter.com/s_hamzehpour/status/1045063872783298560","1045063872783298560")</f>
        <v>1045063872783298560</v>
      </c>
      <c r="F2290" s="4"/>
      <c r="G2290" s="10" t="s">
        <v>1852</v>
      </c>
      <c r="H2290" s="4"/>
      <c r="I2290" s="10" t="str">
        <f>HYPERLINK("http://twitter.com/download/android","Twitter for Android")</f>
        <v>Twitter for Android</v>
      </c>
      <c r="J2290" s="2">
        <v>39</v>
      </c>
      <c r="K2290" s="2">
        <v>86</v>
      </c>
      <c r="L2290" s="2">
        <v>0</v>
      </c>
      <c r="M2290" s="2"/>
      <c r="N2290" s="8">
        <v>42875.00309027778</v>
      </c>
      <c r="O2290" s="4" t="s">
        <v>62</v>
      </c>
      <c r="P2290" s="3" t="s">
        <v>1851</v>
      </c>
      <c r="Q2290" s="4"/>
      <c r="R2290" s="4"/>
      <c r="S2290" s="9" t="str">
        <f>HYPERLINK("https://pbs.twimg.com/profile_images/1011611693888212992/6M1hSSQU.jpg","View")</f>
        <v>View</v>
      </c>
    </row>
    <row r="2291" spans="1:19" ht="30">
      <c r="A2291" s="8">
        <v>43370.043090277773</v>
      </c>
      <c r="B2291" s="11" t="str">
        <f>HYPERLINK("https://twitter.com/JalalSala2","@JalalSala2")</f>
        <v>@JalalSala2</v>
      </c>
      <c r="C2291" s="6" t="s">
        <v>1553</v>
      </c>
      <c r="D2291" s="5" t="s">
        <v>1703</v>
      </c>
      <c r="E2291" s="9" t="str">
        <f>HYPERLINK("https://twitter.com/JalalSala2/status/1045063475662393345","1045063475662393345")</f>
        <v>1045063475662393345</v>
      </c>
      <c r="F2291" s="4"/>
      <c r="G2291" s="10" t="s">
        <v>1702</v>
      </c>
      <c r="H2291" s="4"/>
      <c r="I2291" s="10" t="str">
        <f>HYPERLINK("http://twitter.com/download/android","Twitter for Android")</f>
        <v>Twitter for Android</v>
      </c>
      <c r="J2291" s="2">
        <v>19</v>
      </c>
      <c r="K2291" s="2">
        <v>110</v>
      </c>
      <c r="L2291" s="2">
        <v>0</v>
      </c>
      <c r="M2291" s="2"/>
      <c r="N2291" s="8">
        <v>43361.945092592592</v>
      </c>
      <c r="O2291" s="4" t="s">
        <v>55</v>
      </c>
      <c r="P2291" s="3" t="s">
        <v>1551</v>
      </c>
      <c r="Q2291" s="4"/>
      <c r="R2291" s="4"/>
      <c r="S2291" s="9" t="str">
        <f>HYPERLINK("https://pbs.twimg.com/profile_images/1042120977784729600/Wrg-Ukd1.jpg","View")</f>
        <v>View</v>
      </c>
    </row>
    <row r="2292" spans="1:19" ht="30">
      <c r="A2292" s="8">
        <v>43370.04241898148</v>
      </c>
      <c r="B2292" s="11" t="str">
        <f>HYPERLINK("https://twitter.com/FFMoghaddam","@FFMoghaddam")</f>
        <v>@FFMoghaddam</v>
      </c>
      <c r="C2292" s="6" t="s">
        <v>1850</v>
      </c>
      <c r="D2292" s="5" t="s">
        <v>1849</v>
      </c>
      <c r="E2292" s="9" t="str">
        <f>HYPERLINK("https://twitter.com/FFMoghaddam/status/1045063231587454978","1045063231587454978")</f>
        <v>1045063231587454978</v>
      </c>
      <c r="F2292" s="4"/>
      <c r="G2292" s="4"/>
      <c r="H2292" s="4"/>
      <c r="I2292" s="10" t="str">
        <f>HYPERLINK("http://twitter.com/download/iphone","Twitter for iPhone")</f>
        <v>Twitter for iPhone</v>
      </c>
      <c r="J2292" s="2">
        <v>167</v>
      </c>
      <c r="K2292" s="2">
        <v>39</v>
      </c>
      <c r="L2292" s="2">
        <v>0</v>
      </c>
      <c r="M2292" s="2"/>
      <c r="N2292" s="8">
        <v>43090.779224537036</v>
      </c>
      <c r="O2292" s="4" t="s">
        <v>1848</v>
      </c>
      <c r="P2292" s="3" t="s">
        <v>1847</v>
      </c>
      <c r="Q2292" s="10" t="s">
        <v>1846</v>
      </c>
      <c r="R2292" s="4"/>
      <c r="S2292" s="9" t="str">
        <f>HYPERLINK("https://pbs.twimg.com/profile_images/1041413577872220161/E-Ls-zLe.jpg","View")</f>
        <v>View</v>
      </c>
    </row>
    <row r="2293" spans="1:19" ht="20">
      <c r="A2293" s="8">
        <v>43370.042037037041</v>
      </c>
      <c r="B2293" s="11" t="str">
        <f>HYPERLINK("https://twitter.com/rohoo","@rohoo")</f>
        <v>@rohoo</v>
      </c>
      <c r="C2293" s="6" t="s">
        <v>1398</v>
      </c>
      <c r="D2293" s="5" t="s">
        <v>1845</v>
      </c>
      <c r="E2293" s="9" t="str">
        <f>HYPERLINK("https://twitter.com/rohoo/status/1045063092403679239","1045063092403679239")</f>
        <v>1045063092403679239</v>
      </c>
      <c r="F2293" s="4"/>
      <c r="G2293" s="4"/>
      <c r="H2293" s="4"/>
      <c r="I2293" s="10" t="str">
        <f>HYPERLINK("https://about.twitter.com/products/tweetdeck","TweetDeck")</f>
        <v>TweetDeck</v>
      </c>
      <c r="J2293" s="2">
        <v>2485</v>
      </c>
      <c r="K2293" s="2">
        <v>341</v>
      </c>
      <c r="L2293" s="2">
        <v>47</v>
      </c>
      <c r="M2293" s="2"/>
      <c r="N2293" s="8">
        <v>39953.748657407406</v>
      </c>
      <c r="O2293" s="4" t="s">
        <v>72</v>
      </c>
      <c r="P2293" s="3" t="s">
        <v>1396</v>
      </c>
      <c r="Q2293" s="10" t="s">
        <v>1395</v>
      </c>
      <c r="R2293" s="4"/>
      <c r="S2293" s="9" t="str">
        <f>HYPERLINK("https://pbs.twimg.com/profile_images/943909317572411392/2QHMFtB1.jpg","View")</f>
        <v>View</v>
      </c>
    </row>
    <row r="2294" spans="1:19" ht="20">
      <c r="A2294" s="8">
        <v>43370.041874999995</v>
      </c>
      <c r="B2294" s="11" t="str">
        <f>HYPERLINK("https://twitter.com/aideenmot1359","@aideenmot1359")</f>
        <v>@aideenmot1359</v>
      </c>
      <c r="C2294" s="6" t="s">
        <v>1791</v>
      </c>
      <c r="D2294" s="5" t="s">
        <v>1844</v>
      </c>
      <c r="E2294" s="9" t="str">
        <f>HYPERLINK("https://twitter.com/aideenmot1359/status/1045063034383863810","1045063034383863810")</f>
        <v>1045063034383863810</v>
      </c>
      <c r="F2294" s="4"/>
      <c r="G2294" s="10" t="s">
        <v>1789</v>
      </c>
      <c r="H2294" s="4"/>
      <c r="I2294" s="10" t="str">
        <f>HYPERLINK("http://twitter.com/download/iphone","Twitter for iPhone")</f>
        <v>Twitter for iPhone</v>
      </c>
      <c r="J2294" s="2">
        <v>769</v>
      </c>
      <c r="K2294" s="2">
        <v>895</v>
      </c>
      <c r="L2294" s="2">
        <v>1</v>
      </c>
      <c r="M2294" s="2"/>
      <c r="N2294" s="8">
        <v>42656.096099537041</v>
      </c>
      <c r="O2294" s="4" t="s">
        <v>10</v>
      </c>
      <c r="P2294" s="3" t="s">
        <v>1788</v>
      </c>
      <c r="Q2294" s="4"/>
      <c r="R2294" s="4"/>
      <c r="S2294" s="9" t="str">
        <f>HYPERLINK("https://pbs.twimg.com/profile_images/1037809286179631106/sEtxbZ0Q.jpg","View")</f>
        <v>View</v>
      </c>
    </row>
    <row r="2295" spans="1:19" ht="50">
      <c r="A2295" s="8">
        <v>43370.041805555556</v>
      </c>
      <c r="B2295" s="11" t="str">
        <f>HYPERLINK("https://twitter.com/Shahryarerami","@Shahryarerami")</f>
        <v>@Shahryarerami</v>
      </c>
      <c r="C2295" s="6" t="s">
        <v>1843</v>
      </c>
      <c r="D2295" s="5" t="s">
        <v>1529</v>
      </c>
      <c r="E2295" s="9" t="str">
        <f>HYPERLINK("https://twitter.com/Shahryarerami/status/1045063011420000258","1045063011420000258")</f>
        <v>1045063011420000258</v>
      </c>
      <c r="F2295" s="4"/>
      <c r="G2295" s="10" t="s">
        <v>1528</v>
      </c>
      <c r="H2295" s="4"/>
      <c r="I2295" s="10" t="str">
        <f>HYPERLINK("http://twitter.com/download/android","Twitter for Android")</f>
        <v>Twitter for Android</v>
      </c>
      <c r="J2295" s="2">
        <v>308</v>
      </c>
      <c r="K2295" s="2">
        <v>5000</v>
      </c>
      <c r="L2295" s="2">
        <v>0</v>
      </c>
      <c r="M2295" s="2"/>
      <c r="N2295" s="8">
        <v>42799.381249999999</v>
      </c>
      <c r="O2295" s="4" t="s">
        <v>1842</v>
      </c>
      <c r="P2295" s="3" t="s">
        <v>1841</v>
      </c>
      <c r="Q2295" s="4"/>
      <c r="R2295" s="4"/>
      <c r="S2295" s="9" t="str">
        <f>HYPERLINK("https://pbs.twimg.com/profile_images/1020669459235778560/A1FEFu62.jpg","View")</f>
        <v>View</v>
      </c>
    </row>
    <row r="2296" spans="1:19" ht="20">
      <c r="A2296" s="8">
        <v>43370.041273148148</v>
      </c>
      <c r="B2296" s="11" t="str">
        <f>HYPERLINK("https://twitter.com/hodoram_","@hodoram_")</f>
        <v>@hodoram_</v>
      </c>
      <c r="C2296" s="6" t="s">
        <v>1840</v>
      </c>
      <c r="D2296" s="5" t="s">
        <v>1839</v>
      </c>
      <c r="E2296" s="9" t="str">
        <f>HYPERLINK("https://twitter.com/hodoram_/status/1045062816804286466","1045062816804286466")</f>
        <v>1045062816804286466</v>
      </c>
      <c r="F2296" s="4"/>
      <c r="G2296" s="4"/>
      <c r="H2296" s="4"/>
      <c r="I2296" s="10" t="str">
        <f>HYPERLINK("http://twitter.com/download/android","Twitter for Android")</f>
        <v>Twitter for Android</v>
      </c>
      <c r="J2296" s="2">
        <v>14</v>
      </c>
      <c r="K2296" s="2">
        <v>23</v>
      </c>
      <c r="L2296" s="2">
        <v>0</v>
      </c>
      <c r="M2296" s="2"/>
      <c r="N2296" s="8">
        <v>43308.874699074076</v>
      </c>
      <c r="O2296" s="4"/>
      <c r="P2296" s="3" t="s">
        <v>1838</v>
      </c>
      <c r="Q2296" s="4"/>
      <c r="R2296" s="4"/>
      <c r="S2296" s="9" t="str">
        <f>HYPERLINK("https://pbs.twimg.com/profile_images/1039175558171643904/kwha1qr9.jpg","View")</f>
        <v>View</v>
      </c>
    </row>
    <row r="2297" spans="1:19" ht="20">
      <c r="A2297" s="8">
        <v>43370.040763888886</v>
      </c>
      <c r="B2297" s="11" t="str">
        <f>HYPERLINK("https://twitter.com/IAmSpectre1","@IAmSpectre1")</f>
        <v>@IAmSpectre1</v>
      </c>
      <c r="C2297" s="6" t="s">
        <v>1837</v>
      </c>
      <c r="D2297" s="5" t="s">
        <v>1836</v>
      </c>
      <c r="E2297" s="9" t="str">
        <f>HYPERLINK("https://twitter.com/IAmSpectre1/status/1045062632091389952","1045062632091389952")</f>
        <v>1045062632091389952</v>
      </c>
      <c r="F2297" s="4"/>
      <c r="G2297" s="4"/>
      <c r="H2297" s="4"/>
      <c r="I2297" s="10" t="str">
        <f>HYPERLINK("https://mobile.twitter.com","Twitter Lite")</f>
        <v>Twitter Lite</v>
      </c>
      <c r="J2297" s="2">
        <v>28</v>
      </c>
      <c r="K2297" s="2">
        <v>118</v>
      </c>
      <c r="L2297" s="2">
        <v>0</v>
      </c>
      <c r="M2297" s="2"/>
      <c r="N2297" s="8">
        <v>43353.972604166665</v>
      </c>
      <c r="O2297" s="4"/>
      <c r="P2297" s="3" t="s">
        <v>1835</v>
      </c>
      <c r="Q2297" s="4"/>
      <c r="R2297" s="4"/>
      <c r="S2297" s="9" t="str">
        <f>HYPERLINK("https://pbs.twimg.com/profile_images/1040007508641935361/jUSSxD-C.jpg","View")</f>
        <v>View</v>
      </c>
    </row>
    <row r="2298" spans="1:19" ht="12.5">
      <c r="A2298" s="8">
        <v>43370.040405092594</v>
      </c>
      <c r="B2298" s="11" t="str">
        <f>HYPERLINK("https://twitter.com/hosseinferdousi","@hosseinferdousi")</f>
        <v>@hosseinferdousi</v>
      </c>
      <c r="C2298" s="6" t="s">
        <v>1834</v>
      </c>
      <c r="D2298" s="5" t="s">
        <v>1833</v>
      </c>
      <c r="E2298" s="9" t="str">
        <f>HYPERLINK("https://twitter.com/hosseinferdousi/status/1045062502105649153","1045062502105649153")</f>
        <v>1045062502105649153</v>
      </c>
      <c r="F2298" s="4"/>
      <c r="G2298" s="4"/>
      <c r="H2298" s="4"/>
      <c r="I2298" s="10" t="str">
        <f>HYPERLINK("http://twitter.com","Twitter Web Client")</f>
        <v>Twitter Web Client</v>
      </c>
      <c r="J2298" s="2">
        <v>174</v>
      </c>
      <c r="K2298" s="2">
        <v>503</v>
      </c>
      <c r="L2298" s="2">
        <v>1</v>
      </c>
      <c r="M2298" s="2"/>
      <c r="N2298" s="8">
        <v>40366.083981481483</v>
      </c>
      <c r="O2298" s="4" t="s">
        <v>1832</v>
      </c>
      <c r="P2298" s="3"/>
      <c r="Q2298" s="4"/>
      <c r="R2298" s="4"/>
      <c r="S2298" s="9" t="str">
        <f>HYPERLINK("https://pbs.twimg.com/profile_images/994543275804647424/80ZbihDp.jpg","View")</f>
        <v>View</v>
      </c>
    </row>
    <row r="2299" spans="1:19" ht="40">
      <c r="A2299" s="8">
        <v>43370.040208333332</v>
      </c>
      <c r="B2299" s="11" t="str">
        <f>HYPERLINK("https://twitter.com/mohammadreza720","@mohammadreza720")</f>
        <v>@mohammadreza720</v>
      </c>
      <c r="C2299" s="6" t="s">
        <v>1831</v>
      </c>
      <c r="D2299" s="5" t="s">
        <v>1830</v>
      </c>
      <c r="E2299" s="9" t="str">
        <f>HYPERLINK("https://twitter.com/mohammadreza720/status/1045062431955996674","1045062431955996674")</f>
        <v>1045062431955996674</v>
      </c>
      <c r="F2299" s="4"/>
      <c r="G2299" s="4"/>
      <c r="H2299" s="4"/>
      <c r="I2299" s="10" t="str">
        <f>HYPERLINK("http://twitter.com/download/android","Twitter for Android")</f>
        <v>Twitter for Android</v>
      </c>
      <c r="J2299" s="2">
        <v>2949</v>
      </c>
      <c r="K2299" s="2">
        <v>4135</v>
      </c>
      <c r="L2299" s="2">
        <v>3</v>
      </c>
      <c r="M2299" s="2"/>
      <c r="N2299" s="8">
        <v>42878.924131944441</v>
      </c>
      <c r="O2299" s="4" t="s">
        <v>1829</v>
      </c>
      <c r="P2299" s="3" t="s">
        <v>1828</v>
      </c>
      <c r="Q2299" s="10" t="s">
        <v>1827</v>
      </c>
      <c r="R2299" s="4"/>
      <c r="S2299" s="9" t="str">
        <f>HYPERLINK("https://pbs.twimg.com/profile_images/868142084309561344/lip-_JJK.jpg","View")</f>
        <v>View</v>
      </c>
    </row>
    <row r="2300" spans="1:19" ht="20">
      <c r="A2300" s="8">
        <v>43370.040162037039</v>
      </c>
      <c r="B2300" s="11" t="str">
        <f>HYPERLINK("https://twitter.com/Scarletwitch889","@Scarletwitch889")</f>
        <v>@Scarletwitch889</v>
      </c>
      <c r="C2300" s="6" t="s">
        <v>1826</v>
      </c>
      <c r="D2300" s="5" t="s">
        <v>1079</v>
      </c>
      <c r="E2300" s="9" t="str">
        <f>HYPERLINK("https://twitter.com/Scarletwitch889/status/1045062412704014336","1045062412704014336")</f>
        <v>1045062412704014336</v>
      </c>
      <c r="F2300" s="4"/>
      <c r="G2300" s="4"/>
      <c r="H2300" s="4"/>
      <c r="I2300" s="10" t="str">
        <f>HYPERLINK("http://twitter.com/download/android","Twitter for Android")</f>
        <v>Twitter for Android</v>
      </c>
      <c r="J2300" s="2">
        <v>48</v>
      </c>
      <c r="K2300" s="2">
        <v>47</v>
      </c>
      <c r="L2300" s="2">
        <v>0</v>
      </c>
      <c r="M2300" s="2"/>
      <c r="N2300" s="8">
        <v>43355.860972222217</v>
      </c>
      <c r="O2300" s="4" t="s">
        <v>1825</v>
      </c>
      <c r="P2300" s="3" t="s">
        <v>1824</v>
      </c>
      <c r="Q2300" s="4"/>
      <c r="R2300" s="4"/>
      <c r="S2300" s="9" t="str">
        <f>HYPERLINK("https://pbs.twimg.com/profile_images/1039911029268992001/E225aHPt.jpg","View")</f>
        <v>View</v>
      </c>
    </row>
    <row r="2301" spans="1:19" ht="30">
      <c r="A2301" s="8">
        <v>43370.039583333331</v>
      </c>
      <c r="B2301" s="11" t="str">
        <f>HYPERLINK("https://twitter.com/SMirdarvatan","@SMirdarvatan")</f>
        <v>@SMirdarvatan</v>
      </c>
      <c r="C2301" s="6" t="s">
        <v>1823</v>
      </c>
      <c r="D2301" s="5" t="s">
        <v>1822</v>
      </c>
      <c r="E2301" s="9" t="str">
        <f>HYPERLINK("https://twitter.com/SMirdarvatan/status/1045062202925961217","1045062202925961217")</f>
        <v>1045062202925961217</v>
      </c>
      <c r="F2301" s="10" t="s">
        <v>1821</v>
      </c>
      <c r="G2301" s="10" t="s">
        <v>1820</v>
      </c>
      <c r="H2301" s="4"/>
      <c r="I2301" s="10" t="str">
        <f>HYPERLINK("https://mobile.twitter.com","Twitter Lite")</f>
        <v>Twitter Lite</v>
      </c>
      <c r="J2301" s="2">
        <v>222</v>
      </c>
      <c r="K2301" s="2">
        <v>894</v>
      </c>
      <c r="L2301" s="2">
        <v>0</v>
      </c>
      <c r="M2301" s="2"/>
      <c r="N2301" s="8">
        <v>43335.958275462966</v>
      </c>
      <c r="O2301" s="4" t="s">
        <v>1819</v>
      </c>
      <c r="P2301" s="3" t="s">
        <v>1818</v>
      </c>
      <c r="Q2301" s="4"/>
      <c r="R2301" s="4"/>
      <c r="S2301" s="9" t="str">
        <f>HYPERLINK("https://pbs.twimg.com/profile_images/1044740925518479360/rpZYNKzU.jpg","View")</f>
        <v>View</v>
      </c>
    </row>
    <row r="2302" spans="1:19" ht="40">
      <c r="A2302" s="8">
        <v>43370.038414351853</v>
      </c>
      <c r="B2302" s="11" t="str">
        <f>HYPERLINK("https://twitter.com/captain_cga","@captain_cga")</f>
        <v>@captain_cga</v>
      </c>
      <c r="C2302" s="6" t="s">
        <v>1757</v>
      </c>
      <c r="D2302" s="5" t="s">
        <v>1769</v>
      </c>
      <c r="E2302" s="9" t="str">
        <f>HYPERLINK("https://twitter.com/captain_cga/status/1045061780484100096","1045061780484100096")</f>
        <v>1045061780484100096</v>
      </c>
      <c r="F2302" s="4"/>
      <c r="G2302" s="4"/>
      <c r="H2302" s="4"/>
      <c r="I2302" s="10" t="str">
        <f>HYPERLINK("http://twitter.com/download/android","Twitter for Android")</f>
        <v>Twitter for Android</v>
      </c>
      <c r="J2302" s="2">
        <v>187</v>
      </c>
      <c r="K2302" s="2">
        <v>88</v>
      </c>
      <c r="L2302" s="2">
        <v>0</v>
      </c>
      <c r="M2302" s="2"/>
      <c r="N2302" s="8">
        <v>43100.014664351853</v>
      </c>
      <c r="O2302" s="4" t="s">
        <v>1755</v>
      </c>
      <c r="P2302" s="3" t="s">
        <v>1754</v>
      </c>
      <c r="Q2302" s="4"/>
      <c r="R2302" s="4"/>
      <c r="S2302" s="9" t="str">
        <f>HYPERLINK("https://pbs.twimg.com/profile_images/1035910889860460545/y7XsIiEa.jpg","View")</f>
        <v>View</v>
      </c>
    </row>
    <row r="2303" spans="1:19" ht="20">
      <c r="A2303" s="8">
        <v>43370.038182870368</v>
      </c>
      <c r="B2303" s="11" t="str">
        <f>HYPERLINK("https://twitter.com/jak_gonjishke","@jak_gonjishke")</f>
        <v>@jak_gonjishke</v>
      </c>
      <c r="C2303" s="6" t="s">
        <v>1817</v>
      </c>
      <c r="D2303" s="5" t="s">
        <v>727</v>
      </c>
      <c r="E2303" s="9" t="str">
        <f>HYPERLINK("https://twitter.com/jak_gonjishke/status/1045061698544193537","1045061698544193537")</f>
        <v>1045061698544193537</v>
      </c>
      <c r="F2303" s="4"/>
      <c r="G2303" s="10" t="s">
        <v>722</v>
      </c>
      <c r="H2303" s="4"/>
      <c r="I2303" s="10" t="str">
        <f>HYPERLINK("http://twitter.com/download/android","Twitter for Android")</f>
        <v>Twitter for Android</v>
      </c>
      <c r="J2303" s="2">
        <v>310</v>
      </c>
      <c r="K2303" s="2">
        <v>308</v>
      </c>
      <c r="L2303" s="2">
        <v>0</v>
      </c>
      <c r="M2303" s="2"/>
      <c r="N2303" s="8">
        <v>43322.821157407408</v>
      </c>
      <c r="O2303" s="4" t="s">
        <v>1816</v>
      </c>
      <c r="P2303" s="3" t="s">
        <v>1815</v>
      </c>
      <c r="Q2303" s="4"/>
      <c r="R2303" s="4"/>
      <c r="S2303" s="9" t="str">
        <f>HYPERLINK("https://pbs.twimg.com/profile_images/1028219689288327169/ymJbxWpR.jpg","View")</f>
        <v>View</v>
      </c>
    </row>
    <row r="2304" spans="1:19" ht="40">
      <c r="A2304" s="8">
        <v>43370.038043981476</v>
      </c>
      <c r="B2304" s="11" t="str">
        <f>HYPERLINK("https://twitter.com/captain_cga","@captain_cga")</f>
        <v>@captain_cga</v>
      </c>
      <c r="C2304" s="6" t="s">
        <v>1757</v>
      </c>
      <c r="D2304" s="5" t="s">
        <v>1814</v>
      </c>
      <c r="E2304" s="9" t="str">
        <f>HYPERLINK("https://twitter.com/captain_cga/status/1045061647268827136","1045061647268827136")</f>
        <v>1045061647268827136</v>
      </c>
      <c r="F2304" s="4"/>
      <c r="G2304" s="4"/>
      <c r="H2304" s="4"/>
      <c r="I2304" s="10" t="str">
        <f>HYPERLINK("http://twitter.com/download/android","Twitter for Android")</f>
        <v>Twitter for Android</v>
      </c>
      <c r="J2304" s="2">
        <v>187</v>
      </c>
      <c r="K2304" s="2">
        <v>88</v>
      </c>
      <c r="L2304" s="2">
        <v>0</v>
      </c>
      <c r="M2304" s="2"/>
      <c r="N2304" s="8">
        <v>43100.014664351853</v>
      </c>
      <c r="O2304" s="4" t="s">
        <v>1755</v>
      </c>
      <c r="P2304" s="3" t="s">
        <v>1754</v>
      </c>
      <c r="Q2304" s="4"/>
      <c r="R2304" s="4"/>
      <c r="S2304" s="9" t="str">
        <f>HYPERLINK("https://pbs.twimg.com/profile_images/1035910889860460545/y7XsIiEa.jpg","View")</f>
        <v>View</v>
      </c>
    </row>
    <row r="2305" spans="1:19" ht="30">
      <c r="A2305" s="8">
        <v>43370.037546296298</v>
      </c>
      <c r="B2305" s="11" t="str">
        <f>HYPERLINK("https://twitter.com/aghaei42","@aghaei42")</f>
        <v>@aghaei42</v>
      </c>
      <c r="C2305" s="6" t="s">
        <v>344</v>
      </c>
      <c r="D2305" s="5" t="s">
        <v>1201</v>
      </c>
      <c r="E2305" s="9" t="str">
        <f>HYPERLINK("https://twitter.com/aghaei42/status/1045061465852522496","1045061465852522496")</f>
        <v>1045061465852522496</v>
      </c>
      <c r="F2305" s="4"/>
      <c r="G2305" s="4"/>
      <c r="H2305" s="4"/>
      <c r="I2305" s="10" t="str">
        <f>HYPERLINK("http://twitter.com/download/android","Twitter for Android")</f>
        <v>Twitter for Android</v>
      </c>
      <c r="J2305" s="2">
        <v>100</v>
      </c>
      <c r="K2305" s="2">
        <v>376</v>
      </c>
      <c r="L2305" s="2">
        <v>0</v>
      </c>
      <c r="M2305" s="2"/>
      <c r="N2305" s="8">
        <v>41963.864363425921</v>
      </c>
      <c r="O2305" s="4"/>
      <c r="P2305" s="3"/>
      <c r="Q2305" s="4"/>
      <c r="R2305" s="4"/>
      <c r="S2305" s="9" t="str">
        <f>HYPERLINK("https://pbs.twimg.com/profile_images/779396255017492481/aLCEzVxT.jpg","View")</f>
        <v>View</v>
      </c>
    </row>
    <row r="2306" spans="1:19" ht="30">
      <c r="A2306" s="8">
        <v>43370.037152777775</v>
      </c>
      <c r="B2306" s="11" t="str">
        <f>HYPERLINK("https://twitter.com/fatemehzahraaa","@fatemehzahraaa")</f>
        <v>@fatemehzahraaa</v>
      </c>
      <c r="C2306" s="6" t="s">
        <v>1813</v>
      </c>
      <c r="D2306" s="5" t="s">
        <v>1812</v>
      </c>
      <c r="E2306" s="9" t="str">
        <f>HYPERLINK("https://twitter.com/fatemehzahraaa/status/1045061325498580992","1045061325498580992")</f>
        <v>1045061325498580992</v>
      </c>
      <c r="F2306" s="4"/>
      <c r="G2306" s="4"/>
      <c r="H2306" s="4"/>
      <c r="I2306" s="10" t="str">
        <f>HYPERLINK("http://twitter.com/download/android","Twitter for Android")</f>
        <v>Twitter for Android</v>
      </c>
      <c r="J2306" s="2">
        <v>2174</v>
      </c>
      <c r="K2306" s="2">
        <v>1739</v>
      </c>
      <c r="L2306" s="2">
        <v>4</v>
      </c>
      <c r="M2306" s="2"/>
      <c r="N2306" s="8">
        <v>43109.690150462964</v>
      </c>
      <c r="O2306" s="4" t="s">
        <v>62</v>
      </c>
      <c r="P2306" s="3" t="s">
        <v>1811</v>
      </c>
      <c r="Q2306" s="4"/>
      <c r="R2306" s="4"/>
      <c r="S2306" s="9" t="str">
        <f>HYPERLINK("https://pbs.twimg.com/profile_images/1033398905935994880/R0Y84y6o.jpg","View")</f>
        <v>View</v>
      </c>
    </row>
    <row r="2307" spans="1:19" ht="30">
      <c r="A2307" s="8">
        <v>43370.03706018519</v>
      </c>
      <c r="B2307" s="11" t="str">
        <f>HYPERLINK("https://twitter.com/rohoo","@rohoo")</f>
        <v>@rohoo</v>
      </c>
      <c r="C2307" s="6" t="s">
        <v>1398</v>
      </c>
      <c r="D2307" s="5" t="s">
        <v>1810</v>
      </c>
      <c r="E2307" s="9" t="str">
        <f>HYPERLINK("https://twitter.com/rohoo/status/1045061291545694208","1045061291545694208")</f>
        <v>1045061291545694208</v>
      </c>
      <c r="F2307" s="4"/>
      <c r="G2307" s="4"/>
      <c r="H2307" s="4"/>
      <c r="I2307" s="10" t="str">
        <f>HYPERLINK("https://about.twitter.com/products/tweetdeck","TweetDeck")</f>
        <v>TweetDeck</v>
      </c>
      <c r="J2307" s="2">
        <v>2485</v>
      </c>
      <c r="K2307" s="2">
        <v>341</v>
      </c>
      <c r="L2307" s="2">
        <v>47</v>
      </c>
      <c r="M2307" s="2"/>
      <c r="N2307" s="8">
        <v>39953.748657407406</v>
      </c>
      <c r="O2307" s="4" t="s">
        <v>72</v>
      </c>
      <c r="P2307" s="3" t="s">
        <v>1396</v>
      </c>
      <c r="Q2307" s="10" t="s">
        <v>1395</v>
      </c>
      <c r="R2307" s="4"/>
      <c r="S2307" s="9" t="str">
        <f>HYPERLINK("https://pbs.twimg.com/profile_images/943909317572411392/2QHMFtB1.jpg","View")</f>
        <v>View</v>
      </c>
    </row>
    <row r="2308" spans="1:19" ht="30">
      <c r="A2308" s="8">
        <v>43370.036817129629</v>
      </c>
      <c r="B2308" s="11" t="str">
        <f>HYPERLINK("https://twitter.com/NahidSeif","@NahidSeif")</f>
        <v>@NahidSeif</v>
      </c>
      <c r="C2308" s="6" t="s">
        <v>1809</v>
      </c>
      <c r="D2308" s="5" t="s">
        <v>2</v>
      </c>
      <c r="E2308" s="9" t="str">
        <f>HYPERLINK("https://twitter.com/NahidSeif/status/1045061200235700226","1045061200235700226")</f>
        <v>1045061200235700226</v>
      </c>
      <c r="F2308" s="4"/>
      <c r="G2308" s="4"/>
      <c r="H2308" s="4"/>
      <c r="I2308" s="10" t="str">
        <f>HYPERLINK("http://twitter.com/download/iphone","Twitter for iPhone")</f>
        <v>Twitter for iPhone</v>
      </c>
      <c r="J2308" s="2">
        <v>5799</v>
      </c>
      <c r="K2308" s="2">
        <v>355</v>
      </c>
      <c r="L2308" s="2">
        <v>15</v>
      </c>
      <c r="M2308" s="2"/>
      <c r="N2308" s="8">
        <v>43054.811111111107</v>
      </c>
      <c r="O2308" s="4" t="s">
        <v>1808</v>
      </c>
      <c r="P2308" s="3" t="s">
        <v>1807</v>
      </c>
      <c r="Q2308" s="4"/>
      <c r="R2308" s="4"/>
      <c r="S2308" s="9" t="str">
        <f>HYPERLINK("https://pbs.twimg.com/profile_images/1038894157065019393/93O9EXTE.jpg","View")</f>
        <v>View</v>
      </c>
    </row>
    <row r="2309" spans="1:19" ht="40">
      <c r="A2309" s="8">
        <v>43370.036412037036</v>
      </c>
      <c r="B2309" s="11" t="str">
        <f>HYPERLINK("https://twitter.com/ArtLover1367","@ArtLover1367")</f>
        <v>@ArtLover1367</v>
      </c>
      <c r="C2309" s="6" t="s">
        <v>1660</v>
      </c>
      <c r="D2309" s="5" t="s">
        <v>1806</v>
      </c>
      <c r="E2309" s="9" t="str">
        <f>HYPERLINK("https://twitter.com/ArtLover1367/status/1045061053963472899","1045061053963472899")</f>
        <v>1045061053963472899</v>
      </c>
      <c r="F2309" s="4"/>
      <c r="G2309" s="4"/>
      <c r="H2309" s="4"/>
      <c r="I2309" s="10" t="str">
        <f>HYPERLINK("http://twitter.com","Twitter Web Client")</f>
        <v>Twitter Web Client</v>
      </c>
      <c r="J2309" s="2">
        <v>2998</v>
      </c>
      <c r="K2309" s="2">
        <v>655</v>
      </c>
      <c r="L2309" s="2">
        <v>18</v>
      </c>
      <c r="M2309" s="2"/>
      <c r="N2309" s="8">
        <v>42573.976516203707</v>
      </c>
      <c r="O2309" s="4"/>
      <c r="P2309" s="3" t="s">
        <v>1658</v>
      </c>
      <c r="Q2309" s="4"/>
      <c r="R2309" s="4"/>
      <c r="S2309" s="9" t="str">
        <f>HYPERLINK("https://pbs.twimg.com/profile_images/1042732563138314240/wqRPjiv7.jpg","View")</f>
        <v>View</v>
      </c>
    </row>
    <row r="2310" spans="1:19" ht="30">
      <c r="A2310" s="8">
        <v>43370.03638888889</v>
      </c>
      <c r="B2310" s="11" t="str">
        <f>HYPERLINK("https://twitter.com/mahshidtavakoli","@mahshidtavakoli")</f>
        <v>@mahshidtavakoli</v>
      </c>
      <c r="C2310" s="6" t="s">
        <v>1805</v>
      </c>
      <c r="D2310" s="5" t="s">
        <v>1680</v>
      </c>
      <c r="E2310" s="9" t="str">
        <f>HYPERLINK("https://twitter.com/mahshidtavakoli/status/1045061047105794048","1045061047105794048")</f>
        <v>1045061047105794048</v>
      </c>
      <c r="F2310" s="4"/>
      <c r="G2310" s="4"/>
      <c r="H2310" s="4"/>
      <c r="I2310" s="10" t="str">
        <f>HYPERLINK("http://twitter.com/download/android","Twitter for Android")</f>
        <v>Twitter for Android</v>
      </c>
      <c r="J2310" s="2">
        <v>9104</v>
      </c>
      <c r="K2310" s="2">
        <v>1324</v>
      </c>
      <c r="L2310" s="2">
        <v>29</v>
      </c>
      <c r="M2310" s="2"/>
      <c r="N2310" s="8">
        <v>43058.646608796298</v>
      </c>
      <c r="O2310" s="4" t="s">
        <v>1804</v>
      </c>
      <c r="P2310" s="3" t="s">
        <v>1803</v>
      </c>
      <c r="Q2310" s="4"/>
      <c r="R2310" s="4"/>
      <c r="S2310" s="9" t="str">
        <f>HYPERLINK("https://pbs.twimg.com/profile_images/1022614271627350016/nSkWVt9I.jpg","View")</f>
        <v>View</v>
      </c>
    </row>
    <row r="2311" spans="1:19" ht="40">
      <c r="A2311" s="8">
        <v>43370.036273148144</v>
      </c>
      <c r="B2311" s="11" t="str">
        <f>HYPERLINK("https://twitter.com/Star25748148","@Star25748148")</f>
        <v>@Star25748148</v>
      </c>
      <c r="C2311" s="6" t="s">
        <v>1777</v>
      </c>
      <c r="D2311" s="5" t="s">
        <v>1785</v>
      </c>
      <c r="E2311" s="9" t="str">
        <f>HYPERLINK("https://twitter.com/Star25748148/status/1045061005108277251","1045061005108277251")</f>
        <v>1045061005108277251</v>
      </c>
      <c r="F2311" s="4"/>
      <c r="G2311" s="10" t="s">
        <v>1759</v>
      </c>
      <c r="H2311" s="4"/>
      <c r="I2311" s="10" t="str">
        <f>HYPERLINK("http://twitter.com/download/android","Twitter for Android")</f>
        <v>Twitter for Android</v>
      </c>
      <c r="J2311" s="2">
        <v>400</v>
      </c>
      <c r="K2311" s="2">
        <v>339</v>
      </c>
      <c r="L2311" s="2">
        <v>0</v>
      </c>
      <c r="M2311" s="2"/>
      <c r="N2311" s="8">
        <v>43098.875069444446</v>
      </c>
      <c r="O2311" s="4"/>
      <c r="P2311" s="3" t="s">
        <v>1776</v>
      </c>
      <c r="Q2311" s="4"/>
      <c r="R2311" s="4"/>
      <c r="S2311" s="9" t="str">
        <f>HYPERLINK("https://pbs.twimg.com/profile_images/1036740295684182017/1vbY0Ehf.jpg","View")</f>
        <v>View</v>
      </c>
    </row>
    <row r="2312" spans="1:19" ht="30">
      <c r="A2312" s="8">
        <v>43370.036203703705</v>
      </c>
      <c r="B2312" s="11" t="str">
        <f>HYPERLINK("https://twitter.com/aghaei42","@aghaei42")</f>
        <v>@aghaei42</v>
      </c>
      <c r="C2312" s="6" t="s">
        <v>344</v>
      </c>
      <c r="D2312" s="5" t="s">
        <v>1239</v>
      </c>
      <c r="E2312" s="9" t="str">
        <f>HYPERLINK("https://twitter.com/aghaei42/status/1045060979334291456","1045060979334291456")</f>
        <v>1045060979334291456</v>
      </c>
      <c r="F2312" s="4"/>
      <c r="G2312" s="4"/>
      <c r="H2312" s="4"/>
      <c r="I2312" s="10" t="str">
        <f>HYPERLINK("http://twitter.com/download/android","Twitter for Android")</f>
        <v>Twitter for Android</v>
      </c>
      <c r="J2312" s="2">
        <v>100</v>
      </c>
      <c r="K2312" s="2">
        <v>376</v>
      </c>
      <c r="L2312" s="2">
        <v>0</v>
      </c>
      <c r="M2312" s="2"/>
      <c r="N2312" s="8">
        <v>41963.864363425921</v>
      </c>
      <c r="O2312" s="4"/>
      <c r="P2312" s="3"/>
      <c r="Q2312" s="4"/>
      <c r="R2312" s="4"/>
      <c r="S2312" s="9" t="str">
        <f>HYPERLINK("https://pbs.twimg.com/profile_images/779396255017492481/aLCEzVxT.jpg","View")</f>
        <v>View</v>
      </c>
    </row>
    <row r="2313" spans="1:19" ht="50">
      <c r="A2313" s="8">
        <v>43370.035937499997</v>
      </c>
      <c r="B2313" s="11" t="str">
        <f>HYPERLINK("https://twitter.com/Entropy314","@Entropy314")</f>
        <v>@Entropy314</v>
      </c>
      <c r="C2313" s="6" t="s">
        <v>1802</v>
      </c>
      <c r="D2313" s="5" t="s">
        <v>1168</v>
      </c>
      <c r="E2313" s="9" t="str">
        <f>HYPERLINK("https://twitter.com/Entropy314/status/1045060884333301760","1045060884333301760")</f>
        <v>1045060884333301760</v>
      </c>
      <c r="F2313" s="4"/>
      <c r="G2313" s="10" t="s">
        <v>907</v>
      </c>
      <c r="H2313" s="4"/>
      <c r="I2313" s="10" t="str">
        <f>HYPERLINK("http://twitter.com/download/iphone","Twitter for iPhone")</f>
        <v>Twitter for iPhone</v>
      </c>
      <c r="J2313" s="2">
        <v>91</v>
      </c>
      <c r="K2313" s="2">
        <v>87</v>
      </c>
      <c r="L2313" s="2">
        <v>0</v>
      </c>
      <c r="M2313" s="2"/>
      <c r="N2313" s="8">
        <v>42510.982175925921</v>
      </c>
      <c r="O2313" s="4" t="s">
        <v>1801</v>
      </c>
      <c r="P2313" s="3" t="s">
        <v>1776</v>
      </c>
      <c r="Q2313" s="4"/>
      <c r="R2313" s="4"/>
      <c r="S2313" s="9" t="str">
        <f>HYPERLINK("https://pbs.twimg.com/profile_images/1023592479201918976/j9viDf6Y.jpg","View")</f>
        <v>View</v>
      </c>
    </row>
    <row r="2314" spans="1:19" ht="30">
      <c r="A2314" s="8">
        <v>43370.035717592589</v>
      </c>
      <c r="B2314" s="11" t="str">
        <f>HYPERLINK("https://twitter.com/sina_jh","@sina_jh")</f>
        <v>@sina_jh</v>
      </c>
      <c r="C2314" s="6" t="s">
        <v>1800</v>
      </c>
      <c r="D2314" s="5" t="s">
        <v>1799</v>
      </c>
      <c r="E2314" s="9" t="str">
        <f>HYPERLINK("https://twitter.com/sina_jh/status/1045060802284142592","1045060802284142592")</f>
        <v>1045060802284142592</v>
      </c>
      <c r="F2314" s="4"/>
      <c r="G2314" s="4"/>
      <c r="H2314" s="4"/>
      <c r="I2314" s="10" t="str">
        <f>HYPERLINK("http://twitter.com/download/android","Twitter for Android")</f>
        <v>Twitter for Android</v>
      </c>
      <c r="J2314" s="2">
        <v>87</v>
      </c>
      <c r="K2314" s="2">
        <v>71</v>
      </c>
      <c r="L2314" s="2">
        <v>0</v>
      </c>
      <c r="M2314" s="2"/>
      <c r="N2314" s="8">
        <v>42562.958182870367</v>
      </c>
      <c r="O2314" s="4" t="s">
        <v>10</v>
      </c>
      <c r="P2314" s="3" t="s">
        <v>1798</v>
      </c>
      <c r="Q2314" s="4"/>
      <c r="R2314" s="4"/>
      <c r="S2314" s="9" t="str">
        <f>HYPERLINK("https://pbs.twimg.com/profile_images/1012841385785942016/UlXpqoN5.jpg","View")</f>
        <v>View</v>
      </c>
    </row>
    <row r="2315" spans="1:19" ht="20">
      <c r="A2315" s="8">
        <v>43370.035671296297</v>
      </c>
      <c r="B2315" s="11" t="str">
        <f>HYPERLINK("https://twitter.com/elisa6110","@elisa6110")</f>
        <v>@elisa6110</v>
      </c>
      <c r="C2315" s="6" t="s">
        <v>1797</v>
      </c>
      <c r="D2315" s="5" t="s">
        <v>687</v>
      </c>
      <c r="E2315" s="9" t="str">
        <f>HYPERLINK("https://twitter.com/elisa6110/status/1045060786618597377","1045060786618597377")</f>
        <v>1045060786618597377</v>
      </c>
      <c r="F2315" s="4"/>
      <c r="G2315" s="10" t="s">
        <v>686</v>
      </c>
      <c r="H2315" s="4"/>
      <c r="I2315" s="10" t="str">
        <f>HYPERLINK("http://twitter.com/download/iphone","Twitter for iPhone")</f>
        <v>Twitter for iPhone</v>
      </c>
      <c r="J2315" s="2">
        <v>279</v>
      </c>
      <c r="K2315" s="2">
        <v>391</v>
      </c>
      <c r="L2315" s="2">
        <v>0</v>
      </c>
      <c r="M2315" s="2"/>
      <c r="N2315" s="8">
        <v>43124.594398148147</v>
      </c>
      <c r="O2315" s="4"/>
      <c r="P2315" s="3" t="s">
        <v>1796</v>
      </c>
      <c r="Q2315" s="4"/>
      <c r="R2315" s="4"/>
      <c r="S2315" s="9" t="str">
        <f>HYPERLINK("https://pbs.twimg.com/profile_images/1044542033904439296/cqFWovZI.jpg","View")</f>
        <v>View</v>
      </c>
    </row>
    <row r="2316" spans="1:19" ht="30">
      <c r="A2316" s="8">
        <v>43370.035428240742</v>
      </c>
      <c r="B2316" s="11" t="str">
        <f>HYPERLINK("https://twitter.com/nimanirvana","@nimanirvana")</f>
        <v>@nimanirvana</v>
      </c>
      <c r="C2316" s="6" t="s">
        <v>743</v>
      </c>
      <c r="D2316" s="5" t="s">
        <v>1756</v>
      </c>
      <c r="E2316" s="9" t="str">
        <f>HYPERLINK("https://twitter.com/nimanirvana/status/1045060698554929152","1045060698554929152")</f>
        <v>1045060698554929152</v>
      </c>
      <c r="F2316" s="4"/>
      <c r="G2316" s="4"/>
      <c r="H2316" s="4"/>
      <c r="I2316" s="10" t="str">
        <f>HYPERLINK("https://mobile.twitter.com","Twitter Lite")</f>
        <v>Twitter Lite</v>
      </c>
      <c r="J2316" s="2">
        <v>126</v>
      </c>
      <c r="K2316" s="2">
        <v>170</v>
      </c>
      <c r="L2316" s="2">
        <v>0</v>
      </c>
      <c r="M2316" s="2"/>
      <c r="N2316" s="8">
        <v>41693.945115740738</v>
      </c>
      <c r="O2316" s="4" t="s">
        <v>741</v>
      </c>
      <c r="P2316" s="3" t="s">
        <v>740</v>
      </c>
      <c r="Q2316" s="4"/>
      <c r="R2316" s="4"/>
      <c r="S2316" s="9" t="str">
        <f>HYPERLINK("https://pbs.twimg.com/profile_images/1044678840855990272/TOiJqAR0.jpg","View")</f>
        <v>View</v>
      </c>
    </row>
    <row r="2317" spans="1:19" ht="20">
      <c r="A2317" s="8">
        <v>43370.035254629634</v>
      </c>
      <c r="B2317" s="11" t="str">
        <f>HYPERLINK("https://twitter.com/Beth7876","@Beth7876")</f>
        <v>@Beth7876</v>
      </c>
      <c r="C2317" s="6" t="s">
        <v>53</v>
      </c>
      <c r="D2317" s="5" t="s">
        <v>1593</v>
      </c>
      <c r="E2317" s="9" t="str">
        <f>HYPERLINK("https://twitter.com/Beth7876/status/1045060637569609728","1045060637569609728")</f>
        <v>1045060637569609728</v>
      </c>
      <c r="F2317" s="4"/>
      <c r="G2317" s="4"/>
      <c r="H2317" s="4"/>
      <c r="I2317" s="10" t="str">
        <f>HYPERLINK("http://twitter.com/download/android","Twitter for Android")</f>
        <v>Twitter for Android</v>
      </c>
      <c r="J2317" s="2">
        <v>9272</v>
      </c>
      <c r="K2317" s="2">
        <v>1650</v>
      </c>
      <c r="L2317" s="2">
        <v>19</v>
      </c>
      <c r="M2317" s="2"/>
      <c r="N2317" s="8">
        <v>43053.419363425928</v>
      </c>
      <c r="O2317" s="4" t="s">
        <v>10</v>
      </c>
      <c r="P2317" s="3" t="s">
        <v>51</v>
      </c>
      <c r="Q2317" s="4"/>
      <c r="R2317" s="4"/>
      <c r="S2317" s="9" t="str">
        <f>HYPERLINK("https://pbs.twimg.com/profile_images/1043178143933181952/KaP_lpTl.jpg","View")</f>
        <v>View</v>
      </c>
    </row>
    <row r="2318" spans="1:19" ht="20">
      <c r="A2318" s="8">
        <v>43370.035104166665</v>
      </c>
      <c r="B2318" s="11" t="str">
        <f>HYPERLINK("https://twitter.com/rof4el","@rof4el")</f>
        <v>@rof4el</v>
      </c>
      <c r="C2318" s="6" t="s">
        <v>1795</v>
      </c>
      <c r="D2318" s="5" t="s">
        <v>1794</v>
      </c>
      <c r="E2318" s="9" t="str">
        <f>HYPERLINK("https://twitter.com/rof4el/status/1045060580782948352","1045060580782948352")</f>
        <v>1045060580782948352</v>
      </c>
      <c r="F2318" s="4"/>
      <c r="G2318" s="4"/>
      <c r="H2318" s="4"/>
      <c r="I2318" s="10" t="str">
        <f>HYPERLINK("http://twitter.com","Twitter Web Client")</f>
        <v>Twitter Web Client</v>
      </c>
      <c r="J2318" s="2">
        <v>2251</v>
      </c>
      <c r="K2318" s="2">
        <v>1854</v>
      </c>
      <c r="L2318" s="2">
        <v>3</v>
      </c>
      <c r="M2318" s="2"/>
      <c r="N2318" s="8">
        <v>42897.364155092597</v>
      </c>
      <c r="O2318" s="4" t="s">
        <v>1793</v>
      </c>
      <c r="P2318" s="3" t="s">
        <v>1792</v>
      </c>
      <c r="Q2318" s="4"/>
      <c r="R2318" s="4"/>
      <c r="S2318" s="9" t="str">
        <f>HYPERLINK("https://pbs.twimg.com/profile_images/940719839475355648/dRDBBs-P.jpg","View")</f>
        <v>View</v>
      </c>
    </row>
    <row r="2319" spans="1:19" ht="20">
      <c r="A2319" s="8">
        <v>43370.034594907411</v>
      </c>
      <c r="B2319" s="11" t="str">
        <f>HYPERLINK("https://twitter.com/aideenmot1359","@aideenmot1359")</f>
        <v>@aideenmot1359</v>
      </c>
      <c r="C2319" s="6" t="s">
        <v>1791</v>
      </c>
      <c r="D2319" s="5" t="s">
        <v>1790</v>
      </c>
      <c r="E2319" s="9" t="str">
        <f>HYPERLINK("https://twitter.com/aideenmot1359/status/1045060398347702272","1045060398347702272")</f>
        <v>1045060398347702272</v>
      </c>
      <c r="F2319" s="4"/>
      <c r="G2319" s="10" t="s">
        <v>1789</v>
      </c>
      <c r="H2319" s="4"/>
      <c r="I2319" s="10" t="str">
        <f>HYPERLINK("http://twitter.com/download/iphone","Twitter for iPhone")</f>
        <v>Twitter for iPhone</v>
      </c>
      <c r="J2319" s="2">
        <v>769</v>
      </c>
      <c r="K2319" s="2">
        <v>895</v>
      </c>
      <c r="L2319" s="2">
        <v>1</v>
      </c>
      <c r="M2319" s="2"/>
      <c r="N2319" s="8">
        <v>42656.096099537041</v>
      </c>
      <c r="O2319" s="4" t="s">
        <v>10</v>
      </c>
      <c r="P2319" s="3" t="s">
        <v>1788</v>
      </c>
      <c r="Q2319" s="4"/>
      <c r="R2319" s="4"/>
      <c r="S2319" s="9" t="str">
        <f>HYPERLINK("https://pbs.twimg.com/profile_images/1037809286179631106/sEtxbZ0Q.jpg","View")</f>
        <v>View</v>
      </c>
    </row>
    <row r="2320" spans="1:19" ht="30">
      <c r="A2320" s="8">
        <v>43370.034583333334</v>
      </c>
      <c r="B2320" s="11" t="str">
        <f>HYPERLINK("https://twitter.com/hichkhak","@hichkhak")</f>
        <v>@hichkhak</v>
      </c>
      <c r="C2320" s="6" t="s">
        <v>1787</v>
      </c>
      <c r="D2320" s="5" t="s">
        <v>408</v>
      </c>
      <c r="E2320" s="9" t="str">
        <f>HYPERLINK("https://twitter.com/hichkhak/status/1045060393582907399","1045060393582907399")</f>
        <v>1045060393582907399</v>
      </c>
      <c r="F2320" s="4"/>
      <c r="G2320" s="4"/>
      <c r="H2320" s="4"/>
      <c r="I2320" s="10" t="str">
        <f>HYPERLINK("http://twitter.com/download/android","Twitter for Android")</f>
        <v>Twitter for Android</v>
      </c>
      <c r="J2320" s="2">
        <v>329</v>
      </c>
      <c r="K2320" s="2">
        <v>317</v>
      </c>
      <c r="L2320" s="2">
        <v>1</v>
      </c>
      <c r="M2320" s="2"/>
      <c r="N2320" s="8">
        <v>43082.056516203702</v>
      </c>
      <c r="O2320" s="4" t="s">
        <v>1786</v>
      </c>
      <c r="P2320" s="3"/>
      <c r="Q2320" s="4"/>
      <c r="R2320" s="4"/>
      <c r="S2320" s="9" t="str">
        <f>HYPERLINK("https://pbs.twimg.com/profile_images/1003570309348413440/N37V1_QW.jpg","View")</f>
        <v>View</v>
      </c>
    </row>
    <row r="2321" spans="1:19" ht="40">
      <c r="A2321" s="8">
        <v>43370.034571759257</v>
      </c>
      <c r="B2321" s="11" t="str">
        <f>HYPERLINK("https://twitter.com/Parsa11484669","@Parsa11484669")</f>
        <v>@Parsa11484669</v>
      </c>
      <c r="C2321" s="6" t="s">
        <v>1770</v>
      </c>
      <c r="D2321" s="5" t="s">
        <v>1785</v>
      </c>
      <c r="E2321" s="9" t="str">
        <f>HYPERLINK("https://twitter.com/Parsa11484669/status/1045060388704976897","1045060388704976897")</f>
        <v>1045060388704976897</v>
      </c>
      <c r="F2321" s="4"/>
      <c r="G2321" s="10" t="s">
        <v>1759</v>
      </c>
      <c r="H2321" s="4"/>
      <c r="I2321" s="10" t="str">
        <f>HYPERLINK("http://twitter.com/download/android","Twitter for Android")</f>
        <v>Twitter for Android</v>
      </c>
      <c r="J2321" s="2">
        <v>27</v>
      </c>
      <c r="K2321" s="2">
        <v>35</v>
      </c>
      <c r="L2321" s="2">
        <v>0</v>
      </c>
      <c r="M2321" s="2"/>
      <c r="N2321" s="8">
        <v>43249.052615740744</v>
      </c>
      <c r="O2321" s="4"/>
      <c r="P2321" s="3" t="s">
        <v>1768</v>
      </c>
      <c r="Q2321" s="4"/>
      <c r="R2321" s="4"/>
      <c r="S2321" s="2" t="s">
        <v>259</v>
      </c>
    </row>
    <row r="2322" spans="1:19" ht="12.5">
      <c r="A2322" s="8">
        <v>43370.034467592588</v>
      </c>
      <c r="B2322" s="11" t="str">
        <f>HYPERLINK("https://twitter.com/urbanizeeation","@urbanizeeation")</f>
        <v>@urbanizeeation</v>
      </c>
      <c r="C2322" s="6" t="s">
        <v>1784</v>
      </c>
      <c r="D2322" s="5" t="s">
        <v>1783</v>
      </c>
      <c r="E2322" s="9" t="str">
        <f>HYPERLINK("https://twitter.com/urbanizeeation/status/1045060348972331008","1045060348972331008")</f>
        <v>1045060348972331008</v>
      </c>
      <c r="F2322" s="4"/>
      <c r="G2322" s="4"/>
      <c r="H2322" s="4"/>
      <c r="I2322" s="10" t="str">
        <f>HYPERLINK("http://twitter.com/download/iphone","Twitter for iPhone")</f>
        <v>Twitter for iPhone</v>
      </c>
      <c r="J2322" s="2">
        <v>277</v>
      </c>
      <c r="K2322" s="2">
        <v>287</v>
      </c>
      <c r="L2322" s="2">
        <v>0</v>
      </c>
      <c r="M2322" s="2"/>
      <c r="N2322" s="8">
        <v>42543.927743055552</v>
      </c>
      <c r="O2322" s="4" t="s">
        <v>10</v>
      </c>
      <c r="P2322" s="3" t="s">
        <v>1782</v>
      </c>
      <c r="Q2322" s="4"/>
      <c r="R2322" s="4"/>
      <c r="S2322" s="9" t="str">
        <f>HYPERLINK("https://pbs.twimg.com/profile_images/1045027502647922688/nkifteFh.jpg","View")</f>
        <v>View</v>
      </c>
    </row>
    <row r="2323" spans="1:19" ht="20">
      <c r="A2323" s="8">
        <v>43370.034317129626</v>
      </c>
      <c r="B2323" s="11" t="str">
        <f>HYPERLINK("https://twitter.com/CHANDleerr91","@CHANDleerr91")</f>
        <v>@CHANDleerr91</v>
      </c>
      <c r="C2323" s="6" t="s">
        <v>1781</v>
      </c>
      <c r="D2323" s="5" t="s">
        <v>687</v>
      </c>
      <c r="E2323" s="9" t="str">
        <f>HYPERLINK("https://twitter.com/CHANDleerr91/status/1045060294995656704","1045060294995656704")</f>
        <v>1045060294995656704</v>
      </c>
      <c r="F2323" s="4"/>
      <c r="G2323" s="10" t="s">
        <v>686</v>
      </c>
      <c r="H2323" s="4"/>
      <c r="I2323" s="10" t="str">
        <f>HYPERLINK("http://twitter.com/download/android","Twitter for Android")</f>
        <v>Twitter for Android</v>
      </c>
      <c r="J2323" s="2">
        <v>2600</v>
      </c>
      <c r="K2323" s="2">
        <v>768</v>
      </c>
      <c r="L2323" s="2">
        <v>10</v>
      </c>
      <c r="M2323" s="2"/>
      <c r="N2323" s="8">
        <v>42169.468541666662</v>
      </c>
      <c r="O2323" s="4" t="s">
        <v>1780</v>
      </c>
      <c r="P2323" s="3" t="s">
        <v>1779</v>
      </c>
      <c r="Q2323" s="10" t="s">
        <v>1778</v>
      </c>
      <c r="R2323" s="4"/>
      <c r="S2323" s="9" t="str">
        <f>HYPERLINK("https://pbs.twimg.com/profile_images/1024320166128230401/h87j7uqx.jpg","View")</f>
        <v>View</v>
      </c>
    </row>
    <row r="2324" spans="1:19" ht="40">
      <c r="A2324" s="8">
        <v>43370.034166666665</v>
      </c>
      <c r="B2324" s="11" t="str">
        <f>HYPERLINK("https://twitter.com/Star25748148","@Star25748148")</f>
        <v>@Star25748148</v>
      </c>
      <c r="C2324" s="6" t="s">
        <v>1777</v>
      </c>
      <c r="D2324" s="5" t="s">
        <v>1769</v>
      </c>
      <c r="E2324" s="9" t="str">
        <f>HYPERLINK("https://twitter.com/Star25748148/status/1045060240104968192","1045060240104968192")</f>
        <v>1045060240104968192</v>
      </c>
      <c r="F2324" s="4"/>
      <c r="G2324" s="4"/>
      <c r="H2324" s="4"/>
      <c r="I2324" s="10" t="str">
        <f>HYPERLINK("http://twitter.com/download/android","Twitter for Android")</f>
        <v>Twitter for Android</v>
      </c>
      <c r="J2324" s="2">
        <v>400</v>
      </c>
      <c r="K2324" s="2">
        <v>339</v>
      </c>
      <c r="L2324" s="2">
        <v>0</v>
      </c>
      <c r="M2324" s="2"/>
      <c r="N2324" s="8">
        <v>43098.875069444446</v>
      </c>
      <c r="O2324" s="4"/>
      <c r="P2324" s="3" t="s">
        <v>1776</v>
      </c>
      <c r="Q2324" s="4"/>
      <c r="R2324" s="4"/>
      <c r="S2324" s="9" t="str">
        <f>HYPERLINK("https://pbs.twimg.com/profile_images/1036740295684182017/1vbY0Ehf.jpg","View")</f>
        <v>View</v>
      </c>
    </row>
    <row r="2325" spans="1:19" ht="30">
      <c r="A2325" s="8">
        <v>43370.033287037033</v>
      </c>
      <c r="B2325" s="11" t="str">
        <f>HYPERLINK("https://twitter.com/izabelle333","@izabelle333")</f>
        <v>@izabelle333</v>
      </c>
      <c r="C2325" s="6" t="s">
        <v>1775</v>
      </c>
      <c r="D2325" s="5" t="s">
        <v>1680</v>
      </c>
      <c r="E2325" s="9" t="str">
        <f>HYPERLINK("https://twitter.com/izabelle333/status/1045059923011403777","1045059923011403777")</f>
        <v>1045059923011403777</v>
      </c>
      <c r="F2325" s="4"/>
      <c r="G2325" s="4"/>
      <c r="H2325" s="4"/>
      <c r="I2325" s="10" t="str">
        <f>HYPERLINK("http://twitter.com/#!/download/ipad","Twitter for iPad")</f>
        <v>Twitter for iPad</v>
      </c>
      <c r="J2325" s="2">
        <v>7372</v>
      </c>
      <c r="K2325" s="2">
        <v>5336</v>
      </c>
      <c r="L2325" s="2">
        <v>11</v>
      </c>
      <c r="M2325" s="2"/>
      <c r="N2325" s="8">
        <v>43064.783726851849</v>
      </c>
      <c r="O2325" s="4" t="s">
        <v>1774</v>
      </c>
      <c r="P2325" s="3" t="s">
        <v>1773</v>
      </c>
      <c r="Q2325" s="4"/>
      <c r="R2325" s="4"/>
      <c r="S2325" s="9" t="str">
        <f>HYPERLINK("https://pbs.twimg.com/profile_images/1040613812607639552/dgy7aV1X.jpg","View")</f>
        <v>View</v>
      </c>
    </row>
    <row r="2326" spans="1:19" ht="30">
      <c r="A2326" s="8">
        <v>43370.03297453704</v>
      </c>
      <c r="B2326" s="11" t="str">
        <f>HYPERLINK("https://twitter.com/Mohamad57193170","@Mohamad57193170")</f>
        <v>@Mohamad57193170</v>
      </c>
      <c r="C2326" s="6" t="s">
        <v>1772</v>
      </c>
      <c r="D2326" s="5" t="s">
        <v>1756</v>
      </c>
      <c r="E2326" s="9" t="str">
        <f>HYPERLINK("https://twitter.com/Mohamad57193170/status/1045059809853284352","1045059809853284352")</f>
        <v>1045059809853284352</v>
      </c>
      <c r="F2326" s="4"/>
      <c r="G2326" s="4"/>
      <c r="H2326" s="4"/>
      <c r="I2326" s="10" t="str">
        <f>HYPERLINK("https://mobile.twitter.com","Twitter Lite")</f>
        <v>Twitter Lite</v>
      </c>
      <c r="J2326" s="2">
        <v>51</v>
      </c>
      <c r="K2326" s="2">
        <v>56</v>
      </c>
      <c r="L2326" s="2">
        <v>0</v>
      </c>
      <c r="M2326" s="2"/>
      <c r="N2326" s="8">
        <v>43181.161608796298</v>
      </c>
      <c r="O2326" s="4"/>
      <c r="P2326" s="3"/>
      <c r="Q2326" s="4"/>
      <c r="R2326" s="4"/>
      <c r="S2326" s="9" t="str">
        <f>HYPERLINK("https://pbs.twimg.com/profile_images/1024927789856768001/U0xJfp7W.jpg","View")</f>
        <v>View</v>
      </c>
    </row>
    <row r="2327" spans="1:19" ht="12.5">
      <c r="A2327" s="8">
        <v>43370.032592592594</v>
      </c>
      <c r="B2327" s="11" t="str">
        <f>HYPERLINK("https://twitter.com/abuezrail","@abuezrail")</f>
        <v>@abuezrail</v>
      </c>
      <c r="C2327" s="6" t="s">
        <v>1665</v>
      </c>
      <c r="D2327" s="5" t="s">
        <v>1771</v>
      </c>
      <c r="E2327" s="9" t="str">
        <f>HYPERLINK("https://twitter.com/abuezrail/status/1045059670325506049","1045059670325506049")</f>
        <v>1045059670325506049</v>
      </c>
      <c r="F2327" s="4"/>
      <c r="G2327" s="4"/>
      <c r="H2327" s="4"/>
      <c r="I2327" s="10" t="str">
        <f>HYPERLINK("http://twitter.com/download/android","Twitter for Android")</f>
        <v>Twitter for Android</v>
      </c>
      <c r="J2327" s="2">
        <v>2301</v>
      </c>
      <c r="K2327" s="2">
        <v>2267</v>
      </c>
      <c r="L2327" s="2">
        <v>2</v>
      </c>
      <c r="M2327" s="2"/>
      <c r="N2327" s="8">
        <v>42996.613761574074</v>
      </c>
      <c r="O2327" s="4" t="s">
        <v>1663</v>
      </c>
      <c r="P2327" s="3" t="s">
        <v>1662</v>
      </c>
      <c r="Q2327" s="10" t="s">
        <v>1661</v>
      </c>
      <c r="R2327" s="4"/>
      <c r="S2327" s="9" t="str">
        <f>HYPERLINK("https://pbs.twimg.com/profile_images/1037834242925965313/CxvhygD_.jpg","View")</f>
        <v>View</v>
      </c>
    </row>
    <row r="2328" spans="1:19" ht="40">
      <c r="A2328" s="8">
        <v>43370.032210648147</v>
      </c>
      <c r="B2328" s="11" t="str">
        <f>HYPERLINK("https://twitter.com/Parsa11484669","@Parsa11484669")</f>
        <v>@Parsa11484669</v>
      </c>
      <c r="C2328" s="6" t="s">
        <v>1770</v>
      </c>
      <c r="D2328" s="5" t="s">
        <v>1769</v>
      </c>
      <c r="E2328" s="9" t="str">
        <f>HYPERLINK("https://twitter.com/Parsa11484669/status/1045059532479770624","1045059532479770624")</f>
        <v>1045059532479770624</v>
      </c>
      <c r="F2328" s="4"/>
      <c r="G2328" s="4"/>
      <c r="H2328" s="4"/>
      <c r="I2328" s="10" t="str">
        <f>HYPERLINK("http://twitter.com/download/android","Twitter for Android")</f>
        <v>Twitter for Android</v>
      </c>
      <c r="J2328" s="2">
        <v>27</v>
      </c>
      <c r="K2328" s="2">
        <v>35</v>
      </c>
      <c r="L2328" s="2">
        <v>0</v>
      </c>
      <c r="M2328" s="2"/>
      <c r="N2328" s="8">
        <v>43249.052615740744</v>
      </c>
      <c r="O2328" s="4"/>
      <c r="P2328" s="3" t="s">
        <v>1768</v>
      </c>
      <c r="Q2328" s="4"/>
      <c r="R2328" s="4"/>
      <c r="S2328" s="2" t="s">
        <v>259</v>
      </c>
    </row>
    <row r="2329" spans="1:19" ht="40">
      <c r="A2329" s="8">
        <v>43370.031863425931</v>
      </c>
      <c r="B2329" s="11" t="str">
        <f>HYPERLINK("https://twitter.com/mrbaghal","@mrbaghal")</f>
        <v>@mrbaghal</v>
      </c>
      <c r="C2329" s="6" t="s">
        <v>1761</v>
      </c>
      <c r="D2329" s="5" t="s">
        <v>1767</v>
      </c>
      <c r="E2329" s="9" t="str">
        <f>HYPERLINK("https://twitter.com/mrbaghal/status/1045059408298938369","1045059408298938369")</f>
        <v>1045059408298938369</v>
      </c>
      <c r="F2329" s="4"/>
      <c r="G2329" s="4"/>
      <c r="H2329" s="4"/>
      <c r="I2329" s="10" t="str">
        <f>HYPERLINK("http://twitter.com/download/android","Twitter for Android")</f>
        <v>Twitter for Android</v>
      </c>
      <c r="J2329" s="2">
        <v>102</v>
      </c>
      <c r="K2329" s="2">
        <v>200</v>
      </c>
      <c r="L2329" s="2">
        <v>0</v>
      </c>
      <c r="M2329" s="2"/>
      <c r="N2329" s="8">
        <v>43215.012604166666</v>
      </c>
      <c r="O2329" s="4" t="s">
        <v>272</v>
      </c>
      <c r="P2329" s="3" t="s">
        <v>1758</v>
      </c>
      <c r="Q2329" s="4"/>
      <c r="R2329" s="4"/>
      <c r="S2329" s="9" t="str">
        <f>HYPERLINK("https://pbs.twimg.com/profile_images/1011009361592967170/UA1Cb_rP.jpg","View")</f>
        <v>View</v>
      </c>
    </row>
    <row r="2330" spans="1:19" ht="50">
      <c r="A2330" s="8">
        <v>43370.031747685185</v>
      </c>
      <c r="B2330" s="11" t="str">
        <f>HYPERLINK("https://twitter.com/mdiamond1987","@mdiamond1987")</f>
        <v>@mdiamond1987</v>
      </c>
      <c r="C2330" s="6" t="s">
        <v>1766</v>
      </c>
      <c r="D2330" s="5" t="s">
        <v>1168</v>
      </c>
      <c r="E2330" s="9" t="str">
        <f>HYPERLINK("https://twitter.com/mdiamond1987/status/1045059365231906817","1045059365231906817")</f>
        <v>1045059365231906817</v>
      </c>
      <c r="F2330" s="4"/>
      <c r="G2330" s="10" t="s">
        <v>907</v>
      </c>
      <c r="H2330" s="4"/>
      <c r="I2330" s="10" t="str">
        <f>HYPERLINK("http://twitter.com/download/android","Twitter for Android")</f>
        <v>Twitter for Android</v>
      </c>
      <c r="J2330" s="2">
        <v>15</v>
      </c>
      <c r="K2330" s="2">
        <v>28</v>
      </c>
      <c r="L2330" s="2">
        <v>0</v>
      </c>
      <c r="M2330" s="2"/>
      <c r="N2330" s="8">
        <v>41537.395833333336</v>
      </c>
      <c r="O2330" s="4" t="s">
        <v>1765</v>
      </c>
      <c r="P2330" s="3" t="s">
        <v>1764</v>
      </c>
      <c r="Q2330" s="4"/>
      <c r="R2330" s="4"/>
      <c r="S2330" s="9" t="str">
        <f>HYPERLINK("https://pbs.twimg.com/profile_images/949037182517473280/3KEvuLiW.jpg","View")</f>
        <v>View</v>
      </c>
    </row>
    <row r="2331" spans="1:19" ht="30">
      <c r="A2331" s="8">
        <v>43370.031712962962</v>
      </c>
      <c r="B2331" s="11" t="str">
        <f>HYPERLINK("https://twitter.com/Donyaa97","@Donyaa97")</f>
        <v>@Donyaa97</v>
      </c>
      <c r="C2331" s="6" t="s">
        <v>1737</v>
      </c>
      <c r="D2331" s="5" t="s">
        <v>1763</v>
      </c>
      <c r="E2331" s="9" t="str">
        <f>HYPERLINK("https://twitter.com/Donyaa97/status/1045059354343419904","1045059354343419904")</f>
        <v>1045059354343419904</v>
      </c>
      <c r="F2331" s="4"/>
      <c r="G2331" s="4"/>
      <c r="H2331" s="4"/>
      <c r="I2331" s="10" t="str">
        <f>HYPERLINK("http://twitter.com/download/android","Twitter for Android")</f>
        <v>Twitter for Android</v>
      </c>
      <c r="J2331" s="2">
        <v>1426</v>
      </c>
      <c r="K2331" s="2">
        <v>1774</v>
      </c>
      <c r="L2331" s="2">
        <v>0</v>
      </c>
      <c r="M2331" s="2"/>
      <c r="N2331" s="8">
        <v>43302.695289351846</v>
      </c>
      <c r="O2331" s="4"/>
      <c r="P2331" s="3" t="s">
        <v>1735</v>
      </c>
      <c r="Q2331" s="4"/>
      <c r="R2331" s="4"/>
      <c r="S2331" s="9" t="str">
        <f>HYPERLINK("https://pbs.twimg.com/profile_images/1038201566954704897/Vbl_cDbR.jpg","View")</f>
        <v>View</v>
      </c>
    </row>
    <row r="2332" spans="1:19" ht="40">
      <c r="A2332" s="8">
        <v>43370.031504629631</v>
      </c>
      <c r="B2332" s="11" t="str">
        <f>HYPERLINK("https://twitter.com/mrbaghal","@mrbaghal")</f>
        <v>@mrbaghal</v>
      </c>
      <c r="C2332" s="6" t="s">
        <v>1761</v>
      </c>
      <c r="D2332" s="5" t="s">
        <v>1762</v>
      </c>
      <c r="E2332" s="9" t="str">
        <f>HYPERLINK("https://twitter.com/mrbaghal/status/1045059278128779265","1045059278128779265")</f>
        <v>1045059278128779265</v>
      </c>
      <c r="F2332" s="4"/>
      <c r="G2332" s="4"/>
      <c r="H2332" s="4"/>
      <c r="I2332" s="10" t="str">
        <f>HYPERLINK("http://twitter.com/download/android","Twitter for Android")</f>
        <v>Twitter for Android</v>
      </c>
      <c r="J2332" s="2">
        <v>102</v>
      </c>
      <c r="K2332" s="2">
        <v>200</v>
      </c>
      <c r="L2332" s="2">
        <v>0</v>
      </c>
      <c r="M2332" s="2"/>
      <c r="N2332" s="8">
        <v>43215.012604166666</v>
      </c>
      <c r="O2332" s="4" t="s">
        <v>272</v>
      </c>
      <c r="P2332" s="3" t="s">
        <v>1758</v>
      </c>
      <c r="Q2332" s="4"/>
      <c r="R2332" s="4"/>
      <c r="S2332" s="9" t="str">
        <f>HYPERLINK("https://pbs.twimg.com/profile_images/1011009361592967170/UA1Cb_rP.jpg","View")</f>
        <v>View</v>
      </c>
    </row>
    <row r="2333" spans="1:19" ht="30">
      <c r="A2333" s="8">
        <v>43370.031377314815</v>
      </c>
      <c r="B2333" s="11" t="str">
        <f>HYPERLINK("https://twitter.com/Beth7876","@Beth7876")</f>
        <v>@Beth7876</v>
      </c>
      <c r="C2333" s="6" t="s">
        <v>53</v>
      </c>
      <c r="D2333" s="5" t="s">
        <v>1680</v>
      </c>
      <c r="E2333" s="9" t="str">
        <f>HYPERLINK("https://twitter.com/Beth7876/status/1045059229743075328","1045059229743075328")</f>
        <v>1045059229743075328</v>
      </c>
      <c r="F2333" s="4"/>
      <c r="G2333" s="4"/>
      <c r="H2333" s="4"/>
      <c r="I2333" s="10" t="str">
        <f>HYPERLINK("http://twitter.com/download/android","Twitter for Android")</f>
        <v>Twitter for Android</v>
      </c>
      <c r="J2333" s="2">
        <v>9272</v>
      </c>
      <c r="K2333" s="2">
        <v>1650</v>
      </c>
      <c r="L2333" s="2">
        <v>19</v>
      </c>
      <c r="M2333" s="2"/>
      <c r="N2333" s="8">
        <v>43053.419363425928</v>
      </c>
      <c r="O2333" s="4" t="s">
        <v>10</v>
      </c>
      <c r="P2333" s="3" t="s">
        <v>51</v>
      </c>
      <c r="Q2333" s="4"/>
      <c r="R2333" s="4"/>
      <c r="S2333" s="9" t="str">
        <f>HYPERLINK("https://pbs.twimg.com/profile_images/1043178143933181952/KaP_lpTl.jpg","View")</f>
        <v>View</v>
      </c>
    </row>
    <row r="2334" spans="1:19" ht="30">
      <c r="A2334" s="8">
        <v>43370.031354166669</v>
      </c>
      <c r="B2334" s="11" t="str">
        <f>HYPERLINK("https://twitter.com/Aflatoon197","@Aflatoon197")</f>
        <v>@Aflatoon197</v>
      </c>
      <c r="C2334" s="6" t="s">
        <v>242</v>
      </c>
      <c r="D2334" s="5" t="s">
        <v>1756</v>
      </c>
      <c r="E2334" s="9" t="str">
        <f>HYPERLINK("https://twitter.com/Aflatoon197/status/1045059222566768643","1045059222566768643")</f>
        <v>1045059222566768643</v>
      </c>
      <c r="F2334" s="4"/>
      <c r="G2334" s="4"/>
      <c r="H2334" s="4"/>
      <c r="I2334" s="10" t="str">
        <f>HYPERLINK("http://twitter.com/download/android","Twitter for Android")</f>
        <v>Twitter for Android</v>
      </c>
      <c r="J2334" s="2">
        <v>61</v>
      </c>
      <c r="K2334" s="2">
        <v>83</v>
      </c>
      <c r="L2334" s="2">
        <v>0</v>
      </c>
      <c r="M2334" s="2"/>
      <c r="N2334" s="8">
        <v>43356.993125000001</v>
      </c>
      <c r="O2334" s="4"/>
      <c r="P2334" s="3" t="s">
        <v>241</v>
      </c>
      <c r="Q2334" s="4"/>
      <c r="R2334" s="4"/>
      <c r="S2334" s="9" t="str">
        <f>HYPERLINK("https://pbs.twimg.com/profile_images/1042774673229074433/NyxCiS5-.jpg","View")</f>
        <v>View</v>
      </c>
    </row>
    <row r="2335" spans="1:19" ht="40">
      <c r="A2335" s="8">
        <v>43370.031342592592</v>
      </c>
      <c r="B2335" s="11" t="str">
        <f>HYPERLINK("https://twitter.com/mrbaghal","@mrbaghal")</f>
        <v>@mrbaghal</v>
      </c>
      <c r="C2335" s="6" t="s">
        <v>1761</v>
      </c>
      <c r="D2335" s="5" t="s">
        <v>1760</v>
      </c>
      <c r="E2335" s="9" t="str">
        <f>HYPERLINK("https://twitter.com/mrbaghal/status/1045059219421097984","1045059219421097984")</f>
        <v>1045059219421097984</v>
      </c>
      <c r="F2335" s="4"/>
      <c r="G2335" s="10" t="s">
        <v>1759</v>
      </c>
      <c r="H2335" s="4"/>
      <c r="I2335" s="10" t="str">
        <f>HYPERLINK("http://twitter.com/download/android","Twitter for Android")</f>
        <v>Twitter for Android</v>
      </c>
      <c r="J2335" s="2">
        <v>102</v>
      </c>
      <c r="K2335" s="2">
        <v>200</v>
      </c>
      <c r="L2335" s="2">
        <v>0</v>
      </c>
      <c r="M2335" s="2"/>
      <c r="N2335" s="8">
        <v>43215.012604166666</v>
      </c>
      <c r="O2335" s="4" t="s">
        <v>272</v>
      </c>
      <c r="P2335" s="3" t="s">
        <v>1758</v>
      </c>
      <c r="Q2335" s="4"/>
      <c r="R2335" s="4"/>
      <c r="S2335" s="9" t="str">
        <f>HYPERLINK("https://pbs.twimg.com/profile_images/1011009361592967170/UA1Cb_rP.jpg","View")</f>
        <v>View</v>
      </c>
    </row>
    <row r="2336" spans="1:19" ht="30">
      <c r="A2336" s="8">
        <v>43370.031284722223</v>
      </c>
      <c r="B2336" s="11" t="str">
        <f>HYPERLINK("https://twitter.com/captain_cga","@captain_cga")</f>
        <v>@captain_cga</v>
      </c>
      <c r="C2336" s="6" t="s">
        <v>1757</v>
      </c>
      <c r="D2336" s="5" t="s">
        <v>1756</v>
      </c>
      <c r="E2336" s="9" t="str">
        <f>HYPERLINK("https://twitter.com/captain_cga/status/1045059196050427907","1045059196050427907")</f>
        <v>1045059196050427907</v>
      </c>
      <c r="F2336" s="4"/>
      <c r="G2336" s="4"/>
      <c r="H2336" s="4"/>
      <c r="I2336" s="10" t="str">
        <f>HYPERLINK("http://twitter.com/download/android","Twitter for Android")</f>
        <v>Twitter for Android</v>
      </c>
      <c r="J2336" s="2">
        <v>187</v>
      </c>
      <c r="K2336" s="2">
        <v>88</v>
      </c>
      <c r="L2336" s="2">
        <v>0</v>
      </c>
      <c r="M2336" s="2"/>
      <c r="N2336" s="8">
        <v>43100.014664351853</v>
      </c>
      <c r="O2336" s="4" t="s">
        <v>1755</v>
      </c>
      <c r="P2336" s="3" t="s">
        <v>1754</v>
      </c>
      <c r="Q2336" s="4"/>
      <c r="R2336" s="4"/>
      <c r="S2336" s="9" t="str">
        <f>HYPERLINK("https://pbs.twimg.com/profile_images/1035910889860460545/y7XsIiEa.jpg","View")</f>
        <v>View</v>
      </c>
    </row>
    <row r="2337" spans="1:19" ht="30">
      <c r="A2337" s="8">
        <v>43370.031087962961</v>
      </c>
      <c r="B2337" s="11" t="str">
        <f>HYPERLINK("https://twitter.com/KindnessOcean","@KindnessOcean")</f>
        <v>@KindnessOcean</v>
      </c>
      <c r="C2337" s="6" t="s">
        <v>1753</v>
      </c>
      <c r="D2337" s="5" t="s">
        <v>1752</v>
      </c>
      <c r="E2337" s="9" t="str">
        <f>HYPERLINK("https://twitter.com/KindnessOcean/status/1045059126936653824","1045059126936653824")</f>
        <v>1045059126936653824</v>
      </c>
      <c r="F2337" s="4"/>
      <c r="G2337" s="4"/>
      <c r="H2337" s="4"/>
      <c r="I2337" s="10" t="str">
        <f>HYPERLINK("http://twitter.com/download/android","Twitter for Android")</f>
        <v>Twitter for Android</v>
      </c>
      <c r="J2337" s="2">
        <v>12</v>
      </c>
      <c r="K2337" s="2">
        <v>15</v>
      </c>
      <c r="L2337" s="2">
        <v>0</v>
      </c>
      <c r="M2337" s="2"/>
      <c r="N2337" s="8">
        <v>43328.784618055557</v>
      </c>
      <c r="O2337" s="4" t="s">
        <v>200</v>
      </c>
      <c r="P2337" s="3" t="s">
        <v>1751</v>
      </c>
      <c r="Q2337" s="4"/>
      <c r="R2337" s="4"/>
      <c r="S2337" s="9" t="str">
        <f>HYPERLINK("https://pbs.twimg.com/profile_images/1030099164875636736/VbuuVXcw.jpg","View")</f>
        <v>View</v>
      </c>
    </row>
    <row r="2338" spans="1:19" ht="20">
      <c r="A2338" s="8">
        <v>43370.030914351853</v>
      </c>
      <c r="B2338" s="11" t="str">
        <f>HYPERLINK("https://twitter.com/irani_engineer","@irani_engineer")</f>
        <v>@irani_engineer</v>
      </c>
      <c r="C2338" s="6" t="s">
        <v>1750</v>
      </c>
      <c r="D2338" s="5" t="s">
        <v>163</v>
      </c>
      <c r="E2338" s="9" t="str">
        <f>HYPERLINK("https://twitter.com/irani_engineer/status/1045059061924982789","1045059061924982789")</f>
        <v>1045059061924982789</v>
      </c>
      <c r="F2338" s="4"/>
      <c r="G2338" s="4"/>
      <c r="H2338" s="4"/>
      <c r="I2338" s="10" t="str">
        <f>HYPERLINK("https://mobile.twitter.com","Twitter Lite")</f>
        <v>Twitter Lite</v>
      </c>
      <c r="J2338" s="2">
        <v>136</v>
      </c>
      <c r="K2338" s="2">
        <v>335</v>
      </c>
      <c r="L2338" s="2">
        <v>1</v>
      </c>
      <c r="M2338" s="2"/>
      <c r="N2338" s="8">
        <v>43096.976481481484</v>
      </c>
      <c r="O2338" s="4"/>
      <c r="P2338" s="3" t="s">
        <v>1749</v>
      </c>
      <c r="Q2338" s="4"/>
      <c r="R2338" s="4"/>
      <c r="S2338" s="9" t="str">
        <f>HYPERLINK("https://pbs.twimg.com/profile_images/959086174282440705/xJXkaSw-.jpg","View")</f>
        <v>View</v>
      </c>
    </row>
    <row r="2339" spans="1:19" ht="20">
      <c r="A2339" s="8">
        <v>43370.030856481477</v>
      </c>
      <c r="B2339" s="11" t="str">
        <f>HYPERLINK("https://twitter.com/ShakeriHassan","@ShakeriHassan")</f>
        <v>@ShakeriHassan</v>
      </c>
      <c r="C2339" s="6" t="s">
        <v>1748</v>
      </c>
      <c r="D2339" s="5" t="s">
        <v>1705</v>
      </c>
      <c r="E2339" s="9" t="str">
        <f>HYPERLINK("https://twitter.com/ShakeriHassan/status/1045059040353685505","1045059040353685505")</f>
        <v>1045059040353685505</v>
      </c>
      <c r="F2339" s="4"/>
      <c r="G2339" s="4"/>
      <c r="H2339" s="4"/>
      <c r="I2339" s="10" t="str">
        <f>HYPERLINK("http://twitter.com/download/iphone","Twitter for iPhone")</f>
        <v>Twitter for iPhone</v>
      </c>
      <c r="J2339" s="2">
        <v>6327</v>
      </c>
      <c r="K2339" s="2">
        <v>514</v>
      </c>
      <c r="L2339" s="2">
        <v>217</v>
      </c>
      <c r="M2339" s="2"/>
      <c r="N2339" s="8">
        <v>41980.870856481481</v>
      </c>
      <c r="O2339" s="4" t="s">
        <v>1747</v>
      </c>
      <c r="P2339" s="3" t="s">
        <v>1746</v>
      </c>
      <c r="Q2339" s="10" t="s">
        <v>1745</v>
      </c>
      <c r="R2339" s="4"/>
      <c r="S2339" s="9" t="str">
        <f>HYPERLINK("https://pbs.twimg.com/profile_images/1035984186803462144/l2RYwb58.jpg","View")</f>
        <v>View</v>
      </c>
    </row>
    <row r="2340" spans="1:19" ht="20">
      <c r="A2340" s="8">
        <v>43370.030358796299</v>
      </c>
      <c r="B2340" s="11" t="str">
        <f>HYPERLINK("https://twitter.com/abolfazllahmadi","@abolfazllahmadi")</f>
        <v>@abolfazllahmadi</v>
      </c>
      <c r="C2340" s="6" t="s">
        <v>1744</v>
      </c>
      <c r="D2340" s="5" t="s">
        <v>1743</v>
      </c>
      <c r="E2340" s="9" t="str">
        <f>HYPERLINK("https://twitter.com/abolfazllahmadi/status/1045058862540357633","1045058862540357633")</f>
        <v>1045058862540357633</v>
      </c>
      <c r="F2340" s="4"/>
      <c r="G2340" s="4"/>
      <c r="H2340" s="4"/>
      <c r="I2340" s="10" t="str">
        <f>HYPERLINK("http://twitter.com/download/android","Twitter for Android")</f>
        <v>Twitter for Android</v>
      </c>
      <c r="J2340" s="2">
        <v>3869</v>
      </c>
      <c r="K2340" s="2">
        <v>3900</v>
      </c>
      <c r="L2340" s="2">
        <v>4</v>
      </c>
      <c r="M2340" s="2"/>
      <c r="N2340" s="8">
        <v>43248.712060185186</v>
      </c>
      <c r="O2340" s="4" t="s">
        <v>1742</v>
      </c>
      <c r="P2340" s="3" t="s">
        <v>1741</v>
      </c>
      <c r="Q2340" s="4"/>
      <c r="R2340" s="4"/>
      <c r="S2340" s="9" t="str">
        <f>HYPERLINK("https://pbs.twimg.com/profile_images/1031558348242604032/bYuvdMP7.jpg","View")</f>
        <v>View</v>
      </c>
    </row>
    <row r="2341" spans="1:19" ht="12.5">
      <c r="A2341" s="8">
        <v>43370.030231481476</v>
      </c>
      <c r="B2341" s="11" t="str">
        <f>HYPERLINK("https://twitter.com/MHosseinimajd","@MHosseinimajd")</f>
        <v>@MHosseinimajd</v>
      </c>
      <c r="C2341" s="6" t="s">
        <v>1740</v>
      </c>
      <c r="D2341" s="5" t="s">
        <v>1739</v>
      </c>
      <c r="E2341" s="9" t="str">
        <f>HYPERLINK("https://twitter.com/MHosseinimajd/status/1045058816398757892","1045058816398757892")</f>
        <v>1045058816398757892</v>
      </c>
      <c r="F2341" s="4"/>
      <c r="G2341" s="4"/>
      <c r="H2341" s="4"/>
      <c r="I2341" s="10" t="str">
        <f>HYPERLINK("http://twitter.com/download/android","Twitter for Android")</f>
        <v>Twitter for Android</v>
      </c>
      <c r="J2341" s="2">
        <v>1</v>
      </c>
      <c r="K2341" s="2">
        <v>6</v>
      </c>
      <c r="L2341" s="2">
        <v>0</v>
      </c>
      <c r="M2341" s="2"/>
      <c r="N2341" s="8">
        <v>43346.044687500005</v>
      </c>
      <c r="O2341" s="4"/>
      <c r="P2341" s="3" t="s">
        <v>1738</v>
      </c>
      <c r="Q2341" s="4"/>
      <c r="R2341" s="4"/>
      <c r="S2341" s="9" t="str">
        <f>HYPERLINK("https://pbs.twimg.com/profile_images/1045057848890331137/Dg-IiM6D.jpg","View")</f>
        <v>View</v>
      </c>
    </row>
    <row r="2342" spans="1:19" ht="40">
      <c r="A2342" s="8">
        <v>43370.030208333337</v>
      </c>
      <c r="B2342" s="11" t="str">
        <f>HYPERLINK("https://twitter.com/Donyaa97","@Donyaa97")</f>
        <v>@Donyaa97</v>
      </c>
      <c r="C2342" s="6" t="s">
        <v>1737</v>
      </c>
      <c r="D2342" s="5" t="s">
        <v>1736</v>
      </c>
      <c r="E2342" s="9" t="str">
        <f>HYPERLINK("https://twitter.com/Donyaa97/status/1045058807565611008","1045058807565611008")</f>
        <v>1045058807565611008</v>
      </c>
      <c r="F2342" s="4"/>
      <c r="G2342" s="4"/>
      <c r="H2342" s="4"/>
      <c r="I2342" s="10" t="str">
        <f>HYPERLINK("http://twitter.com/download/android","Twitter for Android")</f>
        <v>Twitter for Android</v>
      </c>
      <c r="J2342" s="2">
        <v>1426</v>
      </c>
      <c r="K2342" s="2">
        <v>1774</v>
      </c>
      <c r="L2342" s="2">
        <v>0</v>
      </c>
      <c r="M2342" s="2"/>
      <c r="N2342" s="8">
        <v>43302.695289351846</v>
      </c>
      <c r="O2342" s="4"/>
      <c r="P2342" s="3" t="s">
        <v>1735</v>
      </c>
      <c r="Q2342" s="4"/>
      <c r="R2342" s="4"/>
      <c r="S2342" s="9" t="str">
        <f>HYPERLINK("https://pbs.twimg.com/profile_images/1038201566954704897/Vbl_cDbR.jpg","View")</f>
        <v>View</v>
      </c>
    </row>
    <row r="2343" spans="1:19" ht="50">
      <c r="A2343" s="8">
        <v>43370.029317129629</v>
      </c>
      <c r="B2343" s="11" t="str">
        <f>HYPERLINK("https://twitter.com/nsalei","@nsalei")</f>
        <v>@nsalei</v>
      </c>
      <c r="C2343" s="6" t="s">
        <v>1734</v>
      </c>
      <c r="D2343" s="5" t="s">
        <v>1168</v>
      </c>
      <c r="E2343" s="9" t="str">
        <f>HYPERLINK("https://twitter.com/nsalei/status/1045058482741891072","1045058482741891072")</f>
        <v>1045058482741891072</v>
      </c>
      <c r="F2343" s="4"/>
      <c r="G2343" s="10" t="s">
        <v>907</v>
      </c>
      <c r="H2343" s="4"/>
      <c r="I2343" s="10" t="str">
        <f>HYPERLINK("http://twitter.com/download/android","Twitter for Android")</f>
        <v>Twitter for Android</v>
      </c>
      <c r="J2343" s="2">
        <v>57</v>
      </c>
      <c r="K2343" s="2">
        <v>31</v>
      </c>
      <c r="L2343" s="2">
        <v>0</v>
      </c>
      <c r="M2343" s="2"/>
      <c r="N2343" s="8">
        <v>39627.98274305556</v>
      </c>
      <c r="O2343" s="4"/>
      <c r="P2343" s="3"/>
      <c r="Q2343" s="4"/>
      <c r="R2343" s="4"/>
      <c r="S2343" s="9" t="str">
        <f>HYPERLINK("https://pbs.twimg.com/profile_images/999344095125368833/5q2pXUBn.jpg","View")</f>
        <v>View</v>
      </c>
    </row>
    <row r="2344" spans="1:19" ht="30">
      <c r="A2344" s="8">
        <v>43370.02925925926</v>
      </c>
      <c r="B2344" s="11" t="str">
        <f>HYPERLINK("https://twitter.com/DaughterYalda","@DaughterYalda")</f>
        <v>@DaughterYalda</v>
      </c>
      <c r="C2344" s="6" t="s">
        <v>1733</v>
      </c>
      <c r="D2344" s="5" t="s">
        <v>163</v>
      </c>
      <c r="E2344" s="9" t="str">
        <f>HYPERLINK("https://twitter.com/DaughterYalda/status/1045058463066394625","1045058463066394625")</f>
        <v>1045058463066394625</v>
      </c>
      <c r="F2344" s="4"/>
      <c r="G2344" s="4"/>
      <c r="H2344" s="4"/>
      <c r="I2344" s="10" t="str">
        <f>HYPERLINK("http://twitter.com","Twitter Web Client")</f>
        <v>Twitter Web Client</v>
      </c>
      <c r="J2344" s="2">
        <v>3665</v>
      </c>
      <c r="K2344" s="2">
        <v>2187</v>
      </c>
      <c r="L2344" s="2">
        <v>3</v>
      </c>
      <c r="M2344" s="2"/>
      <c r="N2344" s="8">
        <v>43083.528912037036</v>
      </c>
      <c r="O2344" s="4" t="s">
        <v>62</v>
      </c>
      <c r="P2344" s="3" t="s">
        <v>1732</v>
      </c>
      <c r="Q2344" s="4"/>
      <c r="R2344" s="4"/>
      <c r="S2344" s="9" t="str">
        <f>HYPERLINK("https://pbs.twimg.com/profile_images/1033403242187812864/3giJRQz7.jpg","View")</f>
        <v>View</v>
      </c>
    </row>
    <row r="2345" spans="1:19" ht="20">
      <c r="A2345" s="8">
        <v>43370.029178240744</v>
      </c>
      <c r="B2345" s="11" t="str">
        <f>HYPERLINK("https://twitter.com/vahid23391014","@vahid23391014")</f>
        <v>@vahid23391014</v>
      </c>
      <c r="C2345" s="6" t="s">
        <v>1731</v>
      </c>
      <c r="D2345" s="5" t="s">
        <v>1730</v>
      </c>
      <c r="E2345" s="9" t="str">
        <f>HYPERLINK("https://twitter.com/vahid23391014/status/1045058431730798593","1045058431730798593")</f>
        <v>1045058431730798593</v>
      </c>
      <c r="F2345" s="4"/>
      <c r="G2345" s="4"/>
      <c r="H2345" s="4"/>
      <c r="I2345" s="10" t="str">
        <f>HYPERLINK("http://twitter.com/download/iphone","Twitter for iPhone")</f>
        <v>Twitter for iPhone</v>
      </c>
      <c r="J2345" s="2">
        <v>1251</v>
      </c>
      <c r="K2345" s="2">
        <v>4261</v>
      </c>
      <c r="L2345" s="2">
        <v>1</v>
      </c>
      <c r="M2345" s="2"/>
      <c r="N2345" s="8">
        <v>43350.667395833334</v>
      </c>
      <c r="O2345" s="4" t="s">
        <v>1729</v>
      </c>
      <c r="P2345" s="3" t="s">
        <v>1728</v>
      </c>
      <c r="Q2345" s="4"/>
      <c r="R2345" s="4"/>
      <c r="S2345" s="9" t="str">
        <f>HYPERLINK("https://pbs.twimg.com/profile_images/1038039216041734145/2lcn2CY5.jpg","View")</f>
        <v>View</v>
      </c>
    </row>
    <row r="2346" spans="1:19" ht="50">
      <c r="A2346" s="8">
        <v>43370.028657407413</v>
      </c>
      <c r="B2346" s="11" t="str">
        <f>HYPERLINK("https://twitter.com/Mahoor7551","@Mahoor7551")</f>
        <v>@Mahoor7551</v>
      </c>
      <c r="C2346" s="6" t="s">
        <v>1727</v>
      </c>
      <c r="D2346" s="5" t="s">
        <v>1168</v>
      </c>
      <c r="E2346" s="9" t="str">
        <f>HYPERLINK("https://twitter.com/Mahoor7551/status/1045058242978680834","1045058242978680834")</f>
        <v>1045058242978680834</v>
      </c>
      <c r="F2346" s="4"/>
      <c r="G2346" s="10" t="s">
        <v>907</v>
      </c>
      <c r="H2346" s="4"/>
      <c r="I2346" s="10" t="str">
        <f>HYPERLINK("http://twitter.com/download/android","Twitter for Android")</f>
        <v>Twitter for Android</v>
      </c>
      <c r="J2346" s="2">
        <v>82</v>
      </c>
      <c r="K2346" s="2">
        <v>56</v>
      </c>
      <c r="L2346" s="2">
        <v>0</v>
      </c>
      <c r="M2346" s="2"/>
      <c r="N2346" s="8">
        <v>43100.961331018523</v>
      </c>
      <c r="O2346" s="4"/>
      <c r="P2346" s="3"/>
      <c r="Q2346" s="4"/>
      <c r="R2346" s="4"/>
      <c r="S2346" s="9" t="str">
        <f>HYPERLINK("https://pbs.twimg.com/profile_images/991185024660762624/shOMd9N1.jpg","View")</f>
        <v>View</v>
      </c>
    </row>
    <row r="2347" spans="1:19" ht="30">
      <c r="A2347" s="8">
        <v>43370.028587962966</v>
      </c>
      <c r="B2347" s="11" t="str">
        <f>HYPERLINK("https://twitter.com/fa_retweet","@fa_retweet")</f>
        <v>@fa_retweet</v>
      </c>
      <c r="C2347" s="6" t="s">
        <v>1726</v>
      </c>
      <c r="D2347" s="5" t="s">
        <v>1505</v>
      </c>
      <c r="E2347" s="9" t="str">
        <f>HYPERLINK("https://twitter.com/fa_retweet/status/1045058220123926529","1045058220123926529")</f>
        <v>1045058220123926529</v>
      </c>
      <c r="F2347" s="4"/>
      <c r="G2347" s="10" t="s">
        <v>452</v>
      </c>
      <c r="H2347" s="4"/>
      <c r="I2347" s="10" t="str">
        <f>HYPERLINK("http://tamrini.com","autoretweet_fa")</f>
        <v>autoretweet_fa</v>
      </c>
      <c r="J2347" s="2">
        <v>2272</v>
      </c>
      <c r="K2347" s="2">
        <v>498</v>
      </c>
      <c r="L2347" s="2">
        <v>44</v>
      </c>
      <c r="M2347" s="2"/>
      <c r="N2347" s="8">
        <v>41799.319293981483</v>
      </c>
      <c r="O2347" s="4" t="s">
        <v>1725</v>
      </c>
      <c r="P2347" s="3" t="s">
        <v>1724</v>
      </c>
      <c r="Q2347" s="4"/>
      <c r="R2347" s="4"/>
      <c r="S2347" s="9" t="str">
        <f>HYPERLINK("https://pbs.twimg.com/profile_images/719082327972974592/qu7GaIOF.jpg","View")</f>
        <v>View</v>
      </c>
    </row>
    <row r="2348" spans="1:19" ht="12.5">
      <c r="A2348" s="8">
        <v>43370.02815972222</v>
      </c>
      <c r="B2348" s="11" t="str">
        <f>HYPERLINK("https://twitter.com/SajjadRamesht","@SajjadRamesht")</f>
        <v>@SajjadRamesht</v>
      </c>
      <c r="C2348" s="6" t="s">
        <v>1723</v>
      </c>
      <c r="D2348" s="5" t="s">
        <v>1722</v>
      </c>
      <c r="E2348" s="9" t="str">
        <f>HYPERLINK("https://twitter.com/SajjadRamesht/status/1045058065127608321","1045058065127608321")</f>
        <v>1045058065127608321</v>
      </c>
      <c r="F2348" s="4"/>
      <c r="G2348" s="4"/>
      <c r="H2348" s="4"/>
      <c r="I2348" s="10" t="str">
        <f>HYPERLINK("http://twitter.com/download/iphone","Twitter for iPhone")</f>
        <v>Twitter for iPhone</v>
      </c>
      <c r="J2348" s="2">
        <v>99</v>
      </c>
      <c r="K2348" s="2">
        <v>52</v>
      </c>
      <c r="L2348" s="2">
        <v>1</v>
      </c>
      <c r="M2348" s="2"/>
      <c r="N2348" s="8">
        <v>42774.937569444446</v>
      </c>
      <c r="O2348" s="4"/>
      <c r="P2348" s="3" t="s">
        <v>1721</v>
      </c>
      <c r="Q2348" s="4"/>
      <c r="R2348" s="4"/>
      <c r="S2348" s="9" t="str">
        <f>HYPERLINK("https://pbs.twimg.com/profile_images/966067086593323008/ElwGIVxo.jpg","View")</f>
        <v>View</v>
      </c>
    </row>
    <row r="2349" spans="1:19" ht="30">
      <c r="A2349" s="8">
        <v>43370.027685185181</v>
      </c>
      <c r="B2349" s="11" t="str">
        <f>HYPERLINK("https://twitter.com/drfarzkonid","@drfarzkonid")</f>
        <v>@drfarzkonid</v>
      </c>
      <c r="C2349" s="6" t="s">
        <v>1720</v>
      </c>
      <c r="D2349" s="5" t="s">
        <v>1719</v>
      </c>
      <c r="E2349" s="9" t="str">
        <f>HYPERLINK("https://twitter.com/drfarzkonid/status/1045057890900480000","1045057890900480000")</f>
        <v>1045057890900480000</v>
      </c>
      <c r="F2349" s="4"/>
      <c r="G2349" s="4"/>
      <c r="H2349" s="4"/>
      <c r="I2349" s="10" t="str">
        <f>HYPERLINK("http://twitter.com/download/android","Twitter for Android")</f>
        <v>Twitter for Android</v>
      </c>
      <c r="J2349" s="2">
        <v>16</v>
      </c>
      <c r="K2349" s="2">
        <v>28</v>
      </c>
      <c r="L2349" s="2">
        <v>0</v>
      </c>
      <c r="M2349" s="2"/>
      <c r="N2349" s="8">
        <v>43368.562002314815</v>
      </c>
      <c r="O2349" s="4" t="s">
        <v>62</v>
      </c>
      <c r="P2349" s="3" t="s">
        <v>1718</v>
      </c>
      <c r="Q2349" s="4"/>
      <c r="R2349" s="4"/>
      <c r="S2349" s="9" t="str">
        <f>HYPERLINK("https://pbs.twimg.com/profile_images/1044528350017015813/9mQgEROQ.jpg","View")</f>
        <v>View</v>
      </c>
    </row>
    <row r="2350" spans="1:19" ht="50">
      <c r="A2350" s="8">
        <v>43370.02743055555</v>
      </c>
      <c r="B2350" s="11" t="str">
        <f>HYPERLINK("https://twitter.com/ananokies","@ananokies")</f>
        <v>@ananokies</v>
      </c>
      <c r="C2350" s="6" t="s">
        <v>1717</v>
      </c>
      <c r="D2350" s="5" t="s">
        <v>1168</v>
      </c>
      <c r="E2350" s="9" t="str">
        <f>HYPERLINK("https://twitter.com/ananokies/status/1045057802245484545","1045057802245484545")</f>
        <v>1045057802245484545</v>
      </c>
      <c r="F2350" s="4"/>
      <c r="G2350" s="10" t="s">
        <v>907</v>
      </c>
      <c r="H2350" s="4"/>
      <c r="I2350" s="10" t="str">
        <f>HYPERLINK("http://twitter.com/download/android","Twitter for Android")</f>
        <v>Twitter for Android</v>
      </c>
      <c r="J2350" s="2">
        <v>78</v>
      </c>
      <c r="K2350" s="2">
        <v>75</v>
      </c>
      <c r="L2350" s="2">
        <v>0</v>
      </c>
      <c r="M2350" s="2"/>
      <c r="N2350" s="8">
        <v>43253.656643518523</v>
      </c>
      <c r="O2350" s="4"/>
      <c r="P2350" s="3"/>
      <c r="Q2350" s="4"/>
      <c r="R2350" s="4"/>
      <c r="S2350" s="9" t="str">
        <f>HYPERLINK("https://pbs.twimg.com/profile_images/1002930019562377216/beVqJ8KV.jpg","View")</f>
        <v>View</v>
      </c>
    </row>
    <row r="2351" spans="1:19" ht="40">
      <c r="A2351" s="8">
        <v>43370.026550925926</v>
      </c>
      <c r="B2351" s="11" t="str">
        <f>HYPERLINK("https://twitter.com/esmaeilfar","@esmaeilfar")</f>
        <v>@esmaeilfar</v>
      </c>
      <c r="C2351" s="6" t="s">
        <v>1716</v>
      </c>
      <c r="D2351" s="5" t="s">
        <v>1388</v>
      </c>
      <c r="E2351" s="9" t="str">
        <f>HYPERLINK("https://twitter.com/esmaeilfar/status/1045057481737732099","1045057481737732099")</f>
        <v>1045057481737732099</v>
      </c>
      <c r="F2351" s="4"/>
      <c r="G2351" s="4"/>
      <c r="H2351" s="4"/>
      <c r="I2351" s="10" t="str">
        <f>HYPERLINK("http://twitter.com/download/android","Twitter for Android")</f>
        <v>Twitter for Android</v>
      </c>
      <c r="J2351" s="2">
        <v>138</v>
      </c>
      <c r="K2351" s="2">
        <v>260</v>
      </c>
      <c r="L2351" s="2">
        <v>0</v>
      </c>
      <c r="M2351" s="2"/>
      <c r="N2351" s="8">
        <v>43352.73572916667</v>
      </c>
      <c r="O2351" s="4"/>
      <c r="P2351" s="3" t="s">
        <v>1715</v>
      </c>
      <c r="Q2351" s="4"/>
      <c r="R2351" s="4"/>
      <c r="S2351" s="9" t="str">
        <f>HYPERLINK("https://pbs.twimg.com/profile_images/1039107289985298432/QBSd72qj.jpg","View")</f>
        <v>View</v>
      </c>
    </row>
    <row r="2352" spans="1:19" ht="20">
      <c r="A2352" s="8">
        <v>43370.026400462964</v>
      </c>
      <c r="B2352" s="11" t="str">
        <f>HYPERLINK("https://twitter.com/raverafsh","@raverafsh")</f>
        <v>@raverafsh</v>
      </c>
      <c r="C2352" s="6" t="s">
        <v>1714</v>
      </c>
      <c r="D2352" s="5" t="s">
        <v>1713</v>
      </c>
      <c r="E2352" s="9" t="str">
        <f>HYPERLINK("https://twitter.com/raverafsh/status/1045057425588580352","1045057425588580352")</f>
        <v>1045057425588580352</v>
      </c>
      <c r="F2352" s="4"/>
      <c r="G2352" s="10" t="s">
        <v>1712</v>
      </c>
      <c r="H2352" s="4"/>
      <c r="I2352" s="10" t="str">
        <f>HYPERLINK("http://twitter.com/download/android","Twitter for Android")</f>
        <v>Twitter for Android</v>
      </c>
      <c r="J2352" s="2">
        <v>2670</v>
      </c>
      <c r="K2352" s="2">
        <v>2632</v>
      </c>
      <c r="L2352" s="2">
        <v>0</v>
      </c>
      <c r="M2352" s="2"/>
      <c r="N2352" s="8">
        <v>42640.913611111115</v>
      </c>
      <c r="O2352" s="4" t="s">
        <v>254</v>
      </c>
      <c r="P2352" s="3"/>
      <c r="Q2352" s="4"/>
      <c r="R2352" s="4"/>
      <c r="S2352" s="9" t="str">
        <f>HYPERLINK("https://pbs.twimg.com/profile_images/1020397519791116288/9Ewr-nmb.jpg","View")</f>
        <v>View</v>
      </c>
    </row>
    <row r="2353" spans="1:19" ht="30">
      <c r="A2353" s="8">
        <v>43370.026296296295</v>
      </c>
      <c r="B2353" s="11" t="str">
        <f>HYPERLINK("https://twitter.com/jojo_1900","@jojo_1900")</f>
        <v>@jojo_1900</v>
      </c>
      <c r="C2353" s="6" t="s">
        <v>1711</v>
      </c>
      <c r="D2353" s="5" t="s">
        <v>1703</v>
      </c>
      <c r="E2353" s="9" t="str">
        <f>HYPERLINK("https://twitter.com/jojo_1900/status/1045057389723090948","1045057389723090948")</f>
        <v>1045057389723090948</v>
      </c>
      <c r="F2353" s="4"/>
      <c r="G2353" s="10" t="s">
        <v>1702</v>
      </c>
      <c r="H2353" s="4"/>
      <c r="I2353" s="10" t="str">
        <f>HYPERLINK("http://twitter.com","Twitter Web Client")</f>
        <v>Twitter Web Client</v>
      </c>
      <c r="J2353" s="2">
        <v>698</v>
      </c>
      <c r="K2353" s="2">
        <v>632</v>
      </c>
      <c r="L2353" s="2">
        <v>3</v>
      </c>
      <c r="M2353" s="2"/>
      <c r="N2353" s="8">
        <v>41314.459652777776</v>
      </c>
      <c r="O2353" s="4" t="s">
        <v>1710</v>
      </c>
      <c r="P2353" s="3" t="s">
        <v>1709</v>
      </c>
      <c r="Q2353" s="4"/>
      <c r="R2353" s="4"/>
      <c r="S2353" s="9" t="str">
        <f>HYPERLINK("https://pbs.twimg.com/profile_images/1018899073099862016/byN5TZWW.jpg","View")</f>
        <v>View</v>
      </c>
    </row>
    <row r="2354" spans="1:19" ht="30">
      <c r="A2354" s="8">
        <v>43370.02616898148</v>
      </c>
      <c r="B2354" s="11" t="str">
        <f>HYPERLINK("https://twitter.com/marde_sharghi","@marde_sharghi")</f>
        <v>@marde_sharghi</v>
      </c>
      <c r="C2354" s="6" t="s">
        <v>1708</v>
      </c>
      <c r="D2354" s="5" t="s">
        <v>1505</v>
      </c>
      <c r="E2354" s="9" t="str">
        <f>HYPERLINK("https://twitter.com/marde_sharghi/status/1045057341568290819","1045057341568290819")</f>
        <v>1045057341568290819</v>
      </c>
      <c r="F2354" s="4"/>
      <c r="G2354" s="10" t="s">
        <v>452</v>
      </c>
      <c r="H2354" s="4"/>
      <c r="I2354" s="10" t="str">
        <f>HYPERLINK("http://twitter.com/download/iphone","Twitter for iPhone")</f>
        <v>Twitter for iPhone</v>
      </c>
      <c r="J2354" s="2">
        <v>212</v>
      </c>
      <c r="K2354" s="2">
        <v>209</v>
      </c>
      <c r="L2354" s="2">
        <v>0</v>
      </c>
      <c r="M2354" s="2"/>
      <c r="N2354" s="8">
        <v>41595.006469907406</v>
      </c>
      <c r="O2354" s="4"/>
      <c r="P2354" s="3" t="s">
        <v>1707</v>
      </c>
      <c r="Q2354" s="4"/>
      <c r="R2354" s="4"/>
      <c r="S2354" s="9" t="str">
        <f>HYPERLINK("https://pbs.twimg.com/profile_images/482973030411669504/sEwg48Za.jpeg","View")</f>
        <v>View</v>
      </c>
    </row>
    <row r="2355" spans="1:19" ht="20">
      <c r="A2355" s="8">
        <v>43370.025567129633</v>
      </c>
      <c r="B2355" s="11" t="str">
        <f>HYPERLINK("https://twitter.com/saeidlei","@saeidlei")</f>
        <v>@saeidlei</v>
      </c>
      <c r="C2355" s="6" t="s">
        <v>1706</v>
      </c>
      <c r="D2355" s="5" t="s">
        <v>1705</v>
      </c>
      <c r="E2355" s="9" t="str">
        <f>HYPERLINK("https://twitter.com/saeidlei/status/1045057126022950913","1045057126022950913")</f>
        <v>1045057126022950913</v>
      </c>
      <c r="F2355" s="4"/>
      <c r="G2355" s="4"/>
      <c r="H2355" s="4"/>
      <c r="I2355" s="10" t="str">
        <f>HYPERLINK("http://twitter.com/download/iphone","Twitter for iPhone")</f>
        <v>Twitter for iPhone</v>
      </c>
      <c r="J2355" s="2">
        <v>4018</v>
      </c>
      <c r="K2355" s="2">
        <v>3077</v>
      </c>
      <c r="L2355" s="2">
        <v>12</v>
      </c>
      <c r="M2355" s="2"/>
      <c r="N2355" s="8">
        <v>42652.855081018519</v>
      </c>
      <c r="O2355" s="4"/>
      <c r="P2355" s="3"/>
      <c r="Q2355" s="4"/>
      <c r="R2355" s="4"/>
      <c r="S2355" s="9" t="str">
        <f>HYPERLINK("https://pbs.twimg.com/profile_images/1023891346191527936/uGmoLjvV.jpg","View")</f>
        <v>View</v>
      </c>
    </row>
    <row r="2356" spans="1:19" ht="30">
      <c r="A2356" s="8">
        <v>43370.025520833333</v>
      </c>
      <c r="B2356" s="11" t="str">
        <f>HYPERLINK("https://twitter.com/samadbeygi","@samadbeygi")</f>
        <v>@samadbeygi</v>
      </c>
      <c r="C2356" s="6" t="s">
        <v>1704</v>
      </c>
      <c r="D2356" s="5" t="s">
        <v>1703</v>
      </c>
      <c r="E2356" s="9" t="str">
        <f>HYPERLINK("https://twitter.com/samadbeygi/status/1045057108885032960","1045057108885032960")</f>
        <v>1045057108885032960</v>
      </c>
      <c r="F2356" s="4"/>
      <c r="G2356" s="10" t="s">
        <v>1702</v>
      </c>
      <c r="H2356" s="4"/>
      <c r="I2356" s="10" t="str">
        <f>HYPERLINK("http://twitter.com/download/iphone","Twitter for iPhone")</f>
        <v>Twitter for iPhone</v>
      </c>
      <c r="J2356" s="2">
        <v>10078</v>
      </c>
      <c r="K2356" s="2">
        <v>571</v>
      </c>
      <c r="L2356" s="2">
        <v>101</v>
      </c>
      <c r="M2356" s="2" t="s">
        <v>1701</v>
      </c>
      <c r="N2356" s="8">
        <v>40826.59103009259</v>
      </c>
      <c r="O2356" s="4" t="s">
        <v>1139</v>
      </c>
      <c r="P2356" s="3" t="s">
        <v>1700</v>
      </c>
      <c r="Q2356" s="4"/>
      <c r="R2356" s="4"/>
      <c r="S2356" s="9" t="str">
        <f>HYPERLINK("https://pbs.twimg.com/profile_images/877042942699024385/k4Jt7iRC.jpg","View")</f>
        <v>View</v>
      </c>
    </row>
    <row r="2357" spans="1:19" ht="12.5">
      <c r="A2357" s="8">
        <v>43370.025416666671</v>
      </c>
      <c r="B2357" s="11" t="str">
        <f>HYPERLINK("https://twitter.com/Parsatavakolii","@Parsatavakolii")</f>
        <v>@Parsatavakolii</v>
      </c>
      <c r="C2357" s="6" t="s">
        <v>423</v>
      </c>
      <c r="D2357" s="5" t="s">
        <v>1699</v>
      </c>
      <c r="E2357" s="9" t="str">
        <f>HYPERLINK("https://twitter.com/Parsatavakolii/status/1045057069592834048","1045057069592834048")</f>
        <v>1045057069592834048</v>
      </c>
      <c r="F2357" s="4"/>
      <c r="G2357" s="4"/>
      <c r="H2357" s="4"/>
      <c r="I2357" s="10" t="str">
        <f>HYPERLINK("http://twitter.com/download/iphone","Twitter for iPhone")</f>
        <v>Twitter for iPhone</v>
      </c>
      <c r="J2357" s="2">
        <v>406</v>
      </c>
      <c r="K2357" s="2">
        <v>941</v>
      </c>
      <c r="L2357" s="2">
        <v>0</v>
      </c>
      <c r="M2357" s="2"/>
      <c r="N2357" s="8">
        <v>43356.22388888889</v>
      </c>
      <c r="O2357" s="4"/>
      <c r="P2357" s="3" t="s">
        <v>1653</v>
      </c>
      <c r="Q2357" s="10" t="s">
        <v>1698</v>
      </c>
      <c r="R2357" s="4"/>
      <c r="S2357" s="9" t="str">
        <f>HYPERLINK("https://pbs.twimg.com/profile_images/1043280987810136070/8F__DkiQ.jpg","View")</f>
        <v>View</v>
      </c>
    </row>
    <row r="2358" spans="1:19" ht="12.5">
      <c r="A2358" s="8">
        <v>43370.024386574078</v>
      </c>
      <c r="B2358" s="11" t="str">
        <f>HYPERLINK("https://twitter.com/MajidRanjbaran","@MajidRanjbaran")</f>
        <v>@MajidRanjbaran</v>
      </c>
      <c r="C2358" s="6" t="s">
        <v>1697</v>
      </c>
      <c r="D2358" s="5" t="s">
        <v>1696</v>
      </c>
      <c r="E2358" s="9" t="str">
        <f>HYPERLINK("https://twitter.com/MajidRanjbaran/status/1045056695578300418","1045056695578300418")</f>
        <v>1045056695578300418</v>
      </c>
      <c r="F2358" s="4"/>
      <c r="G2358" s="4"/>
      <c r="H2358" s="4"/>
      <c r="I2358" s="10" t="str">
        <f>HYPERLINK("http://twitter.com/download/android","Twitter for Android")</f>
        <v>Twitter for Android</v>
      </c>
      <c r="J2358" s="2">
        <v>42</v>
      </c>
      <c r="K2358" s="2">
        <v>111</v>
      </c>
      <c r="L2358" s="2">
        <v>1</v>
      </c>
      <c r="M2358" s="2"/>
      <c r="N2358" s="8">
        <v>43058.13998842593</v>
      </c>
      <c r="O2358" s="4" t="s">
        <v>200</v>
      </c>
      <c r="P2358" s="3" t="s">
        <v>1695</v>
      </c>
      <c r="Q2358" s="10" t="s">
        <v>1694</v>
      </c>
      <c r="R2358" s="4"/>
      <c r="S2358" s="9" t="str">
        <f>HYPERLINK("https://pbs.twimg.com/profile_images/1000599845181317122/819H7KZa.jpg","View")</f>
        <v>View</v>
      </c>
    </row>
    <row r="2359" spans="1:19" ht="30">
      <c r="A2359" s="8">
        <v>43370.024328703701</v>
      </c>
      <c r="B2359" s="11" t="str">
        <f>HYPERLINK("https://twitter.com/MontanaSali","@MontanaSali")</f>
        <v>@MontanaSali</v>
      </c>
      <c r="C2359" s="6" t="s">
        <v>1685</v>
      </c>
      <c r="D2359" s="5" t="s">
        <v>1693</v>
      </c>
      <c r="E2359" s="9" t="str">
        <f>HYPERLINK("https://twitter.com/MontanaSali/status/1045056678071332866","1045056678071332866")</f>
        <v>1045056678071332866</v>
      </c>
      <c r="F2359" s="4"/>
      <c r="G2359" s="4"/>
      <c r="H2359" s="4"/>
      <c r="I2359" s="10" t="str">
        <f>HYPERLINK("http://twitter.com/download/iphone","Twitter for iPhone")</f>
        <v>Twitter for iPhone</v>
      </c>
      <c r="J2359" s="2">
        <v>457</v>
      </c>
      <c r="K2359" s="2">
        <v>720</v>
      </c>
      <c r="L2359" s="2">
        <v>2</v>
      </c>
      <c r="M2359" s="2"/>
      <c r="N2359" s="8">
        <v>42580.613854166666</v>
      </c>
      <c r="O2359" s="4"/>
      <c r="P2359" s="3" t="s">
        <v>1682</v>
      </c>
      <c r="Q2359" s="4"/>
      <c r="R2359" s="4"/>
      <c r="S2359" s="9" t="str">
        <f>HYPERLINK("https://pbs.twimg.com/profile_images/1036679792719015936/qiNvDM1L.jpg","View")</f>
        <v>View</v>
      </c>
    </row>
    <row r="2360" spans="1:19" ht="30">
      <c r="A2360" s="8">
        <v>43370.024004629631</v>
      </c>
      <c r="B2360" s="11" t="str">
        <f>HYPERLINK("https://twitter.com/Alikzm7","@Alikzm7")</f>
        <v>@Alikzm7</v>
      </c>
      <c r="C2360" s="6" t="s">
        <v>1692</v>
      </c>
      <c r="D2360" s="5" t="s">
        <v>1691</v>
      </c>
      <c r="E2360" s="9" t="str">
        <f>HYPERLINK("https://twitter.com/Alikzm7/status/1045056558374121472","1045056558374121472")</f>
        <v>1045056558374121472</v>
      </c>
      <c r="F2360" s="4"/>
      <c r="G2360" s="4"/>
      <c r="H2360" s="4"/>
      <c r="I2360" s="10" t="str">
        <f>HYPERLINK("http://twitter.com/download/android","Twitter for Android")</f>
        <v>Twitter for Android</v>
      </c>
      <c r="J2360" s="2">
        <v>1209</v>
      </c>
      <c r="K2360" s="2">
        <v>654</v>
      </c>
      <c r="L2360" s="2">
        <v>4</v>
      </c>
      <c r="M2360" s="2"/>
      <c r="N2360" s="8">
        <v>41499.481516203705</v>
      </c>
      <c r="O2360" s="4" t="s">
        <v>1690</v>
      </c>
      <c r="P2360" s="3" t="s">
        <v>1689</v>
      </c>
      <c r="Q2360" s="4"/>
      <c r="R2360" s="4"/>
      <c r="S2360" s="9" t="str">
        <f>HYPERLINK("https://pbs.twimg.com/profile_images/1021378213916729344/8m2EfTeV.jpg","View")</f>
        <v>View</v>
      </c>
    </row>
    <row r="2361" spans="1:19" ht="20">
      <c r="A2361" s="8">
        <v>43370.023784722223</v>
      </c>
      <c r="B2361" s="11" t="str">
        <f>HYPERLINK("https://twitter.com/MuhammadDehdari","@MuhammadDehdari")</f>
        <v>@MuhammadDehdari</v>
      </c>
      <c r="C2361" s="6" t="s">
        <v>1688</v>
      </c>
      <c r="D2361" s="5" t="s">
        <v>1687</v>
      </c>
      <c r="E2361" s="9" t="str">
        <f>HYPERLINK("https://twitter.com/MuhammadDehdari/status/1045056480859357184","1045056480859357184")</f>
        <v>1045056480859357184</v>
      </c>
      <c r="F2361" s="4"/>
      <c r="G2361" s="4"/>
      <c r="H2361" s="4"/>
      <c r="I2361" s="10" t="str">
        <f>HYPERLINK("http://twitter.com/download/android","Twitter for Android")</f>
        <v>Twitter for Android</v>
      </c>
      <c r="J2361" s="2">
        <v>370</v>
      </c>
      <c r="K2361" s="2">
        <v>503</v>
      </c>
      <c r="L2361" s="2">
        <v>4</v>
      </c>
      <c r="M2361" s="2"/>
      <c r="N2361" s="8">
        <v>42895.348298611112</v>
      </c>
      <c r="O2361" s="4" t="s">
        <v>62</v>
      </c>
      <c r="P2361" s="3" t="s">
        <v>1686</v>
      </c>
      <c r="Q2361" s="4"/>
      <c r="R2361" s="4"/>
      <c r="S2361" s="9" t="str">
        <f>HYPERLINK("https://pbs.twimg.com/profile_images/1043114012177850368/zlANgikf.jpg","View")</f>
        <v>View</v>
      </c>
    </row>
    <row r="2362" spans="1:19" ht="20">
      <c r="A2362" s="8">
        <v>43370.023333333331</v>
      </c>
      <c r="B2362" s="11" t="str">
        <f>HYPERLINK("https://twitter.com/MontanaSali","@MontanaSali")</f>
        <v>@MontanaSali</v>
      </c>
      <c r="C2362" s="6" t="s">
        <v>1685</v>
      </c>
      <c r="D2362" s="5" t="s">
        <v>1684</v>
      </c>
      <c r="E2362" s="9" t="str">
        <f>HYPERLINK("https://twitter.com/MontanaSali/status/1045056315352125445","1045056315352125445")</f>
        <v>1045056315352125445</v>
      </c>
      <c r="F2362" s="4"/>
      <c r="G2362" s="10" t="s">
        <v>1683</v>
      </c>
      <c r="H2362" s="4"/>
      <c r="I2362" s="10" t="str">
        <f>HYPERLINK("http://twitter.com/download/iphone","Twitter for iPhone")</f>
        <v>Twitter for iPhone</v>
      </c>
      <c r="J2362" s="2">
        <v>457</v>
      </c>
      <c r="K2362" s="2">
        <v>720</v>
      </c>
      <c r="L2362" s="2">
        <v>2</v>
      </c>
      <c r="M2362" s="2"/>
      <c r="N2362" s="8">
        <v>42580.613854166666</v>
      </c>
      <c r="O2362" s="4"/>
      <c r="P2362" s="3" t="s">
        <v>1682</v>
      </c>
      <c r="Q2362" s="4"/>
      <c r="R2362" s="4"/>
      <c r="S2362" s="9" t="str">
        <f>HYPERLINK("https://pbs.twimg.com/profile_images/1036679792719015936/qiNvDM1L.jpg","View")</f>
        <v>View</v>
      </c>
    </row>
    <row r="2363" spans="1:19" ht="30">
      <c r="A2363" s="8">
        <v>43370.0230787037</v>
      </c>
      <c r="B2363" s="11" t="str">
        <f>HYPERLINK("https://twitter.com/SMPrfa","@SMPrfa")</f>
        <v>@SMPrfa</v>
      </c>
      <c r="C2363" s="6" t="s">
        <v>1681</v>
      </c>
      <c r="D2363" s="5" t="s">
        <v>1680</v>
      </c>
      <c r="E2363" s="9" t="str">
        <f>HYPERLINK("https://twitter.com/SMPrfa/status/1045056225128456198","1045056225128456198")</f>
        <v>1045056225128456198</v>
      </c>
      <c r="F2363" s="4"/>
      <c r="G2363" s="4"/>
      <c r="H2363" s="4"/>
      <c r="I2363" s="10" t="str">
        <f>HYPERLINK("http://twitter.com","Twitter Web Client")</f>
        <v>Twitter Web Client</v>
      </c>
      <c r="J2363" s="2">
        <v>874</v>
      </c>
      <c r="K2363" s="2">
        <v>850</v>
      </c>
      <c r="L2363" s="2">
        <v>0</v>
      </c>
      <c r="M2363" s="2"/>
      <c r="N2363" s="8">
        <v>41640.805601851855</v>
      </c>
      <c r="O2363" s="4" t="s">
        <v>1679</v>
      </c>
      <c r="P2363" s="3" t="s">
        <v>1678</v>
      </c>
      <c r="Q2363" s="4"/>
      <c r="R2363" s="4"/>
      <c r="S2363" s="9" t="str">
        <f>HYPERLINK("https://pbs.twimg.com/profile_images/1043802255240105984/_1lAMvO8.jpg","View")</f>
        <v>View</v>
      </c>
    </row>
    <row r="2364" spans="1:19" ht="12.5">
      <c r="A2364" s="8">
        <v>43370.02306712963</v>
      </c>
      <c r="B2364" s="11" t="str">
        <f>HYPERLINK("https://twitter.com/filikht","@filikht")</f>
        <v>@filikht</v>
      </c>
      <c r="C2364" s="6" t="s">
        <v>1677</v>
      </c>
      <c r="D2364" s="5" t="s">
        <v>1676</v>
      </c>
      <c r="E2364" s="9" t="str">
        <f>HYPERLINK("https://twitter.com/filikht/status/1045056218463645696","1045056218463645696")</f>
        <v>1045056218463645696</v>
      </c>
      <c r="F2364" s="4"/>
      <c r="G2364" s="10" t="s">
        <v>1675</v>
      </c>
      <c r="H2364" s="4"/>
      <c r="I2364" s="10" t="str">
        <f>HYPERLINK("http://twitter.com/download/android","Twitter for Android")</f>
        <v>Twitter for Android</v>
      </c>
      <c r="J2364" s="2">
        <v>444</v>
      </c>
      <c r="K2364" s="2">
        <v>157</v>
      </c>
      <c r="L2364" s="2">
        <v>4</v>
      </c>
      <c r="M2364" s="2"/>
      <c r="N2364" s="8">
        <v>43234.704513888893</v>
      </c>
      <c r="O2364" s="4" t="s">
        <v>1674</v>
      </c>
      <c r="P2364" s="3" t="s">
        <v>1673</v>
      </c>
      <c r="Q2364" s="4"/>
      <c r="R2364" s="4"/>
      <c r="S2364" s="9" t="str">
        <f>HYPERLINK("https://pbs.twimg.com/profile_images/1043055079392198656/Kg-BaqR-.jpg","View")</f>
        <v>View</v>
      </c>
    </row>
    <row r="2365" spans="1:19" ht="40">
      <c r="A2365" s="8">
        <v>43370.022847222222</v>
      </c>
      <c r="B2365" s="11" t="str">
        <f>HYPERLINK("https://twitter.com/hoseinbipanahi1","@hoseinbipanahi1")</f>
        <v>@hoseinbipanahi1</v>
      </c>
      <c r="C2365" s="6" t="s">
        <v>911</v>
      </c>
      <c r="D2365" s="5" t="s">
        <v>1468</v>
      </c>
      <c r="E2365" s="9" t="str">
        <f>HYPERLINK("https://twitter.com/hoseinbipanahi1/status/1045056137597472768","1045056137597472768")</f>
        <v>1045056137597472768</v>
      </c>
      <c r="F2365" s="4"/>
      <c r="G2365" s="4"/>
      <c r="H2365" s="4"/>
      <c r="I2365" s="10" t="str">
        <f>HYPERLINK("http://twitter.com/download/android","Twitter for Android")</f>
        <v>Twitter for Android</v>
      </c>
      <c r="J2365" s="2">
        <v>4258</v>
      </c>
      <c r="K2365" s="2">
        <v>2756</v>
      </c>
      <c r="L2365" s="2">
        <v>13</v>
      </c>
      <c r="M2365" s="2"/>
      <c r="N2365" s="8">
        <v>40971.767384259263</v>
      </c>
      <c r="O2365" s="4" t="s">
        <v>72</v>
      </c>
      <c r="P2365" s="3" t="s">
        <v>910</v>
      </c>
      <c r="Q2365" s="4"/>
      <c r="R2365" s="4"/>
      <c r="S2365" s="9" t="str">
        <f>HYPERLINK("https://pbs.twimg.com/profile_images/1020313986884128774/LEkXoxB4.jpg","View")</f>
        <v>View</v>
      </c>
    </row>
    <row r="2366" spans="1:19" ht="30">
      <c r="A2366" s="8">
        <v>43370.013055555552</v>
      </c>
      <c r="B2366" s="11" t="str">
        <f>HYPERLINK("https://twitter.com/zehneno","@zehneno")</f>
        <v>@zehneno</v>
      </c>
      <c r="C2366" s="6" t="s">
        <v>1672</v>
      </c>
      <c r="D2366" s="5" t="s">
        <v>408</v>
      </c>
      <c r="E2366" s="9" t="str">
        <f>HYPERLINK("https://twitter.com/zehneno/status/1045052589476388865","1045052589476388865")</f>
        <v>1045052589476388865</v>
      </c>
      <c r="F2366" s="4"/>
      <c r="G2366" s="4"/>
      <c r="H2366" s="4"/>
      <c r="I2366" s="10" t="str">
        <f>HYPERLINK("http://twitter.com/download/android","Twitter for Android")</f>
        <v>Twitter for Android</v>
      </c>
      <c r="J2366" s="2">
        <v>488</v>
      </c>
      <c r="K2366" s="2">
        <v>289</v>
      </c>
      <c r="L2366" s="2">
        <v>0</v>
      </c>
      <c r="M2366" s="2"/>
      <c r="N2366" s="8">
        <v>42659.287210648152</v>
      </c>
      <c r="O2366" s="4" t="s">
        <v>1671</v>
      </c>
      <c r="P2366" s="3" t="s">
        <v>1670</v>
      </c>
      <c r="Q2366" s="4"/>
      <c r="R2366" s="4"/>
      <c r="S2366" s="9" t="str">
        <f>HYPERLINK("https://pbs.twimg.com/profile_images/1043497911605112832/TsTvRttj.jpg","View")</f>
        <v>View</v>
      </c>
    </row>
    <row r="2367" spans="1:19" ht="40">
      <c r="A2367" s="8">
        <v>43370.012824074074</v>
      </c>
      <c r="B2367" s="11" t="str">
        <f>HYPERLINK("https://twitter.com/misseyebrow_","@misseyebrow_")</f>
        <v>@misseyebrow_</v>
      </c>
      <c r="C2367" s="6" t="s">
        <v>1669</v>
      </c>
      <c r="D2367" s="5" t="s">
        <v>1668</v>
      </c>
      <c r="E2367" s="9" t="str">
        <f>HYPERLINK("https://twitter.com/misseyebrow_/status/1045052506051686400","1045052506051686400")</f>
        <v>1045052506051686400</v>
      </c>
      <c r="F2367" s="4"/>
      <c r="G2367" s="10" t="s">
        <v>1667</v>
      </c>
      <c r="H2367" s="4"/>
      <c r="I2367" s="10" t="str">
        <f>HYPERLINK("http://twitter.com/download/iphone","Twitter for iPhone")</f>
        <v>Twitter for iPhone</v>
      </c>
      <c r="J2367" s="2">
        <v>560</v>
      </c>
      <c r="K2367" s="2">
        <v>381</v>
      </c>
      <c r="L2367" s="2">
        <v>4</v>
      </c>
      <c r="M2367" s="2"/>
      <c r="N2367" s="8">
        <v>41807.428912037038</v>
      </c>
      <c r="O2367" s="4" t="s">
        <v>254</v>
      </c>
      <c r="P2367" s="3" t="s">
        <v>1666</v>
      </c>
      <c r="Q2367" s="4"/>
      <c r="R2367" s="4"/>
      <c r="S2367" s="9" t="str">
        <f>HYPERLINK("https://pbs.twimg.com/profile_images/1038036387252064256/EJaIQp2d.jpg","View")</f>
        <v>View</v>
      </c>
    </row>
    <row r="2368" spans="1:19" ht="30">
      <c r="A2368" s="8">
        <v>43370.012789351851</v>
      </c>
      <c r="B2368" s="11" t="str">
        <f>HYPERLINK("https://twitter.com/abuezrail","@abuezrail")</f>
        <v>@abuezrail</v>
      </c>
      <c r="C2368" s="6" t="s">
        <v>1665</v>
      </c>
      <c r="D2368" s="5" t="s">
        <v>1664</v>
      </c>
      <c r="E2368" s="9" t="str">
        <f>HYPERLINK("https://twitter.com/abuezrail/status/1045052496568348673","1045052496568348673")</f>
        <v>1045052496568348673</v>
      </c>
      <c r="F2368" s="4"/>
      <c r="G2368" s="4"/>
      <c r="H2368" s="4"/>
      <c r="I2368" s="10" t="str">
        <f>HYPERLINK("http://twitter.com/download/android","Twitter for Android")</f>
        <v>Twitter for Android</v>
      </c>
      <c r="J2368" s="2">
        <v>2299</v>
      </c>
      <c r="K2368" s="2">
        <v>2264</v>
      </c>
      <c r="L2368" s="2">
        <v>2</v>
      </c>
      <c r="M2368" s="2"/>
      <c r="N2368" s="8">
        <v>42996.613761574074</v>
      </c>
      <c r="O2368" s="4" t="s">
        <v>1663</v>
      </c>
      <c r="P2368" s="3" t="s">
        <v>1662</v>
      </c>
      <c r="Q2368" s="10" t="s">
        <v>1661</v>
      </c>
      <c r="R2368" s="4"/>
      <c r="S2368" s="9" t="str">
        <f>HYPERLINK("https://pbs.twimg.com/profile_images/1037834242925965313/CxvhygD_.jpg","View")</f>
        <v>View</v>
      </c>
    </row>
    <row r="2369" spans="1:19" ht="30">
      <c r="A2369" s="8">
        <v>43370.011932870373</v>
      </c>
      <c r="B2369" s="11" t="str">
        <f>HYPERLINK("https://twitter.com/ArtLover1367","@ArtLover1367")</f>
        <v>@ArtLover1367</v>
      </c>
      <c r="C2369" s="6" t="s">
        <v>1660</v>
      </c>
      <c r="D2369" s="5" t="s">
        <v>1659</v>
      </c>
      <c r="E2369" s="9" t="str">
        <f>HYPERLINK("https://twitter.com/ArtLover1367/status/1045052186042994689","1045052186042994689")</f>
        <v>1045052186042994689</v>
      </c>
      <c r="F2369" s="4"/>
      <c r="G2369" s="4"/>
      <c r="H2369" s="4"/>
      <c r="I2369" s="10" t="str">
        <f>HYPERLINK("http://twitter.com","Twitter Web Client")</f>
        <v>Twitter Web Client</v>
      </c>
      <c r="J2369" s="2">
        <v>2999</v>
      </c>
      <c r="K2369" s="2">
        <v>655</v>
      </c>
      <c r="L2369" s="2">
        <v>17</v>
      </c>
      <c r="M2369" s="2"/>
      <c r="N2369" s="8">
        <v>42573.976516203707</v>
      </c>
      <c r="O2369" s="4"/>
      <c r="P2369" s="3" t="s">
        <v>1658</v>
      </c>
      <c r="Q2369" s="4"/>
      <c r="R2369" s="4"/>
      <c r="S2369" s="9" t="str">
        <f>HYPERLINK("https://pbs.twimg.com/profile_images/1042732563138314240/wqRPjiv7.jpg","View")</f>
        <v>View</v>
      </c>
    </row>
    <row r="2370" spans="1:19" ht="40">
      <c r="A2370" s="8">
        <v>43370.01116898148</v>
      </c>
      <c r="B2370" s="11" t="str">
        <f>HYPERLINK("https://twitter.com/zahra_amnx","@zahra_amnx")</f>
        <v>@zahra_amnx</v>
      </c>
      <c r="C2370" s="6" t="s">
        <v>780</v>
      </c>
      <c r="D2370" s="5" t="s">
        <v>81</v>
      </c>
      <c r="E2370" s="9" t="str">
        <f>HYPERLINK("https://twitter.com/zahra_amnx/status/1045051908304646144","1045051908304646144")</f>
        <v>1045051908304646144</v>
      </c>
      <c r="F2370" s="4"/>
      <c r="G2370" s="10" t="s">
        <v>80</v>
      </c>
      <c r="H2370" s="4"/>
      <c r="I2370" s="10" t="str">
        <f>HYPERLINK("http://twitter.com/download/iphone","Twitter for iPhone")</f>
        <v>Twitter for iPhone</v>
      </c>
      <c r="J2370" s="2">
        <v>1699</v>
      </c>
      <c r="K2370" s="2">
        <v>1260</v>
      </c>
      <c r="L2370" s="2">
        <v>2</v>
      </c>
      <c r="M2370" s="2"/>
      <c r="N2370" s="8">
        <v>42882.918078703704</v>
      </c>
      <c r="O2370" s="4" t="s">
        <v>779</v>
      </c>
      <c r="P2370" s="3" t="s">
        <v>778</v>
      </c>
      <c r="Q2370" s="10" t="s">
        <v>777</v>
      </c>
      <c r="R2370" s="4"/>
      <c r="S2370" s="9" t="str">
        <f>HYPERLINK("https://pbs.twimg.com/profile_images/1044126954893512706/EZkDCE9N.jpg","View")</f>
        <v>View</v>
      </c>
    </row>
    <row r="2371" spans="1:19" ht="30">
      <c r="A2371" s="8">
        <v>43370.011122685188</v>
      </c>
      <c r="B2371" s="11" t="str">
        <f>HYPERLINK("https://twitter.com/MahsayeB","@MahsayeB")</f>
        <v>@MahsayeB</v>
      </c>
      <c r="C2371" s="6" t="s">
        <v>1657</v>
      </c>
      <c r="D2371" s="5" t="s">
        <v>1201</v>
      </c>
      <c r="E2371" s="9" t="str">
        <f>HYPERLINK("https://twitter.com/MahsayeB/status/1045051890143301632","1045051890143301632")</f>
        <v>1045051890143301632</v>
      </c>
      <c r="F2371" s="4"/>
      <c r="G2371" s="4"/>
      <c r="H2371" s="4"/>
      <c r="I2371" s="10" t="str">
        <f>HYPERLINK("http://twitter.com/download/android","Twitter for Android")</f>
        <v>Twitter for Android</v>
      </c>
      <c r="J2371" s="2">
        <v>151</v>
      </c>
      <c r="K2371" s="2">
        <v>154</v>
      </c>
      <c r="L2371" s="2">
        <v>0</v>
      </c>
      <c r="M2371" s="2"/>
      <c r="N2371" s="8">
        <v>43317.610393518524</v>
      </c>
      <c r="O2371" s="4" t="s">
        <v>1656</v>
      </c>
      <c r="P2371" s="3" t="s">
        <v>1655</v>
      </c>
      <c r="Q2371" s="4"/>
      <c r="R2371" s="4"/>
      <c r="S2371" s="9" t="str">
        <f>HYPERLINK("https://pbs.twimg.com/profile_images/1044165044517457920/jdYITi_2.jpg","View")</f>
        <v>View</v>
      </c>
    </row>
    <row r="2372" spans="1:19" ht="12.5">
      <c r="A2372" s="8">
        <v>43370.010937500003</v>
      </c>
      <c r="B2372" s="11" t="str">
        <f>HYPERLINK("https://twitter.com/Parsatavakolii","@Parsatavakolii")</f>
        <v>@Parsatavakolii</v>
      </c>
      <c r="C2372" s="6" t="s">
        <v>423</v>
      </c>
      <c r="D2372" s="5" t="s">
        <v>1654</v>
      </c>
      <c r="E2372" s="9" t="str">
        <f>HYPERLINK("https://twitter.com/Parsatavakolii/status/1045051821998448641","1045051821998448641")</f>
        <v>1045051821998448641</v>
      </c>
      <c r="F2372" s="4"/>
      <c r="G2372" s="4"/>
      <c r="H2372" s="4"/>
      <c r="I2372" s="10" t="str">
        <f>HYPERLINK("http://twitter.com/download/iphone","Twitter for iPhone")</f>
        <v>Twitter for iPhone</v>
      </c>
      <c r="J2372" s="2">
        <v>408</v>
      </c>
      <c r="K2372" s="2">
        <v>941</v>
      </c>
      <c r="L2372" s="2">
        <v>0</v>
      </c>
      <c r="M2372" s="2"/>
      <c r="N2372" s="8">
        <v>43356.22388888889</v>
      </c>
      <c r="O2372" s="4"/>
      <c r="P2372" s="3" t="s">
        <v>1653</v>
      </c>
      <c r="Q2372" s="10" t="s">
        <v>1652</v>
      </c>
      <c r="R2372" s="4"/>
      <c r="S2372" s="9" t="str">
        <f>HYPERLINK("https://pbs.twimg.com/profile_images/1043280987810136070/8F__DkiQ.jpg","View")</f>
        <v>View</v>
      </c>
    </row>
    <row r="2373" spans="1:19" ht="30">
      <c r="A2373" s="8">
        <v>43370.010798611111</v>
      </c>
      <c r="B2373" s="11" t="str">
        <f>HYPERLINK("https://twitter.com/orchid_62","@orchid_62")</f>
        <v>@orchid_62</v>
      </c>
      <c r="C2373" s="6" t="s">
        <v>1651</v>
      </c>
      <c r="D2373" s="5" t="s">
        <v>1239</v>
      </c>
      <c r="E2373" s="9" t="str">
        <f>HYPERLINK("https://twitter.com/orchid_62/status/1045051771859750918","1045051771859750918")</f>
        <v>1045051771859750918</v>
      </c>
      <c r="F2373" s="4"/>
      <c r="G2373" s="4"/>
      <c r="H2373" s="4"/>
      <c r="I2373" s="10" t="str">
        <f>HYPERLINK("http://twitter.com/download/iphone","Twitter for iPhone")</f>
        <v>Twitter for iPhone</v>
      </c>
      <c r="J2373" s="2">
        <v>560</v>
      </c>
      <c r="K2373" s="2">
        <v>105</v>
      </c>
      <c r="L2373" s="2">
        <v>3</v>
      </c>
      <c r="M2373" s="2"/>
      <c r="N2373" s="8">
        <v>43153.364907407406</v>
      </c>
      <c r="O2373" s="4" t="s">
        <v>1650</v>
      </c>
      <c r="P2373" s="3" t="s">
        <v>1649</v>
      </c>
      <c r="Q2373" s="4"/>
      <c r="R2373" s="4"/>
      <c r="S2373" s="9" t="str">
        <f>HYPERLINK("https://pbs.twimg.com/profile_images/1044163921026928642/B4o0ZfOF.jpg","View")</f>
        <v>View</v>
      </c>
    </row>
    <row r="2374" spans="1:19" ht="50">
      <c r="A2374" s="8">
        <v>43370.010416666672</v>
      </c>
      <c r="B2374" s="11" t="str">
        <f>HYPERLINK("https://twitter.com/hosseinsolhjoo","@hosseinsolhjoo")</f>
        <v>@hosseinsolhjoo</v>
      </c>
      <c r="C2374" s="6" t="s">
        <v>1648</v>
      </c>
      <c r="D2374" s="5" t="s">
        <v>927</v>
      </c>
      <c r="E2374" s="9" t="str">
        <f>HYPERLINK("https://twitter.com/hosseinsolhjoo/status/1045051633619660811","1045051633619660811")</f>
        <v>1045051633619660811</v>
      </c>
      <c r="F2374" s="4"/>
      <c r="G2374" s="10" t="s">
        <v>926</v>
      </c>
      <c r="H2374" s="4"/>
      <c r="I2374" s="10" t="str">
        <f>HYPERLINK("http://twitter.com/download/android","Twitter for Android")</f>
        <v>Twitter for Android</v>
      </c>
      <c r="J2374" s="2">
        <v>138</v>
      </c>
      <c r="K2374" s="2">
        <v>186</v>
      </c>
      <c r="L2374" s="2">
        <v>0</v>
      </c>
      <c r="M2374" s="2"/>
      <c r="N2374" s="8">
        <v>43263.100092592591</v>
      </c>
      <c r="O2374" s="4"/>
      <c r="P2374" s="3" t="s">
        <v>1647</v>
      </c>
      <c r="Q2374" s="4"/>
      <c r="R2374" s="4"/>
      <c r="S2374" s="9" t="str">
        <f>HYPERLINK("https://pbs.twimg.com/profile_images/1026730463245860864/tSOD5_uW.jpg","View")</f>
        <v>View</v>
      </c>
    </row>
    <row r="2375" spans="1:19" ht="30">
      <c r="A2375" s="8">
        <v>43370.009664351848</v>
      </c>
      <c r="B2375" s="11" t="str">
        <f>HYPERLINK("https://twitter.com/Far_naz64","@Far_naz64")</f>
        <v>@Far_naz64</v>
      </c>
      <c r="C2375" s="6" t="s">
        <v>1098</v>
      </c>
      <c r="D2375" s="5" t="s">
        <v>1646</v>
      </c>
      <c r="E2375" s="9" t="str">
        <f>HYPERLINK("https://twitter.com/Far_naz64/status/1045051362516586496","1045051362516586496")</f>
        <v>1045051362516586496</v>
      </c>
      <c r="F2375" s="4"/>
      <c r="G2375" s="4"/>
      <c r="H2375" s="4"/>
      <c r="I2375" s="10" t="str">
        <f>HYPERLINK("http://twitter.com/download/iphone","Twitter for iPhone")</f>
        <v>Twitter for iPhone</v>
      </c>
      <c r="J2375" s="2">
        <v>12013</v>
      </c>
      <c r="K2375" s="2">
        <v>8633</v>
      </c>
      <c r="L2375" s="2">
        <v>67</v>
      </c>
      <c r="M2375" s="2"/>
      <c r="N2375" s="8">
        <v>40598.671585648146</v>
      </c>
      <c r="O2375" s="4" t="s">
        <v>1095</v>
      </c>
      <c r="P2375" s="3" t="s">
        <v>1094</v>
      </c>
      <c r="Q2375" s="10" t="s">
        <v>1093</v>
      </c>
      <c r="R2375" s="4"/>
      <c r="S2375" s="9" t="str">
        <f>HYPERLINK("https://pbs.twimg.com/profile_images/1040985112207339520/4EAnrJt6.jpg","View")</f>
        <v>View</v>
      </c>
    </row>
    <row r="2376" spans="1:19" ht="20">
      <c r="A2376" s="8">
        <v>43370.008912037039</v>
      </c>
      <c r="B2376" s="11" t="str">
        <f>HYPERLINK("https://twitter.com/talabehbirjandi","@talabehbirjandi")</f>
        <v>@talabehbirjandi</v>
      </c>
      <c r="C2376" s="6" t="s">
        <v>1645</v>
      </c>
      <c r="D2376" s="5" t="s">
        <v>354</v>
      </c>
      <c r="E2376" s="9" t="str">
        <f>HYPERLINK("https://twitter.com/talabehbirjandi/status/1045051088209104897","1045051088209104897")</f>
        <v>1045051088209104897</v>
      </c>
      <c r="F2376" s="4"/>
      <c r="G2376" s="4"/>
      <c r="H2376" s="4"/>
      <c r="I2376" s="10" t="str">
        <f>HYPERLINK("http://twitter.com/download/android","Twitter for Android")</f>
        <v>Twitter for Android</v>
      </c>
      <c r="J2376" s="2">
        <v>285</v>
      </c>
      <c r="K2376" s="2">
        <v>333</v>
      </c>
      <c r="L2376" s="2">
        <v>3</v>
      </c>
      <c r="M2376" s="2"/>
      <c r="N2376" s="8">
        <v>42838.786076388889</v>
      </c>
      <c r="O2376" s="4" t="s">
        <v>1644</v>
      </c>
      <c r="P2376" s="3" t="s">
        <v>1643</v>
      </c>
      <c r="Q2376" s="4"/>
      <c r="R2376" s="4"/>
      <c r="S2376" s="9" t="str">
        <f>HYPERLINK("https://pbs.twimg.com/profile_images/994347301199142913/FoB5URJf.jpg","View")</f>
        <v>View</v>
      </c>
    </row>
    <row r="2377" spans="1:19" ht="40">
      <c r="A2377" s="8">
        <v>43370.00880787037</v>
      </c>
      <c r="B2377" s="11" t="str">
        <f>HYPERLINK("https://twitter.com/varesh_varesh","@varesh_varesh")</f>
        <v>@varesh_varesh</v>
      </c>
      <c r="C2377" s="6" t="s">
        <v>1642</v>
      </c>
      <c r="D2377" s="5" t="s">
        <v>1468</v>
      </c>
      <c r="E2377" s="9" t="str">
        <f>HYPERLINK("https://twitter.com/varesh_varesh/status/1045051053241241601","1045051053241241601")</f>
        <v>1045051053241241601</v>
      </c>
      <c r="F2377" s="4"/>
      <c r="G2377" s="4"/>
      <c r="H2377" s="4"/>
      <c r="I2377" s="10" t="str">
        <f>HYPERLINK("http://twitter.com/download/iphone","Twitter for iPhone")</f>
        <v>Twitter for iPhone</v>
      </c>
      <c r="J2377" s="2">
        <v>102</v>
      </c>
      <c r="K2377" s="2">
        <v>88</v>
      </c>
      <c r="L2377" s="2">
        <v>1</v>
      </c>
      <c r="M2377" s="2"/>
      <c r="N2377" s="8">
        <v>41280.519386574073</v>
      </c>
      <c r="O2377" s="4"/>
      <c r="P2377" s="3" t="s">
        <v>1641</v>
      </c>
      <c r="Q2377" s="4"/>
      <c r="R2377" s="4"/>
      <c r="S2377" s="9" t="str">
        <f>HYPERLINK("https://pbs.twimg.com/profile_images/1044979837239263233/Pq8uJIgT.jpg","View")</f>
        <v>View</v>
      </c>
    </row>
    <row r="2378" spans="1:19" ht="40">
      <c r="A2378" s="8">
        <v>43370.008622685185</v>
      </c>
      <c r="B2378" s="11" t="str">
        <f>HYPERLINK("https://twitter.com/FarzaneGholami","@FarzaneGholami")</f>
        <v>@FarzaneGholami</v>
      </c>
      <c r="C2378" s="6" t="s">
        <v>1640</v>
      </c>
      <c r="D2378" s="5" t="s">
        <v>1639</v>
      </c>
      <c r="E2378" s="9" t="str">
        <f>HYPERLINK("https://twitter.com/FarzaneGholami/status/1045050986602139649","1045050986602139649")</f>
        <v>1045050986602139649</v>
      </c>
      <c r="F2378" s="4"/>
      <c r="G2378" s="4"/>
      <c r="H2378" s="4"/>
      <c r="I2378" s="10" t="str">
        <f>HYPERLINK("http://twitter.com/download/iphone","Twitter for iPhone")</f>
        <v>Twitter for iPhone</v>
      </c>
      <c r="J2378" s="2">
        <v>1422</v>
      </c>
      <c r="K2378" s="2">
        <v>351</v>
      </c>
      <c r="L2378" s="2">
        <v>7</v>
      </c>
      <c r="M2378" s="2"/>
      <c r="N2378" s="8">
        <v>42913.865844907406</v>
      </c>
      <c r="O2378" s="4" t="s">
        <v>1638</v>
      </c>
      <c r="P2378" s="3" t="s">
        <v>1637</v>
      </c>
      <c r="Q2378" s="10" t="s">
        <v>1636</v>
      </c>
      <c r="R2378" s="4"/>
      <c r="S2378" s="9" t="str">
        <f>HYPERLINK("https://pbs.twimg.com/profile_images/935662282071248898/p2xZ02IS.jpg","View")</f>
        <v>View</v>
      </c>
    </row>
    <row r="2379" spans="1:19" ht="20">
      <c r="A2379" s="8">
        <v>43370.007835648154</v>
      </c>
      <c r="B2379" s="11" t="str">
        <f>HYPERLINK("https://twitter.com/Alamtoo1994","@Alamtoo1994")</f>
        <v>@Alamtoo1994</v>
      </c>
      <c r="C2379" s="6" t="s">
        <v>1635</v>
      </c>
      <c r="D2379" s="5" t="s">
        <v>1616</v>
      </c>
      <c r="E2379" s="9" t="str">
        <f>HYPERLINK("https://twitter.com/Alamtoo1994/status/1045050698306596864","1045050698306596864")</f>
        <v>1045050698306596864</v>
      </c>
      <c r="F2379" s="4"/>
      <c r="G2379" s="4"/>
      <c r="H2379" s="4"/>
      <c r="I2379" s="10" t="str">
        <f>HYPERLINK("http://twitter.com/download/android","Twitter for Android")</f>
        <v>Twitter for Android</v>
      </c>
      <c r="J2379" s="2">
        <v>194</v>
      </c>
      <c r="K2379" s="2">
        <v>322</v>
      </c>
      <c r="L2379" s="2">
        <v>0</v>
      </c>
      <c r="M2379" s="2"/>
      <c r="N2379" s="8">
        <v>43359.034687499996</v>
      </c>
      <c r="O2379" s="4"/>
      <c r="P2379" s="3" t="s">
        <v>1634</v>
      </c>
      <c r="Q2379" s="4"/>
      <c r="R2379" s="4"/>
      <c r="S2379" s="9" t="str">
        <f>HYPERLINK("https://pbs.twimg.com/profile_images/1041064486453559297/QIDXdkx1.jpg","View")</f>
        <v>View</v>
      </c>
    </row>
    <row r="2380" spans="1:19" ht="20">
      <c r="A2380" s="8">
        <v>43370.00782407407</v>
      </c>
      <c r="B2380" s="11" t="str">
        <f>HYPERLINK("https://twitter.com/MLotfi_98","@MLotfi_98")</f>
        <v>@MLotfi_98</v>
      </c>
      <c r="C2380" s="6" t="s">
        <v>1633</v>
      </c>
      <c r="D2380" s="5" t="s">
        <v>1632</v>
      </c>
      <c r="E2380" s="9" t="str">
        <f>HYPERLINK("https://twitter.com/MLotfi_98/status/1045050694162685953","1045050694162685953")</f>
        <v>1045050694162685953</v>
      </c>
      <c r="F2380" s="4"/>
      <c r="G2380" s="10" t="s">
        <v>1631</v>
      </c>
      <c r="H2380" s="4"/>
      <c r="I2380" s="10" t="str">
        <f>HYPERLINK("http://twitter.com","Twitter Web Client")</f>
        <v>Twitter Web Client</v>
      </c>
      <c r="J2380" s="2">
        <v>20</v>
      </c>
      <c r="K2380" s="2">
        <v>40</v>
      </c>
      <c r="L2380" s="2">
        <v>0</v>
      </c>
      <c r="M2380" s="2"/>
      <c r="N2380" s="8">
        <v>43353.483946759261</v>
      </c>
      <c r="O2380" s="4" t="s">
        <v>1630</v>
      </c>
      <c r="P2380" s="3" t="s">
        <v>1629</v>
      </c>
      <c r="Q2380" s="4"/>
      <c r="R2380" s="4"/>
      <c r="S2380" s="9" t="str">
        <f>HYPERLINK("https://pbs.twimg.com/profile_images/1039058062106144768/tlSAhpH2.jpg","View")</f>
        <v>View</v>
      </c>
    </row>
    <row r="2381" spans="1:19" ht="20">
      <c r="A2381" s="8">
        <v>43370.0078125</v>
      </c>
      <c r="B2381" s="11" t="str">
        <f>HYPERLINK("https://twitter.com/Pouyabagheri8","@Pouyabagheri8")</f>
        <v>@Pouyabagheri8</v>
      </c>
      <c r="C2381" s="6" t="s">
        <v>1628</v>
      </c>
      <c r="D2381" s="5" t="s">
        <v>1627</v>
      </c>
      <c r="E2381" s="9" t="str">
        <f>HYPERLINK("https://twitter.com/Pouyabagheri8/status/1045050691365076992","1045050691365076992")</f>
        <v>1045050691365076992</v>
      </c>
      <c r="F2381" s="4"/>
      <c r="G2381" s="4"/>
      <c r="H2381" s="4"/>
      <c r="I2381" s="10" t="str">
        <f>HYPERLINK("http://twitter.com/download/android","Twitter for Android")</f>
        <v>Twitter for Android</v>
      </c>
      <c r="J2381" s="2">
        <v>21</v>
      </c>
      <c r="K2381" s="2">
        <v>14</v>
      </c>
      <c r="L2381" s="2">
        <v>0</v>
      </c>
      <c r="M2381" s="2"/>
      <c r="N2381" s="8">
        <v>43209.84783564815</v>
      </c>
      <c r="O2381" s="4"/>
      <c r="P2381" s="3" t="s">
        <v>1626</v>
      </c>
      <c r="Q2381" s="4"/>
      <c r="R2381" s="4"/>
      <c r="S2381" s="9" t="str">
        <f>HYPERLINK("https://pbs.twimg.com/profile_images/1023849109520875520/keUZsP2L.jpg","View")</f>
        <v>View</v>
      </c>
    </row>
    <row r="2382" spans="1:19" ht="20">
      <c r="A2382" s="8">
        <v>43370.007303240738</v>
      </c>
      <c r="B2382" s="11" t="str">
        <f>HYPERLINK("https://twitter.com/ehsansadri3","@ehsansadri3")</f>
        <v>@ehsansadri3</v>
      </c>
      <c r="C2382" s="6" t="s">
        <v>1625</v>
      </c>
      <c r="D2382" s="5" t="s">
        <v>1624</v>
      </c>
      <c r="E2382" s="9" t="str">
        <f>HYPERLINK("https://twitter.com/ehsansadri3/status/1045050504668213258","1045050504668213258")</f>
        <v>1045050504668213258</v>
      </c>
      <c r="F2382" s="4"/>
      <c r="G2382" s="4"/>
      <c r="H2382" s="4"/>
      <c r="I2382" s="10" t="str">
        <f>HYPERLINK("http://twitter.com/download/iphone","Twitter for iPhone")</f>
        <v>Twitter for iPhone</v>
      </c>
      <c r="J2382" s="2">
        <v>121</v>
      </c>
      <c r="K2382" s="2">
        <v>798</v>
      </c>
      <c r="L2382" s="2">
        <v>1</v>
      </c>
      <c r="M2382" s="2"/>
      <c r="N2382" s="8">
        <v>42446.700543981482</v>
      </c>
      <c r="O2382" s="4"/>
      <c r="P2382" s="3"/>
      <c r="Q2382" s="4"/>
      <c r="R2382" s="4"/>
      <c r="S2382" s="9" t="str">
        <f>HYPERLINK("https://pbs.twimg.com/profile_images/1017418240920711169/54i3mpHx.jpg","View")</f>
        <v>View</v>
      </c>
    </row>
    <row r="2383" spans="1:19" ht="50">
      <c r="A2383" s="8">
        <v>43370.007152777776</v>
      </c>
      <c r="B2383" s="11" t="str">
        <f>HYPERLINK("https://twitter.com/SajadAsadi14","@SajadAsadi14")</f>
        <v>@SajadAsadi14</v>
      </c>
      <c r="C2383" s="6" t="s">
        <v>1623</v>
      </c>
      <c r="D2383" s="5" t="s">
        <v>927</v>
      </c>
      <c r="E2383" s="9" t="str">
        <f>HYPERLINK("https://twitter.com/SajadAsadi14/status/1045050450368696326","1045050450368696326")</f>
        <v>1045050450368696326</v>
      </c>
      <c r="F2383" s="4"/>
      <c r="G2383" s="10" t="s">
        <v>926</v>
      </c>
      <c r="H2383" s="4"/>
      <c r="I2383" s="10" t="str">
        <f>HYPERLINK("http://twitter.com/download/android","Twitter for Android")</f>
        <v>Twitter for Android</v>
      </c>
      <c r="J2383" s="2">
        <v>253</v>
      </c>
      <c r="K2383" s="2">
        <v>439</v>
      </c>
      <c r="L2383" s="2">
        <v>0</v>
      </c>
      <c r="M2383" s="2"/>
      <c r="N2383" s="8">
        <v>43351.070914351847</v>
      </c>
      <c r="O2383" s="4"/>
      <c r="P2383" s="3" t="s">
        <v>1622</v>
      </c>
      <c r="Q2383" s="4"/>
      <c r="R2383" s="4"/>
      <c r="S2383" s="9" t="str">
        <f>HYPERLINK("https://pbs.twimg.com/profile_images/1039935765537583104/IrkGJAJz.jpg","View")</f>
        <v>View</v>
      </c>
    </row>
    <row r="2384" spans="1:19" ht="20">
      <c r="A2384" s="8">
        <v>43370.006863425922</v>
      </c>
      <c r="B2384" s="11" t="str">
        <f>HYPERLINK("https://twitter.com/Ehsan_k93_","@Ehsan_k93_")</f>
        <v>@Ehsan_k93_</v>
      </c>
      <c r="C2384" s="6" t="s">
        <v>1621</v>
      </c>
      <c r="D2384" s="5" t="s">
        <v>1620</v>
      </c>
      <c r="E2384" s="9" t="str">
        <f>HYPERLINK("https://twitter.com/Ehsan_k93_/status/1045050349013397512","1045050349013397512")</f>
        <v>1045050349013397512</v>
      </c>
      <c r="F2384" s="10" t="s">
        <v>1619</v>
      </c>
      <c r="G2384" s="4"/>
      <c r="H2384" s="4"/>
      <c r="I2384" s="10" t="str">
        <f>HYPERLINK("http://twitter.com/download/iphone","Twitter for iPhone")</f>
        <v>Twitter for iPhone</v>
      </c>
      <c r="J2384" s="2">
        <v>1088</v>
      </c>
      <c r="K2384" s="2">
        <v>1064</v>
      </c>
      <c r="L2384" s="2">
        <v>1</v>
      </c>
      <c r="M2384" s="2"/>
      <c r="N2384" s="8">
        <v>41594.939363425925</v>
      </c>
      <c r="O2384" s="4"/>
      <c r="P2384" s="3" t="s">
        <v>1618</v>
      </c>
      <c r="Q2384" s="4"/>
      <c r="R2384" s="4"/>
      <c r="S2384" s="9" t="str">
        <f>HYPERLINK("https://pbs.twimg.com/profile_images/1043237114400395265/DR2rmh3I.jpg","View")</f>
        <v>View</v>
      </c>
    </row>
    <row r="2385" spans="1:19" ht="50">
      <c r="A2385" s="8">
        <v>43370.006736111114</v>
      </c>
      <c r="B2385" s="11" t="str">
        <f>HYPERLINK("https://twitter.com/barandazambot","@barandazambot")</f>
        <v>@barandazambot</v>
      </c>
      <c r="C2385" s="6" t="s">
        <v>46</v>
      </c>
      <c r="D2385" s="5" t="s">
        <v>1613</v>
      </c>
      <c r="E2385" s="9" t="str">
        <f>HYPERLINK("https://twitter.com/barandazambot/status/1045050301596631040","1045050301596631040")</f>
        <v>1045050301596631040</v>
      </c>
      <c r="F2385" s="4"/>
      <c r="G2385" s="10" t="s">
        <v>1320</v>
      </c>
      <c r="H2385" s="4"/>
      <c r="I2385" s="10" t="str">
        <f>HYPERLINK("http://127.0.0.1","barandazambot")</f>
        <v>barandazambot</v>
      </c>
      <c r="J2385" s="2">
        <v>944</v>
      </c>
      <c r="K2385" s="2">
        <v>23</v>
      </c>
      <c r="L2385" s="2">
        <v>2</v>
      </c>
      <c r="M2385" s="2"/>
      <c r="N2385" s="8">
        <v>43293.668993055559</v>
      </c>
      <c r="O2385" s="4" t="s">
        <v>45</v>
      </c>
      <c r="P2385" s="3" t="s">
        <v>44</v>
      </c>
      <c r="Q2385" s="4"/>
      <c r="R2385" s="4"/>
      <c r="S2385" s="9" t="str">
        <f>HYPERLINK("https://pbs.twimg.com/profile_images/1017382724485730305/hGaBNoXG.jpg","View")</f>
        <v>View</v>
      </c>
    </row>
    <row r="2386" spans="1:19" ht="20">
      <c r="A2386" s="8">
        <v>43370.006724537037</v>
      </c>
      <c r="B2386" s="11" t="str">
        <f>HYPERLINK("https://twitter.com/zahraghobadii","@zahraghobadii")</f>
        <v>@zahraghobadii</v>
      </c>
      <c r="C2386" s="6" t="s">
        <v>1617</v>
      </c>
      <c r="D2386" s="5" t="s">
        <v>1616</v>
      </c>
      <c r="E2386" s="9" t="str">
        <f>HYPERLINK("https://twitter.com/zahraghobadii/status/1045050296987258881","1045050296987258881")</f>
        <v>1045050296987258881</v>
      </c>
      <c r="F2386" s="4"/>
      <c r="G2386" s="4"/>
      <c r="H2386" s="4"/>
      <c r="I2386" s="10" t="str">
        <f>HYPERLINK("http://twitter.com/download/android","Twitter for Android")</f>
        <v>Twitter for Android</v>
      </c>
      <c r="J2386" s="2">
        <v>439</v>
      </c>
      <c r="K2386" s="2">
        <v>280</v>
      </c>
      <c r="L2386" s="2">
        <v>1</v>
      </c>
      <c r="M2386" s="2"/>
      <c r="N2386" s="8">
        <v>42979.918379629627</v>
      </c>
      <c r="O2386" s="4" t="s">
        <v>200</v>
      </c>
      <c r="P2386" s="3" t="s">
        <v>1615</v>
      </c>
      <c r="Q2386" s="4"/>
      <c r="R2386" s="4"/>
      <c r="S2386" s="9" t="str">
        <f>HYPERLINK("https://pbs.twimg.com/profile_images/1045015069841653762/7gIZbYuD.jpg","View")</f>
        <v>View</v>
      </c>
    </row>
    <row r="2387" spans="1:19" ht="50">
      <c r="A2387" s="8">
        <v>43370.006469907406</v>
      </c>
      <c r="B2387" s="11" t="str">
        <f>HYPERLINK("https://twitter.com/sarabanoo1367","@sarabanoo1367")</f>
        <v>@sarabanoo1367</v>
      </c>
      <c r="C2387" s="6" t="s">
        <v>1614</v>
      </c>
      <c r="D2387" s="5" t="s">
        <v>1613</v>
      </c>
      <c r="E2387" s="9" t="str">
        <f>HYPERLINK("https://twitter.com/sarabanoo1367/status/1045050205949882370","1045050205949882370")</f>
        <v>1045050205949882370</v>
      </c>
      <c r="F2387" s="4"/>
      <c r="G2387" s="10" t="s">
        <v>1320</v>
      </c>
      <c r="H2387" s="4"/>
      <c r="I2387" s="10" t="str">
        <f>HYPERLINK("http://twitter.com/download/android","Twitter for Android")</f>
        <v>Twitter for Android</v>
      </c>
      <c r="J2387" s="2">
        <v>439</v>
      </c>
      <c r="K2387" s="2">
        <v>271</v>
      </c>
      <c r="L2387" s="2">
        <v>0</v>
      </c>
      <c r="M2387" s="2"/>
      <c r="N2387" s="8">
        <v>43272.561296296291</v>
      </c>
      <c r="O2387" s="4"/>
      <c r="P2387" s="3" t="s">
        <v>1612</v>
      </c>
      <c r="Q2387" s="4"/>
      <c r="R2387" s="4"/>
      <c r="S2387" s="9" t="str">
        <f>HYPERLINK("https://pbs.twimg.com/profile_images/1029355479972110339/9FnKBZd7.jpg","View")</f>
        <v>View</v>
      </c>
    </row>
    <row r="2388" spans="1:19" ht="12.5">
      <c r="A2388" s="8">
        <v>43370.006296296298</v>
      </c>
      <c r="B2388" s="11" t="str">
        <f>HYPERLINK("https://twitter.com/haem313","@haem313")</f>
        <v>@haem313</v>
      </c>
      <c r="C2388" s="6" t="s">
        <v>1611</v>
      </c>
      <c r="D2388" s="5" t="s">
        <v>1610</v>
      </c>
      <c r="E2388" s="9" t="str">
        <f>HYPERLINK("https://twitter.com/haem313/status/1045050142586531862","1045050142586531862")</f>
        <v>1045050142586531862</v>
      </c>
      <c r="F2388" s="4"/>
      <c r="G2388" s="4"/>
      <c r="H2388" s="4"/>
      <c r="I2388" s="10" t="str">
        <f>HYPERLINK("http://twitter.com/download/android","Twitter for Android")</f>
        <v>Twitter for Android</v>
      </c>
      <c r="J2388" s="2">
        <v>4870</v>
      </c>
      <c r="K2388" s="2">
        <v>2352</v>
      </c>
      <c r="L2388" s="2">
        <v>6</v>
      </c>
      <c r="M2388" s="2"/>
      <c r="N2388" s="8">
        <v>43112.053414351853</v>
      </c>
      <c r="O2388" s="4" t="s">
        <v>1609</v>
      </c>
      <c r="P2388" s="3" t="s">
        <v>1608</v>
      </c>
      <c r="Q2388" s="10" t="s">
        <v>1607</v>
      </c>
      <c r="R2388" s="4"/>
      <c r="S2388" s="9" t="str">
        <f>HYPERLINK("https://pbs.twimg.com/profile_images/1043224017728151553/4BXQWuKX.jpg","View")</f>
        <v>View</v>
      </c>
    </row>
    <row r="2389" spans="1:19" ht="12.5">
      <c r="A2389" s="8">
        <v>43370.005775462967</v>
      </c>
      <c r="B2389" s="11" t="str">
        <f>HYPERLINK("https://twitter.com/EParvizi","@EParvizi")</f>
        <v>@EParvizi</v>
      </c>
      <c r="C2389" s="6" t="s">
        <v>1606</v>
      </c>
      <c r="D2389" s="5" t="s">
        <v>1605</v>
      </c>
      <c r="E2389" s="9" t="str">
        <f>HYPERLINK("https://twitter.com/EParvizi/status/1045049952542568453","1045049952542568453")</f>
        <v>1045049952542568453</v>
      </c>
      <c r="F2389" s="4"/>
      <c r="G2389" s="4"/>
      <c r="H2389" s="4"/>
      <c r="I2389" s="10" t="str">
        <f>HYPERLINK("http://twitter.com/download/android","Twitter for Android")</f>
        <v>Twitter for Android</v>
      </c>
      <c r="J2389" s="2">
        <v>161</v>
      </c>
      <c r="K2389" s="2">
        <v>286</v>
      </c>
      <c r="L2389" s="2">
        <v>0</v>
      </c>
      <c r="M2389" s="2"/>
      <c r="N2389" s="8">
        <v>40977.027222222227</v>
      </c>
      <c r="O2389" s="4" t="s">
        <v>414</v>
      </c>
      <c r="P2389" s="3" t="s">
        <v>1604</v>
      </c>
      <c r="Q2389" s="4"/>
      <c r="R2389" s="4"/>
      <c r="S2389" s="9" t="str">
        <f>HYPERLINK("https://pbs.twimg.com/profile_images/1015348509183053824/fKWrWIAP.jpg","View")</f>
        <v>View</v>
      </c>
    </row>
    <row r="2390" spans="1:19" ht="20">
      <c r="A2390" s="8">
        <v>43370.005347222221</v>
      </c>
      <c r="B2390" s="11" t="str">
        <f>HYPERLINK("https://twitter.com/araamdokht","@araamdokht")</f>
        <v>@araamdokht</v>
      </c>
      <c r="C2390" s="6" t="s">
        <v>1603</v>
      </c>
      <c r="D2390" s="5" t="s">
        <v>1602</v>
      </c>
      <c r="E2390" s="9" t="str">
        <f>HYPERLINK("https://twitter.com/araamdokht/status/1045049795713413121","1045049795713413121")</f>
        <v>1045049795713413121</v>
      </c>
      <c r="F2390" s="4"/>
      <c r="G2390" s="4"/>
      <c r="H2390" s="4"/>
      <c r="I2390" s="10" t="str">
        <f>HYPERLINK("http://twitter.com/download/iphone","Twitter for iPhone")</f>
        <v>Twitter for iPhone</v>
      </c>
      <c r="J2390" s="2">
        <v>142</v>
      </c>
      <c r="K2390" s="2">
        <v>95</v>
      </c>
      <c r="L2390" s="2">
        <v>0</v>
      </c>
      <c r="M2390" s="2"/>
      <c r="N2390" s="8">
        <v>42882.273622685185</v>
      </c>
      <c r="O2390" s="4" t="s">
        <v>1601</v>
      </c>
      <c r="P2390" s="3" t="s">
        <v>1600</v>
      </c>
      <c r="Q2390" s="4"/>
      <c r="R2390" s="4"/>
      <c r="S2390" s="9" t="str">
        <f>HYPERLINK("https://pbs.twimg.com/profile_images/1044357575930781697/b3bz1dPQ.jpg","View")</f>
        <v>View</v>
      </c>
    </row>
    <row r="2391" spans="1:19" ht="20">
      <c r="A2391" s="8">
        <v>43370.004930555559</v>
      </c>
      <c r="B2391" s="11" t="str">
        <f>HYPERLINK("https://twitter.com/_Zahra72_","@_Zahra72_")</f>
        <v>@_Zahra72_</v>
      </c>
      <c r="C2391" s="6" t="s">
        <v>1594</v>
      </c>
      <c r="D2391" s="5" t="s">
        <v>1599</v>
      </c>
      <c r="E2391" s="9" t="str">
        <f>HYPERLINK("https://twitter.com/_Zahra72_/status/1045049645662113792","1045049645662113792")</f>
        <v>1045049645662113792</v>
      </c>
      <c r="F2391" s="4"/>
      <c r="G2391" s="10" t="s">
        <v>1598</v>
      </c>
      <c r="H2391" s="4"/>
      <c r="I2391" s="10" t="str">
        <f>HYPERLINK("http://twitter.com/download/android","Twitter for Android")</f>
        <v>Twitter for Android</v>
      </c>
      <c r="J2391" s="2">
        <v>76</v>
      </c>
      <c r="K2391" s="2">
        <v>79</v>
      </c>
      <c r="L2391" s="2">
        <v>0</v>
      </c>
      <c r="M2391" s="2"/>
      <c r="N2391" s="8">
        <v>43102.669062500005</v>
      </c>
      <c r="O2391" s="4" t="s">
        <v>1592</v>
      </c>
      <c r="P2391" s="3" t="s">
        <v>1591</v>
      </c>
      <c r="Q2391" s="4"/>
      <c r="R2391" s="4"/>
      <c r="S2391" s="9" t="str">
        <f>HYPERLINK("https://pbs.twimg.com/profile_images/1042018338317250560/NaFWvRIP.jpg","View")</f>
        <v>View</v>
      </c>
    </row>
    <row r="2392" spans="1:19" ht="40">
      <c r="A2392" s="8">
        <v>43370.004756944443</v>
      </c>
      <c r="B2392" s="11" t="str">
        <f>HYPERLINK("https://twitter.com/Mehrdad5613","@Mehrdad5613")</f>
        <v>@Mehrdad5613</v>
      </c>
      <c r="C2392" s="6" t="s">
        <v>1597</v>
      </c>
      <c r="D2392" s="5" t="s">
        <v>1596</v>
      </c>
      <c r="E2392" s="9" t="str">
        <f>HYPERLINK("https://twitter.com/Mehrdad5613/status/1045049584735735809","1045049584735735809")</f>
        <v>1045049584735735809</v>
      </c>
      <c r="F2392" s="4"/>
      <c r="G2392" s="4"/>
      <c r="H2392" s="4"/>
      <c r="I2392" s="10" t="str">
        <f>HYPERLINK("http://twitter.com/download/android","Twitter for Android")</f>
        <v>Twitter for Android</v>
      </c>
      <c r="J2392" s="2">
        <v>1386</v>
      </c>
      <c r="K2392" s="2">
        <v>1688</v>
      </c>
      <c r="L2392" s="2">
        <v>0</v>
      </c>
      <c r="M2392" s="2"/>
      <c r="N2392" s="8">
        <v>42774.973229166666</v>
      </c>
      <c r="O2392" s="4"/>
      <c r="P2392" s="3" t="s">
        <v>1595</v>
      </c>
      <c r="Q2392" s="4"/>
      <c r="R2392" s="4"/>
      <c r="S2392" s="9" t="str">
        <f>HYPERLINK("https://pbs.twimg.com/profile_images/1028793143599226880/aAOvvoMr.jpg","View")</f>
        <v>View</v>
      </c>
    </row>
    <row r="2393" spans="1:19" ht="20">
      <c r="A2393" s="8">
        <v>43370.004687499997</v>
      </c>
      <c r="B2393" s="11" t="str">
        <f>HYPERLINK("https://twitter.com/_Zahra72_","@_Zahra72_")</f>
        <v>@_Zahra72_</v>
      </c>
      <c r="C2393" s="6" t="s">
        <v>1594</v>
      </c>
      <c r="D2393" s="5" t="s">
        <v>1593</v>
      </c>
      <c r="E2393" s="9" t="str">
        <f>HYPERLINK("https://twitter.com/_Zahra72_/status/1045049558596800512","1045049558596800512")</f>
        <v>1045049558596800512</v>
      </c>
      <c r="F2393" s="4"/>
      <c r="G2393" s="4"/>
      <c r="H2393" s="4"/>
      <c r="I2393" s="10" t="str">
        <f>HYPERLINK("http://twitter.com/download/android","Twitter for Android")</f>
        <v>Twitter for Android</v>
      </c>
      <c r="J2393" s="2">
        <v>76</v>
      </c>
      <c r="K2393" s="2">
        <v>79</v>
      </c>
      <c r="L2393" s="2">
        <v>0</v>
      </c>
      <c r="M2393" s="2"/>
      <c r="N2393" s="8">
        <v>43102.669062500005</v>
      </c>
      <c r="O2393" s="4" t="s">
        <v>1592</v>
      </c>
      <c r="P2393" s="3" t="s">
        <v>1591</v>
      </c>
      <c r="Q2393" s="4"/>
      <c r="R2393" s="4"/>
      <c r="S2393" s="9" t="str">
        <f>HYPERLINK("https://pbs.twimg.com/profile_images/1042018338317250560/NaFWvRIP.jpg","View")</f>
        <v>View</v>
      </c>
    </row>
    <row r="2394" spans="1:19" ht="20">
      <c r="A2394" s="8">
        <v>43370.004155092596</v>
      </c>
      <c r="B2394" s="11" t="str">
        <f>HYPERLINK("https://twitter.com/mamad_taheri317","@mamad_taheri317")</f>
        <v>@mamad_taheri317</v>
      </c>
      <c r="C2394" s="6" t="s">
        <v>1590</v>
      </c>
      <c r="D2394" s="5" t="s">
        <v>354</v>
      </c>
      <c r="E2394" s="9" t="str">
        <f>HYPERLINK("https://twitter.com/mamad_taheri317/status/1045049365872738304","1045049365872738304")</f>
        <v>1045049365872738304</v>
      </c>
      <c r="F2394" s="4"/>
      <c r="G2394" s="4"/>
      <c r="H2394" s="4"/>
      <c r="I2394" s="10" t="str">
        <f>HYPERLINK("http://twitter.com/download/android","Twitter for Android")</f>
        <v>Twitter for Android</v>
      </c>
      <c r="J2394" s="2">
        <v>497</v>
      </c>
      <c r="K2394" s="2">
        <v>686</v>
      </c>
      <c r="L2394" s="2">
        <v>0</v>
      </c>
      <c r="M2394" s="2"/>
      <c r="N2394" s="8">
        <v>43273.108449074076</v>
      </c>
      <c r="O2394" s="4"/>
      <c r="P2394" s="3"/>
      <c r="Q2394" s="4"/>
      <c r="R2394" s="4"/>
      <c r="S2394" s="9" t="str">
        <f>HYPERLINK("https://pbs.twimg.com/profile_images/1009925350959255553/lPeogoLM.jpg","View")</f>
        <v>View</v>
      </c>
    </row>
    <row r="2395" spans="1:19" ht="30">
      <c r="A2395" s="8">
        <v>43370.004131944443</v>
      </c>
      <c r="B2395" s="11" t="str">
        <f>HYPERLINK("https://twitter.com/Farhad71169","@Farhad71169")</f>
        <v>@Farhad71169</v>
      </c>
      <c r="C2395" s="6" t="s">
        <v>1589</v>
      </c>
      <c r="D2395" s="5" t="s">
        <v>1588</v>
      </c>
      <c r="E2395" s="9" t="str">
        <f>HYPERLINK("https://twitter.com/Farhad71169/status/1045049355709886465","1045049355709886465")</f>
        <v>1045049355709886465</v>
      </c>
      <c r="F2395" s="4"/>
      <c r="G2395" s="4"/>
      <c r="H2395" s="4"/>
      <c r="I2395" s="10" t="str">
        <f>HYPERLINK("http://twitter.com/download/iphone","Twitter for iPhone")</f>
        <v>Twitter for iPhone</v>
      </c>
      <c r="J2395" s="2">
        <v>2301</v>
      </c>
      <c r="K2395" s="2">
        <v>2254</v>
      </c>
      <c r="L2395" s="2">
        <v>9</v>
      </c>
      <c r="M2395" s="2"/>
      <c r="N2395" s="8">
        <v>43277.902986111112</v>
      </c>
      <c r="O2395" s="4" t="s">
        <v>1587</v>
      </c>
      <c r="P2395" s="3" t="s">
        <v>1586</v>
      </c>
      <c r="Q2395" s="10" t="s">
        <v>1585</v>
      </c>
      <c r="R2395" s="4"/>
      <c r="S2395" s="9" t="str">
        <f>HYPERLINK("https://pbs.twimg.com/profile_images/1044553776756137984/JewNFhSc.jpg","View")</f>
        <v>View</v>
      </c>
    </row>
    <row r="2396" spans="1:19" ht="20">
      <c r="A2396" s="8">
        <v>43370.00399305555</v>
      </c>
      <c r="B2396" s="11" t="str">
        <f>HYPERLINK("https://twitter.com/kambiz_zodbaz","@kambiz_zodbaz")</f>
        <v>@kambiz_zodbaz</v>
      </c>
      <c r="C2396" s="6" t="s">
        <v>1584</v>
      </c>
      <c r="D2396" s="5" t="s">
        <v>1583</v>
      </c>
      <c r="E2396" s="9" t="str">
        <f>HYPERLINK("https://twitter.com/kambiz_zodbaz/status/1045049308356255746","1045049308356255746")</f>
        <v>1045049308356255746</v>
      </c>
      <c r="F2396" s="4"/>
      <c r="G2396" s="10" t="s">
        <v>1582</v>
      </c>
      <c r="H2396" s="4"/>
      <c r="I2396" s="10" t="str">
        <f>HYPERLINK("http://twitter.com","Twitter Web Client")</f>
        <v>Twitter Web Client</v>
      </c>
      <c r="J2396" s="2">
        <v>73</v>
      </c>
      <c r="K2396" s="2">
        <v>53</v>
      </c>
      <c r="L2396" s="2">
        <v>0</v>
      </c>
      <c r="M2396" s="2"/>
      <c r="N2396" s="8">
        <v>42108.791747685187</v>
      </c>
      <c r="O2396" s="4" t="s">
        <v>1581</v>
      </c>
      <c r="P2396" s="3"/>
      <c r="Q2396" s="4"/>
      <c r="R2396" s="4"/>
      <c r="S2396" s="9" t="str">
        <f>HYPERLINK("https://pbs.twimg.com/profile_images/969975762714578944/z1Zdq5CM.jpg","View")</f>
        <v>View</v>
      </c>
    </row>
    <row r="2397" spans="1:19" ht="50">
      <c r="A2397" s="8">
        <v>43370.00371527778</v>
      </c>
      <c r="B2397" s="11" t="str">
        <f>HYPERLINK("https://twitter.com/MrKrebs3","@MrKrebs3")</f>
        <v>@MrKrebs3</v>
      </c>
      <c r="C2397" s="6" t="s">
        <v>1580</v>
      </c>
      <c r="D2397" s="5" t="s">
        <v>1168</v>
      </c>
      <c r="E2397" s="9" t="str">
        <f>HYPERLINK("https://twitter.com/MrKrebs3/status/1045049208267567109","1045049208267567109")</f>
        <v>1045049208267567109</v>
      </c>
      <c r="F2397" s="4"/>
      <c r="G2397" s="10" t="s">
        <v>907</v>
      </c>
      <c r="H2397" s="4"/>
      <c r="I2397" s="10" t="str">
        <f>HYPERLINK("http://twitter.com/download/android","Twitter for Android")</f>
        <v>Twitter for Android</v>
      </c>
      <c r="J2397" s="2">
        <v>127</v>
      </c>
      <c r="K2397" s="2">
        <v>156</v>
      </c>
      <c r="L2397" s="2">
        <v>0</v>
      </c>
      <c r="M2397" s="2"/>
      <c r="N2397" s="8">
        <v>43199.150509259256</v>
      </c>
      <c r="O2397" s="4" t="s">
        <v>1579</v>
      </c>
      <c r="P2397" s="3" t="s">
        <v>1578</v>
      </c>
      <c r="Q2397" s="4"/>
      <c r="R2397" s="4"/>
      <c r="S2397" s="9" t="str">
        <f>HYPERLINK("https://pbs.twimg.com/profile_images/985113012330778625/TVlv7DL5.jpg","View")</f>
        <v>View</v>
      </c>
    </row>
    <row r="2398" spans="1:19" ht="12.5">
      <c r="A2398" s="8">
        <v>43370.003344907411</v>
      </c>
      <c r="B2398" s="11" t="str">
        <f>HYPERLINK("https://twitter.com/baharamini_","@baharamini_")</f>
        <v>@baharamini_</v>
      </c>
      <c r="C2398" s="6" t="s">
        <v>1577</v>
      </c>
      <c r="D2398" s="5" t="s">
        <v>1576</v>
      </c>
      <c r="E2398" s="9" t="str">
        <f>HYPERLINK("https://twitter.com/baharamini_/status/1045049069960392710","1045049069960392710")</f>
        <v>1045049069960392710</v>
      </c>
      <c r="F2398" s="4"/>
      <c r="G2398" s="4"/>
      <c r="H2398" s="4"/>
      <c r="I2398" s="10" t="str">
        <f>HYPERLINK("http://twitter.com/download/android","Twitter for Android")</f>
        <v>Twitter for Android</v>
      </c>
      <c r="J2398" s="2">
        <v>53</v>
      </c>
      <c r="K2398" s="2">
        <v>59</v>
      </c>
      <c r="L2398" s="2">
        <v>0</v>
      </c>
      <c r="M2398" s="2"/>
      <c r="N2398" s="8">
        <v>43267.083530092597</v>
      </c>
      <c r="O2398" s="4" t="s">
        <v>162</v>
      </c>
      <c r="P2398" s="3"/>
      <c r="Q2398" s="4"/>
      <c r="R2398" s="4"/>
      <c r="S2398" s="9" t="str">
        <f>HYPERLINK("https://pbs.twimg.com/profile_images/1038215464755908609/HeSNJgw6.jpg","View")</f>
        <v>View</v>
      </c>
    </row>
    <row r="2399" spans="1:19" ht="30">
      <c r="A2399" s="8">
        <v>43370.003252314811</v>
      </c>
      <c r="B2399" s="11" t="str">
        <f>HYPERLINK("https://twitter.com/a_abdolmalki","@a_abdolmalki")</f>
        <v>@a_abdolmalki</v>
      </c>
      <c r="C2399" s="6" t="s">
        <v>1055</v>
      </c>
      <c r="D2399" s="5" t="s">
        <v>1201</v>
      </c>
      <c r="E2399" s="9" t="str">
        <f>HYPERLINK("https://twitter.com/a_abdolmalki/status/1045049040315052037","1045049040315052037")</f>
        <v>1045049040315052037</v>
      </c>
      <c r="F2399" s="4"/>
      <c r="G2399" s="4"/>
      <c r="H2399" s="4"/>
      <c r="I2399" s="10" t="str">
        <f>HYPERLINK("http://twitter.com/download/iphone","Twitter for iPhone")</f>
        <v>Twitter for iPhone</v>
      </c>
      <c r="J2399" s="2">
        <v>529</v>
      </c>
      <c r="K2399" s="2">
        <v>310</v>
      </c>
      <c r="L2399" s="2">
        <v>5</v>
      </c>
      <c r="M2399" s="2"/>
      <c r="N2399" s="8">
        <v>42434.53907407407</v>
      </c>
      <c r="O2399" s="4" t="s">
        <v>1575</v>
      </c>
      <c r="P2399" s="3" t="s">
        <v>1574</v>
      </c>
      <c r="Q2399" s="10" t="s">
        <v>1573</v>
      </c>
      <c r="R2399" s="4"/>
      <c r="S2399" s="9" t="str">
        <f>HYPERLINK("https://pbs.twimg.com/profile_images/1034371860153159680/48yIMX33.jpg","View")</f>
        <v>View</v>
      </c>
    </row>
    <row r="2400" spans="1:19" ht="50">
      <c r="A2400" s="8">
        <v>43370.002951388888</v>
      </c>
      <c r="B2400" s="11" t="str">
        <f>HYPERLINK("https://twitter.com/Marvel18151987","@Marvel18151987")</f>
        <v>@Marvel18151987</v>
      </c>
      <c r="C2400" s="6" t="s">
        <v>1572</v>
      </c>
      <c r="D2400" s="5" t="s">
        <v>1168</v>
      </c>
      <c r="E2400" s="9" t="str">
        <f>HYPERLINK("https://twitter.com/Marvel18151987/status/1045048928318746636","1045048928318746636")</f>
        <v>1045048928318746636</v>
      </c>
      <c r="F2400" s="4"/>
      <c r="G2400" s="10" t="s">
        <v>907</v>
      </c>
      <c r="H2400" s="4"/>
      <c r="I2400" s="10" t="str">
        <f>HYPERLINK("https://mobile.twitter.com","Twitter Lite")</f>
        <v>Twitter Lite</v>
      </c>
      <c r="J2400" s="2">
        <v>69</v>
      </c>
      <c r="K2400" s="2">
        <v>44</v>
      </c>
      <c r="L2400" s="2">
        <v>0</v>
      </c>
      <c r="M2400" s="2"/>
      <c r="N2400" s="8">
        <v>43223.600439814814</v>
      </c>
      <c r="O2400" s="4"/>
      <c r="P2400" s="3" t="s">
        <v>1571</v>
      </c>
      <c r="Q2400" s="4"/>
      <c r="R2400" s="4"/>
      <c r="S2400" s="9" t="str">
        <f>HYPERLINK("https://pbs.twimg.com/profile_images/993957328557879296/LLFMKkql.jpg","View")</f>
        <v>View</v>
      </c>
    </row>
    <row r="2401" spans="1:19" ht="40">
      <c r="A2401" s="8">
        <v>43370.002569444448</v>
      </c>
      <c r="B2401" s="11" t="str">
        <f>HYPERLINK("https://twitter.com/_the_AntiPop_","@_the_AntiPop_")</f>
        <v>@_the_AntiPop_</v>
      </c>
      <c r="C2401" s="6" t="s">
        <v>1570</v>
      </c>
      <c r="D2401" s="5" t="s">
        <v>1468</v>
      </c>
      <c r="E2401" s="9" t="str">
        <f>HYPERLINK("https://twitter.com/_the_AntiPop_/status/1045048790158323715","1045048790158323715")</f>
        <v>1045048790158323715</v>
      </c>
      <c r="F2401" s="4"/>
      <c r="G2401" s="4"/>
      <c r="H2401" s="4"/>
      <c r="I2401" s="10" t="str">
        <f>HYPERLINK("http://twitter.com/download/iphone","Twitter for iPhone")</f>
        <v>Twitter for iPhone</v>
      </c>
      <c r="J2401" s="2">
        <v>5116</v>
      </c>
      <c r="K2401" s="2">
        <v>1046</v>
      </c>
      <c r="L2401" s="2">
        <v>29</v>
      </c>
      <c r="M2401" s="2"/>
      <c r="N2401" s="8">
        <v>40763.773530092592</v>
      </c>
      <c r="O2401" s="4" t="s">
        <v>1569</v>
      </c>
      <c r="P2401" s="3" t="s">
        <v>1568</v>
      </c>
      <c r="Q2401" s="10" t="s">
        <v>1567</v>
      </c>
      <c r="R2401" s="4"/>
      <c r="S2401" s="9" t="str">
        <f>HYPERLINK("https://pbs.twimg.com/profile_images/1019127265060425728/FwJFSCRq.jpg","View")</f>
        <v>View</v>
      </c>
    </row>
    <row r="2402" spans="1:19" ht="20">
      <c r="A2402" s="8">
        <v>43370.002442129626</v>
      </c>
      <c r="B2402" s="11" t="str">
        <f>HYPERLINK("https://twitter.com/Parisa_N99","@Parisa_N99")</f>
        <v>@Parisa_N99</v>
      </c>
      <c r="C2402" s="6" t="s">
        <v>1566</v>
      </c>
      <c r="D2402" s="5" t="s">
        <v>1565</v>
      </c>
      <c r="E2402" s="9" t="str">
        <f>HYPERLINK("https://twitter.com/Parisa_N99/status/1045048743366729730","1045048743366729730")</f>
        <v>1045048743366729730</v>
      </c>
      <c r="F2402" s="4"/>
      <c r="G2402" s="4"/>
      <c r="H2402" s="4"/>
      <c r="I2402" s="10" t="str">
        <f>HYPERLINK("http://twitter.com/download/android","Twitter for Android")</f>
        <v>Twitter for Android</v>
      </c>
      <c r="J2402" s="2">
        <v>418</v>
      </c>
      <c r="K2402" s="2">
        <v>427</v>
      </c>
      <c r="L2402" s="2">
        <v>1</v>
      </c>
      <c r="M2402" s="2"/>
      <c r="N2402" s="8">
        <v>43330.553784722222</v>
      </c>
      <c r="O2402" s="4" t="s">
        <v>1564</v>
      </c>
      <c r="P2402" s="3" t="s">
        <v>1563</v>
      </c>
      <c r="Q2402" s="10" t="s">
        <v>1562</v>
      </c>
      <c r="R2402" s="4"/>
      <c r="S2402" s="9" t="str">
        <f>HYPERLINK("https://pbs.twimg.com/profile_images/1044643339914620929/A5-y2XaG.jpg","View")</f>
        <v>View</v>
      </c>
    </row>
    <row r="2403" spans="1:19" ht="20">
      <c r="A2403" s="8">
        <v>43370.002256944441</v>
      </c>
      <c r="B2403" s="11" t="str">
        <f>HYPERLINK("https://twitter.com/zeinooZizi","@zeinooZizi")</f>
        <v>@zeinooZizi</v>
      </c>
      <c r="C2403" s="6" t="s">
        <v>1561</v>
      </c>
      <c r="D2403" s="5" t="s">
        <v>1560</v>
      </c>
      <c r="E2403" s="9" t="str">
        <f>HYPERLINK("https://twitter.com/zeinooZizi/status/1045048677474205696","1045048677474205696")</f>
        <v>1045048677474205696</v>
      </c>
      <c r="F2403" s="4"/>
      <c r="G2403" s="4"/>
      <c r="H2403" s="4"/>
      <c r="I2403" s="10" t="str">
        <f>HYPERLINK("http://twitter.com/download/android","Twitter for Android")</f>
        <v>Twitter for Android</v>
      </c>
      <c r="J2403" s="2">
        <v>331</v>
      </c>
      <c r="K2403" s="2">
        <v>871</v>
      </c>
      <c r="L2403" s="2">
        <v>5</v>
      </c>
      <c r="M2403" s="2"/>
      <c r="N2403" s="8">
        <v>42096.859293981484</v>
      </c>
      <c r="O2403" s="4" t="s">
        <v>10</v>
      </c>
      <c r="P2403" s="3"/>
      <c r="Q2403" s="4"/>
      <c r="R2403" s="4"/>
      <c r="S2403" s="9" t="str">
        <f>HYPERLINK("https://pbs.twimg.com/profile_images/1043223124161036289/n27PO52_.jpg","View")</f>
        <v>View</v>
      </c>
    </row>
    <row r="2404" spans="1:19" ht="40">
      <c r="A2404" s="8">
        <v>43370.00105324074</v>
      </c>
      <c r="B2404" s="11" t="str">
        <f>HYPERLINK("https://twitter.com/ALIMS84","@ALIMS84")</f>
        <v>@ALIMS84</v>
      </c>
      <c r="C2404" s="6" t="s">
        <v>1559</v>
      </c>
      <c r="D2404" s="5" t="s">
        <v>20</v>
      </c>
      <c r="E2404" s="9" t="str">
        <f>HYPERLINK("https://twitter.com/ALIMS84/status/1045048239924408321","1045048239924408321")</f>
        <v>1045048239924408321</v>
      </c>
      <c r="F2404" s="4"/>
      <c r="G2404" s="10" t="s">
        <v>19</v>
      </c>
      <c r="H2404" s="4"/>
      <c r="I2404" s="10" t="str">
        <f>HYPERLINK("http://twitter.com/download/iphone","Twitter for iPhone")</f>
        <v>Twitter for iPhone</v>
      </c>
      <c r="J2404" s="2">
        <v>75</v>
      </c>
      <c r="K2404" s="2">
        <v>293</v>
      </c>
      <c r="L2404" s="2">
        <v>1</v>
      </c>
      <c r="M2404" s="2"/>
      <c r="N2404" s="8">
        <v>42245.808032407411</v>
      </c>
      <c r="O2404" s="4"/>
      <c r="P2404" s="3" t="s">
        <v>1558</v>
      </c>
      <c r="Q2404" s="4"/>
      <c r="R2404" s="4"/>
      <c r="S2404" s="9" t="str">
        <f>HYPERLINK("https://pbs.twimg.com/profile_images/1009004663914614784/_ln9e6cj.jpg","View")</f>
        <v>View</v>
      </c>
    </row>
    <row r="2405" spans="1:19" ht="40">
      <c r="A2405" s="8">
        <v>43370.000960648147</v>
      </c>
      <c r="B2405" s="11" t="str">
        <f>HYPERLINK("https://twitter.com/MM_Boy","@MM_Boy")</f>
        <v>@MM_Boy</v>
      </c>
      <c r="C2405" s="6" t="s">
        <v>1557</v>
      </c>
      <c r="D2405" s="5" t="s">
        <v>1468</v>
      </c>
      <c r="E2405" s="9" t="str">
        <f>HYPERLINK("https://twitter.com/MM_Boy/status/1045048209423388673","1045048209423388673")</f>
        <v>1045048209423388673</v>
      </c>
      <c r="F2405" s="4"/>
      <c r="G2405" s="4"/>
      <c r="H2405" s="4"/>
      <c r="I2405" s="10" t="str">
        <f>HYPERLINK("http://twitter.com/download/android","Twitter for Android")</f>
        <v>Twitter for Android</v>
      </c>
      <c r="J2405" s="2">
        <v>1082</v>
      </c>
      <c r="K2405" s="2">
        <v>832</v>
      </c>
      <c r="L2405" s="2">
        <v>12</v>
      </c>
      <c r="M2405" s="2"/>
      <c r="N2405" s="8">
        <v>40455.115497685183</v>
      </c>
      <c r="O2405" s="4" t="s">
        <v>1556</v>
      </c>
      <c r="P2405" s="3" t="s">
        <v>1555</v>
      </c>
      <c r="Q2405" s="10" t="s">
        <v>1554</v>
      </c>
      <c r="R2405" s="4"/>
      <c r="S2405" s="9" t="str">
        <f>HYPERLINK("https://pbs.twimg.com/profile_images/2934263462/0c284d6e07f74d8fdcba4f00b1c6f22d.jpeg","View")</f>
        <v>View</v>
      </c>
    </row>
    <row r="2406" spans="1:19" ht="12.5">
      <c r="A2406" s="8">
        <v>43370.000879629632</v>
      </c>
      <c r="B2406" s="11" t="str">
        <f>HYPERLINK("https://twitter.com/JalalSala2","@JalalSala2")</f>
        <v>@JalalSala2</v>
      </c>
      <c r="C2406" s="6" t="s">
        <v>1553</v>
      </c>
      <c r="D2406" s="5" t="s">
        <v>1552</v>
      </c>
      <c r="E2406" s="9" t="str">
        <f>HYPERLINK("https://twitter.com/JalalSala2/status/1045048180252053504","1045048180252053504")</f>
        <v>1045048180252053504</v>
      </c>
      <c r="F2406" s="4"/>
      <c r="G2406" s="4"/>
      <c r="H2406" s="4"/>
      <c r="I2406" s="10" t="str">
        <f>HYPERLINK("http://twitter.com/download/android","Twitter for Android")</f>
        <v>Twitter for Android</v>
      </c>
      <c r="J2406" s="2">
        <v>18</v>
      </c>
      <c r="K2406" s="2">
        <v>110</v>
      </c>
      <c r="L2406" s="2">
        <v>0</v>
      </c>
      <c r="M2406" s="2"/>
      <c r="N2406" s="8">
        <v>43361.945092592592</v>
      </c>
      <c r="O2406" s="4" t="s">
        <v>55</v>
      </c>
      <c r="P2406" s="3" t="s">
        <v>1551</v>
      </c>
      <c r="Q2406" s="4"/>
      <c r="R2406" s="4"/>
      <c r="S2406" s="9" t="str">
        <f>HYPERLINK("https://pbs.twimg.com/profile_images/1042120977784729600/Wrg-Ukd1.jpg","View")</f>
        <v>View</v>
      </c>
    </row>
    <row r="2407" spans="1:19" ht="50">
      <c r="A2407" s="8">
        <v>43370.000787037032</v>
      </c>
      <c r="B2407" s="11" t="str">
        <f>HYPERLINK("https://twitter.com/farzan31343257","@farzan31343257")</f>
        <v>@farzan31343257</v>
      </c>
      <c r="C2407" s="6" t="s">
        <v>1550</v>
      </c>
      <c r="D2407" s="5" t="s">
        <v>927</v>
      </c>
      <c r="E2407" s="9" t="str">
        <f>HYPERLINK("https://twitter.com/farzan31343257/status/1045048145376350208","1045048145376350208")</f>
        <v>1045048145376350208</v>
      </c>
      <c r="F2407" s="4"/>
      <c r="G2407" s="10" t="s">
        <v>926</v>
      </c>
      <c r="H2407" s="4"/>
      <c r="I2407" s="10" t="str">
        <f>HYPERLINK("http://twitter.com/download/iphone","Twitter for iPhone")</f>
        <v>Twitter for iPhone</v>
      </c>
      <c r="J2407" s="2">
        <v>129</v>
      </c>
      <c r="K2407" s="2">
        <v>237</v>
      </c>
      <c r="L2407" s="2">
        <v>0</v>
      </c>
      <c r="M2407" s="2"/>
      <c r="N2407" s="8">
        <v>43103.118680555555</v>
      </c>
      <c r="O2407" s="4"/>
      <c r="P2407" s="3" t="s">
        <v>1549</v>
      </c>
      <c r="Q2407" s="4"/>
      <c r="R2407" s="4"/>
      <c r="S2407" s="2" t="s">
        <v>259</v>
      </c>
    </row>
    <row r="2408" spans="1:19" ht="20">
      <c r="A2408" s="8">
        <v>43369.999675925923</v>
      </c>
      <c r="B2408" s="11" t="str">
        <f>HYPERLINK("https://twitter.com/h_abdolmanafi","@h_abdolmanafi")</f>
        <v>@h_abdolmanafi</v>
      </c>
      <c r="C2408" s="6" t="s">
        <v>1548</v>
      </c>
      <c r="D2408" s="5" t="s">
        <v>1547</v>
      </c>
      <c r="E2408" s="9" t="str">
        <f>HYPERLINK("https://twitter.com/h_abdolmanafi/status/1045047740428881920","1045047740428881920")</f>
        <v>1045047740428881920</v>
      </c>
      <c r="F2408" s="4"/>
      <c r="G2408" s="4"/>
      <c r="H2408" s="4"/>
      <c r="I2408" s="10" t="str">
        <f>HYPERLINK("http://twitter.com/download/android","Twitter for Android")</f>
        <v>Twitter for Android</v>
      </c>
      <c r="J2408" s="2">
        <v>2642</v>
      </c>
      <c r="K2408" s="2">
        <v>1065</v>
      </c>
      <c r="L2408" s="2">
        <v>9</v>
      </c>
      <c r="M2408" s="2"/>
      <c r="N2408" s="8">
        <v>42744.643518518518</v>
      </c>
      <c r="O2408" s="4" t="s">
        <v>62</v>
      </c>
      <c r="P2408" s="3" t="s">
        <v>1546</v>
      </c>
      <c r="Q2408" s="4"/>
      <c r="R2408" s="4"/>
      <c r="S2408" s="9" t="str">
        <f>HYPERLINK("https://pbs.twimg.com/profile_images/1043852788139249664/EHpoleHW.jpg","View")</f>
        <v>View</v>
      </c>
    </row>
    <row r="2409" spans="1:19" ht="20">
      <c r="A2409" s="8">
        <v>43369.999618055561</v>
      </c>
      <c r="B2409" s="11" t="str">
        <f>HYPERLINK("https://twitter.com/nouri_seyamak","@nouri_seyamak")</f>
        <v>@nouri_seyamak</v>
      </c>
      <c r="C2409" s="6" t="s">
        <v>1545</v>
      </c>
      <c r="D2409" s="5" t="s">
        <v>1544</v>
      </c>
      <c r="E2409" s="9" t="str">
        <f>HYPERLINK("https://twitter.com/nouri_seyamak/status/1045047721118363650","1045047721118363650")</f>
        <v>1045047721118363650</v>
      </c>
      <c r="F2409" s="4"/>
      <c r="G2409" s="4"/>
      <c r="H2409" s="4"/>
      <c r="I2409" s="10" t="str">
        <f>HYPERLINK("http://twitter.com/download/android","Twitter for Android")</f>
        <v>Twitter for Android</v>
      </c>
      <c r="J2409" s="2">
        <v>232</v>
      </c>
      <c r="K2409" s="2">
        <v>34</v>
      </c>
      <c r="L2409" s="2">
        <v>1</v>
      </c>
      <c r="M2409" s="2"/>
      <c r="N2409" s="8">
        <v>43267.106759259259</v>
      </c>
      <c r="O2409" s="4" t="s">
        <v>1543</v>
      </c>
      <c r="P2409" s="3" t="s">
        <v>1542</v>
      </c>
      <c r="Q2409" s="4"/>
      <c r="R2409" s="4"/>
      <c r="S2409" s="9" t="str">
        <f>HYPERLINK("https://pbs.twimg.com/profile_images/1040745773674254336/OgVrzx-i.jpg","View")</f>
        <v>View</v>
      </c>
    </row>
    <row r="2410" spans="1:19" ht="40">
      <c r="A2410" s="8">
        <v>43369.999328703707</v>
      </c>
      <c r="B2410" s="11" t="str">
        <f>HYPERLINK("https://twitter.com/ladyhnygaga","@ladyhnygaga")</f>
        <v>@ladyhnygaga</v>
      </c>
      <c r="C2410" s="6" t="s">
        <v>1541</v>
      </c>
      <c r="D2410" s="5" t="s">
        <v>1468</v>
      </c>
      <c r="E2410" s="9" t="str">
        <f>HYPERLINK("https://twitter.com/ladyhnygaga/status/1045047617951059970","1045047617951059970")</f>
        <v>1045047617951059970</v>
      </c>
      <c r="F2410" s="4"/>
      <c r="G2410" s="4"/>
      <c r="H2410" s="4"/>
      <c r="I2410" s="10" t="str">
        <f>HYPERLINK("http://twitter.com/download/android","Twitter for Android")</f>
        <v>Twitter for Android</v>
      </c>
      <c r="J2410" s="2">
        <v>1858</v>
      </c>
      <c r="K2410" s="2">
        <v>252</v>
      </c>
      <c r="L2410" s="2">
        <v>11</v>
      </c>
      <c r="M2410" s="2"/>
      <c r="N2410" s="8">
        <v>42639.110648148147</v>
      </c>
      <c r="O2410" s="4" t="s">
        <v>1540</v>
      </c>
      <c r="P2410" s="3" t="s">
        <v>1539</v>
      </c>
      <c r="Q2410" s="4"/>
      <c r="R2410" s="4"/>
      <c r="S2410" s="9" t="str">
        <f>HYPERLINK("https://pbs.twimg.com/profile_images/1041705167736000513/ckTnPCuv.jpg","View")</f>
        <v>View</v>
      </c>
    </row>
    <row r="2411" spans="1:19" ht="50">
      <c r="A2411" s="8">
        <v>43369.998576388884</v>
      </c>
      <c r="B2411" s="11" t="str">
        <f>HYPERLINK("https://twitter.com/dozdgirsurna","@dozdgirsurna")</f>
        <v>@dozdgirsurna</v>
      </c>
      <c r="C2411" s="6" t="s">
        <v>1538</v>
      </c>
      <c r="D2411" s="5" t="s">
        <v>1168</v>
      </c>
      <c r="E2411" s="9" t="str">
        <f>HYPERLINK("https://twitter.com/dozdgirsurna/status/1045047342536290305","1045047342536290305")</f>
        <v>1045047342536290305</v>
      </c>
      <c r="F2411" s="4"/>
      <c r="G2411" s="10" t="s">
        <v>907</v>
      </c>
      <c r="H2411" s="4"/>
      <c r="I2411" s="10" t="str">
        <f>HYPERLINK("http://twitter.com/download/android","Twitter for Android")</f>
        <v>Twitter for Android</v>
      </c>
      <c r="J2411" s="2">
        <v>35</v>
      </c>
      <c r="K2411" s="2">
        <v>80</v>
      </c>
      <c r="L2411" s="2">
        <v>0</v>
      </c>
      <c r="M2411" s="2"/>
      <c r="N2411" s="8">
        <v>42718.051840277782</v>
      </c>
      <c r="O2411" s="4" t="s">
        <v>62</v>
      </c>
      <c r="P2411" s="3" t="s">
        <v>1537</v>
      </c>
      <c r="Q2411" s="10" t="s">
        <v>1536</v>
      </c>
      <c r="R2411" s="4"/>
      <c r="S2411" s="9" t="str">
        <f>HYPERLINK("https://pbs.twimg.com/profile_images/840321180540194816/nRUK7kmP.jpg","View")</f>
        <v>View</v>
      </c>
    </row>
    <row r="2412" spans="1:19" ht="20">
      <c r="A2412" s="8">
        <v>43369.997916666667</v>
      </c>
      <c r="B2412" s="11" t="str">
        <f>HYPERLINK("https://twitter.com/mahdi_mi_ayad","@mahdi_mi_ayad")</f>
        <v>@mahdi_mi_ayad</v>
      </c>
      <c r="C2412" s="6" t="s">
        <v>1535</v>
      </c>
      <c r="D2412" s="5" t="s">
        <v>163</v>
      </c>
      <c r="E2412" s="9" t="str">
        <f>HYPERLINK("https://twitter.com/mahdi_mi_ayad/status/1045047106967425024","1045047106967425024")</f>
        <v>1045047106967425024</v>
      </c>
      <c r="F2412" s="4"/>
      <c r="G2412" s="4"/>
      <c r="H2412" s="4"/>
      <c r="I2412" s="10" t="str">
        <f>HYPERLINK("http://twitter.com/download/android","Twitter for Android")</f>
        <v>Twitter for Android</v>
      </c>
      <c r="J2412" s="2">
        <v>147</v>
      </c>
      <c r="K2412" s="2">
        <v>52</v>
      </c>
      <c r="L2412" s="2">
        <v>2</v>
      </c>
      <c r="M2412" s="2"/>
      <c r="N2412" s="8">
        <v>42801.406550925924</v>
      </c>
      <c r="O2412" s="4" t="s">
        <v>62</v>
      </c>
      <c r="P2412" s="3" t="s">
        <v>1534</v>
      </c>
      <c r="Q2412" s="4"/>
      <c r="R2412" s="4"/>
      <c r="S2412" s="9" t="str">
        <f>HYPERLINK("https://pbs.twimg.com/profile_images/881255476016631808/HJcyS_SZ.jpg","View")</f>
        <v>View</v>
      </c>
    </row>
    <row r="2413" spans="1:19" ht="12.5">
      <c r="A2413" s="8">
        <v>43369.997916666667</v>
      </c>
      <c r="B2413" s="11" t="str">
        <f>HYPERLINK("https://twitter.com/pesarack_sade","@pesarack_sade")</f>
        <v>@pesarack_sade</v>
      </c>
      <c r="C2413" s="6" t="s">
        <v>1506</v>
      </c>
      <c r="D2413" s="5" t="s">
        <v>1003</v>
      </c>
      <c r="E2413" s="9" t="str">
        <f>HYPERLINK("https://twitter.com/pesarack_sade/status/1045047103628734478","1045047103628734478")</f>
        <v>1045047103628734478</v>
      </c>
      <c r="F2413" s="4"/>
      <c r="G2413" s="4"/>
      <c r="H2413" s="4"/>
      <c r="I2413" s="10" t="str">
        <f>HYPERLINK("http://twitter.com/download/android","Twitter for Android")</f>
        <v>Twitter for Android</v>
      </c>
      <c r="J2413" s="2">
        <v>4334</v>
      </c>
      <c r="K2413" s="2">
        <v>4106</v>
      </c>
      <c r="L2413" s="2">
        <v>7</v>
      </c>
      <c r="M2413" s="2"/>
      <c r="N2413" s="8">
        <v>43274.843611111108</v>
      </c>
      <c r="O2413" s="4" t="s">
        <v>1504</v>
      </c>
      <c r="P2413" s="3" t="s">
        <v>1503</v>
      </c>
      <c r="Q2413" s="10" t="s">
        <v>1502</v>
      </c>
      <c r="R2413" s="4"/>
      <c r="S2413" s="9" t="str">
        <f>HYPERLINK("https://pbs.twimg.com/profile_images/1044907168166793216/GrP_FmIA.jpg","View")</f>
        <v>View</v>
      </c>
    </row>
    <row r="2414" spans="1:19" ht="12.5">
      <c r="A2414" s="8">
        <v>43369.997604166667</v>
      </c>
      <c r="B2414" s="11" t="str">
        <f>HYPERLINK("https://twitter.com/AbOo_kqz","@AbOo_kqz")</f>
        <v>@AbOo_kqz</v>
      </c>
      <c r="C2414" s="6" t="s">
        <v>1533</v>
      </c>
      <c r="D2414" s="5" t="s">
        <v>1532</v>
      </c>
      <c r="E2414" s="9" t="str">
        <f>HYPERLINK("https://twitter.com/AbOo_kqz/status/1045046990055165952","1045046990055165952")</f>
        <v>1045046990055165952</v>
      </c>
      <c r="F2414" s="4"/>
      <c r="G2414" s="4"/>
      <c r="H2414" s="4"/>
      <c r="I2414" s="10" t="str">
        <f>HYPERLINK("http://twitter.com","Twitter Web Client")</f>
        <v>Twitter Web Client</v>
      </c>
      <c r="J2414" s="2">
        <v>39</v>
      </c>
      <c r="K2414" s="2">
        <v>113</v>
      </c>
      <c r="L2414" s="2">
        <v>0</v>
      </c>
      <c r="M2414" s="2"/>
      <c r="N2414" s="8">
        <v>42521.938738425924</v>
      </c>
      <c r="O2414" s="4" t="s">
        <v>1531</v>
      </c>
      <c r="P2414" s="3" t="s">
        <v>1530</v>
      </c>
      <c r="Q2414" s="4"/>
      <c r="R2414" s="4"/>
      <c r="S2414" s="9" t="str">
        <f>HYPERLINK("https://pbs.twimg.com/profile_images/737706601084157952/exyDQSiE.jpg","View")</f>
        <v>View</v>
      </c>
    </row>
    <row r="2415" spans="1:19" ht="12.5">
      <c r="A2415" s="8">
        <v>43369.997395833328</v>
      </c>
      <c r="B2415" s="11" t="str">
        <f>HYPERLINK("https://twitter.com/pesarack_sade","@pesarack_sade")</f>
        <v>@pesarack_sade</v>
      </c>
      <c r="C2415" s="6" t="s">
        <v>1506</v>
      </c>
      <c r="D2415" s="5" t="s">
        <v>1497</v>
      </c>
      <c r="E2415" s="9" t="str">
        <f>HYPERLINK("https://twitter.com/pesarack_sade/status/1045046916957044740","1045046916957044740")</f>
        <v>1045046916957044740</v>
      </c>
      <c r="F2415" s="4"/>
      <c r="G2415" s="4"/>
      <c r="H2415" s="4"/>
      <c r="I2415" s="10" t="str">
        <f>HYPERLINK("http://twitter.com/download/android","Twitter for Android")</f>
        <v>Twitter for Android</v>
      </c>
      <c r="J2415" s="2">
        <v>4334</v>
      </c>
      <c r="K2415" s="2">
        <v>4106</v>
      </c>
      <c r="L2415" s="2">
        <v>7</v>
      </c>
      <c r="M2415" s="2"/>
      <c r="N2415" s="8">
        <v>43274.843611111108</v>
      </c>
      <c r="O2415" s="4" t="s">
        <v>1504</v>
      </c>
      <c r="P2415" s="3" t="s">
        <v>1503</v>
      </c>
      <c r="Q2415" s="10" t="s">
        <v>1502</v>
      </c>
      <c r="R2415" s="4"/>
      <c r="S2415" s="9" t="str">
        <f>HYPERLINK("https://pbs.twimg.com/profile_images/1044907168166793216/GrP_FmIA.jpg","View")</f>
        <v>View</v>
      </c>
    </row>
    <row r="2416" spans="1:19" ht="50">
      <c r="A2416" s="8">
        <v>43369.997199074074</v>
      </c>
      <c r="B2416" s="11" t="str">
        <f>HYPERLINK("https://twitter.com/kh110kh110","@kh110kh110")</f>
        <v>@kh110kh110</v>
      </c>
      <c r="C2416" s="6" t="s">
        <v>548</v>
      </c>
      <c r="D2416" s="5" t="s">
        <v>1529</v>
      </c>
      <c r="E2416" s="9" t="str">
        <f>HYPERLINK("https://twitter.com/kh110kh110/status/1045046846337544197","1045046846337544197")</f>
        <v>1045046846337544197</v>
      </c>
      <c r="F2416" s="4"/>
      <c r="G2416" s="10" t="s">
        <v>1528</v>
      </c>
      <c r="H2416" s="4"/>
      <c r="I2416" s="10" t="str">
        <f>HYPERLINK("http://twitter.com/download/android","Twitter for Android")</f>
        <v>Twitter for Android</v>
      </c>
      <c r="J2416" s="2">
        <v>94</v>
      </c>
      <c r="K2416" s="2">
        <v>419</v>
      </c>
      <c r="L2416" s="2">
        <v>0</v>
      </c>
      <c r="M2416" s="2"/>
      <c r="N2416" s="8">
        <v>43086.646238425921</v>
      </c>
      <c r="O2416" s="4" t="s">
        <v>547</v>
      </c>
      <c r="P2416" s="3" t="s">
        <v>546</v>
      </c>
      <c r="Q2416" s="4"/>
      <c r="R2416" s="4"/>
      <c r="S2416" s="9" t="str">
        <f>HYPERLINK("https://pbs.twimg.com/profile_images/1016886727431028741/9g7N4Dqa.jpg","View")</f>
        <v>View</v>
      </c>
    </row>
    <row r="2417" spans="1:19" ht="30">
      <c r="A2417" s="8">
        <v>43369.996724537035</v>
      </c>
      <c r="B2417" s="11" t="str">
        <f>HYPERLINK("https://twitter.com/maral_8888","@maral_8888")</f>
        <v>@maral_8888</v>
      </c>
      <c r="C2417" s="6" t="s">
        <v>1527</v>
      </c>
      <c r="D2417" s="5" t="s">
        <v>1526</v>
      </c>
      <c r="E2417" s="9" t="str">
        <f>HYPERLINK("https://twitter.com/maral_8888/status/1045046674442383361","1045046674442383361")</f>
        <v>1045046674442383361</v>
      </c>
      <c r="F2417" s="4"/>
      <c r="G2417" s="4"/>
      <c r="H2417" s="4"/>
      <c r="I2417" s="10" t="str">
        <f>HYPERLINK("http://twitter.com/download/android","Twitter for Android")</f>
        <v>Twitter for Android</v>
      </c>
      <c r="J2417" s="2">
        <v>188</v>
      </c>
      <c r="K2417" s="2">
        <v>398</v>
      </c>
      <c r="L2417" s="2">
        <v>0</v>
      </c>
      <c r="M2417" s="2"/>
      <c r="N2417" s="8">
        <v>43224.758773148147</v>
      </c>
      <c r="O2417" s="4" t="s">
        <v>1525</v>
      </c>
      <c r="P2417" s="3" t="s">
        <v>1524</v>
      </c>
      <c r="Q2417" s="4"/>
      <c r="R2417" s="4"/>
      <c r="S2417" s="9" t="str">
        <f>HYPERLINK("https://pbs.twimg.com/profile_images/1018033282770964480/NaB5Ynij.jpg","View")</f>
        <v>View</v>
      </c>
    </row>
    <row r="2418" spans="1:19" ht="20">
      <c r="A2418" s="8">
        <v>43369.996481481481</v>
      </c>
      <c r="B2418" s="11" t="str">
        <f>HYPERLINK("https://twitter.com/MohsenKarami985","@MohsenKarami985")</f>
        <v>@MohsenKarami985</v>
      </c>
      <c r="C2418" s="6" t="s">
        <v>1523</v>
      </c>
      <c r="D2418" s="5" t="s">
        <v>1522</v>
      </c>
      <c r="E2418" s="9" t="str">
        <f>HYPERLINK("https://twitter.com/MohsenKarami985/status/1045046586609422337","1045046586609422337")</f>
        <v>1045046586609422337</v>
      </c>
      <c r="F2418" s="4"/>
      <c r="G2418" s="4"/>
      <c r="H2418" s="4"/>
      <c r="I2418" s="10" t="str">
        <f>HYPERLINK("http://twitter.com/download/android","Twitter for Android")</f>
        <v>Twitter for Android</v>
      </c>
      <c r="J2418" s="2">
        <v>10</v>
      </c>
      <c r="K2418" s="2">
        <v>39</v>
      </c>
      <c r="L2418" s="2">
        <v>0</v>
      </c>
      <c r="M2418" s="2"/>
      <c r="N2418" s="8">
        <v>43354.810162037036</v>
      </c>
      <c r="O2418" s="4" t="s">
        <v>200</v>
      </c>
      <c r="P2418" s="3" t="s">
        <v>1521</v>
      </c>
      <c r="Q2418" s="4"/>
      <c r="R2418" s="4"/>
      <c r="S2418" s="9" t="str">
        <f>HYPERLINK("https://pbs.twimg.com/profile_images/1043604395693363200/XhlhW0Kp.jpg","View")</f>
        <v>View</v>
      </c>
    </row>
    <row r="2419" spans="1:19" ht="30">
      <c r="A2419" s="8">
        <v>43369.996469907404</v>
      </c>
      <c r="B2419" s="11" t="str">
        <f>HYPERLINK("https://twitter.com/VEngelab","@VEngelab")</f>
        <v>@VEngelab</v>
      </c>
      <c r="C2419" s="6" t="s">
        <v>923</v>
      </c>
      <c r="D2419" s="5" t="s">
        <v>1520</v>
      </c>
      <c r="E2419" s="9" t="str">
        <f>HYPERLINK("https://twitter.com/VEngelab/status/1045046578526990337","1045046578526990337")</f>
        <v>1045046578526990337</v>
      </c>
      <c r="F2419" s="4"/>
      <c r="G2419" s="4"/>
      <c r="H2419" s="4"/>
      <c r="I2419" s="10" t="str">
        <f>HYPERLINK("http://twitter.com/download/iphone","Twitter for iPhone")</f>
        <v>Twitter for iPhone</v>
      </c>
      <c r="J2419" s="2">
        <v>236</v>
      </c>
      <c r="K2419" s="2">
        <v>152</v>
      </c>
      <c r="L2419" s="2">
        <v>1</v>
      </c>
      <c r="M2419" s="2"/>
      <c r="N2419" s="8">
        <v>41554.705069444448</v>
      </c>
      <c r="O2419" s="4"/>
      <c r="P2419" s="3"/>
      <c r="Q2419" s="4"/>
      <c r="R2419" s="4"/>
      <c r="S2419" s="9" t="str">
        <f>HYPERLINK("https://pbs.twimg.com/profile_images/999063312590503936/wqcUs7jT.jpg","View")</f>
        <v>View</v>
      </c>
    </row>
    <row r="2420" spans="1:19" ht="30">
      <c r="A2420" s="8">
        <v>43369.996458333335</v>
      </c>
      <c r="B2420" s="11" t="str">
        <f>HYPERLINK("https://twitter.com/shahrzad_h","@shahrzad_h")</f>
        <v>@shahrzad_h</v>
      </c>
      <c r="C2420" s="6" t="s">
        <v>1519</v>
      </c>
      <c r="D2420" s="5" t="s">
        <v>408</v>
      </c>
      <c r="E2420" s="9" t="str">
        <f>HYPERLINK("https://twitter.com/shahrzad_h/status/1045046578044694532","1045046578044694532")</f>
        <v>1045046578044694532</v>
      </c>
      <c r="F2420" s="4"/>
      <c r="G2420" s="4"/>
      <c r="H2420" s="4"/>
      <c r="I2420" s="10" t="str">
        <f>HYPERLINK("http://twitter.com/#!/download/ipad","Twitter for iPad")</f>
        <v>Twitter for iPad</v>
      </c>
      <c r="J2420" s="2">
        <v>14</v>
      </c>
      <c r="K2420" s="2">
        <v>266</v>
      </c>
      <c r="L2420" s="2">
        <v>0</v>
      </c>
      <c r="M2420" s="2"/>
      <c r="N2420" s="8">
        <v>41783.038206018522</v>
      </c>
      <c r="O2420" s="4"/>
      <c r="P2420" s="3"/>
      <c r="Q2420" s="4"/>
      <c r="R2420" s="4"/>
      <c r="S2420" s="9" t="str">
        <f>HYPERLINK("https://pbs.twimg.com/profile_images/1025086161654571008/0Sh2Z3TP.jpg","View")</f>
        <v>View</v>
      </c>
    </row>
    <row r="2421" spans="1:19" ht="20">
      <c r="A2421" s="8">
        <v>43369.996388888889</v>
      </c>
      <c r="B2421" s="11" t="str">
        <f>HYPERLINK("https://twitter.com/talkhuun","@talkhuun")</f>
        <v>@talkhuun</v>
      </c>
      <c r="C2421" s="6" t="s">
        <v>1518</v>
      </c>
      <c r="D2421" s="5" t="s">
        <v>1517</v>
      </c>
      <c r="E2421" s="9" t="str">
        <f>HYPERLINK("https://twitter.com/talkhuun/status/1045046549791805441","1045046549791805441")</f>
        <v>1045046549791805441</v>
      </c>
      <c r="F2421" s="4"/>
      <c r="G2421" s="4"/>
      <c r="H2421" s="4"/>
      <c r="I2421" s="10" t="str">
        <f>HYPERLINK("http://twitter.com/download/android","Twitter for Android")</f>
        <v>Twitter for Android</v>
      </c>
      <c r="J2421" s="2">
        <v>573</v>
      </c>
      <c r="K2421" s="2">
        <v>493</v>
      </c>
      <c r="L2421" s="2">
        <v>2</v>
      </c>
      <c r="M2421" s="2"/>
      <c r="N2421" s="8">
        <v>43106.640868055554</v>
      </c>
      <c r="O2421" s="4" t="s">
        <v>1516</v>
      </c>
      <c r="P2421" s="3" t="s">
        <v>1515</v>
      </c>
      <c r="Q2421" s="4"/>
      <c r="R2421" s="4"/>
      <c r="S2421" s="9" t="str">
        <f>HYPERLINK("https://pbs.twimg.com/profile_images/1043610461424504832/ybis1saE.jpg","View")</f>
        <v>View</v>
      </c>
    </row>
    <row r="2422" spans="1:19" ht="50">
      <c r="A2422" s="8">
        <v>43369.996342592596</v>
      </c>
      <c r="B2422" s="11" t="str">
        <f>HYPERLINK("https://twitter.com/mr_z0k91","@mr_z0k91")</f>
        <v>@mr_z0k91</v>
      </c>
      <c r="C2422" s="6" t="s">
        <v>1514</v>
      </c>
      <c r="D2422" s="5" t="s">
        <v>927</v>
      </c>
      <c r="E2422" s="9" t="str">
        <f>HYPERLINK("https://twitter.com/mr_z0k91/status/1045046535048900608","1045046535048900608")</f>
        <v>1045046535048900608</v>
      </c>
      <c r="F2422" s="4"/>
      <c r="G2422" s="10" t="s">
        <v>926</v>
      </c>
      <c r="H2422" s="4"/>
      <c r="I2422" s="10" t="str">
        <f>HYPERLINK("http://twitter.com/download/android","Twitter for Android")</f>
        <v>Twitter for Android</v>
      </c>
      <c r="J2422" s="2">
        <v>473</v>
      </c>
      <c r="K2422" s="2">
        <v>550</v>
      </c>
      <c r="L2422" s="2">
        <v>1</v>
      </c>
      <c r="M2422" s="2"/>
      <c r="N2422" s="8">
        <v>43104.147175925929</v>
      </c>
      <c r="O2422" s="4" t="s">
        <v>170</v>
      </c>
      <c r="P2422" s="3" t="s">
        <v>1513</v>
      </c>
      <c r="Q2422" s="4"/>
      <c r="R2422" s="4"/>
      <c r="S2422" s="9" t="str">
        <f>HYPERLINK("https://pbs.twimg.com/profile_images/1022327025426685952/McMupLx7.jpg","View")</f>
        <v>View</v>
      </c>
    </row>
    <row r="2423" spans="1:19" ht="30">
      <c r="A2423" s="8">
        <v>43369.996076388888</v>
      </c>
      <c r="B2423" s="11" t="str">
        <f>HYPERLINK("https://twitter.com/TheSavior_M","@TheSavior_M")</f>
        <v>@TheSavior_M</v>
      </c>
      <c r="C2423" s="6" t="s">
        <v>1512</v>
      </c>
      <c r="D2423" s="5" t="s">
        <v>1239</v>
      </c>
      <c r="E2423" s="9" t="str">
        <f>HYPERLINK("https://twitter.com/TheSavior_M/status/1045046439158706178","1045046439158706178")</f>
        <v>1045046439158706178</v>
      </c>
      <c r="F2423" s="4"/>
      <c r="G2423" s="4"/>
      <c r="H2423" s="4"/>
      <c r="I2423" s="10" t="str">
        <f>HYPERLINK("http://twitter.com/download/android","Twitter for Android")</f>
        <v>Twitter for Android</v>
      </c>
      <c r="J2423" s="2">
        <v>1458</v>
      </c>
      <c r="K2423" s="2">
        <v>913</v>
      </c>
      <c r="L2423" s="2">
        <v>2</v>
      </c>
      <c r="M2423" s="2"/>
      <c r="N2423" s="8">
        <v>42558.99009259259</v>
      </c>
      <c r="O2423" s="4" t="s">
        <v>10</v>
      </c>
      <c r="P2423" s="3" t="s">
        <v>1511</v>
      </c>
      <c r="Q2423" s="4"/>
      <c r="R2423" s="4"/>
      <c r="S2423" s="9" t="str">
        <f>HYPERLINK("https://pbs.twimg.com/profile_images/1043201941487210501/nw26lhr0.jpg","View")</f>
        <v>View</v>
      </c>
    </row>
    <row r="2424" spans="1:19" ht="20">
      <c r="A2424" s="8">
        <v>43369.99590277778</v>
      </c>
      <c r="B2424" s="11" t="str">
        <f>HYPERLINK("https://twitter.com/Dani_brasco88","@Dani_brasco88")</f>
        <v>@Dani_brasco88</v>
      </c>
      <c r="C2424" s="6" t="s">
        <v>1510</v>
      </c>
      <c r="D2424" s="5" t="s">
        <v>1003</v>
      </c>
      <c r="E2424" s="9" t="str">
        <f>HYPERLINK("https://twitter.com/Dani_brasco88/status/1045046373169721349","1045046373169721349")</f>
        <v>1045046373169721349</v>
      </c>
      <c r="F2424" s="4"/>
      <c r="G2424" s="4"/>
      <c r="H2424" s="4"/>
      <c r="I2424" s="10" t="str">
        <f>HYPERLINK("http://twitter.com/download/android","Twitter for Android")</f>
        <v>Twitter for Android</v>
      </c>
      <c r="J2424" s="2">
        <v>8697</v>
      </c>
      <c r="K2424" s="2">
        <v>5084</v>
      </c>
      <c r="L2424" s="2">
        <v>13</v>
      </c>
      <c r="M2424" s="2"/>
      <c r="N2424" s="8">
        <v>42975.846921296295</v>
      </c>
      <c r="O2424" s="4" t="s">
        <v>1509</v>
      </c>
      <c r="P2424" s="3" t="s">
        <v>1508</v>
      </c>
      <c r="Q2424" s="10" t="s">
        <v>1507</v>
      </c>
      <c r="R2424" s="4"/>
      <c r="S2424" s="9" t="str">
        <f>HYPERLINK("https://pbs.twimg.com/profile_images/1036405651579326464/v650UqAn.jpg","View")</f>
        <v>View</v>
      </c>
    </row>
    <row r="2425" spans="1:19" ht="20">
      <c r="A2425" s="8">
        <v>43369.995335648149</v>
      </c>
      <c r="B2425" s="11" t="str">
        <f>HYPERLINK("https://twitter.com/pesarack_sade","@pesarack_sade")</f>
        <v>@pesarack_sade</v>
      </c>
      <c r="C2425" s="6" t="s">
        <v>1506</v>
      </c>
      <c r="D2425" s="5" t="s">
        <v>1505</v>
      </c>
      <c r="E2425" s="9" t="str">
        <f>HYPERLINK("https://twitter.com/pesarack_sade/status/1045046168420585472","1045046168420585472")</f>
        <v>1045046168420585472</v>
      </c>
      <c r="F2425" s="4"/>
      <c r="G2425" s="10" t="s">
        <v>452</v>
      </c>
      <c r="H2425" s="4"/>
      <c r="I2425" s="10" t="str">
        <f>HYPERLINK("http://twitter.com/download/android","Twitter for Android")</f>
        <v>Twitter for Android</v>
      </c>
      <c r="J2425" s="2">
        <v>4334</v>
      </c>
      <c r="K2425" s="2">
        <v>4106</v>
      </c>
      <c r="L2425" s="2">
        <v>7</v>
      </c>
      <c r="M2425" s="2"/>
      <c r="N2425" s="8">
        <v>43274.843611111108</v>
      </c>
      <c r="O2425" s="4" t="s">
        <v>1504</v>
      </c>
      <c r="P2425" s="3" t="s">
        <v>1503</v>
      </c>
      <c r="Q2425" s="10" t="s">
        <v>1502</v>
      </c>
      <c r="R2425" s="4"/>
      <c r="S2425" s="9" t="str">
        <f>HYPERLINK("https://pbs.twimg.com/profile_images/1044907168166793216/GrP_FmIA.jpg","View")</f>
        <v>View</v>
      </c>
    </row>
    <row r="2426" spans="1:19" ht="20">
      <c r="A2426" s="8">
        <v>43369.995115740741</v>
      </c>
      <c r="B2426" s="11" t="str">
        <f>HYPERLINK("https://twitter.com/shamiiiiiiiiiim","@shamiiiiiiiiiim")</f>
        <v>@shamiiiiiiiiiim</v>
      </c>
      <c r="C2426" s="6" t="s">
        <v>1501</v>
      </c>
      <c r="D2426" s="5" t="s">
        <v>1500</v>
      </c>
      <c r="E2426" s="9" t="str">
        <f>HYPERLINK("https://twitter.com/shamiiiiiiiiiim/status/1045046087860531200","1045046087860531200")</f>
        <v>1045046087860531200</v>
      </c>
      <c r="F2426" s="4"/>
      <c r="G2426" s="4"/>
      <c r="H2426" s="4"/>
      <c r="I2426" s="10" t="str">
        <f>HYPERLINK("http://twitter.com/download/iphone","Twitter for iPhone")</f>
        <v>Twitter for iPhone</v>
      </c>
      <c r="J2426" s="2">
        <v>459</v>
      </c>
      <c r="K2426" s="2">
        <v>345</v>
      </c>
      <c r="L2426" s="2">
        <v>3</v>
      </c>
      <c r="M2426" s="2"/>
      <c r="N2426" s="8">
        <v>40887.935034722221</v>
      </c>
      <c r="O2426" s="4" t="s">
        <v>311</v>
      </c>
      <c r="P2426" s="3" t="s">
        <v>1499</v>
      </c>
      <c r="Q2426" s="4"/>
      <c r="R2426" s="4"/>
      <c r="S2426" s="9" t="str">
        <f>HYPERLINK("https://pbs.twimg.com/profile_images/1045002895450664962/70FOmeb_.jpg","View")</f>
        <v>View</v>
      </c>
    </row>
    <row r="2427" spans="1:19" ht="12.5">
      <c r="A2427" s="8">
        <v>43369.995104166665</v>
      </c>
      <c r="B2427" s="11" t="str">
        <f>HYPERLINK("https://twitter.com/sarakhanomii","@sarakhanomii")</f>
        <v>@sarakhanomii</v>
      </c>
      <c r="C2427" s="6" t="s">
        <v>1498</v>
      </c>
      <c r="D2427" s="5" t="s">
        <v>1497</v>
      </c>
      <c r="E2427" s="9" t="str">
        <f>HYPERLINK("https://twitter.com/sarakhanomii/status/1045046085218119681","1045046085218119681")</f>
        <v>1045046085218119681</v>
      </c>
      <c r="F2427" s="4"/>
      <c r="G2427" s="4"/>
      <c r="H2427" s="4"/>
      <c r="I2427" s="10" t="str">
        <f>HYPERLINK("http://twitter.com/download/android","Twitter for Android")</f>
        <v>Twitter for Android</v>
      </c>
      <c r="J2427" s="2">
        <v>10460</v>
      </c>
      <c r="K2427" s="2">
        <v>9279</v>
      </c>
      <c r="L2427" s="2">
        <v>22</v>
      </c>
      <c r="M2427" s="2"/>
      <c r="N2427" s="8">
        <v>43124.74864583333</v>
      </c>
      <c r="O2427" s="4"/>
      <c r="P2427" s="3" t="s">
        <v>1496</v>
      </c>
      <c r="Q2427" s="10" t="s">
        <v>1495</v>
      </c>
      <c r="R2427" s="4"/>
      <c r="S2427" s="9" t="str">
        <f>HYPERLINK("https://pbs.twimg.com/profile_images/1043617283673915393/86Zcnuu3.jpg","View")</f>
        <v>View</v>
      </c>
    </row>
    <row r="2428" spans="1:19" ht="20">
      <c r="A2428" s="8">
        <v>43369.994780092587</v>
      </c>
      <c r="B2428" s="11" t="str">
        <f>HYPERLINK("https://twitter.com/haristo_stchv","@haristo_stchv")</f>
        <v>@haristo_stchv</v>
      </c>
      <c r="C2428" s="6" t="s">
        <v>479</v>
      </c>
      <c r="D2428" s="5" t="s">
        <v>478</v>
      </c>
      <c r="E2428" s="9" t="str">
        <f>HYPERLINK("https://twitter.com/haristo_stchv/status/1045045967530196992","1045045967530196992")</f>
        <v>1045045967530196992</v>
      </c>
      <c r="F2428" s="4"/>
      <c r="G2428" s="4"/>
      <c r="H2428" s="4"/>
      <c r="I2428" s="10" t="str">
        <f>HYPERLINK("http://twitter.com/download/iphone","Twitter for iPhone")</f>
        <v>Twitter for iPhone</v>
      </c>
      <c r="J2428" s="2">
        <v>1222</v>
      </c>
      <c r="K2428" s="2">
        <v>1080</v>
      </c>
      <c r="L2428" s="2">
        <v>3</v>
      </c>
      <c r="M2428" s="2"/>
      <c r="N2428" s="8">
        <v>42950.472129629634</v>
      </c>
      <c r="O2428" s="4" t="s">
        <v>200</v>
      </c>
      <c r="P2428" s="3" t="s">
        <v>477</v>
      </c>
      <c r="Q2428" s="4"/>
      <c r="R2428" s="4"/>
      <c r="S2428" s="9" t="str">
        <f>HYPERLINK("https://pbs.twimg.com/profile_images/1041626242112528384/wCOP_idg.jpg","View")</f>
        <v>View</v>
      </c>
    </row>
    <row r="2429" spans="1:19" ht="30">
      <c r="A2429" s="8">
        <v>43369.994594907403</v>
      </c>
      <c r="B2429" s="11" t="str">
        <f>HYPERLINK("https://twitter.com/PoooranDokht","@PoooranDokht")</f>
        <v>@PoooranDokht</v>
      </c>
      <c r="C2429" s="6" t="s">
        <v>1494</v>
      </c>
      <c r="D2429" s="5" t="s">
        <v>408</v>
      </c>
      <c r="E2429" s="9" t="str">
        <f>HYPERLINK("https://twitter.com/PoooranDokht/status/1045045900765278208","1045045900765278208")</f>
        <v>1045045900765278208</v>
      </c>
      <c r="F2429" s="4"/>
      <c r="G2429" s="4"/>
      <c r="H2429" s="4"/>
      <c r="I2429" s="10" t="str">
        <f>HYPERLINK("http://twitter.com/download/android","Twitter for Android")</f>
        <v>Twitter for Android</v>
      </c>
      <c r="J2429" s="2">
        <v>88</v>
      </c>
      <c r="K2429" s="2">
        <v>112</v>
      </c>
      <c r="L2429" s="2">
        <v>0</v>
      </c>
      <c r="M2429" s="2"/>
      <c r="N2429" s="8">
        <v>42833.478344907402</v>
      </c>
      <c r="O2429" s="4" t="s">
        <v>1493</v>
      </c>
      <c r="P2429" s="3"/>
      <c r="Q2429" s="4"/>
      <c r="R2429" s="4"/>
      <c r="S2429" s="9" t="str">
        <f>HYPERLINK("https://pbs.twimg.com/profile_images/958991785333874689/U66pXy9t.jpg","View")</f>
        <v>View</v>
      </c>
    </row>
    <row r="2430" spans="1:19" ht="40">
      <c r="A2430" s="8">
        <v>43369.993958333333</v>
      </c>
      <c r="B2430" s="11" t="str">
        <f>HYPERLINK("https://twitter.com/Erfaneshoon","@Erfaneshoon")</f>
        <v>@Erfaneshoon</v>
      </c>
      <c r="C2430" s="6" t="s">
        <v>1492</v>
      </c>
      <c r="D2430" s="5" t="s">
        <v>1468</v>
      </c>
      <c r="E2430" s="9" t="str">
        <f>HYPERLINK("https://twitter.com/Erfaneshoon/status/1045045672385409032","1045045672385409032")</f>
        <v>1045045672385409032</v>
      </c>
      <c r="F2430" s="4"/>
      <c r="G2430" s="4"/>
      <c r="H2430" s="4"/>
      <c r="I2430" s="10" t="str">
        <f>HYPERLINK("http://twitter.com/download/iphone","Twitter for iPhone")</f>
        <v>Twitter for iPhone</v>
      </c>
      <c r="J2430" s="2">
        <v>3451</v>
      </c>
      <c r="K2430" s="2">
        <v>1184</v>
      </c>
      <c r="L2430" s="2">
        <v>18</v>
      </c>
      <c r="M2430" s="2"/>
      <c r="N2430" s="8">
        <v>42875.592731481476</v>
      </c>
      <c r="O2430" s="4" t="s">
        <v>200</v>
      </c>
      <c r="P2430" s="3" t="s">
        <v>1491</v>
      </c>
      <c r="Q2430" s="4"/>
      <c r="R2430" s="4"/>
      <c r="S2430" s="9" t="str">
        <f>HYPERLINK("https://pbs.twimg.com/profile_images/1042908824565428225/XdtdXh7U.jpg","View")</f>
        <v>View</v>
      </c>
    </row>
    <row r="2431" spans="1:19" ht="20">
      <c r="A2431" s="8">
        <v>43369.993923611109</v>
      </c>
      <c r="B2431" s="11" t="str">
        <f>HYPERLINK("https://twitter.com/Tavakoli_MH","@Tavakoli_MH")</f>
        <v>@Tavakoli_MH</v>
      </c>
      <c r="C2431" s="6" t="s">
        <v>1490</v>
      </c>
      <c r="D2431" s="5" t="s">
        <v>1489</v>
      </c>
      <c r="E2431" s="9" t="str">
        <f>HYPERLINK("https://twitter.com/Tavakoli_MH/status/1045045655914377217","1045045655914377217")</f>
        <v>1045045655914377217</v>
      </c>
      <c r="F2431" s="4"/>
      <c r="G2431" s="10" t="s">
        <v>1488</v>
      </c>
      <c r="H2431" s="4"/>
      <c r="I2431" s="10" t="str">
        <f>HYPERLINK("http://twitter.com/download/android","Twitter for Android")</f>
        <v>Twitter for Android</v>
      </c>
      <c r="J2431" s="2">
        <v>487</v>
      </c>
      <c r="K2431" s="2">
        <v>376</v>
      </c>
      <c r="L2431" s="2">
        <v>2</v>
      </c>
      <c r="M2431" s="2"/>
      <c r="N2431" s="8">
        <v>42578.857291666667</v>
      </c>
      <c r="O2431" s="4" t="s">
        <v>1487</v>
      </c>
      <c r="P2431" s="3" t="s">
        <v>1486</v>
      </c>
      <c r="Q2431" s="4"/>
      <c r="R2431" s="4"/>
      <c r="S2431" s="9" t="str">
        <f>HYPERLINK("https://pbs.twimg.com/profile_images/805079927322275842/5ql8DSMw.jpg","View")</f>
        <v>View</v>
      </c>
    </row>
    <row r="2432" spans="1:19" ht="20">
      <c r="A2432" s="8">
        <v>43369.993645833332</v>
      </c>
      <c r="B2432" s="11" t="str">
        <f>HYPERLINK("https://twitter.com/MehdiAAA6","@MehdiAAA6")</f>
        <v>@MehdiAAA6</v>
      </c>
      <c r="C2432" s="6" t="s">
        <v>1485</v>
      </c>
      <c r="D2432" s="5" t="s">
        <v>1061</v>
      </c>
      <c r="E2432" s="9" t="str">
        <f>HYPERLINK("https://twitter.com/MehdiAAA6/status/1045045555213332483","1045045555213332483")</f>
        <v>1045045555213332483</v>
      </c>
      <c r="F2432" s="4"/>
      <c r="G2432" s="10" t="s">
        <v>1060</v>
      </c>
      <c r="H2432" s="4"/>
      <c r="I2432" s="10" t="str">
        <f>HYPERLINK("http://twitter.com/download/android","Twitter for Android")</f>
        <v>Twitter for Android</v>
      </c>
      <c r="J2432" s="2">
        <v>5625</v>
      </c>
      <c r="K2432" s="2">
        <v>675</v>
      </c>
      <c r="L2432" s="2">
        <v>25</v>
      </c>
      <c r="M2432" s="2"/>
      <c r="N2432" s="8">
        <v>42920.885659722218</v>
      </c>
      <c r="O2432" s="4"/>
      <c r="P2432" s="3" t="s">
        <v>1484</v>
      </c>
      <c r="Q2432" s="4"/>
      <c r="R2432" s="4"/>
      <c r="S2432" s="9" t="str">
        <f>HYPERLINK("https://pbs.twimg.com/profile_images/1045020683238068224/KYl4fc3-.jpg","View")</f>
        <v>View</v>
      </c>
    </row>
    <row r="2433" spans="1:19" ht="12.5">
      <c r="A2433" s="8">
        <v>43369.993020833332</v>
      </c>
      <c r="B2433" s="11" t="str">
        <f>HYPERLINK("https://twitter.com/AminGH2500","@AminGH2500")</f>
        <v>@AminGH2500</v>
      </c>
      <c r="C2433" s="6" t="s">
        <v>1483</v>
      </c>
      <c r="D2433" s="5" t="s">
        <v>140</v>
      </c>
      <c r="E2433" s="9" t="str">
        <f>HYPERLINK("https://twitter.com/AminGH2500/status/1045045329706577923","1045045329706577923")</f>
        <v>1045045329706577923</v>
      </c>
      <c r="F2433" s="4"/>
      <c r="G2433" s="10" t="s">
        <v>139</v>
      </c>
      <c r="H2433" s="4"/>
      <c r="I2433" s="10" t="str">
        <f>HYPERLINK("http://twitter.com/download/android","Twitter for Android")</f>
        <v>Twitter for Android</v>
      </c>
      <c r="J2433" s="2">
        <v>1218</v>
      </c>
      <c r="K2433" s="2">
        <v>753</v>
      </c>
      <c r="L2433" s="2">
        <v>3</v>
      </c>
      <c r="M2433" s="2"/>
      <c r="N2433" s="8">
        <v>43016.973437499997</v>
      </c>
      <c r="O2433" s="4"/>
      <c r="P2433" s="3" t="s">
        <v>1482</v>
      </c>
      <c r="Q2433" s="4"/>
      <c r="R2433" s="4"/>
      <c r="S2433" s="9" t="str">
        <f>HYPERLINK("https://pbs.twimg.com/profile_images/1043481604499427331/TPvZSnP3.jpg","View")</f>
        <v>View</v>
      </c>
    </row>
    <row r="2434" spans="1:19" ht="20">
      <c r="A2434" s="8">
        <v>43369.992974537032</v>
      </c>
      <c r="B2434" s="11" t="str">
        <f>HYPERLINK("https://twitter.com/ZahraKazemi1365","@ZahraKazemi1365")</f>
        <v>@ZahraKazemi1365</v>
      </c>
      <c r="C2434" s="6" t="s">
        <v>248</v>
      </c>
      <c r="D2434" s="5" t="s">
        <v>1481</v>
      </c>
      <c r="E2434" s="9" t="str">
        <f>HYPERLINK("https://twitter.com/ZahraKazemi1365/status/1045045313352986627","1045045313352986627")</f>
        <v>1045045313352986627</v>
      </c>
      <c r="F2434" s="4"/>
      <c r="G2434" s="10" t="s">
        <v>1464</v>
      </c>
      <c r="H2434" s="4"/>
      <c r="I2434" s="10" t="str">
        <f>HYPERLINK("http://twitter.com/download/android","Twitter for Android")</f>
        <v>Twitter for Android</v>
      </c>
      <c r="J2434" s="2">
        <v>3598</v>
      </c>
      <c r="K2434" s="2">
        <v>406</v>
      </c>
      <c r="L2434" s="2">
        <v>18</v>
      </c>
      <c r="M2434" s="2"/>
      <c r="N2434" s="8">
        <v>42913.791145833333</v>
      </c>
      <c r="O2434" s="4" t="s">
        <v>246</v>
      </c>
      <c r="P2434" s="3" t="s">
        <v>245</v>
      </c>
      <c r="Q2434" s="4"/>
      <c r="R2434" s="4"/>
      <c r="S2434" s="9" t="str">
        <f>HYPERLINK("https://pbs.twimg.com/profile_images/900065453527138304/gyq_soA_.jpg","View")</f>
        <v>View</v>
      </c>
    </row>
    <row r="2435" spans="1:19" ht="40">
      <c r="A2435" s="8">
        <v>43369.992349537039</v>
      </c>
      <c r="B2435" s="11" t="str">
        <f>HYPERLINK("https://twitter.com/neda65ho","@neda65ho")</f>
        <v>@neda65ho</v>
      </c>
      <c r="C2435" s="6" t="s">
        <v>488</v>
      </c>
      <c r="D2435" s="5" t="s">
        <v>1468</v>
      </c>
      <c r="E2435" s="9" t="str">
        <f>HYPERLINK("https://twitter.com/neda65ho/status/1045045085925257216","1045045085925257216")</f>
        <v>1045045085925257216</v>
      </c>
      <c r="F2435" s="4"/>
      <c r="G2435" s="4"/>
      <c r="H2435" s="4"/>
      <c r="I2435" s="10" t="str">
        <f>HYPERLINK("http://twitter.com/download/android","Twitter for Android")</f>
        <v>Twitter for Android</v>
      </c>
      <c r="J2435" s="2">
        <v>4169</v>
      </c>
      <c r="K2435" s="2">
        <v>435</v>
      </c>
      <c r="L2435" s="2">
        <v>19</v>
      </c>
      <c r="M2435" s="2"/>
      <c r="N2435" s="8">
        <v>42530.055983796294</v>
      </c>
      <c r="O2435" s="4" t="s">
        <v>1480</v>
      </c>
      <c r="P2435" s="3" t="s">
        <v>1479</v>
      </c>
      <c r="Q2435" s="4"/>
      <c r="R2435" s="4"/>
      <c r="S2435" s="9" t="str">
        <f>HYPERLINK("https://pbs.twimg.com/profile_images/1041441692598128640/KH1TJO2z.jpg","View")</f>
        <v>View</v>
      </c>
    </row>
    <row r="2436" spans="1:19" ht="40">
      <c r="A2436" s="8">
        <v>43369.992256944446</v>
      </c>
      <c r="B2436" s="11" t="str">
        <f>HYPERLINK("https://twitter.com/AliJazayerii","@AliJazayerii")</f>
        <v>@AliJazayerii</v>
      </c>
      <c r="C2436" s="6" t="s">
        <v>1478</v>
      </c>
      <c r="D2436" s="5" t="s">
        <v>20</v>
      </c>
      <c r="E2436" s="9" t="str">
        <f>HYPERLINK("https://twitter.com/AliJazayerii/status/1045045051833929728","1045045051833929728")</f>
        <v>1045045051833929728</v>
      </c>
      <c r="F2436" s="4"/>
      <c r="G2436" s="10" t="s">
        <v>19</v>
      </c>
      <c r="H2436" s="4"/>
      <c r="I2436" s="10" t="str">
        <f>HYPERLINK("http://twitter.com/download/iphone","Twitter for iPhone")</f>
        <v>Twitter for iPhone</v>
      </c>
      <c r="J2436" s="2">
        <v>932</v>
      </c>
      <c r="K2436" s="2">
        <v>821</v>
      </c>
      <c r="L2436" s="2">
        <v>2</v>
      </c>
      <c r="M2436" s="2"/>
      <c r="N2436" s="8">
        <v>42799.952708333338</v>
      </c>
      <c r="O2436" s="4" t="s">
        <v>200</v>
      </c>
      <c r="P2436" s="3" t="s">
        <v>1477</v>
      </c>
      <c r="Q2436" s="10" t="s">
        <v>1476</v>
      </c>
      <c r="R2436" s="4"/>
      <c r="S2436" s="9" t="str">
        <f>HYPERLINK("https://pbs.twimg.com/profile_images/1040651852117942274/n3p-oaR1.jpg","View")</f>
        <v>View</v>
      </c>
    </row>
    <row r="2437" spans="1:19" ht="20">
      <c r="A2437" s="8">
        <v>43369.991886574076</v>
      </c>
      <c r="B2437" s="11" t="str">
        <f>HYPERLINK("https://twitter.com/tahabanoo07","@tahabanoo07")</f>
        <v>@tahabanoo07</v>
      </c>
      <c r="C2437" s="6" t="s">
        <v>1475</v>
      </c>
      <c r="D2437" s="5" t="s">
        <v>1474</v>
      </c>
      <c r="E2437" s="9" t="str">
        <f>HYPERLINK("https://twitter.com/tahabanoo07/status/1045044919700791297","1045044919700791297")</f>
        <v>1045044919700791297</v>
      </c>
      <c r="F2437" s="4"/>
      <c r="G2437" s="4"/>
      <c r="H2437" s="4"/>
      <c r="I2437" s="10" t="str">
        <f>HYPERLINK("http://twitter.com/download/android","Twitter for Android")</f>
        <v>Twitter for Android</v>
      </c>
      <c r="J2437" s="2">
        <v>648</v>
      </c>
      <c r="K2437" s="2">
        <v>245</v>
      </c>
      <c r="L2437" s="2">
        <v>4</v>
      </c>
      <c r="M2437" s="2"/>
      <c r="N2437" s="8">
        <v>43076.903171296297</v>
      </c>
      <c r="O2437" s="4" t="s">
        <v>1473</v>
      </c>
      <c r="P2437" s="3" t="s">
        <v>1472</v>
      </c>
      <c r="Q2437" s="4"/>
      <c r="R2437" s="4"/>
      <c r="S2437" s="9" t="str">
        <f>HYPERLINK("https://pbs.twimg.com/profile_images/1038526660285480965/_BPCHsva.jpg","View")</f>
        <v>View</v>
      </c>
    </row>
    <row r="2438" spans="1:19" ht="30">
      <c r="A2438" s="8">
        <v>43369.991469907407</v>
      </c>
      <c r="B2438" s="11" t="str">
        <f>HYPERLINK("https://twitter.com/ArashKa15353432","@ArashKa15353432")</f>
        <v>@ArashKa15353432</v>
      </c>
      <c r="C2438" s="6" t="s">
        <v>1471</v>
      </c>
      <c r="D2438" s="5" t="s">
        <v>37</v>
      </c>
      <c r="E2438" s="9" t="str">
        <f>HYPERLINK("https://twitter.com/ArashKa15353432/status/1045044768059916289","1045044768059916289")</f>
        <v>1045044768059916289</v>
      </c>
      <c r="F2438" s="4"/>
      <c r="G2438" s="4"/>
      <c r="H2438" s="4"/>
      <c r="I2438" s="10" t="str">
        <f>HYPERLINK("http://twitter.com/download/android","Twitter for Android")</f>
        <v>Twitter for Android</v>
      </c>
      <c r="J2438" s="2">
        <v>104</v>
      </c>
      <c r="K2438" s="2">
        <v>29</v>
      </c>
      <c r="L2438" s="2">
        <v>0</v>
      </c>
      <c r="M2438" s="2"/>
      <c r="N2438" s="8">
        <v>43339.818483796298</v>
      </c>
      <c r="O2438" s="4" t="s">
        <v>524</v>
      </c>
      <c r="P2438" s="3" t="s">
        <v>1470</v>
      </c>
      <c r="Q2438" s="4"/>
      <c r="R2438" s="4"/>
      <c r="S2438" s="9" t="str">
        <f>HYPERLINK("https://pbs.twimg.com/profile_images/1034096134661304320/0MYBgqDa.jpg","View")</f>
        <v>View</v>
      </c>
    </row>
    <row r="2439" spans="1:19" ht="40">
      <c r="A2439" s="8">
        <v>43369.99119212963</v>
      </c>
      <c r="B2439" s="11" t="str">
        <f>HYPERLINK("https://twitter.com/mprlred","@mprlred")</f>
        <v>@mprlred</v>
      </c>
      <c r="C2439" s="6" t="s">
        <v>1469</v>
      </c>
      <c r="D2439" s="5" t="s">
        <v>1468</v>
      </c>
      <c r="E2439" s="9" t="str">
        <f>HYPERLINK("https://twitter.com/mprlred/status/1045044668386463745","1045044668386463745")</f>
        <v>1045044668386463745</v>
      </c>
      <c r="F2439" s="4"/>
      <c r="G2439" s="4"/>
      <c r="H2439" s="4"/>
      <c r="I2439" s="10" t="str">
        <f>HYPERLINK("http://twitter.com/download/iphone","Twitter for iPhone")</f>
        <v>Twitter for iPhone</v>
      </c>
      <c r="J2439" s="2">
        <v>2524</v>
      </c>
      <c r="K2439" s="2">
        <v>731</v>
      </c>
      <c r="L2439" s="2">
        <v>22</v>
      </c>
      <c r="M2439" s="2"/>
      <c r="N2439" s="8">
        <v>42429.14366898148</v>
      </c>
      <c r="O2439" s="4"/>
      <c r="P2439" s="3" t="s">
        <v>1467</v>
      </c>
      <c r="Q2439" s="4"/>
      <c r="R2439" s="4"/>
      <c r="S2439" s="9" t="str">
        <f>HYPERLINK("https://pbs.twimg.com/profile_images/1044349601011003392/Qt7nbS5e.jpg","View")</f>
        <v>View</v>
      </c>
    </row>
    <row r="2440" spans="1:19" ht="12.5">
      <c r="A2440" s="8">
        <v>43369.99119212963</v>
      </c>
      <c r="B2440" s="11" t="str">
        <f>HYPERLINK("https://twitter.com/khorshidy0861","@khorshidy0861")</f>
        <v>@khorshidy0861</v>
      </c>
      <c r="C2440" s="6" t="s">
        <v>1466</v>
      </c>
      <c r="D2440" s="5" t="s">
        <v>1465</v>
      </c>
      <c r="E2440" s="9" t="str">
        <f>HYPERLINK("https://twitter.com/khorshidy0861/status/1045044667027542016","1045044667027542016")</f>
        <v>1045044667027542016</v>
      </c>
      <c r="F2440" s="4"/>
      <c r="G2440" s="10" t="s">
        <v>1464</v>
      </c>
      <c r="H2440" s="4"/>
      <c r="I2440" s="10" t="str">
        <f>HYPERLINK("http://twitter.com/download/android","Twitter for Android")</f>
        <v>Twitter for Android</v>
      </c>
      <c r="J2440" s="2">
        <v>1021</v>
      </c>
      <c r="K2440" s="2">
        <v>1252</v>
      </c>
      <c r="L2440" s="2">
        <v>0</v>
      </c>
      <c r="M2440" s="2"/>
      <c r="N2440" s="8">
        <v>43049.048449074078</v>
      </c>
      <c r="O2440" s="4" t="s">
        <v>1463</v>
      </c>
      <c r="P2440" s="3" t="s">
        <v>1462</v>
      </c>
      <c r="Q2440" s="4"/>
      <c r="R2440" s="4"/>
      <c r="S2440" s="9" t="str">
        <f>HYPERLINK("https://pbs.twimg.com/profile_images/1026210417692102658/0csPysjI.jpg","View")</f>
        <v>View</v>
      </c>
    </row>
    <row r="2441" spans="1:19" ht="30">
      <c r="A2441" s="8">
        <v>43369.991111111114</v>
      </c>
      <c r="B2441" s="11" t="str">
        <f>HYPERLINK("https://twitter.com/mini_boos","@mini_boos")</f>
        <v>@mini_boos</v>
      </c>
      <c r="C2441" s="6" t="s">
        <v>1461</v>
      </c>
      <c r="D2441" s="5" t="s">
        <v>1460</v>
      </c>
      <c r="E2441" s="9" t="str">
        <f>HYPERLINK("https://twitter.com/mini_boos/status/1045044637105311744","1045044637105311744")</f>
        <v>1045044637105311744</v>
      </c>
      <c r="F2441" s="4"/>
      <c r="G2441" s="4"/>
      <c r="H2441" s="4"/>
      <c r="I2441" s="10" t="str">
        <f>HYPERLINK("http://twitter.com/download/android","Twitter for Android")</f>
        <v>Twitter for Android</v>
      </c>
      <c r="J2441" s="2">
        <v>846</v>
      </c>
      <c r="K2441" s="2">
        <v>2393</v>
      </c>
      <c r="L2441" s="2">
        <v>0</v>
      </c>
      <c r="M2441" s="2"/>
      <c r="N2441" s="8">
        <v>43340.75299768518</v>
      </c>
      <c r="O2441" s="4" t="s">
        <v>1459</v>
      </c>
      <c r="P2441" s="3" t="s">
        <v>1458</v>
      </c>
      <c r="Q2441" s="4"/>
      <c r="R2441" s="4"/>
      <c r="S2441" s="9" t="str">
        <f>HYPERLINK("https://pbs.twimg.com/profile_images/1044826636330434560/9tv2pTXG.jpg","View")</f>
        <v>View</v>
      </c>
    </row>
    <row r="2442" spans="1:19" ht="20">
      <c r="A2442" s="8">
        <v>43369.991064814814</v>
      </c>
      <c r="B2442" s="11" t="str">
        <f>HYPERLINK("https://twitter.com/MohammadVahidii","@MohammadVahidii")</f>
        <v>@MohammadVahidii</v>
      </c>
      <c r="C2442" s="6" t="s">
        <v>1457</v>
      </c>
      <c r="D2442" s="5" t="s">
        <v>1456</v>
      </c>
      <c r="E2442" s="9" t="str">
        <f>HYPERLINK("https://twitter.com/MohammadVahidii/status/1045044623742259200","1045044623742259200")</f>
        <v>1045044623742259200</v>
      </c>
      <c r="F2442" s="4"/>
      <c r="G2442" s="4"/>
      <c r="H2442" s="4"/>
      <c r="I2442" s="10" t="str">
        <f>HYPERLINK("http://twitter.com/download/android","Twitter for Android")</f>
        <v>Twitter for Android</v>
      </c>
      <c r="J2442" s="2">
        <v>1383</v>
      </c>
      <c r="K2442" s="2">
        <v>186</v>
      </c>
      <c r="L2442" s="2">
        <v>7</v>
      </c>
      <c r="M2442" s="2"/>
      <c r="N2442" s="8">
        <v>43221.03524305555</v>
      </c>
      <c r="O2442" s="4" t="s">
        <v>200</v>
      </c>
      <c r="P2442" s="3" t="s">
        <v>1455</v>
      </c>
      <c r="Q2442" s="10" t="s">
        <v>1454</v>
      </c>
      <c r="R2442" s="4"/>
      <c r="S2442" s="9" t="str">
        <f>HYPERLINK("https://pbs.twimg.com/profile_images/991054260019212288/iJQPpRhr.jpg","View")</f>
        <v>View</v>
      </c>
    </row>
    <row r="2443" spans="1:19" ht="20">
      <c r="A2443" s="8">
        <v>43369.990416666667</v>
      </c>
      <c r="B2443" s="11" t="str">
        <f>HYPERLINK("https://twitter.com/PalangeJuybar","@PalangeJuybar")</f>
        <v>@PalangeJuybar</v>
      </c>
      <c r="C2443" s="6" t="s">
        <v>1453</v>
      </c>
      <c r="D2443" s="5" t="s">
        <v>313</v>
      </c>
      <c r="E2443" s="9" t="str">
        <f>HYPERLINK("https://twitter.com/PalangeJuybar/status/1045044388878065664","1045044388878065664")</f>
        <v>1045044388878065664</v>
      </c>
      <c r="F2443" s="4"/>
      <c r="G2443" s="10" t="s">
        <v>312</v>
      </c>
      <c r="H2443" s="4"/>
      <c r="I2443" s="10" t="str">
        <f>HYPERLINK("http://twitter.com/download/iphone","Twitter for iPhone")</f>
        <v>Twitter for iPhone</v>
      </c>
      <c r="J2443" s="2">
        <v>90</v>
      </c>
      <c r="K2443" s="2">
        <v>170</v>
      </c>
      <c r="L2443" s="2">
        <v>3</v>
      </c>
      <c r="M2443" s="2"/>
      <c r="N2443" s="8">
        <v>41222.391840277778</v>
      </c>
      <c r="O2443" s="4"/>
      <c r="P2443" s="3"/>
      <c r="Q2443" s="4"/>
      <c r="R2443" s="4"/>
      <c r="S2443" s="2" t="s">
        <v>259</v>
      </c>
    </row>
    <row r="2444" spans="1:19" ht="12.5">
      <c r="A2444" s="8">
        <v>43369.990023148144</v>
      </c>
      <c r="B2444" s="11" t="str">
        <f>HYPERLINK("https://twitter.com/Saeed_Rahimzade","@Saeed_Rahimzade")</f>
        <v>@Saeed_Rahimzade</v>
      </c>
      <c r="C2444" s="6" t="s">
        <v>1452</v>
      </c>
      <c r="D2444" s="5" t="s">
        <v>1451</v>
      </c>
      <c r="E2444" s="9" t="str">
        <f>HYPERLINK("https://twitter.com/Saeed_Rahimzade/status/1045044246108082177","1045044246108082177")</f>
        <v>1045044246108082177</v>
      </c>
      <c r="F2444" s="4"/>
      <c r="G2444" s="10" t="s">
        <v>1450</v>
      </c>
      <c r="H2444" s="4"/>
      <c r="I2444" s="10" t="str">
        <f>HYPERLINK("http://twitter.com/download/android","Twitter for Android")</f>
        <v>Twitter for Android</v>
      </c>
      <c r="J2444" s="2">
        <v>1101</v>
      </c>
      <c r="K2444" s="2">
        <v>250</v>
      </c>
      <c r="L2444" s="2">
        <v>4</v>
      </c>
      <c r="M2444" s="2"/>
      <c r="N2444" s="8">
        <v>43083.864062499997</v>
      </c>
      <c r="O2444" s="4" t="s">
        <v>10</v>
      </c>
      <c r="P2444" s="3" t="s">
        <v>1449</v>
      </c>
      <c r="Q2444" s="4"/>
      <c r="R2444" s="4"/>
      <c r="S2444" s="9" t="str">
        <f>HYPERLINK("https://pbs.twimg.com/profile_images/941361912297684992/yNZDGuLy.jpg","View")</f>
        <v>View</v>
      </c>
    </row>
    <row r="2445" spans="1:19" ht="50">
      <c r="A2445" s="8">
        <v>43369.990000000005</v>
      </c>
      <c r="B2445" s="11" t="str">
        <f>HYPERLINK("https://twitter.com/Sorenaa1992","@Sorenaa1992")</f>
        <v>@Sorenaa1992</v>
      </c>
      <c r="C2445" s="6" t="s">
        <v>1448</v>
      </c>
      <c r="D2445" s="5" t="s">
        <v>1168</v>
      </c>
      <c r="E2445" s="9" t="str">
        <f>HYPERLINK("https://twitter.com/Sorenaa1992/status/1045044234485723147","1045044234485723147")</f>
        <v>1045044234485723147</v>
      </c>
      <c r="F2445" s="4"/>
      <c r="G2445" s="10" t="s">
        <v>907</v>
      </c>
      <c r="H2445" s="4"/>
      <c r="I2445" s="10" t="str">
        <f>HYPERLINK("http://twitter.com/download/android","Twitter for Android")</f>
        <v>Twitter for Android</v>
      </c>
      <c r="J2445" s="2">
        <v>111</v>
      </c>
      <c r="K2445" s="2">
        <v>121</v>
      </c>
      <c r="L2445" s="2">
        <v>0</v>
      </c>
      <c r="M2445" s="2"/>
      <c r="N2445" s="8">
        <v>42126.421388888892</v>
      </c>
      <c r="O2445" s="4" t="s">
        <v>1205</v>
      </c>
      <c r="P2445" s="3" t="s">
        <v>1447</v>
      </c>
      <c r="Q2445" s="4"/>
      <c r="R2445" s="4"/>
      <c r="S2445" s="9" t="str">
        <f>HYPERLINK("https://pbs.twimg.com/profile_images/1000048678869131265/sB6IONx-.jpg","View")</f>
        <v>View</v>
      </c>
    </row>
    <row r="2446" spans="1:19" ht="50">
      <c r="A2446" s="8">
        <v>43369.989872685182</v>
      </c>
      <c r="B2446" s="11" t="str">
        <f>HYPERLINK("https://twitter.com/mehdan9","@mehdan9")</f>
        <v>@mehdan9</v>
      </c>
      <c r="C2446" s="6" t="s">
        <v>1446</v>
      </c>
      <c r="D2446" s="5" t="s">
        <v>1168</v>
      </c>
      <c r="E2446" s="9" t="str">
        <f>HYPERLINK("https://twitter.com/mehdan9/status/1045044191502495753","1045044191502495753")</f>
        <v>1045044191502495753</v>
      </c>
      <c r="F2446" s="4"/>
      <c r="G2446" s="10" t="s">
        <v>907</v>
      </c>
      <c r="H2446" s="4"/>
      <c r="I2446" s="10" t="str">
        <f>HYPERLINK("http://twitter.com","Twitter Web Client")</f>
        <v>Twitter Web Client</v>
      </c>
      <c r="J2446" s="2">
        <v>36</v>
      </c>
      <c r="K2446" s="2">
        <v>74</v>
      </c>
      <c r="L2446" s="2">
        <v>0</v>
      </c>
      <c r="M2446" s="2"/>
      <c r="N2446" s="8">
        <v>40990.69258101852</v>
      </c>
      <c r="O2446" s="4" t="s">
        <v>1445</v>
      </c>
      <c r="P2446" s="3"/>
      <c r="Q2446" s="4"/>
      <c r="R2446" s="4"/>
      <c r="S2446" s="9" t="str">
        <f>HYPERLINK("https://pbs.twimg.com/profile_images/1045026130523279361/EJOqacU5.jpg","View")</f>
        <v>View</v>
      </c>
    </row>
    <row r="2447" spans="1:19" ht="50">
      <c r="A2447" s="8">
        <v>43369.989849537036</v>
      </c>
      <c r="B2447" s="11" t="str">
        <f>HYPERLINK("https://twitter.com/Lebende4immerZ","@Lebende4immerZ")</f>
        <v>@Lebende4immerZ</v>
      </c>
      <c r="C2447" s="6" t="s">
        <v>1444</v>
      </c>
      <c r="D2447" s="5" t="s">
        <v>927</v>
      </c>
      <c r="E2447" s="9" t="str">
        <f>HYPERLINK("https://twitter.com/Lebende4immerZ/status/1045044180823797762","1045044180823797762")</f>
        <v>1045044180823797762</v>
      </c>
      <c r="F2447" s="4"/>
      <c r="G2447" s="10" t="s">
        <v>926</v>
      </c>
      <c r="H2447" s="4"/>
      <c r="I2447" s="10" t="str">
        <f>HYPERLINK("http://twitter.com/#!/download/ipad","Twitter for iPad")</f>
        <v>Twitter for iPad</v>
      </c>
      <c r="J2447" s="2">
        <v>99</v>
      </c>
      <c r="K2447" s="2">
        <v>242</v>
      </c>
      <c r="L2447" s="2">
        <v>0</v>
      </c>
      <c r="M2447" s="2"/>
      <c r="N2447" s="8">
        <v>43261.794166666667</v>
      </c>
      <c r="O2447" s="4"/>
      <c r="P2447" s="3" t="s">
        <v>1443</v>
      </c>
      <c r="Q2447" s="4"/>
      <c r="R2447" s="4"/>
      <c r="S2447" s="9" t="str">
        <f>HYPERLINK("https://pbs.twimg.com/profile_images/1014095927982874626/r8z5_HJ3.jpg","View")</f>
        <v>View</v>
      </c>
    </row>
    <row r="2448" spans="1:19" ht="40">
      <c r="A2448" s="8">
        <v>43369.989733796298</v>
      </c>
      <c r="B2448" s="11" t="str">
        <f>HYPERLINK("https://twitter.com/m_eghbal350","@m_eghbal350")</f>
        <v>@m_eghbal350</v>
      </c>
      <c r="C2448" s="6" t="s">
        <v>1442</v>
      </c>
      <c r="D2448" s="5" t="s">
        <v>1441</v>
      </c>
      <c r="E2448" s="9" t="str">
        <f>HYPERLINK("https://twitter.com/m_eghbal350/status/1045044141573509120","1045044141573509120")</f>
        <v>1045044141573509120</v>
      </c>
      <c r="F2448" s="4"/>
      <c r="G2448" s="4"/>
      <c r="H2448" s="4"/>
      <c r="I2448" s="10" t="str">
        <f>HYPERLINK("http://twitter.com/download/android","Twitter for Android")</f>
        <v>Twitter for Android</v>
      </c>
      <c r="J2448" s="2">
        <v>645</v>
      </c>
      <c r="K2448" s="2">
        <v>300</v>
      </c>
      <c r="L2448" s="2">
        <v>3</v>
      </c>
      <c r="M2448" s="2"/>
      <c r="N2448" s="8">
        <v>42915.736921296295</v>
      </c>
      <c r="O2448" s="4"/>
      <c r="P2448" s="3" t="s">
        <v>1440</v>
      </c>
      <c r="Q2448" s="4"/>
      <c r="R2448" s="4"/>
      <c r="S2448" s="9" t="str">
        <f>HYPERLINK("https://pbs.twimg.com/profile_images/1028642286404550656/VEZFV5RW.jpg","View")</f>
        <v>View</v>
      </c>
    </row>
    <row r="2449" spans="1:19" ht="50">
      <c r="A2449" s="8">
        <v>43369.989560185189</v>
      </c>
      <c r="B2449" s="11" t="str">
        <f>HYPERLINK("https://twitter.com/rahaas5","@rahaas5")</f>
        <v>@rahaas5</v>
      </c>
      <c r="C2449" s="6" t="s">
        <v>1439</v>
      </c>
      <c r="D2449" s="5" t="s">
        <v>1168</v>
      </c>
      <c r="E2449" s="9" t="str">
        <f>HYPERLINK("https://twitter.com/rahaas5/status/1045044078461808643","1045044078461808643")</f>
        <v>1045044078461808643</v>
      </c>
      <c r="F2449" s="4"/>
      <c r="G2449" s="10" t="s">
        <v>907</v>
      </c>
      <c r="H2449" s="4"/>
      <c r="I2449" s="10" t="str">
        <f>HYPERLINK("http://twitter.com/#!/download/ipad","Twitter for iPad")</f>
        <v>Twitter for iPad</v>
      </c>
      <c r="J2449" s="2">
        <v>190</v>
      </c>
      <c r="K2449" s="2">
        <v>278</v>
      </c>
      <c r="L2449" s="2">
        <v>0</v>
      </c>
      <c r="M2449" s="2"/>
      <c r="N2449" s="8">
        <v>43252.014826388884</v>
      </c>
      <c r="O2449" s="4"/>
      <c r="P2449" s="3" t="s">
        <v>1438</v>
      </c>
      <c r="Q2449" s="4"/>
      <c r="R2449" s="4"/>
      <c r="S2449" s="9" t="str">
        <f>HYPERLINK("https://pbs.twimg.com/profile_images/1002277104396980224/GDaH2QXt.jpg","View")</f>
        <v>View</v>
      </c>
    </row>
    <row r="2450" spans="1:19" ht="12.5">
      <c r="A2450" s="8">
        <v>43369.988969907412</v>
      </c>
      <c r="B2450" s="11" t="str">
        <f>HYPERLINK("https://twitter.com/zahriiyam","@zahriiyam")</f>
        <v>@zahriiyam</v>
      </c>
      <c r="C2450" s="6" t="s">
        <v>1437</v>
      </c>
      <c r="D2450" s="5" t="s">
        <v>1436</v>
      </c>
      <c r="E2450" s="9" t="str">
        <f>HYPERLINK("https://twitter.com/zahriiyam/status/1045043863470125056","1045043863470125056")</f>
        <v>1045043863470125056</v>
      </c>
      <c r="F2450" s="4"/>
      <c r="G2450" s="4"/>
      <c r="H2450" s="4"/>
      <c r="I2450" s="10" t="str">
        <f>HYPERLINK("http://twitter.com/download/iphone","Twitter for iPhone")</f>
        <v>Twitter for iPhone</v>
      </c>
      <c r="J2450" s="2">
        <v>72</v>
      </c>
      <c r="K2450" s="2">
        <v>142</v>
      </c>
      <c r="L2450" s="2">
        <v>0</v>
      </c>
      <c r="M2450" s="2"/>
      <c r="N2450" s="8">
        <v>43261.008611111116</v>
      </c>
      <c r="O2450" s="4" t="s">
        <v>1435</v>
      </c>
      <c r="P2450" s="3" t="s">
        <v>1434</v>
      </c>
      <c r="Q2450" s="4"/>
      <c r="R2450" s="4"/>
      <c r="S2450" s="9" t="str">
        <f>HYPERLINK("https://pbs.twimg.com/profile_images/1045008670126469121/nC_WTNaS.jpg","View")</f>
        <v>View</v>
      </c>
    </row>
    <row r="2451" spans="1:19" ht="40">
      <c r="A2451" s="8">
        <v>43369.988946759258</v>
      </c>
      <c r="B2451" s="11" t="str">
        <f>HYPERLINK("https://twitter.com/RedRNZ70","@RedRNZ70")</f>
        <v>@RedRNZ70</v>
      </c>
      <c r="C2451" s="6" t="s">
        <v>1433</v>
      </c>
      <c r="D2451" s="5" t="s">
        <v>1432</v>
      </c>
      <c r="E2451" s="9" t="str">
        <f>HYPERLINK("https://twitter.com/RedRNZ70/status/1045043856335663104","1045043856335663104")</f>
        <v>1045043856335663104</v>
      </c>
      <c r="F2451" s="4"/>
      <c r="G2451" s="4"/>
      <c r="H2451" s="4"/>
      <c r="I2451" s="10" t="str">
        <f>HYPERLINK("http://twitter.com/download/iphone","Twitter for iPhone")</f>
        <v>Twitter for iPhone</v>
      </c>
      <c r="J2451" s="2">
        <v>763</v>
      </c>
      <c r="K2451" s="2">
        <v>131</v>
      </c>
      <c r="L2451" s="2">
        <v>4</v>
      </c>
      <c r="M2451" s="2"/>
      <c r="N2451" s="8">
        <v>43078.701018518521</v>
      </c>
      <c r="O2451" s="4" t="s">
        <v>1431</v>
      </c>
      <c r="P2451" s="3" t="s">
        <v>1430</v>
      </c>
      <c r="Q2451" s="4"/>
      <c r="R2451" s="4"/>
      <c r="S2451" s="9" t="str">
        <f>HYPERLINK("https://pbs.twimg.com/profile_images/1020971993078910976/5YMAtfri.jpg","View")</f>
        <v>View</v>
      </c>
    </row>
    <row r="2452" spans="1:19" ht="30">
      <c r="A2452" s="8">
        <v>43369.988888888889</v>
      </c>
      <c r="B2452" s="11" t="str">
        <f>HYPERLINK("https://twitter.com/ordibeheshti9","@ordibeheshti9")</f>
        <v>@ordibeheshti9</v>
      </c>
      <c r="C2452" s="6" t="s">
        <v>1429</v>
      </c>
      <c r="D2452" s="5" t="s">
        <v>408</v>
      </c>
      <c r="E2452" s="9" t="str">
        <f>HYPERLINK("https://twitter.com/ordibeheshti9/status/1045043833334099968","1045043833334099968")</f>
        <v>1045043833334099968</v>
      </c>
      <c r="F2452" s="4"/>
      <c r="G2452" s="4"/>
      <c r="H2452" s="4"/>
      <c r="I2452" s="10" t="str">
        <f>HYPERLINK("http://twitter.com/download/iphone","Twitter for iPhone")</f>
        <v>Twitter for iPhone</v>
      </c>
      <c r="J2452" s="2">
        <v>213</v>
      </c>
      <c r="K2452" s="2">
        <v>756</v>
      </c>
      <c r="L2452" s="2">
        <v>0</v>
      </c>
      <c r="M2452" s="2"/>
      <c r="N2452" s="8">
        <v>43064.788506944446</v>
      </c>
      <c r="O2452" s="4"/>
      <c r="P2452" s="3" t="s">
        <v>1428</v>
      </c>
      <c r="Q2452" s="4"/>
      <c r="R2452" s="4"/>
      <c r="S2452" s="9" t="str">
        <f>HYPERLINK("https://pbs.twimg.com/profile_images/1041765390924345345/UaJItzfQ.jpg","View")</f>
        <v>View</v>
      </c>
    </row>
    <row r="2453" spans="1:19" ht="20">
      <c r="A2453" s="8">
        <v>43369.988842592589</v>
      </c>
      <c r="B2453" s="11" t="str">
        <f>HYPERLINK("https://twitter.com/amin_rt07","@amin_rt07")</f>
        <v>@amin_rt07</v>
      </c>
      <c r="C2453" s="6" t="s">
        <v>1197</v>
      </c>
      <c r="D2453" s="5" t="s">
        <v>1427</v>
      </c>
      <c r="E2453" s="9" t="str">
        <f>HYPERLINK("https://twitter.com/amin_rt07/status/1045043818624679937","1045043818624679937")</f>
        <v>1045043818624679937</v>
      </c>
      <c r="F2453" s="4"/>
      <c r="G2453" s="4"/>
      <c r="H2453" s="4"/>
      <c r="I2453" s="10" t="str">
        <f>HYPERLINK("http://example.com"," RT_00")</f>
        <v xml:space="preserve"> RT_00</v>
      </c>
      <c r="J2453" s="2">
        <v>3056</v>
      </c>
      <c r="K2453" s="2">
        <v>2326</v>
      </c>
      <c r="L2453" s="2">
        <v>10</v>
      </c>
      <c r="M2453" s="2"/>
      <c r="N2453" s="8">
        <v>42935.376192129625</v>
      </c>
      <c r="O2453" s="4" t="s">
        <v>1195</v>
      </c>
      <c r="P2453" s="3" t="s">
        <v>1194</v>
      </c>
      <c r="Q2453" s="4"/>
      <c r="R2453" s="4"/>
      <c r="S2453" s="9" t="str">
        <f>HYPERLINK("https://pbs.twimg.com/profile_images/890462059804188672/m3LVcUUm.jpg","View")</f>
        <v>View</v>
      </c>
    </row>
    <row r="2454" spans="1:19" ht="30">
      <c r="A2454" s="8">
        <v>43369.988645833335</v>
      </c>
      <c r="B2454" s="11" t="str">
        <f>HYPERLINK("https://twitter.com/GpmMasoud","@GpmMasoud")</f>
        <v>@GpmMasoud</v>
      </c>
      <c r="C2454" s="6" t="s">
        <v>1426</v>
      </c>
      <c r="D2454" s="5" t="s">
        <v>1201</v>
      </c>
      <c r="E2454" s="9" t="str">
        <f>HYPERLINK("https://twitter.com/GpmMasoud/status/1045043746017038336","1045043746017038336")</f>
        <v>1045043746017038336</v>
      </c>
      <c r="F2454" s="4"/>
      <c r="G2454" s="4"/>
      <c r="H2454" s="4"/>
      <c r="I2454" s="10" t="str">
        <f>HYPERLINK("http://twitter.com/download/iphone","Twitter for iPhone")</f>
        <v>Twitter for iPhone</v>
      </c>
      <c r="J2454" s="2">
        <v>93</v>
      </c>
      <c r="K2454" s="2">
        <v>149</v>
      </c>
      <c r="L2454" s="2">
        <v>0</v>
      </c>
      <c r="M2454" s="2"/>
      <c r="N2454" s="8">
        <v>41817.794189814813</v>
      </c>
      <c r="O2454" s="4"/>
      <c r="P2454" s="3" t="s">
        <v>1425</v>
      </c>
      <c r="Q2454" s="4"/>
      <c r="R2454" s="4"/>
      <c r="S2454" s="9" t="str">
        <f>HYPERLINK("https://pbs.twimg.com/profile_images/898797797419474944/xR6Wqrdo.jpg","View")</f>
        <v>View</v>
      </c>
    </row>
    <row r="2455" spans="1:19" ht="50">
      <c r="A2455" s="8">
        <v>43369.98814814815</v>
      </c>
      <c r="B2455" s="11" t="str">
        <f>HYPERLINK("https://twitter.com/yCrDCmNJD7wghvu","@yCrDCmNJD7wghvu")</f>
        <v>@yCrDCmNJD7wghvu</v>
      </c>
      <c r="C2455" s="6" t="s">
        <v>1424</v>
      </c>
      <c r="D2455" s="5" t="s">
        <v>927</v>
      </c>
      <c r="E2455" s="9" t="str">
        <f>HYPERLINK("https://twitter.com/yCrDCmNJD7wghvu/status/1045043564684759048","1045043564684759048")</f>
        <v>1045043564684759048</v>
      </c>
      <c r="F2455" s="4"/>
      <c r="G2455" s="10" t="s">
        <v>926</v>
      </c>
      <c r="H2455" s="4"/>
      <c r="I2455" s="10" t="str">
        <f>HYPERLINK("http://twitter.com/download/iphone","Twitter for iPhone")</f>
        <v>Twitter for iPhone</v>
      </c>
      <c r="J2455" s="2">
        <v>320</v>
      </c>
      <c r="K2455" s="2">
        <v>303</v>
      </c>
      <c r="L2455" s="2">
        <v>0</v>
      </c>
      <c r="M2455" s="2"/>
      <c r="N2455" s="8">
        <v>43332.624699074076</v>
      </c>
      <c r="O2455" s="4"/>
      <c r="P2455" s="3" t="s">
        <v>1423</v>
      </c>
      <c r="Q2455" s="4"/>
      <c r="R2455" s="4"/>
      <c r="S2455" s="9" t="str">
        <f>HYPERLINK("https://pbs.twimg.com/profile_images/1031489151407935490/b9L9mzN1.jpg","View")</f>
        <v>View</v>
      </c>
    </row>
    <row r="2456" spans="1:19" ht="50">
      <c r="A2456" s="8">
        <v>43369.987662037034</v>
      </c>
      <c r="B2456" s="11" t="str">
        <f>HYPERLINK("https://twitter.com/M26808113","@M26808113")</f>
        <v>@M26808113</v>
      </c>
      <c r="C2456" s="6" t="s">
        <v>1422</v>
      </c>
      <c r="D2456" s="5" t="s">
        <v>1168</v>
      </c>
      <c r="E2456" s="9" t="str">
        <f>HYPERLINK("https://twitter.com/M26808113/status/1045043387290783745","1045043387290783745")</f>
        <v>1045043387290783745</v>
      </c>
      <c r="F2456" s="4"/>
      <c r="G2456" s="10" t="s">
        <v>907</v>
      </c>
      <c r="H2456" s="4"/>
      <c r="I2456" s="10" t="str">
        <f>HYPERLINK("http://twitter.com/download/android","Twitter for Android")</f>
        <v>Twitter for Android</v>
      </c>
      <c r="J2456" s="2">
        <v>77</v>
      </c>
      <c r="K2456" s="2">
        <v>25</v>
      </c>
      <c r="L2456" s="2">
        <v>0</v>
      </c>
      <c r="M2456" s="2"/>
      <c r="N2456" s="8">
        <v>43280.619664351849</v>
      </c>
      <c r="O2456" s="4"/>
      <c r="P2456" s="3"/>
      <c r="Q2456" s="4"/>
      <c r="R2456" s="4"/>
      <c r="S2456" s="9" t="str">
        <f>HYPERLINK("https://pbs.twimg.com/profile_images/1025109607851741185/v5cWbtUF.jpg","View")</f>
        <v>View</v>
      </c>
    </row>
    <row r="2457" spans="1:19" ht="50">
      <c r="A2457" s="8">
        <v>43369.987650462965</v>
      </c>
      <c r="B2457" s="11" t="str">
        <f>HYPERLINK("https://twitter.com/drmosadegh32","@drmosadegh32")</f>
        <v>@drmosadegh32</v>
      </c>
      <c r="C2457" s="6" t="s">
        <v>1421</v>
      </c>
      <c r="D2457" s="5" t="s">
        <v>1168</v>
      </c>
      <c r="E2457" s="9" t="str">
        <f>HYPERLINK("https://twitter.com/drmosadegh32/status/1045043386053513216","1045043386053513216")</f>
        <v>1045043386053513216</v>
      </c>
      <c r="F2457" s="4"/>
      <c r="G2457" s="10" t="s">
        <v>907</v>
      </c>
      <c r="H2457" s="4"/>
      <c r="I2457" s="10" t="str">
        <f>HYPERLINK("http://twitter.com/download/iphone","Twitter for iPhone")</f>
        <v>Twitter for iPhone</v>
      </c>
      <c r="J2457" s="2">
        <v>99</v>
      </c>
      <c r="K2457" s="2">
        <v>75</v>
      </c>
      <c r="L2457" s="2">
        <v>1</v>
      </c>
      <c r="M2457" s="2"/>
      <c r="N2457" s="8">
        <v>42690.02851851852</v>
      </c>
      <c r="O2457" s="4" t="s">
        <v>1420</v>
      </c>
      <c r="P2457" s="3" t="s">
        <v>1419</v>
      </c>
      <c r="Q2457" s="4"/>
      <c r="R2457" s="4"/>
      <c r="S2457" s="9" t="str">
        <f>HYPERLINK("https://pbs.twimg.com/profile_images/798637448951635968/eatKASr3.jpg","View")</f>
        <v>View</v>
      </c>
    </row>
    <row r="2458" spans="1:19" ht="12.5">
      <c r="A2458" s="8">
        <v>43369.987233796295</v>
      </c>
      <c r="B2458" s="11" t="str">
        <f>HYPERLINK("https://twitter.com/osro8_7","@osro8_7")</f>
        <v>@osro8_7</v>
      </c>
      <c r="C2458" s="6" t="s">
        <v>1418</v>
      </c>
      <c r="D2458" s="5" t="s">
        <v>1417</v>
      </c>
      <c r="E2458" s="9" t="str">
        <f>HYPERLINK("https://twitter.com/osro8_7/status/1045043234949468161","1045043234949468161")</f>
        <v>1045043234949468161</v>
      </c>
      <c r="F2458" s="4"/>
      <c r="G2458" s="4"/>
      <c r="H2458" s="4"/>
      <c r="I2458" s="10" t="str">
        <f>HYPERLINK("http://twitter.com/download/android","Twitter for Android")</f>
        <v>Twitter for Android</v>
      </c>
      <c r="J2458" s="2">
        <v>65</v>
      </c>
      <c r="K2458" s="2">
        <v>65</v>
      </c>
      <c r="L2458" s="2">
        <v>0</v>
      </c>
      <c r="M2458" s="2"/>
      <c r="N2458" s="8">
        <v>42690.917083333334</v>
      </c>
      <c r="O2458" s="4"/>
      <c r="P2458" s="12" t="s">
        <v>1416</v>
      </c>
      <c r="Q2458" s="10" t="s">
        <v>1415</v>
      </c>
      <c r="R2458" s="4"/>
      <c r="S2458" s="9" t="str">
        <f>HYPERLINK("https://pbs.twimg.com/profile_images/1041456165216022528/4jJwhLvt.jpg","View")</f>
        <v>View</v>
      </c>
    </row>
    <row r="2459" spans="1:19" ht="40">
      <c r="A2459" s="8">
        <v>43369.986493055556</v>
      </c>
      <c r="B2459" s="11" t="str">
        <f>HYPERLINK("https://twitter.com/badrishariff","@badrishariff")</f>
        <v>@badrishariff</v>
      </c>
      <c r="C2459" s="6" t="s">
        <v>1414</v>
      </c>
      <c r="D2459" s="5" t="s">
        <v>1413</v>
      </c>
      <c r="E2459" s="9" t="str">
        <f>HYPERLINK("https://twitter.com/badrishariff/status/1045042966493097992","1045042966493097992")</f>
        <v>1045042966493097992</v>
      </c>
      <c r="F2459" s="10" t="s">
        <v>1067</v>
      </c>
      <c r="G2459" s="4"/>
      <c r="H2459" s="4"/>
      <c r="I2459" s="10" t="str">
        <f>HYPERLINK("http://twitter.com/download/android","Twitter for Android")</f>
        <v>Twitter for Android</v>
      </c>
      <c r="J2459" s="2">
        <v>1813</v>
      </c>
      <c r="K2459" s="2">
        <v>446</v>
      </c>
      <c r="L2459" s="2">
        <v>13</v>
      </c>
      <c r="M2459" s="2"/>
      <c r="N2459" s="8">
        <v>42199.740162037036</v>
      </c>
      <c r="O2459" s="4" t="s">
        <v>200</v>
      </c>
      <c r="P2459" s="3" t="s">
        <v>1412</v>
      </c>
      <c r="Q2459" s="4"/>
      <c r="R2459" s="4"/>
      <c r="S2459" s="9" t="str">
        <f>HYPERLINK("https://pbs.twimg.com/profile_images/835057224561098752/Zxw8kkIo.jpg","View")</f>
        <v>View</v>
      </c>
    </row>
    <row r="2460" spans="1:19" ht="40">
      <c r="A2460" s="8">
        <v>43369.986076388886</v>
      </c>
      <c r="B2460" s="11" t="str">
        <f>HYPERLINK("https://twitter.com/mim_moghaddam","@mim_moghaddam")</f>
        <v>@mim_moghaddam</v>
      </c>
      <c r="C2460" s="6" t="s">
        <v>1411</v>
      </c>
      <c r="D2460" s="5" t="s">
        <v>1410</v>
      </c>
      <c r="E2460" s="9" t="str">
        <f>HYPERLINK("https://twitter.com/mim_moghaddam/status/1045042813270982657","1045042813270982657")</f>
        <v>1045042813270982657</v>
      </c>
      <c r="F2460" s="10" t="s">
        <v>1409</v>
      </c>
      <c r="G2460" s="10" t="s">
        <v>1408</v>
      </c>
      <c r="H2460" s="4"/>
      <c r="I2460" s="10" t="str">
        <f>HYPERLINK("http://twitter.com/download/android","Twitter for Android")</f>
        <v>Twitter for Android</v>
      </c>
      <c r="J2460" s="2">
        <v>11514</v>
      </c>
      <c r="K2460" s="2">
        <v>7399</v>
      </c>
      <c r="L2460" s="2">
        <v>32</v>
      </c>
      <c r="M2460" s="2"/>
      <c r="N2460" s="8">
        <v>40683.474270833336</v>
      </c>
      <c r="O2460" s="4" t="s">
        <v>1407</v>
      </c>
      <c r="P2460" s="3" t="s">
        <v>1406</v>
      </c>
      <c r="Q2460" s="10" t="s">
        <v>1405</v>
      </c>
      <c r="R2460" s="4"/>
      <c r="S2460" s="9" t="str">
        <f>HYPERLINK("https://pbs.twimg.com/profile_images/1025660314849824768/IjTXg606.jpg","View")</f>
        <v>View</v>
      </c>
    </row>
    <row r="2461" spans="1:19" ht="40">
      <c r="A2461" s="8">
        <v>43369.985937500001</v>
      </c>
      <c r="B2461" s="11" t="str">
        <f>HYPERLINK("https://twitter.com/mohamadkarimi68","@mohamadkarimi68")</f>
        <v>@mohamadkarimi68</v>
      </c>
      <c r="C2461" s="6" t="s">
        <v>1404</v>
      </c>
      <c r="D2461" s="5" t="s">
        <v>1403</v>
      </c>
      <c r="E2461" s="9" t="str">
        <f>HYPERLINK("https://twitter.com/mohamadkarimi68/status/1045042763807576065","1045042763807576065")</f>
        <v>1045042763807576065</v>
      </c>
      <c r="F2461" s="4"/>
      <c r="G2461" s="4"/>
      <c r="H2461" s="4"/>
      <c r="I2461" s="10" t="str">
        <f>HYPERLINK("http://twitter.com","Twitter Web Client")</f>
        <v>Twitter Web Client</v>
      </c>
      <c r="J2461" s="2">
        <v>760</v>
      </c>
      <c r="K2461" s="2">
        <v>1803</v>
      </c>
      <c r="L2461" s="2">
        <v>0</v>
      </c>
      <c r="M2461" s="2"/>
      <c r="N2461" s="8">
        <v>41635.855254629627</v>
      </c>
      <c r="O2461" s="4"/>
      <c r="P2461" s="3" t="s">
        <v>1402</v>
      </c>
      <c r="Q2461" s="4"/>
      <c r="R2461" s="4"/>
      <c r="S2461" s="9" t="str">
        <f>HYPERLINK("https://pbs.twimg.com/profile_images/977621519764516864/c0-y_jMI.jpg","View")</f>
        <v>View</v>
      </c>
    </row>
    <row r="2462" spans="1:19" ht="30">
      <c r="A2462" s="8">
        <v>43369.984710648147</v>
      </c>
      <c r="B2462" s="11" t="str">
        <f>HYPERLINK("https://twitter.com/z_aspartam","@z_aspartam")</f>
        <v>@z_aspartam</v>
      </c>
      <c r="C2462" s="6" t="s">
        <v>1401</v>
      </c>
      <c r="D2462" s="5" t="s">
        <v>1400</v>
      </c>
      <c r="E2462" s="9" t="str">
        <f>HYPERLINK("https://twitter.com/z_aspartam/status/1045042317571354625","1045042317571354625")</f>
        <v>1045042317571354625</v>
      </c>
      <c r="F2462" s="4"/>
      <c r="G2462" s="4"/>
      <c r="H2462" s="4"/>
      <c r="I2462" s="10" t="str">
        <f>HYPERLINK("http://twitter.com/download/android","Twitter for Android")</f>
        <v>Twitter for Android</v>
      </c>
      <c r="J2462" s="2">
        <v>1861</v>
      </c>
      <c r="K2462" s="2">
        <v>1716</v>
      </c>
      <c r="L2462" s="2">
        <v>5</v>
      </c>
      <c r="M2462" s="2"/>
      <c r="N2462" s="8">
        <v>42861.889444444445</v>
      </c>
      <c r="O2462" s="4" t="s">
        <v>10</v>
      </c>
      <c r="P2462" s="3" t="s">
        <v>1399</v>
      </c>
      <c r="Q2462" s="4"/>
      <c r="R2462" s="4"/>
      <c r="S2462" s="9" t="str">
        <f>HYPERLINK("https://pbs.twimg.com/profile_images/1044824011539173376/TzGNuo74.jpg","View")</f>
        <v>View</v>
      </c>
    </row>
    <row r="2463" spans="1:19" ht="20">
      <c r="A2463" s="8">
        <v>43369.983993055561</v>
      </c>
      <c r="B2463" s="11" t="str">
        <f>HYPERLINK("https://twitter.com/aghahesam912","@aghahesam912")</f>
        <v>@aghahesam912</v>
      </c>
      <c r="C2463" s="6" t="s">
        <v>1152</v>
      </c>
      <c r="D2463" s="5" t="s">
        <v>1151</v>
      </c>
      <c r="E2463" s="9" t="str">
        <f>HYPERLINK("https://twitter.com/aghahesam912/status/1045042060414406658","1045042060414406658")</f>
        <v>1045042060414406658</v>
      </c>
      <c r="F2463" s="4"/>
      <c r="G2463" s="4"/>
      <c r="H2463" s="4"/>
      <c r="I2463" s="10" t="str">
        <f>HYPERLINK("http://twitter.com/#!/download/ipad","Twitter for iPad")</f>
        <v>Twitter for iPad</v>
      </c>
      <c r="J2463" s="2">
        <v>2558</v>
      </c>
      <c r="K2463" s="2">
        <v>4834</v>
      </c>
      <c r="L2463" s="2">
        <v>3</v>
      </c>
      <c r="M2463" s="2"/>
      <c r="N2463" s="8">
        <v>41872.480185185181</v>
      </c>
      <c r="O2463" s="4" t="s">
        <v>72</v>
      </c>
      <c r="P2463" s="3" t="s">
        <v>1150</v>
      </c>
      <c r="Q2463" s="10" t="s">
        <v>1149</v>
      </c>
      <c r="R2463" s="4"/>
      <c r="S2463" s="9" t="str">
        <f>HYPERLINK("https://pbs.twimg.com/profile_images/959883247453949953/ZRluifnf.jpg","View")</f>
        <v>View</v>
      </c>
    </row>
    <row r="2464" spans="1:19" ht="30">
      <c r="A2464" s="8">
        <v>43369.983784722222</v>
      </c>
      <c r="B2464" s="11" t="str">
        <f>HYPERLINK("https://twitter.com/rohoo","@rohoo")</f>
        <v>@rohoo</v>
      </c>
      <c r="C2464" s="6" t="s">
        <v>1398</v>
      </c>
      <c r="D2464" s="5" t="s">
        <v>1397</v>
      </c>
      <c r="E2464" s="9" t="str">
        <f>HYPERLINK("https://twitter.com/rohoo/status/1045041985353109509","1045041985353109509")</f>
        <v>1045041985353109509</v>
      </c>
      <c r="F2464" s="4"/>
      <c r="G2464" s="4"/>
      <c r="H2464" s="4"/>
      <c r="I2464" s="10" t="str">
        <f>HYPERLINK("https://about.twitter.com/products/tweetdeck","TweetDeck")</f>
        <v>TweetDeck</v>
      </c>
      <c r="J2464" s="2">
        <v>2485</v>
      </c>
      <c r="K2464" s="2">
        <v>341</v>
      </c>
      <c r="L2464" s="2">
        <v>47</v>
      </c>
      <c r="M2464" s="2"/>
      <c r="N2464" s="8">
        <v>39953.748657407406</v>
      </c>
      <c r="O2464" s="4" t="s">
        <v>72</v>
      </c>
      <c r="P2464" s="3" t="s">
        <v>1396</v>
      </c>
      <c r="Q2464" s="10" t="s">
        <v>1395</v>
      </c>
      <c r="R2464" s="4"/>
      <c r="S2464" s="9" t="str">
        <f>HYPERLINK("https://pbs.twimg.com/profile_images/943909317572411392/2QHMFtB1.jpg","View")</f>
        <v>View</v>
      </c>
    </row>
    <row r="2465" spans="1:19" ht="12.5">
      <c r="A2465" s="8">
        <v>43369.983611111107</v>
      </c>
      <c r="B2465" s="11" t="str">
        <f>HYPERLINK("https://twitter.com/sadeghiyan88","@sadeghiyan88")</f>
        <v>@sadeghiyan88</v>
      </c>
      <c r="C2465" s="6" t="s">
        <v>1394</v>
      </c>
      <c r="D2465" s="5" t="s">
        <v>904</v>
      </c>
      <c r="E2465" s="9" t="str">
        <f>HYPERLINK("https://twitter.com/sadeghiyan88/status/1045041920991526915","1045041920991526915")</f>
        <v>1045041920991526915</v>
      </c>
      <c r="F2465" s="4"/>
      <c r="G2465" s="4"/>
      <c r="H2465" s="4"/>
      <c r="I2465" s="10" t="str">
        <f>HYPERLINK("http://twitter.com/download/android","Twitter for Android")</f>
        <v>Twitter for Android</v>
      </c>
      <c r="J2465" s="2">
        <v>413</v>
      </c>
      <c r="K2465" s="2">
        <v>379</v>
      </c>
      <c r="L2465" s="2">
        <v>1</v>
      </c>
      <c r="M2465" s="2"/>
      <c r="N2465" s="8">
        <v>43105.975370370375</v>
      </c>
      <c r="O2465" s="4"/>
      <c r="P2465" s="3" t="s">
        <v>1393</v>
      </c>
      <c r="Q2465" s="4"/>
      <c r="R2465" s="4"/>
      <c r="S2465" s="9" t="str">
        <f>HYPERLINK("https://pbs.twimg.com/profile_images/1035243988645765120/0HG_Vr0V.jpg","View")</f>
        <v>View</v>
      </c>
    </row>
    <row r="2466" spans="1:19" ht="30">
      <c r="A2466" s="8">
        <v>43369.971041666664</v>
      </c>
      <c r="B2466" s="11" t="str">
        <f>HYPERLINK("https://twitter.com/Amirhossein6393","@Amirhossein6393")</f>
        <v>@Amirhossein6393</v>
      </c>
      <c r="C2466" s="6" t="s">
        <v>1392</v>
      </c>
      <c r="D2466" s="5" t="s">
        <v>1391</v>
      </c>
      <c r="E2466" s="9" t="str">
        <f>HYPERLINK("https://twitter.com/Amirhossein6393/status/1045037364379340800","1045037364379340800")</f>
        <v>1045037364379340800</v>
      </c>
      <c r="F2466" s="4"/>
      <c r="G2466" s="4"/>
      <c r="H2466" s="4"/>
      <c r="I2466" s="10" t="str">
        <f>HYPERLINK("http://twitter.com/download/android","Twitter for Android")</f>
        <v>Twitter for Android</v>
      </c>
      <c r="J2466" s="2">
        <v>23</v>
      </c>
      <c r="K2466" s="2">
        <v>139</v>
      </c>
      <c r="L2466" s="2">
        <v>0</v>
      </c>
      <c r="M2466" s="2"/>
      <c r="N2466" s="8">
        <v>43126.980069444442</v>
      </c>
      <c r="O2466" s="4" t="s">
        <v>200</v>
      </c>
      <c r="P2466" s="3" t="s">
        <v>1390</v>
      </c>
      <c r="Q2466" s="4"/>
      <c r="R2466" s="4"/>
      <c r="S2466" s="9" t="str">
        <f>HYPERLINK("https://pbs.twimg.com/profile_images/997896967245193221/5h1RZ2yx.jpg","View")</f>
        <v>View</v>
      </c>
    </row>
    <row r="2467" spans="1:19" ht="40">
      <c r="A2467" s="8">
        <v>43369.971006944441</v>
      </c>
      <c r="B2467" s="11" t="str">
        <f>HYPERLINK("https://twitter.com/saeed_tajii","@saeed_tajii")</f>
        <v>@saeed_tajii</v>
      </c>
      <c r="C2467" s="6" t="s">
        <v>1389</v>
      </c>
      <c r="D2467" s="5" t="s">
        <v>1388</v>
      </c>
      <c r="E2467" s="9" t="str">
        <f>HYPERLINK("https://twitter.com/saeed_tajii/status/1045037354149445635","1045037354149445635")</f>
        <v>1045037354149445635</v>
      </c>
      <c r="F2467" s="4"/>
      <c r="G2467" s="4"/>
      <c r="H2467" s="4"/>
      <c r="I2467" s="10" t="str">
        <f>HYPERLINK("http://twitter.com/download/android","Twitter for Android")</f>
        <v>Twitter for Android</v>
      </c>
      <c r="J2467" s="2">
        <v>214</v>
      </c>
      <c r="K2467" s="2">
        <v>137</v>
      </c>
      <c r="L2467" s="2">
        <v>0</v>
      </c>
      <c r="M2467" s="2"/>
      <c r="N2467" s="8">
        <v>42889.887662037036</v>
      </c>
      <c r="O2467" s="4" t="s">
        <v>62</v>
      </c>
      <c r="P2467" s="3" t="s">
        <v>1387</v>
      </c>
      <c r="Q2467" s="4"/>
      <c r="R2467" s="4"/>
      <c r="S2467" s="9" t="str">
        <f>HYPERLINK("https://pbs.twimg.com/profile_images/871782714797576193/PSEi47r0.jpg","View")</f>
        <v>View</v>
      </c>
    </row>
    <row r="2468" spans="1:19" ht="20">
      <c r="A2468" s="8">
        <v>43369.970995370371</v>
      </c>
      <c r="B2468" s="11" t="str">
        <f>HYPERLINK("https://twitter.com/seyedporia","@seyedporia")</f>
        <v>@seyedporia</v>
      </c>
      <c r="C2468" s="6" t="s">
        <v>1249</v>
      </c>
      <c r="D2468" s="5" t="s">
        <v>1386</v>
      </c>
      <c r="E2468" s="9" t="str">
        <f>HYPERLINK("https://twitter.com/seyedporia/status/1045037350064132097","1045037350064132097")</f>
        <v>1045037350064132097</v>
      </c>
      <c r="F2468" s="4"/>
      <c r="G2468" s="4"/>
      <c r="H2468" s="4"/>
      <c r="I2468" s="10" t="str">
        <f>HYPERLINK("http://twitter.com/download/android","Twitter for Android")</f>
        <v>Twitter for Android</v>
      </c>
      <c r="J2468" s="2">
        <v>1038</v>
      </c>
      <c r="K2468" s="2">
        <v>902</v>
      </c>
      <c r="L2468" s="2">
        <v>1</v>
      </c>
      <c r="M2468" s="2"/>
      <c r="N2468" s="8">
        <v>42282.690717592588</v>
      </c>
      <c r="O2468" s="4" t="s">
        <v>62</v>
      </c>
      <c r="P2468" s="3" t="s">
        <v>1247</v>
      </c>
      <c r="Q2468" s="4"/>
      <c r="R2468" s="4"/>
      <c r="S2468" s="9" t="str">
        <f>HYPERLINK("https://pbs.twimg.com/profile_images/1001749721852063744/L4lUbe_2.jpg","View")</f>
        <v>View</v>
      </c>
    </row>
    <row r="2469" spans="1:19" ht="20">
      <c r="A2469" s="8">
        <v>43369.970729166671</v>
      </c>
      <c r="B2469" s="11" t="str">
        <f>HYPERLINK("https://twitter.com/Tahmineh_6","@Tahmineh_6")</f>
        <v>@Tahmineh_6</v>
      </c>
      <c r="C2469" s="6" t="s">
        <v>96</v>
      </c>
      <c r="D2469" s="5" t="s">
        <v>1385</v>
      </c>
      <c r="E2469" s="9" t="str">
        <f>HYPERLINK("https://twitter.com/Tahmineh_6/status/1045037252957687813","1045037252957687813")</f>
        <v>1045037252957687813</v>
      </c>
      <c r="F2469" s="4"/>
      <c r="G2469" s="10" t="s">
        <v>1384</v>
      </c>
      <c r="H2469" s="4"/>
      <c r="I2469" s="10" t="str">
        <f>HYPERLINK("http://twitter.com/download/android","Twitter for Android")</f>
        <v>Twitter for Android</v>
      </c>
      <c r="J2469" s="2">
        <v>7118</v>
      </c>
      <c r="K2469" s="2">
        <v>6670</v>
      </c>
      <c r="L2469" s="2">
        <v>5</v>
      </c>
      <c r="M2469" s="2"/>
      <c r="N2469" s="8">
        <v>43008.625925925924</v>
      </c>
      <c r="O2469" s="4" t="s">
        <v>94</v>
      </c>
      <c r="P2469" s="3" t="s">
        <v>93</v>
      </c>
      <c r="Q2469" s="4"/>
      <c r="R2469" s="4"/>
      <c r="S2469" s="9" t="str">
        <f>HYPERLINK("https://pbs.twimg.com/profile_images/1038869552568983558/284xNb8H.jpg","View")</f>
        <v>View</v>
      </c>
    </row>
    <row r="2470" spans="1:19" ht="20">
      <c r="A2470" s="8">
        <v>43369.97038194444</v>
      </c>
      <c r="B2470" s="11" t="str">
        <f>HYPERLINK("https://twitter.com/Mansor_mg","@Mansor_mg")</f>
        <v>@Mansor_mg</v>
      </c>
      <c r="C2470" s="6" t="s">
        <v>1383</v>
      </c>
      <c r="D2470" s="5" t="s">
        <v>825</v>
      </c>
      <c r="E2470" s="9" t="str">
        <f>HYPERLINK("https://twitter.com/Mansor_mg/status/1045037126696538112","1045037126696538112")</f>
        <v>1045037126696538112</v>
      </c>
      <c r="F2470" s="4"/>
      <c r="G2470" s="4"/>
      <c r="H2470" s="4"/>
      <c r="I2470" s="10" t="str">
        <f>HYPERLINK("http://twitter.com/download/iphone","Twitter for iPhone")</f>
        <v>Twitter for iPhone</v>
      </c>
      <c r="J2470" s="2">
        <v>94</v>
      </c>
      <c r="K2470" s="2">
        <v>44</v>
      </c>
      <c r="L2470" s="2">
        <v>0</v>
      </c>
      <c r="M2470" s="2"/>
      <c r="N2470" s="8">
        <v>42203.443159722221</v>
      </c>
      <c r="O2470" s="4"/>
      <c r="P2470" s="3" t="s">
        <v>1382</v>
      </c>
      <c r="Q2470" s="4"/>
      <c r="R2470" s="4"/>
      <c r="S2470" s="9" t="str">
        <f>HYPERLINK("https://pbs.twimg.com/profile_images/766759080190939136/vLTAq-ZM.jpg","View")</f>
        <v>View</v>
      </c>
    </row>
    <row r="2471" spans="1:19" ht="20">
      <c r="A2471" s="8">
        <v>43369.97011574074</v>
      </c>
      <c r="B2471" s="11" t="str">
        <f>HYPERLINK("https://twitter.com/Masoudd2018","@Masoudd2018")</f>
        <v>@Masoudd2018</v>
      </c>
      <c r="C2471" s="6" t="s">
        <v>1381</v>
      </c>
      <c r="D2471" s="5" t="s">
        <v>1380</v>
      </c>
      <c r="E2471" s="9" t="str">
        <f>HYPERLINK("https://twitter.com/Masoudd2018/status/1045037030852493313","1045037030852493313")</f>
        <v>1045037030852493313</v>
      </c>
      <c r="F2471" s="4"/>
      <c r="G2471" s="4"/>
      <c r="H2471" s="4"/>
      <c r="I2471" s="10" t="str">
        <f>HYPERLINK("http://twitter.com/download/android","Twitter for Android")</f>
        <v>Twitter for Android</v>
      </c>
      <c r="J2471" s="2">
        <v>1704</v>
      </c>
      <c r="K2471" s="2">
        <v>2058</v>
      </c>
      <c r="L2471" s="2">
        <v>4</v>
      </c>
      <c r="M2471" s="2"/>
      <c r="N2471" s="8">
        <v>43103.011157407411</v>
      </c>
      <c r="O2471" s="4" t="s">
        <v>62</v>
      </c>
      <c r="P2471" s="3" t="s">
        <v>1379</v>
      </c>
      <c r="Q2471" s="4"/>
      <c r="R2471" s="4"/>
      <c r="S2471" s="9" t="str">
        <f>HYPERLINK("https://pbs.twimg.com/profile_images/1039235225392439296/bNVOv9xY.jpg","View")</f>
        <v>View</v>
      </c>
    </row>
    <row r="2472" spans="1:19" ht="50">
      <c r="A2472" s="8">
        <v>43369.969988425924</v>
      </c>
      <c r="B2472" s="11" t="str">
        <f>HYPERLINK("https://twitter.com/sinann_64","@sinann_64")</f>
        <v>@sinann_64</v>
      </c>
      <c r="C2472" s="6" t="s">
        <v>1378</v>
      </c>
      <c r="D2472" s="5" t="s">
        <v>927</v>
      </c>
      <c r="E2472" s="9" t="str">
        <f>HYPERLINK("https://twitter.com/sinann_64/status/1045036984757092352","1045036984757092352")</f>
        <v>1045036984757092352</v>
      </c>
      <c r="F2472" s="4"/>
      <c r="G2472" s="10" t="s">
        <v>926</v>
      </c>
      <c r="H2472" s="4"/>
      <c r="I2472" s="10" t="str">
        <f>HYPERLINK("http://twitter.com/download/iphone","Twitter for iPhone")</f>
        <v>Twitter for iPhone</v>
      </c>
      <c r="J2472" s="2">
        <v>3563</v>
      </c>
      <c r="K2472" s="2">
        <v>425</v>
      </c>
      <c r="L2472" s="2">
        <v>20</v>
      </c>
      <c r="M2472" s="2"/>
      <c r="N2472" s="8">
        <v>40719.961527777778</v>
      </c>
      <c r="O2472" s="4" t="s">
        <v>1377</v>
      </c>
      <c r="P2472" s="3"/>
      <c r="Q2472" s="4"/>
      <c r="R2472" s="4"/>
      <c r="S2472" s="9" t="str">
        <f>HYPERLINK("https://pbs.twimg.com/profile_images/915192631965159424/A7qxMzjp.jpg","View")</f>
        <v>View</v>
      </c>
    </row>
    <row r="2473" spans="1:19" ht="20">
      <c r="A2473" s="8">
        <v>43369.969560185185</v>
      </c>
      <c r="B2473" s="11" t="str">
        <f>HYPERLINK("https://twitter.com/Angel27875781","@Angel27875781")</f>
        <v>@Angel27875781</v>
      </c>
      <c r="C2473" s="6" t="s">
        <v>1064</v>
      </c>
      <c r="D2473" s="5" t="s">
        <v>1271</v>
      </c>
      <c r="E2473" s="9" t="str">
        <f>HYPERLINK("https://twitter.com/Angel27875781/status/1045036828171145216","1045036828171145216")</f>
        <v>1045036828171145216</v>
      </c>
      <c r="F2473" s="4"/>
      <c r="G2473" s="4"/>
      <c r="H2473" s="4"/>
      <c r="I2473" s="10" t="str">
        <f>HYPERLINK("http://twitter.com/download/android","Twitter for Android")</f>
        <v>Twitter for Android</v>
      </c>
      <c r="J2473" s="2">
        <v>245</v>
      </c>
      <c r="K2473" s="2">
        <v>255</v>
      </c>
      <c r="L2473" s="2">
        <v>0</v>
      </c>
      <c r="M2473" s="2"/>
      <c r="N2473" s="8">
        <v>43356.696446759262</v>
      </c>
      <c r="O2473" s="4"/>
      <c r="P2473" s="3" t="s">
        <v>1063</v>
      </c>
      <c r="Q2473" s="4"/>
      <c r="R2473" s="4"/>
      <c r="S2473" s="9" t="str">
        <f>HYPERLINK("https://pbs.twimg.com/profile_images/1043961173048262656/TQ_D4NOQ.jpg","View")</f>
        <v>View</v>
      </c>
    </row>
    <row r="2474" spans="1:19" ht="20">
      <c r="A2474" s="8">
        <v>43369.969224537039</v>
      </c>
      <c r="B2474" s="11" t="str">
        <f>HYPERLINK("https://twitter.com/ehsanghafari76","@ehsanghafari76")</f>
        <v>@ehsanghafari76</v>
      </c>
      <c r="C2474" s="6" t="s">
        <v>1376</v>
      </c>
      <c r="D2474" s="5" t="s">
        <v>1375</v>
      </c>
      <c r="E2474" s="9" t="str">
        <f>HYPERLINK("https://twitter.com/ehsanghafari76/status/1045036709103235073","1045036709103235073")</f>
        <v>1045036709103235073</v>
      </c>
      <c r="F2474" s="4"/>
      <c r="G2474" s="4"/>
      <c r="H2474" s="4"/>
      <c r="I2474" s="10" t="str">
        <f>HYPERLINK("http://twitter.com/download/android","Twitter for Android")</f>
        <v>Twitter for Android</v>
      </c>
      <c r="J2474" s="2">
        <v>132</v>
      </c>
      <c r="K2474" s="2">
        <v>153</v>
      </c>
      <c r="L2474" s="2">
        <v>1</v>
      </c>
      <c r="M2474" s="2"/>
      <c r="N2474" s="8">
        <v>41943.550254629634</v>
      </c>
      <c r="O2474" s="4" t="s">
        <v>1374</v>
      </c>
      <c r="P2474" s="3" t="s">
        <v>1373</v>
      </c>
      <c r="Q2474" s="10" t="s">
        <v>1372</v>
      </c>
      <c r="R2474" s="4"/>
      <c r="S2474" s="9" t="str">
        <f>HYPERLINK("https://pbs.twimg.com/profile_images/1042663611552985088/sACfQPFF.jpg","View")</f>
        <v>View</v>
      </c>
    </row>
    <row r="2475" spans="1:19" ht="20">
      <c r="A2475" s="8">
        <v>43369.9690162037</v>
      </c>
      <c r="B2475" s="11" t="str">
        <f>HYPERLINK("https://twitter.com/Angel27875781","@Angel27875781")</f>
        <v>@Angel27875781</v>
      </c>
      <c r="C2475" s="6" t="s">
        <v>1064</v>
      </c>
      <c r="D2475" s="5" t="s">
        <v>982</v>
      </c>
      <c r="E2475" s="9" t="str">
        <f>HYPERLINK("https://twitter.com/Angel27875781/status/1045036629944094720","1045036629944094720")</f>
        <v>1045036629944094720</v>
      </c>
      <c r="F2475" s="4"/>
      <c r="G2475" s="4"/>
      <c r="H2475" s="4"/>
      <c r="I2475" s="10" t="str">
        <f>HYPERLINK("http://twitter.com/download/android","Twitter for Android")</f>
        <v>Twitter for Android</v>
      </c>
      <c r="J2475" s="2">
        <v>245</v>
      </c>
      <c r="K2475" s="2">
        <v>255</v>
      </c>
      <c r="L2475" s="2">
        <v>0</v>
      </c>
      <c r="M2475" s="2"/>
      <c r="N2475" s="8">
        <v>43356.696446759262</v>
      </c>
      <c r="O2475" s="4"/>
      <c r="P2475" s="3" t="s">
        <v>1063</v>
      </c>
      <c r="Q2475" s="4"/>
      <c r="R2475" s="4"/>
      <c r="S2475" s="9" t="str">
        <f>HYPERLINK("https://pbs.twimg.com/profile_images/1043961173048262656/TQ_D4NOQ.jpg","View")</f>
        <v>View</v>
      </c>
    </row>
    <row r="2476" spans="1:19" ht="12.5">
      <c r="A2476" s="8">
        <v>43369.968981481477</v>
      </c>
      <c r="B2476" s="11" t="str">
        <f>HYPERLINK("https://twitter.com/pare_parwaz","@pare_parwaz")</f>
        <v>@pare_parwaz</v>
      </c>
      <c r="C2476" s="6" t="s">
        <v>1371</v>
      </c>
      <c r="D2476" s="5" t="s">
        <v>1370</v>
      </c>
      <c r="E2476" s="9" t="str">
        <f>HYPERLINK("https://twitter.com/pare_parwaz/status/1045036617927446528","1045036617927446528")</f>
        <v>1045036617927446528</v>
      </c>
      <c r="F2476" s="4"/>
      <c r="G2476" s="4"/>
      <c r="H2476" s="4"/>
      <c r="I2476" s="10" t="str">
        <f>HYPERLINK("http://twitter.com/download/android","Twitter for Android")</f>
        <v>Twitter for Android</v>
      </c>
      <c r="J2476" s="2">
        <v>944</v>
      </c>
      <c r="K2476" s="2">
        <v>1064</v>
      </c>
      <c r="L2476" s="2">
        <v>1</v>
      </c>
      <c r="M2476" s="2"/>
      <c r="N2476" s="8">
        <v>43304.695069444446</v>
      </c>
      <c r="O2476" s="4"/>
      <c r="P2476" s="3" t="s">
        <v>1369</v>
      </c>
      <c r="Q2476" s="4"/>
      <c r="R2476" s="4"/>
      <c r="S2476" s="9" t="str">
        <f>HYPERLINK("https://pbs.twimg.com/profile_images/1036383205757214720/wG8lx1pl.jpg","View")</f>
        <v>View</v>
      </c>
    </row>
    <row r="2477" spans="1:19" ht="20">
      <c r="A2477" s="8">
        <v>43369.968958333338</v>
      </c>
      <c r="B2477" s="11" t="str">
        <f>HYPERLINK("https://twitter.com/Ali6and4","@Ali6and4")</f>
        <v>@Ali6and4</v>
      </c>
      <c r="C2477" s="6" t="s">
        <v>1366</v>
      </c>
      <c r="D2477" s="5" t="s">
        <v>1368</v>
      </c>
      <c r="E2477" s="9" t="str">
        <f>HYPERLINK("https://twitter.com/Ali6and4/status/1045036612009304064","1045036612009304064")</f>
        <v>1045036612009304064</v>
      </c>
      <c r="F2477" s="4"/>
      <c r="G2477" s="10" t="s">
        <v>1367</v>
      </c>
      <c r="H2477" s="4"/>
      <c r="I2477" s="10" t="str">
        <f>HYPERLINK("http://twitter.com","Twitter Web Client")</f>
        <v>Twitter Web Client</v>
      </c>
      <c r="J2477" s="2">
        <v>20</v>
      </c>
      <c r="K2477" s="2">
        <v>20</v>
      </c>
      <c r="L2477" s="2">
        <v>0</v>
      </c>
      <c r="M2477" s="2"/>
      <c r="N2477" s="8">
        <v>43114.609976851847</v>
      </c>
      <c r="O2477" s="4" t="s">
        <v>1363</v>
      </c>
      <c r="P2477" s="3" t="s">
        <v>1362</v>
      </c>
      <c r="Q2477" s="4"/>
      <c r="R2477" s="4"/>
      <c r="S2477" s="9" t="str">
        <f>HYPERLINK("https://pbs.twimg.com/profile_images/1031429916544233473/KzVISJBe.jpg","View")</f>
        <v>View</v>
      </c>
    </row>
    <row r="2478" spans="1:19" ht="20">
      <c r="A2478" s="8">
        <v>43369.967974537038</v>
      </c>
      <c r="B2478" s="11" t="str">
        <f>HYPERLINK("https://twitter.com/Ali6and4","@Ali6and4")</f>
        <v>@Ali6and4</v>
      </c>
      <c r="C2478" s="6" t="s">
        <v>1366</v>
      </c>
      <c r="D2478" s="5" t="s">
        <v>1365</v>
      </c>
      <c r="E2478" s="9" t="str">
        <f>HYPERLINK("https://twitter.com/Ali6and4/status/1045036256198053890","1045036256198053890")</f>
        <v>1045036256198053890</v>
      </c>
      <c r="F2478" s="4"/>
      <c r="G2478" s="10" t="s">
        <v>1364</v>
      </c>
      <c r="H2478" s="4"/>
      <c r="I2478" s="10" t="str">
        <f>HYPERLINK("http://twitter.com","Twitter Web Client")</f>
        <v>Twitter Web Client</v>
      </c>
      <c r="J2478" s="2">
        <v>20</v>
      </c>
      <c r="K2478" s="2">
        <v>20</v>
      </c>
      <c r="L2478" s="2">
        <v>0</v>
      </c>
      <c r="M2478" s="2"/>
      <c r="N2478" s="8">
        <v>43114.609976851847</v>
      </c>
      <c r="O2478" s="4" t="s">
        <v>1363</v>
      </c>
      <c r="P2478" s="3" t="s">
        <v>1362</v>
      </c>
      <c r="Q2478" s="4"/>
      <c r="R2478" s="4"/>
      <c r="S2478" s="9" t="str">
        <f>HYPERLINK("https://pbs.twimg.com/profile_images/1031429916544233473/KzVISJBe.jpg","View")</f>
        <v>View</v>
      </c>
    </row>
    <row r="2479" spans="1:19" ht="30">
      <c r="A2479" s="8">
        <v>43369.967916666668</v>
      </c>
      <c r="B2479" s="11" t="str">
        <f>HYPERLINK("https://twitter.com/NedaIRANUSA","@NedaIRANUSA")</f>
        <v>@NedaIRANUSA</v>
      </c>
      <c r="C2479" s="6" t="s">
        <v>1361</v>
      </c>
      <c r="D2479" s="5" t="s">
        <v>974</v>
      </c>
      <c r="E2479" s="9" t="str">
        <f>HYPERLINK("https://twitter.com/NedaIRANUSA/status/1045036233230045189","1045036233230045189")</f>
        <v>1045036233230045189</v>
      </c>
      <c r="F2479" s="4"/>
      <c r="G2479" s="4"/>
      <c r="H2479" s="4"/>
      <c r="I2479" s="10" t="str">
        <f>HYPERLINK("http://twitter.com/download/iphone","Twitter for iPhone")</f>
        <v>Twitter for iPhone</v>
      </c>
      <c r="J2479" s="2">
        <v>76</v>
      </c>
      <c r="K2479" s="2">
        <v>172</v>
      </c>
      <c r="L2479" s="2">
        <v>0</v>
      </c>
      <c r="M2479" s="2"/>
      <c r="N2479" s="8">
        <v>42733.154803240745</v>
      </c>
      <c r="O2479" s="4"/>
      <c r="P2479" s="3" t="s">
        <v>1360</v>
      </c>
      <c r="Q2479" s="4"/>
      <c r="R2479" s="4"/>
      <c r="S2479" s="9" t="str">
        <f>HYPERLINK("https://pbs.twimg.com/profile_images/948231971242639361/92wHp0hu.jpg","View")</f>
        <v>View</v>
      </c>
    </row>
    <row r="2480" spans="1:19" ht="50">
      <c r="A2480" s="8">
        <v>43369.967789351853</v>
      </c>
      <c r="B2480" s="11" t="str">
        <f>HYPERLINK("https://twitter.com/Universe_seeker","@Universe_seeker")</f>
        <v>@Universe_seeker</v>
      </c>
      <c r="C2480" s="6" t="s">
        <v>1359</v>
      </c>
      <c r="D2480" s="5" t="s">
        <v>927</v>
      </c>
      <c r="E2480" s="9" t="str">
        <f>HYPERLINK("https://twitter.com/Universe_seeker/status/1045036188300713984","1045036188300713984")</f>
        <v>1045036188300713984</v>
      </c>
      <c r="F2480" s="4"/>
      <c r="G2480" s="10" t="s">
        <v>926</v>
      </c>
      <c r="H2480" s="4"/>
      <c r="I2480" s="10" t="str">
        <f>HYPERLINK("http://twitter.com/#!/download/ipad","Twitter for iPad")</f>
        <v>Twitter for iPad</v>
      </c>
      <c r="J2480" s="2">
        <v>1205</v>
      </c>
      <c r="K2480" s="2">
        <v>1433</v>
      </c>
      <c r="L2480" s="2">
        <v>4</v>
      </c>
      <c r="M2480" s="2"/>
      <c r="N2480" s="8">
        <v>41004.650023148148</v>
      </c>
      <c r="O2480" s="4" t="s">
        <v>793</v>
      </c>
      <c r="P2480" s="3"/>
      <c r="Q2480" s="4"/>
      <c r="R2480" s="4"/>
      <c r="S2480" s="9" t="str">
        <f>HYPERLINK("https://pbs.twimg.com/profile_images/1038384542221037568/raMknfKU.jpg","View")</f>
        <v>View</v>
      </c>
    </row>
    <row r="2481" spans="1:19" ht="30">
      <c r="A2481" s="8">
        <v>43369.967777777776</v>
      </c>
      <c r="B2481" s="11" t="str">
        <f>HYPERLINK("https://twitter.com/iranjaviidan","@iranjaviidan")</f>
        <v>@iranjaviidan</v>
      </c>
      <c r="C2481" s="6" t="s">
        <v>1350</v>
      </c>
      <c r="D2481" s="5" t="s">
        <v>1358</v>
      </c>
      <c r="E2481" s="9" t="str">
        <f>HYPERLINK("https://twitter.com/iranjaviidan/status/1045036184697794560","1045036184697794560")</f>
        <v>1045036184697794560</v>
      </c>
      <c r="F2481" s="4"/>
      <c r="G2481" s="4"/>
      <c r="H2481" s="4"/>
      <c r="I2481" s="10" t="str">
        <f>HYPERLINK("http://twitter.com/download/android","Twitter for Android")</f>
        <v>Twitter for Android</v>
      </c>
      <c r="J2481" s="2">
        <v>474</v>
      </c>
      <c r="K2481" s="2">
        <v>364</v>
      </c>
      <c r="L2481" s="2">
        <v>1</v>
      </c>
      <c r="M2481" s="2"/>
      <c r="N2481" s="8">
        <v>43127.93236111111</v>
      </c>
      <c r="O2481" s="4"/>
      <c r="P2481" s="3"/>
      <c r="Q2481" s="4"/>
      <c r="R2481" s="4"/>
      <c r="S2481" s="9" t="str">
        <f>HYPERLINK("https://pbs.twimg.com/profile_images/1037655912180137984/pM3teOOh.jpg","View")</f>
        <v>View</v>
      </c>
    </row>
    <row r="2482" spans="1:19" ht="20">
      <c r="A2482" s="8">
        <v>43369.96775462963</v>
      </c>
      <c r="B2482" s="11" t="str">
        <f>HYPERLINK("https://twitter.com/bazarvarzesh","@bazarvarzesh")</f>
        <v>@bazarvarzesh</v>
      </c>
      <c r="C2482" s="6" t="s">
        <v>1357</v>
      </c>
      <c r="D2482" s="5" t="s">
        <v>1356</v>
      </c>
      <c r="E2482" s="9" t="str">
        <f>HYPERLINK("https://twitter.com/bazarvarzesh/status/1045036173889064962","1045036173889064962")</f>
        <v>1045036173889064962</v>
      </c>
      <c r="F2482" s="4"/>
      <c r="G2482" s="10" t="s">
        <v>1355</v>
      </c>
      <c r="H2482" s="4"/>
      <c r="I2482" s="10" t="str">
        <f>HYPERLINK("http://twitter.com/download/android","Twitter for Android")</f>
        <v>Twitter for Android</v>
      </c>
      <c r="J2482" s="2">
        <v>75</v>
      </c>
      <c r="K2482" s="2">
        <v>277</v>
      </c>
      <c r="L2482" s="2">
        <v>0</v>
      </c>
      <c r="M2482" s="2"/>
      <c r="N2482" s="8">
        <v>42903.930185185185</v>
      </c>
      <c r="O2482" s="4" t="s">
        <v>200</v>
      </c>
      <c r="P2482" s="3" t="s">
        <v>1354</v>
      </c>
      <c r="Q2482" s="4"/>
      <c r="R2482" s="4"/>
      <c r="S2482" s="9" t="str">
        <f>HYPERLINK("https://pbs.twimg.com/profile_images/876136680746627072/-FmXvDQb.jpg","View")</f>
        <v>View</v>
      </c>
    </row>
    <row r="2483" spans="1:19" ht="30">
      <c r="A2483" s="8">
        <v>43369.967337962968</v>
      </c>
      <c r="B2483" s="11" t="str">
        <f>HYPERLINK("https://twitter.com/Mmmmmm46839641","@Mmmmmm46839641")</f>
        <v>@Mmmmmm46839641</v>
      </c>
      <c r="C2483" s="6" t="s">
        <v>1353</v>
      </c>
      <c r="D2483" s="5" t="s">
        <v>408</v>
      </c>
      <c r="E2483" s="9" t="str">
        <f>HYPERLINK("https://twitter.com/Mmmmmm46839641/status/1045036024454369281","1045036024454369281")</f>
        <v>1045036024454369281</v>
      </c>
      <c r="F2483" s="4"/>
      <c r="G2483" s="4"/>
      <c r="H2483" s="4"/>
      <c r="I2483" s="10" t="str">
        <f>HYPERLINK("http://twitter.com/download/android","Twitter for Android")</f>
        <v>Twitter for Android</v>
      </c>
      <c r="J2483" s="2">
        <v>119</v>
      </c>
      <c r="K2483" s="2">
        <v>142</v>
      </c>
      <c r="L2483" s="2">
        <v>0</v>
      </c>
      <c r="M2483" s="2"/>
      <c r="N2483" s="8">
        <v>43130.861215277779</v>
      </c>
      <c r="O2483" s="4"/>
      <c r="P2483" s="3" t="s">
        <v>1352</v>
      </c>
      <c r="Q2483" s="4"/>
      <c r="R2483" s="4"/>
      <c r="S2483" s="9" t="str">
        <f>HYPERLINK("https://pbs.twimg.com/profile_images/1019570938961068033/yrs8jdAz.jpg","View")</f>
        <v>View</v>
      </c>
    </row>
    <row r="2484" spans="1:19" ht="50">
      <c r="A2484" s="8">
        <v>43369.967164351852</v>
      </c>
      <c r="B2484" s="11" t="str">
        <f>HYPERLINK("https://twitter.com/Rozegarma","@Rozegarma")</f>
        <v>@Rozegarma</v>
      </c>
      <c r="C2484" s="6" t="s">
        <v>1351</v>
      </c>
      <c r="D2484" s="5" t="s">
        <v>1168</v>
      </c>
      <c r="E2484" s="9" t="str">
        <f>HYPERLINK("https://twitter.com/Rozegarma/status/1045035958947778562","1045035958947778562")</f>
        <v>1045035958947778562</v>
      </c>
      <c r="F2484" s="4"/>
      <c r="G2484" s="10" t="s">
        <v>907</v>
      </c>
      <c r="H2484" s="4"/>
      <c r="I2484" s="10" t="str">
        <f>HYPERLINK("http://twitter.com/download/android","Twitter for Android")</f>
        <v>Twitter for Android</v>
      </c>
      <c r="J2484" s="2">
        <v>358</v>
      </c>
      <c r="K2484" s="2">
        <v>1047</v>
      </c>
      <c r="L2484" s="2">
        <v>0</v>
      </c>
      <c r="M2484" s="2"/>
      <c r="N2484" s="8">
        <v>43253.628009259264</v>
      </c>
      <c r="O2484" s="4"/>
      <c r="P2484" s="3"/>
      <c r="Q2484" s="4"/>
      <c r="R2484" s="4"/>
      <c r="S2484" s="9" t="str">
        <f>HYPERLINK("https://pbs.twimg.com/profile_images/1011134738105602049/HVM9hd3_.jpg","View")</f>
        <v>View</v>
      </c>
    </row>
    <row r="2485" spans="1:19" ht="50">
      <c r="A2485" s="8">
        <v>43369.966550925921</v>
      </c>
      <c r="B2485" s="11" t="str">
        <f>HYPERLINK("https://twitter.com/iranjaviidan","@iranjaviidan")</f>
        <v>@iranjaviidan</v>
      </c>
      <c r="C2485" s="6" t="s">
        <v>1350</v>
      </c>
      <c r="D2485" s="5" t="s">
        <v>1168</v>
      </c>
      <c r="E2485" s="9" t="str">
        <f>HYPERLINK("https://twitter.com/iranjaviidan/status/1045035738453151744","1045035738453151744")</f>
        <v>1045035738453151744</v>
      </c>
      <c r="F2485" s="4"/>
      <c r="G2485" s="10" t="s">
        <v>907</v>
      </c>
      <c r="H2485" s="4"/>
      <c r="I2485" s="10" t="str">
        <f>HYPERLINK("http://twitter.com/download/android","Twitter for Android")</f>
        <v>Twitter for Android</v>
      </c>
      <c r="J2485" s="2">
        <v>474</v>
      </c>
      <c r="K2485" s="2">
        <v>364</v>
      </c>
      <c r="L2485" s="2">
        <v>1</v>
      </c>
      <c r="M2485" s="2"/>
      <c r="N2485" s="8">
        <v>43127.93236111111</v>
      </c>
      <c r="O2485" s="4"/>
      <c r="P2485" s="3"/>
      <c r="Q2485" s="4"/>
      <c r="R2485" s="4"/>
      <c r="S2485" s="9" t="str">
        <f>HYPERLINK("https://pbs.twimg.com/profile_images/1037655912180137984/pM3teOOh.jpg","View")</f>
        <v>View</v>
      </c>
    </row>
    <row r="2486" spans="1:19" ht="40">
      <c r="A2486" s="8">
        <v>43369.966145833328</v>
      </c>
      <c r="B2486" s="11" t="str">
        <f>HYPERLINK("https://twitter.com/sepehrlm","@sepehrlm")</f>
        <v>@sepehrlm</v>
      </c>
      <c r="C2486" s="6" t="s">
        <v>107</v>
      </c>
      <c r="D2486" s="5" t="s">
        <v>296</v>
      </c>
      <c r="E2486" s="9" t="str">
        <f>HYPERLINK("https://twitter.com/sepehrlm/status/1045035592252354561","1045035592252354561")</f>
        <v>1045035592252354561</v>
      </c>
      <c r="F2486" s="4"/>
      <c r="G2486" s="10" t="s">
        <v>295</v>
      </c>
      <c r="H2486" s="4"/>
      <c r="I2486" s="10" t="str">
        <f>HYPERLINK("http://twitter.com/download/iphone","Twitter for iPhone")</f>
        <v>Twitter for iPhone</v>
      </c>
      <c r="J2486" s="2">
        <v>179</v>
      </c>
      <c r="K2486" s="2">
        <v>366</v>
      </c>
      <c r="L2486" s="2">
        <v>1</v>
      </c>
      <c r="M2486" s="2"/>
      <c r="N2486" s="8">
        <v>42616.911122685182</v>
      </c>
      <c r="O2486" s="4" t="s">
        <v>104</v>
      </c>
      <c r="P2486" s="3" t="s">
        <v>103</v>
      </c>
      <c r="Q2486" s="10" t="s">
        <v>102</v>
      </c>
      <c r="R2486" s="4"/>
      <c r="S2486" s="9" t="str">
        <f>HYPERLINK("https://pbs.twimg.com/profile_images/1037594766765170689/Khn8u_pC.jpg","View")</f>
        <v>View</v>
      </c>
    </row>
    <row r="2487" spans="1:19" ht="20">
      <c r="A2487" s="8">
        <v>43369.966064814813</v>
      </c>
      <c r="B2487" s="11" t="str">
        <f>HYPERLINK("https://twitter.com/mahsa_mosafer","@mahsa_mosafer")</f>
        <v>@mahsa_mosafer</v>
      </c>
      <c r="C2487" s="6" t="s">
        <v>1339</v>
      </c>
      <c r="D2487" s="5" t="s">
        <v>982</v>
      </c>
      <c r="E2487" s="9" t="str">
        <f>HYPERLINK("https://twitter.com/mahsa_mosafer/status/1045035564221845506","1045035564221845506")</f>
        <v>1045035564221845506</v>
      </c>
      <c r="F2487" s="4"/>
      <c r="G2487" s="4"/>
      <c r="H2487" s="4"/>
      <c r="I2487" s="10" t="str">
        <f>HYPERLINK("http://twitter.com/download/android","Twitter for Android")</f>
        <v>Twitter for Android</v>
      </c>
      <c r="J2487" s="2">
        <v>469</v>
      </c>
      <c r="K2487" s="2">
        <v>437</v>
      </c>
      <c r="L2487" s="2">
        <v>0</v>
      </c>
      <c r="M2487" s="2"/>
      <c r="N2487" s="8">
        <v>43247.380393518513</v>
      </c>
      <c r="O2487" s="4"/>
      <c r="P2487" s="3" t="s">
        <v>1337</v>
      </c>
      <c r="Q2487" s="4"/>
      <c r="R2487" s="4"/>
      <c r="S2487" s="9" t="str">
        <f>HYPERLINK("https://pbs.twimg.com/profile_images/1000599801128542209/R-4dy-v-.jpg","View")</f>
        <v>View</v>
      </c>
    </row>
    <row r="2488" spans="1:19" ht="12.5">
      <c r="A2488" s="8">
        <v>43369.966041666667</v>
      </c>
      <c r="B2488" s="11" t="str">
        <f>HYPERLINK("https://twitter.com/Aligondo0o","@Aligondo0o")</f>
        <v>@Aligondo0o</v>
      </c>
      <c r="C2488" s="6" t="s">
        <v>1349</v>
      </c>
      <c r="D2488" s="5" t="s">
        <v>1344</v>
      </c>
      <c r="E2488" s="9" t="str">
        <f>HYPERLINK("https://twitter.com/Aligondo0o/status/1045035554046455817","1045035554046455817")</f>
        <v>1045035554046455817</v>
      </c>
      <c r="F2488" s="4"/>
      <c r="G2488" s="10" t="s">
        <v>1332</v>
      </c>
      <c r="H2488" s="4"/>
      <c r="I2488" s="10" t="str">
        <f>HYPERLINK("http://twitter.com/download/android","Twitter for Android")</f>
        <v>Twitter for Android</v>
      </c>
      <c r="J2488" s="2">
        <v>5745</v>
      </c>
      <c r="K2488" s="2">
        <v>386</v>
      </c>
      <c r="L2488" s="2">
        <v>45</v>
      </c>
      <c r="M2488" s="2"/>
      <c r="N2488" s="8">
        <v>40385.856249999997</v>
      </c>
      <c r="O2488" s="4" t="s">
        <v>1348</v>
      </c>
      <c r="P2488" s="3" t="s">
        <v>1347</v>
      </c>
      <c r="Q2488" s="10" t="s">
        <v>1346</v>
      </c>
      <c r="R2488" s="4"/>
      <c r="S2488" s="9" t="str">
        <f>HYPERLINK("https://pbs.twimg.com/profile_images/822360632217468928/MqZbiWz-.jpg","View")</f>
        <v>View</v>
      </c>
    </row>
    <row r="2489" spans="1:19" ht="12.5">
      <c r="A2489" s="8">
        <v>43369.965810185182</v>
      </c>
      <c r="B2489" s="11" t="str">
        <f>HYPERLINK("https://twitter.com/khashayargiar","@khashayargiar")</f>
        <v>@khashayargiar</v>
      </c>
      <c r="C2489" s="6" t="s">
        <v>1345</v>
      </c>
      <c r="D2489" s="5" t="s">
        <v>1344</v>
      </c>
      <c r="E2489" s="9" t="str">
        <f>HYPERLINK("https://twitter.com/khashayargiar/status/1045035469556322304","1045035469556322304")</f>
        <v>1045035469556322304</v>
      </c>
      <c r="F2489" s="4"/>
      <c r="G2489" s="10" t="s">
        <v>1332</v>
      </c>
      <c r="H2489" s="4"/>
      <c r="I2489" s="10" t="str">
        <f>HYPERLINK("http://twitter.com/download/iphone","Twitter for iPhone")</f>
        <v>Twitter for iPhone</v>
      </c>
      <c r="J2489" s="2">
        <v>228</v>
      </c>
      <c r="K2489" s="2">
        <v>92</v>
      </c>
      <c r="L2489" s="2">
        <v>4</v>
      </c>
      <c r="M2489" s="2"/>
      <c r="N2489" s="8">
        <v>41085.72383101852</v>
      </c>
      <c r="O2489" s="4" t="s">
        <v>1343</v>
      </c>
      <c r="P2489" s="3" t="s">
        <v>1342</v>
      </c>
      <c r="Q2489" s="4"/>
      <c r="R2489" s="4"/>
      <c r="S2489" s="9" t="str">
        <f>HYPERLINK("https://pbs.twimg.com/profile_images/731943486346416128/Dbch0Z46.jpg","View")</f>
        <v>View</v>
      </c>
    </row>
    <row r="2490" spans="1:19" ht="20">
      <c r="A2490" s="8">
        <v>43369.96570601852</v>
      </c>
      <c r="B2490" s="11" t="str">
        <f>HYPERLINK("https://twitter.com/Hessam_nik","@Hessam_nik")</f>
        <v>@Hessam_nik</v>
      </c>
      <c r="C2490" s="6" t="s">
        <v>1341</v>
      </c>
      <c r="D2490" s="5" t="s">
        <v>1340</v>
      </c>
      <c r="E2490" s="9" t="str">
        <f>HYPERLINK("https://twitter.com/Hessam_nik/status/1045035430238998530","1045035430238998530")</f>
        <v>1045035430238998530</v>
      </c>
      <c r="F2490" s="4"/>
      <c r="G2490" s="4"/>
      <c r="H2490" s="4"/>
      <c r="I2490" s="10" t="str">
        <f>HYPERLINK("http://twitter.com/download/android","Twitter for Android")</f>
        <v>Twitter for Android</v>
      </c>
      <c r="J2490" s="2">
        <v>27</v>
      </c>
      <c r="K2490" s="2">
        <v>107</v>
      </c>
      <c r="L2490" s="2">
        <v>0</v>
      </c>
      <c r="M2490" s="2"/>
      <c r="N2490" s="8">
        <v>41491.445173611108</v>
      </c>
      <c r="O2490" s="4"/>
      <c r="P2490" s="3"/>
      <c r="Q2490" s="4"/>
      <c r="R2490" s="4"/>
      <c r="S2490" s="9" t="str">
        <f>HYPERLINK("https://pbs.twimg.com/profile_images/1034379198754942976/XaJHNZaz.jpg","View")</f>
        <v>View</v>
      </c>
    </row>
    <row r="2491" spans="1:19" ht="20">
      <c r="A2491" s="8">
        <v>43369.965682870374</v>
      </c>
      <c r="B2491" s="11" t="str">
        <f>HYPERLINK("https://twitter.com/mahsa_mosafer","@mahsa_mosafer")</f>
        <v>@mahsa_mosafer</v>
      </c>
      <c r="C2491" s="6" t="s">
        <v>1339</v>
      </c>
      <c r="D2491" s="5" t="s">
        <v>1271</v>
      </c>
      <c r="E2491" s="9" t="str">
        <f>HYPERLINK("https://twitter.com/mahsa_mosafer/status/1045035425360941062","1045035425360941062")</f>
        <v>1045035425360941062</v>
      </c>
      <c r="F2491" s="4"/>
      <c r="G2491" s="4"/>
      <c r="H2491" s="4"/>
      <c r="I2491" s="10" t="str">
        <f>HYPERLINK("http://twitter.com/download/android","Twitter for Android")</f>
        <v>Twitter for Android</v>
      </c>
      <c r="J2491" s="2">
        <v>469</v>
      </c>
      <c r="K2491" s="2">
        <v>437</v>
      </c>
      <c r="L2491" s="2">
        <v>0</v>
      </c>
      <c r="M2491" s="2"/>
      <c r="N2491" s="8">
        <v>43247.380393518513</v>
      </c>
      <c r="O2491" s="4"/>
      <c r="P2491" s="3" t="s">
        <v>1337</v>
      </c>
      <c r="Q2491" s="4"/>
      <c r="R2491" s="4"/>
      <c r="S2491" s="9" t="str">
        <f>HYPERLINK("https://pbs.twimg.com/profile_images/1000599801128542209/R-4dy-v-.jpg","View")</f>
        <v>View</v>
      </c>
    </row>
    <row r="2492" spans="1:19" ht="30">
      <c r="A2492" s="8">
        <v>43369.965590277774</v>
      </c>
      <c r="B2492" s="11" t="str">
        <f>HYPERLINK("https://twitter.com/mahsa_mosafer","@mahsa_mosafer")</f>
        <v>@mahsa_mosafer</v>
      </c>
      <c r="C2492" s="6" t="s">
        <v>1339</v>
      </c>
      <c r="D2492" s="5" t="s">
        <v>1338</v>
      </c>
      <c r="E2492" s="9" t="str">
        <f>HYPERLINK("https://twitter.com/mahsa_mosafer/status/1045035392020475905","1045035392020475905")</f>
        <v>1045035392020475905</v>
      </c>
      <c r="F2492" s="4"/>
      <c r="G2492" s="4"/>
      <c r="H2492" s="4"/>
      <c r="I2492" s="10" t="str">
        <f>HYPERLINK("http://twitter.com/download/android","Twitter for Android")</f>
        <v>Twitter for Android</v>
      </c>
      <c r="J2492" s="2">
        <v>469</v>
      </c>
      <c r="K2492" s="2">
        <v>437</v>
      </c>
      <c r="L2492" s="2">
        <v>0</v>
      </c>
      <c r="M2492" s="2"/>
      <c r="N2492" s="8">
        <v>43247.380393518513</v>
      </c>
      <c r="O2492" s="4"/>
      <c r="P2492" s="3" t="s">
        <v>1337</v>
      </c>
      <c r="Q2492" s="4"/>
      <c r="R2492" s="4"/>
      <c r="S2492" s="9" t="str">
        <f>HYPERLINK("https://pbs.twimg.com/profile_images/1000599801128542209/R-4dy-v-.jpg","View")</f>
        <v>View</v>
      </c>
    </row>
    <row r="2493" spans="1:19" ht="12.5">
      <c r="A2493" s="8">
        <v>43369.965428240743</v>
      </c>
      <c r="B2493" s="11" t="str">
        <f>HYPERLINK("https://twitter.com/sepehrlm","@sepehrlm")</f>
        <v>@sepehrlm</v>
      </c>
      <c r="C2493" s="6" t="s">
        <v>107</v>
      </c>
      <c r="D2493" s="5" t="s">
        <v>1336</v>
      </c>
      <c r="E2493" s="9" t="str">
        <f>HYPERLINK("https://twitter.com/sepehrlm/status/1045035333430235136","1045035333430235136")</f>
        <v>1045035333430235136</v>
      </c>
      <c r="F2493" s="4"/>
      <c r="G2493" s="10" t="s">
        <v>1335</v>
      </c>
      <c r="H2493" s="4"/>
      <c r="I2493" s="10" t="str">
        <f>HYPERLINK("http://twitter.com/download/iphone","Twitter for iPhone")</f>
        <v>Twitter for iPhone</v>
      </c>
      <c r="J2493" s="2">
        <v>179</v>
      </c>
      <c r="K2493" s="2">
        <v>366</v>
      </c>
      <c r="L2493" s="2">
        <v>1</v>
      </c>
      <c r="M2493" s="2"/>
      <c r="N2493" s="8">
        <v>42616.911122685182</v>
      </c>
      <c r="O2493" s="4" t="s">
        <v>104</v>
      </c>
      <c r="P2493" s="3" t="s">
        <v>103</v>
      </c>
      <c r="Q2493" s="10" t="s">
        <v>102</v>
      </c>
      <c r="R2493" s="4"/>
      <c r="S2493" s="9" t="str">
        <f>HYPERLINK("https://pbs.twimg.com/profile_images/1037594766765170689/Khn8u_pC.jpg","View")</f>
        <v>View</v>
      </c>
    </row>
    <row r="2494" spans="1:19" ht="20">
      <c r="A2494" s="8">
        <v>43369.965289351851</v>
      </c>
      <c r="B2494" s="11" t="str">
        <f>HYPERLINK("https://twitter.com/MostafaPirhaya3","@MostafaPirhaya3")</f>
        <v>@MostafaPirhaya3</v>
      </c>
      <c r="C2494" s="6" t="s">
        <v>1017</v>
      </c>
      <c r="D2494" s="5" t="s">
        <v>1317</v>
      </c>
      <c r="E2494" s="9" t="str">
        <f>HYPERLINK("https://twitter.com/MostafaPirhaya3/status/1045035279244042240","1045035279244042240")</f>
        <v>1045035279244042240</v>
      </c>
      <c r="F2494" s="4"/>
      <c r="G2494" s="4"/>
      <c r="H2494" s="4"/>
      <c r="I2494" s="10" t="str">
        <f>HYPERLINK("http://twitter.com/download/android","Twitter for Android")</f>
        <v>Twitter for Android</v>
      </c>
      <c r="J2494" s="2">
        <v>712</v>
      </c>
      <c r="K2494" s="2">
        <v>762</v>
      </c>
      <c r="L2494" s="2">
        <v>3</v>
      </c>
      <c r="M2494" s="2"/>
      <c r="N2494" s="8">
        <v>43288.989895833336</v>
      </c>
      <c r="O2494" s="4" t="s">
        <v>200</v>
      </c>
      <c r="P2494" s="3" t="s">
        <v>1014</v>
      </c>
      <c r="Q2494" s="4"/>
      <c r="R2494" s="4"/>
      <c r="S2494" s="9" t="str">
        <f>HYPERLINK("https://pbs.twimg.com/profile_images/1038483116099350534/URHH_U_r.jpg","View")</f>
        <v>View</v>
      </c>
    </row>
    <row r="2495" spans="1:19" ht="12.5">
      <c r="A2495" s="8">
        <v>43369.965208333335</v>
      </c>
      <c r="B2495" s="11" t="str">
        <f>HYPERLINK("https://twitter.com/cafepasio","@cafepasio")</f>
        <v>@cafepasio</v>
      </c>
      <c r="C2495" s="6" t="s">
        <v>1334</v>
      </c>
      <c r="D2495" s="5" t="s">
        <v>1333</v>
      </c>
      <c r="E2495" s="9" t="str">
        <f>HYPERLINK("https://twitter.com/cafepasio/status/1045035251280564224","1045035251280564224")</f>
        <v>1045035251280564224</v>
      </c>
      <c r="F2495" s="4"/>
      <c r="G2495" s="10" t="s">
        <v>1332</v>
      </c>
      <c r="H2495" s="4"/>
      <c r="I2495" s="10" t="str">
        <f>HYPERLINK("http://twitter.com/download/iphone","Twitter for iPhone")</f>
        <v>Twitter for iPhone</v>
      </c>
      <c r="J2495" s="2">
        <v>30</v>
      </c>
      <c r="K2495" s="2">
        <v>27</v>
      </c>
      <c r="L2495" s="2">
        <v>0</v>
      </c>
      <c r="M2495" s="2"/>
      <c r="N2495" s="8">
        <v>43305.829583333332</v>
      </c>
      <c r="O2495" s="4" t="s">
        <v>1331</v>
      </c>
      <c r="P2495" s="3"/>
      <c r="Q2495" s="10" t="s">
        <v>1330</v>
      </c>
      <c r="R2495" s="4"/>
      <c r="S2495" s="9" t="str">
        <f>HYPERLINK("https://pbs.twimg.com/profile_images/1021816490280931328/_7lbCa7x.jpg","View")</f>
        <v>View</v>
      </c>
    </row>
    <row r="2496" spans="1:19" ht="12.5">
      <c r="A2496" s="8">
        <v>43369.964421296296</v>
      </c>
      <c r="B2496" s="11" t="str">
        <f>HYPERLINK("https://twitter.com/khatibi1112","@khatibi1112")</f>
        <v>@khatibi1112</v>
      </c>
      <c r="C2496" s="6" t="s">
        <v>1329</v>
      </c>
      <c r="D2496" s="5" t="s">
        <v>1328</v>
      </c>
      <c r="E2496" s="9" t="str">
        <f>HYPERLINK("https://twitter.com/khatibi1112/status/1045034965837197313","1045034965837197313")</f>
        <v>1045034965837197313</v>
      </c>
      <c r="F2496" s="4"/>
      <c r="G2496" s="4"/>
      <c r="H2496" s="4"/>
      <c r="I2496" s="10" t="str">
        <f>HYPERLINK("http://twitter.com/download/android","Twitter for Android")</f>
        <v>Twitter for Android</v>
      </c>
      <c r="J2496" s="2">
        <v>68</v>
      </c>
      <c r="K2496" s="2">
        <v>70</v>
      </c>
      <c r="L2496" s="2">
        <v>0</v>
      </c>
      <c r="M2496" s="2"/>
      <c r="N2496" s="8">
        <v>43367.044328703705</v>
      </c>
      <c r="O2496" s="4"/>
      <c r="P2496" s="3" t="s">
        <v>1327</v>
      </c>
      <c r="Q2496" s="4"/>
      <c r="R2496" s="4"/>
      <c r="S2496" s="9" t="str">
        <f>HYPERLINK("https://pbs.twimg.com/profile_images/1044342926476750848/6Oxcv3Ku.jpg","View")</f>
        <v>View</v>
      </c>
    </row>
    <row r="2497" spans="1:19" ht="20">
      <c r="A2497" s="8">
        <v>43369.963541666672</v>
      </c>
      <c r="B2497" s="11" t="str">
        <f>HYPERLINK("https://twitter.com/Sohrabsepehri3","@Sohrabsepehri3")</f>
        <v>@Sohrabsepehri3</v>
      </c>
      <c r="C2497" s="6" t="s">
        <v>1326</v>
      </c>
      <c r="D2497" s="5" t="s">
        <v>1325</v>
      </c>
      <c r="E2497" s="9" t="str">
        <f>HYPERLINK("https://twitter.com/Sohrabsepehri3/status/1045034647481176065","1045034647481176065")</f>
        <v>1045034647481176065</v>
      </c>
      <c r="F2497" s="4"/>
      <c r="G2497" s="4"/>
      <c r="H2497" s="4"/>
      <c r="I2497" s="10" t="str">
        <f>HYPERLINK("http://twitter.com/download/android","Twitter for Android")</f>
        <v>Twitter for Android</v>
      </c>
      <c r="J2497" s="2">
        <v>3304</v>
      </c>
      <c r="K2497" s="2">
        <v>566</v>
      </c>
      <c r="L2497" s="2">
        <v>25</v>
      </c>
      <c r="M2497" s="2"/>
      <c r="N2497" s="8">
        <v>41750.834421296298</v>
      </c>
      <c r="O2497" s="4"/>
      <c r="P2497" s="3" t="s">
        <v>1324</v>
      </c>
      <c r="Q2497" s="4"/>
      <c r="R2497" s="4"/>
      <c r="S2497" s="9" t="str">
        <f>HYPERLINK("https://pbs.twimg.com/profile_images/914912702463660032/JrdMqhfW.jpg","View")</f>
        <v>View</v>
      </c>
    </row>
    <row r="2498" spans="1:19" ht="30">
      <c r="A2498" s="8">
        <v>43369.963333333333</v>
      </c>
      <c r="B2498" s="11" t="str">
        <f>HYPERLINK("https://twitter.com/seyedporia","@seyedporia")</f>
        <v>@seyedporia</v>
      </c>
      <c r="C2498" s="6" t="s">
        <v>1249</v>
      </c>
      <c r="D2498" s="5" t="s">
        <v>1323</v>
      </c>
      <c r="E2498" s="9" t="str">
        <f>HYPERLINK("https://twitter.com/seyedporia/status/1045034570545016832","1045034570545016832")</f>
        <v>1045034570545016832</v>
      </c>
      <c r="F2498" s="4"/>
      <c r="G2498" s="4"/>
      <c r="H2498" s="4"/>
      <c r="I2498" s="10" t="str">
        <f>HYPERLINK("http://twitter.com/download/android","Twitter for Android")</f>
        <v>Twitter for Android</v>
      </c>
      <c r="J2498" s="2">
        <v>1038</v>
      </c>
      <c r="K2498" s="2">
        <v>902</v>
      </c>
      <c r="L2498" s="2">
        <v>1</v>
      </c>
      <c r="M2498" s="2"/>
      <c r="N2498" s="8">
        <v>42282.690717592588</v>
      </c>
      <c r="O2498" s="4" t="s">
        <v>62</v>
      </c>
      <c r="P2498" s="3" t="s">
        <v>1247</v>
      </c>
      <c r="Q2498" s="4"/>
      <c r="R2498" s="4"/>
      <c r="S2498" s="9" t="str">
        <f>HYPERLINK("https://pbs.twimg.com/profile_images/1001749721852063744/L4lUbe_2.jpg","View")</f>
        <v>View</v>
      </c>
    </row>
    <row r="2499" spans="1:19" ht="40">
      <c r="A2499" s="8">
        <v>43369.962916666671</v>
      </c>
      <c r="B2499" s="11" t="str">
        <f>HYPERLINK("https://twitter.com/seda1995555","@seda1995555")</f>
        <v>@seda1995555</v>
      </c>
      <c r="C2499" s="6" t="s">
        <v>1322</v>
      </c>
      <c r="D2499" s="5" t="s">
        <v>1321</v>
      </c>
      <c r="E2499" s="9" t="str">
        <f>HYPERLINK("https://twitter.com/seda1995555/status/1045034422662311936","1045034422662311936")</f>
        <v>1045034422662311936</v>
      </c>
      <c r="F2499" s="4"/>
      <c r="G2499" s="10" t="s">
        <v>1320</v>
      </c>
      <c r="H2499" s="4"/>
      <c r="I2499" s="10" t="str">
        <f>HYPERLINK("http://twitter.com/download/iphone","Twitter for iPhone")</f>
        <v>Twitter for iPhone</v>
      </c>
      <c r="J2499" s="2">
        <v>882</v>
      </c>
      <c r="K2499" s="2">
        <v>249</v>
      </c>
      <c r="L2499" s="2">
        <v>1</v>
      </c>
      <c r="M2499" s="2"/>
      <c r="N2499" s="8">
        <v>42966.77407407407</v>
      </c>
      <c r="O2499" s="4"/>
      <c r="P2499" s="3" t="s">
        <v>1319</v>
      </c>
      <c r="Q2499" s="4"/>
      <c r="R2499" s="4"/>
      <c r="S2499" s="9" t="str">
        <f>HYPERLINK("https://pbs.twimg.com/profile_images/1026507065756397569/2JKk44Ck.jpg","View")</f>
        <v>View</v>
      </c>
    </row>
    <row r="2500" spans="1:19" ht="20">
      <c r="A2500" s="8">
        <v>43369.962905092594</v>
      </c>
      <c r="B2500" s="11" t="str">
        <f>HYPERLINK("https://twitter.com/sara28100494","@sara28100494")</f>
        <v>@sara28100494</v>
      </c>
      <c r="C2500" s="6" t="s">
        <v>1318</v>
      </c>
      <c r="D2500" s="5" t="s">
        <v>1317</v>
      </c>
      <c r="E2500" s="9" t="str">
        <f>HYPERLINK("https://twitter.com/sara28100494/status/1045034416261787649","1045034416261787649")</f>
        <v>1045034416261787649</v>
      </c>
      <c r="F2500" s="4"/>
      <c r="G2500" s="4"/>
      <c r="H2500" s="4"/>
      <c r="I2500" s="10" t="str">
        <f>HYPERLINK("http://twitter.com/download/android","Twitter for Android")</f>
        <v>Twitter for Android</v>
      </c>
      <c r="J2500" s="2">
        <v>861</v>
      </c>
      <c r="K2500" s="2">
        <v>601</v>
      </c>
      <c r="L2500" s="2">
        <v>0</v>
      </c>
      <c r="M2500" s="2"/>
      <c r="N2500" s="8">
        <v>43268.656087962961</v>
      </c>
      <c r="O2500" s="4"/>
      <c r="P2500" s="3" t="s">
        <v>1316</v>
      </c>
      <c r="Q2500" s="4"/>
      <c r="R2500" s="4"/>
      <c r="S2500" s="9" t="str">
        <f>HYPERLINK("https://pbs.twimg.com/profile_images/1044492577335054336/Vgcywuj1.jpg","View")</f>
        <v>View</v>
      </c>
    </row>
    <row r="2501" spans="1:19" ht="20">
      <c r="A2501" s="8">
        <v>43369.96261574074</v>
      </c>
      <c r="B2501" s="11" t="str">
        <f>HYPERLINK("https://twitter.com/miladliam76","@miladliam76")</f>
        <v>@miladliam76</v>
      </c>
      <c r="C2501" s="6" t="s">
        <v>1315</v>
      </c>
      <c r="D2501" s="5" t="s">
        <v>1314</v>
      </c>
      <c r="E2501" s="9" t="str">
        <f>HYPERLINK("https://twitter.com/miladliam76/status/1045034311492272128","1045034311492272128")</f>
        <v>1045034311492272128</v>
      </c>
      <c r="F2501" s="4"/>
      <c r="G2501" s="4"/>
      <c r="H2501" s="4"/>
      <c r="I2501" s="10" t="str">
        <f>HYPERLINK("http://twitter.com/download/android","Twitter for Android")</f>
        <v>Twitter for Android</v>
      </c>
      <c r="J2501" s="2">
        <v>2298</v>
      </c>
      <c r="K2501" s="2">
        <v>300</v>
      </c>
      <c r="L2501" s="2">
        <v>16</v>
      </c>
      <c r="M2501" s="2"/>
      <c r="N2501" s="8">
        <v>43070.965428240743</v>
      </c>
      <c r="O2501" s="4" t="s">
        <v>1313</v>
      </c>
      <c r="P2501" s="3" t="s">
        <v>1312</v>
      </c>
      <c r="Q2501" s="10" t="s">
        <v>1311</v>
      </c>
      <c r="R2501" s="4"/>
      <c r="S2501" s="9" t="str">
        <f>HYPERLINK("https://pbs.twimg.com/profile_images/1025442823515070467/K1xH0DOm.jpg","View")</f>
        <v>View</v>
      </c>
    </row>
    <row r="2502" spans="1:19" ht="50">
      <c r="A2502" s="8">
        <v>43369.962164351848</v>
      </c>
      <c r="B2502" s="11" t="str">
        <f>HYPERLINK("https://twitter.com/TaghiShashbor","@TaghiShashbor")</f>
        <v>@TaghiShashbor</v>
      </c>
      <c r="C2502" s="6" t="s">
        <v>1310</v>
      </c>
      <c r="D2502" s="5" t="s">
        <v>1168</v>
      </c>
      <c r="E2502" s="9" t="str">
        <f>HYPERLINK("https://twitter.com/TaghiShashbor/status/1045034148765859840","1045034148765859840")</f>
        <v>1045034148765859840</v>
      </c>
      <c r="F2502" s="4"/>
      <c r="G2502" s="10" t="s">
        <v>907</v>
      </c>
      <c r="H2502" s="4"/>
      <c r="I2502" s="10" t="str">
        <f>HYPERLINK("http://twitter.com/download/android","Twitter for Android")</f>
        <v>Twitter for Android</v>
      </c>
      <c r="J2502" s="2">
        <v>504</v>
      </c>
      <c r="K2502" s="2">
        <v>111</v>
      </c>
      <c r="L2502" s="2">
        <v>3</v>
      </c>
      <c r="M2502" s="2"/>
      <c r="N2502" s="8">
        <v>41492.352835648147</v>
      </c>
      <c r="O2502" s="4" t="s">
        <v>10</v>
      </c>
      <c r="P2502" s="3" t="s">
        <v>1309</v>
      </c>
      <c r="Q2502" s="4"/>
      <c r="R2502" s="4"/>
      <c r="S2502" s="9" t="str">
        <f>HYPERLINK("https://pbs.twimg.com/profile_images/1008278977704873984/u_s6tX5N.jpg","View")</f>
        <v>View</v>
      </c>
    </row>
    <row r="2503" spans="1:19" ht="30">
      <c r="A2503" s="8">
        <v>43369.962094907409</v>
      </c>
      <c r="B2503" s="11" t="str">
        <f>HYPERLINK("https://twitter.com/Fatemeeh_st","@Fatemeeh_st")</f>
        <v>@Fatemeeh_st</v>
      </c>
      <c r="C2503" s="6" t="s">
        <v>1308</v>
      </c>
      <c r="D2503" s="5" t="s">
        <v>1307</v>
      </c>
      <c r="E2503" s="9" t="str">
        <f>HYPERLINK("https://twitter.com/Fatemeeh_st/status/1045034124749230081","1045034124749230081")</f>
        <v>1045034124749230081</v>
      </c>
      <c r="F2503" s="4"/>
      <c r="G2503" s="10" t="s">
        <v>1306</v>
      </c>
      <c r="H2503" s="4"/>
      <c r="I2503" s="10" t="str">
        <f>HYPERLINK("http://twitter.com/download/android","Twitter for Android")</f>
        <v>Twitter for Android</v>
      </c>
      <c r="J2503" s="2">
        <v>754</v>
      </c>
      <c r="K2503" s="2">
        <v>180</v>
      </c>
      <c r="L2503" s="2">
        <v>6</v>
      </c>
      <c r="M2503" s="2"/>
      <c r="N2503" s="8">
        <v>42942.97010416667</v>
      </c>
      <c r="O2503" s="4" t="s">
        <v>200</v>
      </c>
      <c r="P2503" s="3" t="s">
        <v>1305</v>
      </c>
      <c r="Q2503" s="4"/>
      <c r="R2503" s="4"/>
      <c r="S2503" s="9" t="str">
        <f>HYPERLINK("https://pbs.twimg.com/profile_images/1031778080535273473/GrGYgdc9.jpg","View")</f>
        <v>View</v>
      </c>
    </row>
    <row r="2504" spans="1:19" ht="20">
      <c r="A2504" s="8">
        <v>43369.961979166663</v>
      </c>
      <c r="B2504" s="11" t="str">
        <f>HYPERLINK("https://twitter.com/fereshtevpt","@fereshtevpt")</f>
        <v>@fereshtevpt</v>
      </c>
      <c r="C2504" s="6" t="s">
        <v>331</v>
      </c>
      <c r="D2504" s="5" t="s">
        <v>1304</v>
      </c>
      <c r="E2504" s="9" t="str">
        <f>HYPERLINK("https://twitter.com/fereshtevpt/status/1045034080142848003","1045034080142848003")</f>
        <v>1045034080142848003</v>
      </c>
      <c r="F2504" s="4"/>
      <c r="G2504" s="4"/>
      <c r="H2504" s="4"/>
      <c r="I2504" s="10" t="str">
        <f>HYPERLINK("http://twitter.com/download/iphone","Twitter for iPhone")</f>
        <v>Twitter for iPhone</v>
      </c>
      <c r="J2504" s="2">
        <v>2475</v>
      </c>
      <c r="K2504" s="2">
        <v>2147</v>
      </c>
      <c r="L2504" s="2">
        <v>6</v>
      </c>
      <c r="M2504" s="2"/>
      <c r="N2504" s="8">
        <v>43106.721226851849</v>
      </c>
      <c r="O2504" s="4"/>
      <c r="P2504" s="3" t="s">
        <v>329</v>
      </c>
      <c r="Q2504" s="4"/>
      <c r="R2504" s="4"/>
      <c r="S2504" s="9" t="str">
        <f>HYPERLINK("https://pbs.twimg.com/profile_images/1037751959716016135/k__ynAL7.jpg","View")</f>
        <v>View</v>
      </c>
    </row>
    <row r="2505" spans="1:19" ht="20">
      <c r="A2505" s="8">
        <v>43369.961747685185</v>
      </c>
      <c r="B2505" s="11" t="str">
        <f>HYPERLINK("https://twitter.com/HadiMoradi_DM","@HadiMoradi_DM")</f>
        <v>@HadiMoradi_DM</v>
      </c>
      <c r="C2505" s="6" t="s">
        <v>1303</v>
      </c>
      <c r="D2505" s="5" t="s">
        <v>1302</v>
      </c>
      <c r="E2505" s="9" t="str">
        <f>HYPERLINK("https://twitter.com/HadiMoradi_DM/status/1045033995669508099","1045033995669508099")</f>
        <v>1045033995669508099</v>
      </c>
      <c r="F2505" s="4"/>
      <c r="G2505" s="4"/>
      <c r="H2505" s="4"/>
      <c r="I2505" s="10" t="str">
        <f>HYPERLINK("http://twitter.com/download/iphone","Twitter for iPhone")</f>
        <v>Twitter for iPhone</v>
      </c>
      <c r="J2505" s="2">
        <v>98</v>
      </c>
      <c r="K2505" s="2">
        <v>495</v>
      </c>
      <c r="L2505" s="2">
        <v>0</v>
      </c>
      <c r="M2505" s="2"/>
      <c r="N2505" s="8">
        <v>43041.610231481478</v>
      </c>
      <c r="O2505" s="4" t="s">
        <v>414</v>
      </c>
      <c r="P2505" s="3" t="s">
        <v>1301</v>
      </c>
      <c r="Q2505" s="10" t="s">
        <v>1300</v>
      </c>
      <c r="R2505" s="4"/>
      <c r="S2505" s="9" t="str">
        <f>HYPERLINK("https://pbs.twimg.com/profile_images/1031294403179151363/gyUkgU2s.jpg","View")</f>
        <v>View</v>
      </c>
    </row>
    <row r="2506" spans="1:19" ht="50">
      <c r="A2506" s="8">
        <v>43369.961273148147</v>
      </c>
      <c r="B2506" s="11" t="str">
        <f>HYPERLINK("https://twitter.com/Mrlucky67","@Mrlucky67")</f>
        <v>@Mrlucky67</v>
      </c>
      <c r="C2506" s="6" t="s">
        <v>1299</v>
      </c>
      <c r="D2506" s="5" t="s">
        <v>1168</v>
      </c>
      <c r="E2506" s="9" t="str">
        <f>HYPERLINK("https://twitter.com/Mrlucky67/status/1045033826743914502","1045033826743914502")</f>
        <v>1045033826743914502</v>
      </c>
      <c r="F2506" s="4"/>
      <c r="G2506" s="10" t="s">
        <v>907</v>
      </c>
      <c r="H2506" s="4"/>
      <c r="I2506" s="10" t="str">
        <f>HYPERLINK("http://twitter.com/download/android","Twitter for Android")</f>
        <v>Twitter for Android</v>
      </c>
      <c r="J2506" s="2">
        <v>34</v>
      </c>
      <c r="K2506" s="2">
        <v>33</v>
      </c>
      <c r="L2506" s="2">
        <v>0</v>
      </c>
      <c r="M2506" s="2"/>
      <c r="N2506" s="8">
        <v>43130.625243055554</v>
      </c>
      <c r="O2506" s="4"/>
      <c r="P2506" s="3" t="s">
        <v>1298</v>
      </c>
      <c r="Q2506" s="4"/>
      <c r="R2506" s="4"/>
      <c r="S2506" s="9" t="str">
        <f>HYPERLINK("https://pbs.twimg.com/profile_images/963013795571486720/HFkx-u0l.jpg","View")</f>
        <v>View</v>
      </c>
    </row>
    <row r="2507" spans="1:19" ht="50">
      <c r="A2507" s="8">
        <v>43369.960787037038</v>
      </c>
      <c r="B2507" s="11" t="str">
        <f>HYPERLINK("https://twitter.com/naeim67","@naeim67")</f>
        <v>@naeim67</v>
      </c>
      <c r="C2507" s="6" t="s">
        <v>1297</v>
      </c>
      <c r="D2507" s="5" t="s">
        <v>1168</v>
      </c>
      <c r="E2507" s="9" t="str">
        <f>HYPERLINK("https://twitter.com/naeim67/status/1045033647781367808","1045033647781367808")</f>
        <v>1045033647781367808</v>
      </c>
      <c r="F2507" s="4"/>
      <c r="G2507" s="10" t="s">
        <v>907</v>
      </c>
      <c r="H2507" s="4"/>
      <c r="I2507" s="10" t="str">
        <f>HYPERLINK("http://twitter.com/download/android","Twitter for Android")</f>
        <v>Twitter for Android</v>
      </c>
      <c r="J2507" s="2">
        <v>232</v>
      </c>
      <c r="K2507" s="2">
        <v>305</v>
      </c>
      <c r="L2507" s="2">
        <v>2</v>
      </c>
      <c r="M2507" s="2"/>
      <c r="N2507" s="8">
        <v>42899.8590162037</v>
      </c>
      <c r="O2507" s="4"/>
      <c r="P2507" s="3" t="s">
        <v>1296</v>
      </c>
      <c r="Q2507" s="4"/>
      <c r="R2507" s="4"/>
      <c r="S2507" s="9" t="str">
        <f>HYPERLINK("https://pbs.twimg.com/profile_images/1022937787715264512/32RV6reL.jpg","View")</f>
        <v>View</v>
      </c>
    </row>
    <row r="2508" spans="1:19" ht="20">
      <c r="A2508" s="8">
        <v>43369.960763888885</v>
      </c>
      <c r="B2508" s="11" t="str">
        <f>HYPERLINK("https://twitter.com/seyedporia","@seyedporia")</f>
        <v>@seyedporia</v>
      </c>
      <c r="C2508" s="6" t="s">
        <v>1249</v>
      </c>
      <c r="D2508" s="5" t="s">
        <v>1295</v>
      </c>
      <c r="E2508" s="9" t="str">
        <f>HYPERLINK("https://twitter.com/seyedporia/status/1045033642429501440","1045033642429501440")</f>
        <v>1045033642429501440</v>
      </c>
      <c r="F2508" s="4"/>
      <c r="G2508" s="4"/>
      <c r="H2508" s="4"/>
      <c r="I2508" s="10" t="str">
        <f>HYPERLINK("http://twitter.com/download/android","Twitter for Android")</f>
        <v>Twitter for Android</v>
      </c>
      <c r="J2508" s="2">
        <v>1038</v>
      </c>
      <c r="K2508" s="2">
        <v>902</v>
      </c>
      <c r="L2508" s="2">
        <v>1</v>
      </c>
      <c r="M2508" s="2"/>
      <c r="N2508" s="8">
        <v>42282.690717592588</v>
      </c>
      <c r="O2508" s="4" t="s">
        <v>62</v>
      </c>
      <c r="P2508" s="3" t="s">
        <v>1247</v>
      </c>
      <c r="Q2508" s="4"/>
      <c r="R2508" s="4"/>
      <c r="S2508" s="9" t="str">
        <f>HYPERLINK("https://pbs.twimg.com/profile_images/1001749721852063744/L4lUbe_2.jpg","View")</f>
        <v>View</v>
      </c>
    </row>
    <row r="2509" spans="1:19" ht="30">
      <c r="A2509" s="8">
        <v>43369.960729166662</v>
      </c>
      <c r="B2509" s="11" t="str">
        <f>HYPERLINK("https://twitter.com/mrmumbu","@mrmumbu")</f>
        <v>@mrmumbu</v>
      </c>
      <c r="C2509" s="6" t="s">
        <v>1294</v>
      </c>
      <c r="D2509" s="5" t="s">
        <v>1293</v>
      </c>
      <c r="E2509" s="9" t="str">
        <f>HYPERLINK("https://twitter.com/mrmumbu/status/1045033628340813824","1045033628340813824")</f>
        <v>1045033628340813824</v>
      </c>
      <c r="F2509" s="4"/>
      <c r="G2509" s="10" t="s">
        <v>1292</v>
      </c>
      <c r="H2509" s="4"/>
      <c r="I2509" s="10" t="str">
        <f>HYPERLINK("http://twitter.com/download/android","Twitter for Android")</f>
        <v>Twitter for Android</v>
      </c>
      <c r="J2509" s="2">
        <v>95</v>
      </c>
      <c r="K2509" s="2">
        <v>163</v>
      </c>
      <c r="L2509" s="2">
        <v>0</v>
      </c>
      <c r="M2509" s="2"/>
      <c r="N2509" s="8">
        <v>43332.041377314818</v>
      </c>
      <c r="O2509" s="4" t="s">
        <v>1291</v>
      </c>
      <c r="P2509" s="3" t="s">
        <v>1290</v>
      </c>
      <c r="Q2509" s="4"/>
      <c r="R2509" s="4"/>
      <c r="S2509" s="9" t="str">
        <f>HYPERLINK("https://pbs.twimg.com/profile_images/1036707016507629569/O2gPDHal.jpg","View")</f>
        <v>View</v>
      </c>
    </row>
    <row r="2510" spans="1:19" ht="20">
      <c r="A2510" s="8">
        <v>43369.960706018523</v>
      </c>
      <c r="B2510" s="11" t="str">
        <f>HYPERLINK("https://twitter.com/fateme_delshadi","@fateme_delshadi")</f>
        <v>@fateme_delshadi</v>
      </c>
      <c r="C2510" s="6" t="s">
        <v>1289</v>
      </c>
      <c r="D2510" s="5" t="s">
        <v>1288</v>
      </c>
      <c r="E2510" s="9" t="str">
        <f>HYPERLINK("https://twitter.com/fateme_delshadi/status/1045033619448897537","1045033619448897537")</f>
        <v>1045033619448897537</v>
      </c>
      <c r="F2510" s="4"/>
      <c r="G2510" s="4"/>
      <c r="H2510" s="4"/>
      <c r="I2510" s="10" t="str">
        <f>HYPERLINK("http://twitter.com/download/iphone","Twitter for iPhone")</f>
        <v>Twitter for iPhone</v>
      </c>
      <c r="J2510" s="2">
        <v>545</v>
      </c>
      <c r="K2510" s="2">
        <v>237</v>
      </c>
      <c r="L2510" s="2">
        <v>2</v>
      </c>
      <c r="M2510" s="2"/>
      <c r="N2510" s="8">
        <v>43104.611597222218</v>
      </c>
      <c r="O2510" s="4" t="s">
        <v>200</v>
      </c>
      <c r="P2510" s="3" t="s">
        <v>1287</v>
      </c>
      <c r="Q2510" s="4"/>
      <c r="R2510" s="4"/>
      <c r="S2510" s="9" t="str">
        <f>HYPERLINK("https://pbs.twimg.com/profile_images/1039083701169278976/D8TpKhEy.jpg","View")</f>
        <v>View</v>
      </c>
    </row>
    <row r="2511" spans="1:19" ht="12.5">
      <c r="A2511" s="8">
        <v>43369.960347222222</v>
      </c>
      <c r="B2511" s="11" t="str">
        <f>HYPERLINK("https://twitter.com/miladbahrami6","@miladbahrami6")</f>
        <v>@miladbahrami6</v>
      </c>
      <c r="C2511" s="6" t="s">
        <v>1286</v>
      </c>
      <c r="D2511" s="5" t="s">
        <v>904</v>
      </c>
      <c r="E2511" s="9" t="str">
        <f>HYPERLINK("https://twitter.com/miladbahrami6/status/1045033491937865728","1045033491937865728")</f>
        <v>1045033491937865728</v>
      </c>
      <c r="F2511" s="4"/>
      <c r="G2511" s="4"/>
      <c r="H2511" s="4"/>
      <c r="I2511" s="10" t="str">
        <f>HYPERLINK("http://twitter.com/download/android","Twitter for Android")</f>
        <v>Twitter for Android</v>
      </c>
      <c r="J2511" s="2">
        <v>306</v>
      </c>
      <c r="K2511" s="2">
        <v>289</v>
      </c>
      <c r="L2511" s="2">
        <v>1</v>
      </c>
      <c r="M2511" s="2"/>
      <c r="N2511" s="8">
        <v>41943.053657407407</v>
      </c>
      <c r="O2511" s="4" t="s">
        <v>1285</v>
      </c>
      <c r="P2511" s="3"/>
      <c r="Q2511" s="4"/>
      <c r="R2511" s="4"/>
      <c r="S2511" s="9" t="str">
        <f>HYPERLINK("https://pbs.twimg.com/profile_images/978661162668748801/7E9jqtYX.jpg","View")</f>
        <v>View</v>
      </c>
    </row>
    <row r="2512" spans="1:19" ht="12.5">
      <c r="A2512" s="8">
        <v>43369.960266203707</v>
      </c>
      <c r="B2512" s="11" t="str">
        <f>HYPERLINK("https://twitter.com/Madsftp","@Madsftp")</f>
        <v>@Madsftp</v>
      </c>
      <c r="C2512" s="6" t="s">
        <v>1284</v>
      </c>
      <c r="D2512" s="5" t="s">
        <v>1003</v>
      </c>
      <c r="E2512" s="9" t="str">
        <f>HYPERLINK("https://twitter.com/Madsftp/status/1045033460132458502","1045033460132458502")</f>
        <v>1045033460132458502</v>
      </c>
      <c r="F2512" s="4"/>
      <c r="G2512" s="4"/>
      <c r="H2512" s="4"/>
      <c r="I2512" s="10" t="str">
        <f>HYPERLINK("http://twitter.com/download/iphone","Twitter for iPhone")</f>
        <v>Twitter for iPhone</v>
      </c>
      <c r="J2512" s="2">
        <v>2533</v>
      </c>
      <c r="K2512" s="2">
        <v>400</v>
      </c>
      <c r="L2512" s="2">
        <v>11</v>
      </c>
      <c r="M2512" s="2"/>
      <c r="N2512" s="8">
        <v>42773.941168981481</v>
      </c>
      <c r="O2512" s="4" t="s">
        <v>1283</v>
      </c>
      <c r="P2512" s="3" t="s">
        <v>1282</v>
      </c>
      <c r="Q2512" s="4"/>
      <c r="R2512" s="4"/>
      <c r="S2512" s="9" t="str">
        <f>HYPERLINK("https://pbs.twimg.com/profile_images/1043103937178595333/A9iBXW9R.jpg","View")</f>
        <v>View</v>
      </c>
    </row>
    <row r="2513" spans="1:19" ht="20">
      <c r="A2513" s="8">
        <v>43369.960185185184</v>
      </c>
      <c r="B2513" s="11" t="str">
        <f>HYPERLINK("https://twitter.com/lil_kocholo","@lil_kocholo")</f>
        <v>@lil_kocholo</v>
      </c>
      <c r="C2513" s="6" t="s">
        <v>1281</v>
      </c>
      <c r="D2513" s="5" t="s">
        <v>1280</v>
      </c>
      <c r="E2513" s="9" t="str">
        <f>HYPERLINK("https://twitter.com/lil_kocholo/status/1045033431896395778","1045033431896395778")</f>
        <v>1045033431896395778</v>
      </c>
      <c r="F2513" s="4"/>
      <c r="G2513" s="10" t="s">
        <v>1279</v>
      </c>
      <c r="H2513" s="4"/>
      <c r="I2513" s="10" t="str">
        <f>HYPERLINK("http://twitter.com","Twitter Web Client")</f>
        <v>Twitter Web Client</v>
      </c>
      <c r="J2513" s="2">
        <v>216</v>
      </c>
      <c r="K2513" s="2">
        <v>665</v>
      </c>
      <c r="L2513" s="2">
        <v>0</v>
      </c>
      <c r="M2513" s="2"/>
      <c r="N2513" s="8">
        <v>43368.06212962963</v>
      </c>
      <c r="O2513" s="4" t="s">
        <v>1278</v>
      </c>
      <c r="P2513" s="3" t="s">
        <v>1277</v>
      </c>
      <c r="Q2513" s="4"/>
      <c r="R2513" s="4"/>
      <c r="S2513" s="9" t="str">
        <f>HYPERLINK("https://pbs.twimg.com/profile_images/1044346019042004992/6yOjSOk9.jpg","View")</f>
        <v>View</v>
      </c>
    </row>
    <row r="2514" spans="1:19" ht="50">
      <c r="A2514" s="8">
        <v>43369.960162037038</v>
      </c>
      <c r="B2514" s="11" t="str">
        <f>HYPERLINK("https://twitter.com/IncludeSharp","@IncludeSharp")</f>
        <v>@IncludeSharp</v>
      </c>
      <c r="C2514" s="6" t="s">
        <v>1276</v>
      </c>
      <c r="D2514" s="5" t="s">
        <v>1168</v>
      </c>
      <c r="E2514" s="9" t="str">
        <f>HYPERLINK("https://twitter.com/IncludeSharp/status/1045033424770269184","1045033424770269184")</f>
        <v>1045033424770269184</v>
      </c>
      <c r="F2514" s="4"/>
      <c r="G2514" s="10" t="s">
        <v>907</v>
      </c>
      <c r="H2514" s="4"/>
      <c r="I2514" s="10" t="str">
        <f>HYPERLINK("http://twitter.com/download/android","Twitter for Android")</f>
        <v>Twitter for Android</v>
      </c>
      <c r="J2514" s="2">
        <v>212</v>
      </c>
      <c r="K2514" s="2">
        <v>244</v>
      </c>
      <c r="L2514" s="2">
        <v>0</v>
      </c>
      <c r="M2514" s="2"/>
      <c r="N2514" s="8">
        <v>43261.417442129634</v>
      </c>
      <c r="O2514" s="4" t="s">
        <v>45</v>
      </c>
      <c r="P2514" s="3" t="s">
        <v>1275</v>
      </c>
      <c r="Q2514" s="4"/>
      <c r="R2514" s="4"/>
      <c r="S2514" s="9" t="str">
        <f>HYPERLINK("https://pbs.twimg.com/profile_images/1008460206794203136/OTE3yy-O.jpg","View")</f>
        <v>View</v>
      </c>
    </row>
    <row r="2515" spans="1:19" ht="30">
      <c r="A2515" s="8">
        <v>43369.960104166668</v>
      </c>
      <c r="B2515" s="11" t="str">
        <f>HYPERLINK("https://twitter.com/parvana64208745","@parvana64208745")</f>
        <v>@parvana64208745</v>
      </c>
      <c r="C2515" s="6" t="s">
        <v>1274</v>
      </c>
      <c r="D2515" s="5" t="s">
        <v>408</v>
      </c>
      <c r="E2515" s="9" t="str">
        <f>HYPERLINK("https://twitter.com/parvana64208745/status/1045033402947325952","1045033402947325952")</f>
        <v>1045033402947325952</v>
      </c>
      <c r="F2515" s="4"/>
      <c r="G2515" s="4"/>
      <c r="H2515" s="4"/>
      <c r="I2515" s="10" t="str">
        <f>HYPERLINK("http://twitter.com/download/android","Twitter for Android")</f>
        <v>Twitter for Android</v>
      </c>
      <c r="J2515" s="2">
        <v>2075</v>
      </c>
      <c r="K2515" s="2">
        <v>970</v>
      </c>
      <c r="L2515" s="2">
        <v>3</v>
      </c>
      <c r="M2515" s="2"/>
      <c r="N2515" s="8">
        <v>42927.007708333331</v>
      </c>
      <c r="O2515" s="4" t="s">
        <v>547</v>
      </c>
      <c r="P2515" s="3" t="s">
        <v>1273</v>
      </c>
      <c r="Q2515" s="4"/>
      <c r="R2515" s="4"/>
      <c r="S2515" s="9" t="str">
        <f>HYPERLINK("https://pbs.twimg.com/profile_images/989957660312260609/jqXvBoyw.jpg","View")</f>
        <v>View</v>
      </c>
    </row>
    <row r="2516" spans="1:19" ht="20">
      <c r="A2516" s="8">
        <v>43369.959872685184</v>
      </c>
      <c r="B2516" s="11" t="str">
        <f>HYPERLINK("https://twitter.com/Mr_Feynman_iran","@Mr_Feynman_iran")</f>
        <v>@Mr_Feynman_iran</v>
      </c>
      <c r="C2516" s="6" t="s">
        <v>1272</v>
      </c>
      <c r="D2516" s="5" t="s">
        <v>1271</v>
      </c>
      <c r="E2516" s="9" t="str">
        <f>HYPERLINK("https://twitter.com/Mr_Feynman_iran/status/1045033317773512706","1045033317773512706")</f>
        <v>1045033317773512706</v>
      </c>
      <c r="F2516" s="4"/>
      <c r="G2516" s="4"/>
      <c r="H2516" s="4"/>
      <c r="I2516" s="10" t="str">
        <f>HYPERLINK("http://twitter.com/download/android","Twitter for Android")</f>
        <v>Twitter for Android</v>
      </c>
      <c r="J2516" s="2">
        <v>343</v>
      </c>
      <c r="K2516" s="2">
        <v>459</v>
      </c>
      <c r="L2516" s="2">
        <v>0</v>
      </c>
      <c r="M2516" s="2"/>
      <c r="N2516" s="8">
        <v>43120.981041666666</v>
      </c>
      <c r="O2516" s="4"/>
      <c r="P2516" s="3" t="s">
        <v>1270</v>
      </c>
      <c r="Q2516" s="4"/>
      <c r="R2516" s="4"/>
      <c r="S2516" s="9" t="str">
        <f>HYPERLINK("https://pbs.twimg.com/profile_images/1028290333761855489/irtpEalL.jpg","View")</f>
        <v>View</v>
      </c>
    </row>
    <row r="2517" spans="1:19" ht="20">
      <c r="A2517" s="8">
        <v>43369.959074074075</v>
      </c>
      <c r="B2517" s="11" t="str">
        <f>HYPERLINK("https://twitter.com/seyyedehtesham","@seyyedehtesham")</f>
        <v>@seyyedehtesham</v>
      </c>
      <c r="C2517" s="6" t="s">
        <v>1269</v>
      </c>
      <c r="D2517" s="5" t="s">
        <v>1268</v>
      </c>
      <c r="E2517" s="9" t="str">
        <f>HYPERLINK("https://twitter.com/seyyedehtesham/status/1045033029113122817","1045033029113122817")</f>
        <v>1045033029113122817</v>
      </c>
      <c r="F2517" s="4"/>
      <c r="G2517" s="10" t="s">
        <v>1267</v>
      </c>
      <c r="H2517" s="4"/>
      <c r="I2517" s="10" t="str">
        <f>HYPERLINK("http://twitter.com/download/android","Twitter for Android")</f>
        <v>Twitter for Android</v>
      </c>
      <c r="J2517" s="2">
        <v>3085</v>
      </c>
      <c r="K2517" s="2">
        <v>454</v>
      </c>
      <c r="L2517" s="2">
        <v>28</v>
      </c>
      <c r="M2517" s="2"/>
      <c r="N2517" s="8">
        <v>41451.7894212963</v>
      </c>
      <c r="O2517" s="4"/>
      <c r="P2517" s="3" t="s">
        <v>1266</v>
      </c>
      <c r="Q2517" s="4"/>
      <c r="R2517" s="4"/>
      <c r="S2517" s="9" t="str">
        <f>HYPERLINK("https://pbs.twimg.com/profile_images/1043278315153485831/iX4KOpo3.jpg","View")</f>
        <v>View</v>
      </c>
    </row>
    <row r="2518" spans="1:19" ht="20">
      <c r="A2518" s="8">
        <v>43369.958993055552</v>
      </c>
      <c r="B2518" s="11" t="str">
        <f>HYPERLINK("https://twitter.com/seyedporia","@seyedporia")</f>
        <v>@seyedporia</v>
      </c>
      <c r="C2518" s="6" t="s">
        <v>1249</v>
      </c>
      <c r="D2518" s="5" t="s">
        <v>1265</v>
      </c>
      <c r="E2518" s="9" t="str">
        <f>HYPERLINK("https://twitter.com/seyedporia/status/1045033000369606657","1045033000369606657")</f>
        <v>1045033000369606657</v>
      </c>
      <c r="F2518" s="4"/>
      <c r="G2518" s="4"/>
      <c r="H2518" s="4"/>
      <c r="I2518" s="10" t="str">
        <f>HYPERLINK("http://twitter.com/download/android","Twitter for Android")</f>
        <v>Twitter for Android</v>
      </c>
      <c r="J2518" s="2">
        <v>1038</v>
      </c>
      <c r="K2518" s="2">
        <v>902</v>
      </c>
      <c r="L2518" s="2">
        <v>1</v>
      </c>
      <c r="M2518" s="2"/>
      <c r="N2518" s="8">
        <v>42282.690717592588</v>
      </c>
      <c r="O2518" s="4" t="s">
        <v>62</v>
      </c>
      <c r="P2518" s="3" t="s">
        <v>1247</v>
      </c>
      <c r="Q2518" s="4"/>
      <c r="R2518" s="4"/>
      <c r="S2518" s="9" t="str">
        <f>HYPERLINK("https://pbs.twimg.com/profile_images/1001749721852063744/L4lUbe_2.jpg","View")</f>
        <v>View</v>
      </c>
    </row>
    <row r="2519" spans="1:19" ht="20">
      <c r="A2519" s="8">
        <v>43369.958692129629</v>
      </c>
      <c r="B2519" s="11" t="str">
        <f>HYPERLINK("https://twitter.com/ME_sonata","@ME_sonata")</f>
        <v>@ME_sonata</v>
      </c>
      <c r="C2519" s="6" t="s">
        <v>1264</v>
      </c>
      <c r="D2519" s="5" t="s">
        <v>1263</v>
      </c>
      <c r="E2519" s="9" t="str">
        <f>HYPERLINK("https://twitter.com/ME_sonata/status/1045032889744859138","1045032889744859138")</f>
        <v>1045032889744859138</v>
      </c>
      <c r="F2519" s="4"/>
      <c r="G2519" s="4"/>
      <c r="H2519" s="4"/>
      <c r="I2519" s="10" t="str">
        <f>HYPERLINK("http://twitter.com/download/iphone","Twitter for iPhone")</f>
        <v>Twitter for iPhone</v>
      </c>
      <c r="J2519" s="2">
        <v>4453</v>
      </c>
      <c r="K2519" s="2">
        <v>455</v>
      </c>
      <c r="L2519" s="2">
        <v>54</v>
      </c>
      <c r="M2519" s="2"/>
      <c r="N2519" s="8">
        <v>41099.960972222223</v>
      </c>
      <c r="O2519" s="4"/>
      <c r="P2519" s="3" t="s">
        <v>1262</v>
      </c>
      <c r="Q2519" s="4"/>
      <c r="R2519" s="4"/>
      <c r="S2519" s="9" t="str">
        <f>HYPERLINK("https://pbs.twimg.com/profile_images/991411330040107008/7ycKgOUx.jpg","View")</f>
        <v>View</v>
      </c>
    </row>
    <row r="2520" spans="1:19" ht="20">
      <c r="A2520" s="8">
        <v>43369.957800925928</v>
      </c>
      <c r="B2520" s="11" t="str">
        <f>HYPERLINK("https://twitter.com/seyedporia","@seyedporia")</f>
        <v>@seyedporia</v>
      </c>
      <c r="C2520" s="6" t="s">
        <v>1249</v>
      </c>
      <c r="D2520" s="5" t="s">
        <v>982</v>
      </c>
      <c r="E2520" s="9" t="str">
        <f>HYPERLINK("https://twitter.com/seyedporia/status/1045032566313693184","1045032566313693184")</f>
        <v>1045032566313693184</v>
      </c>
      <c r="F2520" s="4"/>
      <c r="G2520" s="4"/>
      <c r="H2520" s="4"/>
      <c r="I2520" s="10" t="str">
        <f>HYPERLINK("http://twitter.com/download/android","Twitter for Android")</f>
        <v>Twitter for Android</v>
      </c>
      <c r="J2520" s="2">
        <v>1038</v>
      </c>
      <c r="K2520" s="2">
        <v>902</v>
      </c>
      <c r="L2520" s="2">
        <v>1</v>
      </c>
      <c r="M2520" s="2"/>
      <c r="N2520" s="8">
        <v>42282.690717592588</v>
      </c>
      <c r="O2520" s="4" t="s">
        <v>62</v>
      </c>
      <c r="P2520" s="3" t="s">
        <v>1247</v>
      </c>
      <c r="Q2520" s="4"/>
      <c r="R2520" s="4"/>
      <c r="S2520" s="9" t="str">
        <f>HYPERLINK("https://pbs.twimg.com/profile_images/1001749721852063744/L4lUbe_2.jpg","View")</f>
        <v>View</v>
      </c>
    </row>
    <row r="2521" spans="1:19" ht="20">
      <c r="A2521" s="8">
        <v>43369.957500000004</v>
      </c>
      <c r="B2521" s="11" t="str">
        <f>HYPERLINK("https://twitter.com/seyedporia","@seyedporia")</f>
        <v>@seyedporia</v>
      </c>
      <c r="C2521" s="6" t="s">
        <v>1249</v>
      </c>
      <c r="D2521" s="5" t="s">
        <v>163</v>
      </c>
      <c r="E2521" s="9" t="str">
        <f>HYPERLINK("https://twitter.com/seyedporia/status/1045032460143284224","1045032460143284224")</f>
        <v>1045032460143284224</v>
      </c>
      <c r="F2521" s="4"/>
      <c r="G2521" s="4"/>
      <c r="H2521" s="4"/>
      <c r="I2521" s="10" t="str">
        <f>HYPERLINK("http://twitter.com/download/android","Twitter for Android")</f>
        <v>Twitter for Android</v>
      </c>
      <c r="J2521" s="2">
        <v>1038</v>
      </c>
      <c r="K2521" s="2">
        <v>902</v>
      </c>
      <c r="L2521" s="2">
        <v>1</v>
      </c>
      <c r="M2521" s="2"/>
      <c r="N2521" s="8">
        <v>42282.690717592588</v>
      </c>
      <c r="O2521" s="4" t="s">
        <v>62</v>
      </c>
      <c r="P2521" s="3" t="s">
        <v>1247</v>
      </c>
      <c r="Q2521" s="4"/>
      <c r="R2521" s="4"/>
      <c r="S2521" s="9" t="str">
        <f>HYPERLINK("https://pbs.twimg.com/profile_images/1001749721852063744/L4lUbe_2.jpg","View")</f>
        <v>View</v>
      </c>
    </row>
    <row r="2522" spans="1:19" ht="50">
      <c r="A2522" s="8">
        <v>43369.957430555558</v>
      </c>
      <c r="B2522" s="11" t="str">
        <f>HYPERLINK("https://twitter.com/Hamzeh1039","@Hamzeh1039")</f>
        <v>@Hamzeh1039</v>
      </c>
      <c r="C2522" s="6" t="s">
        <v>1261</v>
      </c>
      <c r="D2522" s="5" t="s">
        <v>1168</v>
      </c>
      <c r="E2522" s="9" t="str">
        <f>HYPERLINK("https://twitter.com/Hamzeh1039/status/1045032434033676291","1045032434033676291")</f>
        <v>1045032434033676291</v>
      </c>
      <c r="F2522" s="4"/>
      <c r="G2522" s="10" t="s">
        <v>907</v>
      </c>
      <c r="H2522" s="4"/>
      <c r="I2522" s="10" t="str">
        <f>HYPERLINK("http://twitter.com/download/android","Twitter for Android")</f>
        <v>Twitter for Android</v>
      </c>
      <c r="J2522" s="2">
        <v>204</v>
      </c>
      <c r="K2522" s="2">
        <v>99</v>
      </c>
      <c r="L2522" s="2">
        <v>0</v>
      </c>
      <c r="M2522" s="2"/>
      <c r="N2522" s="8">
        <v>43092.906493055554</v>
      </c>
      <c r="O2522" s="4"/>
      <c r="P2522" s="3"/>
      <c r="Q2522" s="4"/>
      <c r="R2522" s="4"/>
      <c r="S2522" s="9" t="str">
        <f>HYPERLINK("https://pbs.twimg.com/profile_images/1006335160592293888/jY2G3fXB.jpg","View")</f>
        <v>View</v>
      </c>
    </row>
    <row r="2523" spans="1:19" ht="20">
      <c r="A2523" s="8">
        <v>43369.957361111112</v>
      </c>
      <c r="B2523" s="11" t="str">
        <f>HYPERLINK("https://twitter.com/Angel27875781","@Angel27875781")</f>
        <v>@Angel27875781</v>
      </c>
      <c r="C2523" s="6" t="s">
        <v>1064</v>
      </c>
      <c r="D2523" s="5" t="s">
        <v>354</v>
      </c>
      <c r="E2523" s="9" t="str">
        <f>HYPERLINK("https://twitter.com/Angel27875781/status/1045032409346056194","1045032409346056194")</f>
        <v>1045032409346056194</v>
      </c>
      <c r="F2523" s="4"/>
      <c r="G2523" s="4"/>
      <c r="H2523" s="4"/>
      <c r="I2523" s="10" t="str">
        <f>HYPERLINK("http://twitter.com/download/android","Twitter for Android")</f>
        <v>Twitter for Android</v>
      </c>
      <c r="J2523" s="2">
        <v>245</v>
      </c>
      <c r="K2523" s="2">
        <v>255</v>
      </c>
      <c r="L2523" s="2">
        <v>0</v>
      </c>
      <c r="M2523" s="2"/>
      <c r="N2523" s="8">
        <v>43356.696446759262</v>
      </c>
      <c r="O2523" s="4"/>
      <c r="P2523" s="3" t="s">
        <v>1063</v>
      </c>
      <c r="Q2523" s="4"/>
      <c r="R2523" s="4"/>
      <c r="S2523" s="9" t="str">
        <f>HYPERLINK("https://pbs.twimg.com/profile_images/1043961173048262656/TQ_D4NOQ.jpg","View")</f>
        <v>View</v>
      </c>
    </row>
    <row r="2524" spans="1:19" ht="30">
      <c r="A2524" s="8">
        <v>43369.957280092596</v>
      </c>
      <c r="B2524" s="11" t="str">
        <f>HYPERLINK("https://twitter.com/leylazare","@leylazare")</f>
        <v>@leylazare</v>
      </c>
      <c r="C2524" s="6" t="s">
        <v>1260</v>
      </c>
      <c r="D2524" s="5" t="s">
        <v>1259</v>
      </c>
      <c r="E2524" s="9" t="str">
        <f>HYPERLINK("https://twitter.com/leylazare/status/1045032377842634758","1045032377842634758")</f>
        <v>1045032377842634758</v>
      </c>
      <c r="F2524" s="4"/>
      <c r="G2524" s="4"/>
      <c r="H2524" s="4"/>
      <c r="I2524" s="10" t="str">
        <f>HYPERLINK("http://twitter.com/download/iphone","Twitter for iPhone")</f>
        <v>Twitter for iPhone</v>
      </c>
      <c r="J2524" s="2">
        <v>579</v>
      </c>
      <c r="K2524" s="2">
        <v>679</v>
      </c>
      <c r="L2524" s="2">
        <v>0</v>
      </c>
      <c r="M2524" s="2"/>
      <c r="N2524" s="8">
        <v>43223.969675925924</v>
      </c>
      <c r="O2524" s="4" t="s">
        <v>200</v>
      </c>
      <c r="P2524" s="3" t="s">
        <v>1258</v>
      </c>
      <c r="Q2524" s="4"/>
      <c r="R2524" s="4"/>
      <c r="S2524" s="9" t="str">
        <f>HYPERLINK("https://pbs.twimg.com/profile_images/1000819199957196800/MuOcRJig.jpg","View")</f>
        <v>View</v>
      </c>
    </row>
    <row r="2525" spans="1:19" ht="20">
      <c r="A2525" s="8">
        <v>43369.957233796296</v>
      </c>
      <c r="B2525" s="11" t="str">
        <f>HYPERLINK("https://twitter.com/Mr30bilo","@Mr30bilo")</f>
        <v>@Mr30bilo</v>
      </c>
      <c r="C2525" s="6" t="s">
        <v>716</v>
      </c>
      <c r="D2525" s="5" t="s">
        <v>1035</v>
      </c>
      <c r="E2525" s="9" t="str">
        <f>HYPERLINK("https://twitter.com/Mr30bilo/status/1045032363959484417","1045032363959484417")</f>
        <v>1045032363959484417</v>
      </c>
      <c r="F2525" s="4"/>
      <c r="G2525" s="10" t="s">
        <v>1015</v>
      </c>
      <c r="H2525" s="4"/>
      <c r="I2525" s="10" t="str">
        <f>HYPERLINK("http://twitter.com/download/android","Twitter for Android")</f>
        <v>Twitter for Android</v>
      </c>
      <c r="J2525" s="2">
        <v>1672</v>
      </c>
      <c r="K2525" s="2">
        <v>1653</v>
      </c>
      <c r="L2525" s="2">
        <v>2</v>
      </c>
      <c r="M2525" s="2"/>
      <c r="N2525" s="8">
        <v>43324.043113425927</v>
      </c>
      <c r="O2525" s="4" t="s">
        <v>62</v>
      </c>
      <c r="P2525" s="3" t="s">
        <v>715</v>
      </c>
      <c r="Q2525" s="10" t="s">
        <v>714</v>
      </c>
      <c r="R2525" s="4"/>
      <c r="S2525" s="9" t="str">
        <f>HYPERLINK("https://pbs.twimg.com/profile_images/1039795587997163521/Yv-4G512.jpg","View")</f>
        <v>View</v>
      </c>
    </row>
    <row r="2526" spans="1:19" ht="30">
      <c r="A2526" s="8">
        <v>43369.956921296296</v>
      </c>
      <c r="B2526" s="11" t="str">
        <f>HYPERLINK("https://twitter.com/mrmado25","@mrmado25")</f>
        <v>@mrmado25</v>
      </c>
      <c r="C2526" s="6" t="s">
        <v>1257</v>
      </c>
      <c r="D2526" s="5" t="s">
        <v>1256</v>
      </c>
      <c r="E2526" s="9" t="str">
        <f>HYPERLINK("https://twitter.com/mrmado25/status/1045032250272870401","1045032250272870401")</f>
        <v>1045032250272870401</v>
      </c>
      <c r="F2526" s="4"/>
      <c r="G2526" s="4"/>
      <c r="H2526" s="4"/>
      <c r="I2526" s="10" t="str">
        <f>HYPERLINK("http://twitter.com/download/iphone","Twitter for iPhone")</f>
        <v>Twitter for iPhone</v>
      </c>
      <c r="J2526" s="2">
        <v>9130</v>
      </c>
      <c r="K2526" s="2">
        <v>7157</v>
      </c>
      <c r="L2526" s="2">
        <v>26</v>
      </c>
      <c r="M2526" s="2"/>
      <c r="N2526" s="8">
        <v>42856.686458333337</v>
      </c>
      <c r="O2526" s="4" t="s">
        <v>1255</v>
      </c>
      <c r="P2526" s="3" t="s">
        <v>1254</v>
      </c>
      <c r="Q2526" s="4"/>
      <c r="R2526" s="4"/>
      <c r="S2526" s="9" t="str">
        <f>HYPERLINK("https://pbs.twimg.com/profile_images/879048583454044160/Uylr5nIz.jpg","View")</f>
        <v>View</v>
      </c>
    </row>
    <row r="2527" spans="1:19" ht="20">
      <c r="A2527" s="8">
        <v>43369.956817129627</v>
      </c>
      <c r="B2527" s="11" t="str">
        <f>HYPERLINK("https://twitter.com/dariushkh58","@dariushkh58")</f>
        <v>@dariushkh58</v>
      </c>
      <c r="C2527" s="6" t="s">
        <v>1253</v>
      </c>
      <c r="D2527" s="5" t="s">
        <v>1252</v>
      </c>
      <c r="E2527" s="9" t="str">
        <f>HYPERLINK("https://twitter.com/dariushkh58/status/1045032211412643841","1045032211412643841")</f>
        <v>1045032211412643841</v>
      </c>
      <c r="F2527" s="4"/>
      <c r="G2527" s="4"/>
      <c r="H2527" s="4"/>
      <c r="I2527" s="10" t="str">
        <f>HYPERLINK("http://twitter.com/download/android","Twitter for Android")</f>
        <v>Twitter for Android</v>
      </c>
      <c r="J2527" s="2">
        <v>498</v>
      </c>
      <c r="K2527" s="2">
        <v>1746</v>
      </c>
      <c r="L2527" s="2">
        <v>1</v>
      </c>
      <c r="M2527" s="2"/>
      <c r="N2527" s="8">
        <v>41373.710312499999</v>
      </c>
      <c r="O2527" s="4" t="s">
        <v>254</v>
      </c>
      <c r="P2527" s="3" t="s">
        <v>1251</v>
      </c>
      <c r="Q2527" s="10" t="s">
        <v>1250</v>
      </c>
      <c r="R2527" s="4"/>
      <c r="S2527" s="9" t="str">
        <f>HYPERLINK("https://pbs.twimg.com/profile_images/1044547955620040706/YfeWSlxq.jpg","View")</f>
        <v>View</v>
      </c>
    </row>
    <row r="2528" spans="1:19" ht="20">
      <c r="A2528" s="8">
        <v>43369.956805555557</v>
      </c>
      <c r="B2528" s="11" t="str">
        <f>HYPERLINK("https://twitter.com/seyedporia","@seyedporia")</f>
        <v>@seyedporia</v>
      </c>
      <c r="C2528" s="6" t="s">
        <v>1249</v>
      </c>
      <c r="D2528" s="5" t="s">
        <v>1248</v>
      </c>
      <c r="E2528" s="9" t="str">
        <f>HYPERLINK("https://twitter.com/seyedporia/status/1045032206404603904","1045032206404603904")</f>
        <v>1045032206404603904</v>
      </c>
      <c r="F2528" s="4"/>
      <c r="G2528" s="4"/>
      <c r="H2528" s="4"/>
      <c r="I2528" s="10" t="str">
        <f>HYPERLINK("http://twitter.com/download/android","Twitter for Android")</f>
        <v>Twitter for Android</v>
      </c>
      <c r="J2528" s="2">
        <v>1038</v>
      </c>
      <c r="K2528" s="2">
        <v>902</v>
      </c>
      <c r="L2528" s="2">
        <v>1</v>
      </c>
      <c r="M2528" s="2"/>
      <c r="N2528" s="8">
        <v>42282.690717592588</v>
      </c>
      <c r="O2528" s="4" t="s">
        <v>62</v>
      </c>
      <c r="P2528" s="3" t="s">
        <v>1247</v>
      </c>
      <c r="Q2528" s="4"/>
      <c r="R2528" s="4"/>
      <c r="S2528" s="9" t="str">
        <f>HYPERLINK("https://pbs.twimg.com/profile_images/1001749721852063744/L4lUbe_2.jpg","View")</f>
        <v>View</v>
      </c>
    </row>
    <row r="2529" spans="1:19" ht="30">
      <c r="A2529" s="8">
        <v>43369.95621527778</v>
      </c>
      <c r="B2529" s="11" t="str">
        <f>HYPERLINK("https://twitter.com/Darestanii","@Darestanii")</f>
        <v>@Darestanii</v>
      </c>
      <c r="C2529" s="6" t="s">
        <v>1246</v>
      </c>
      <c r="D2529" s="5" t="s">
        <v>1239</v>
      </c>
      <c r="E2529" s="9" t="str">
        <f>HYPERLINK("https://twitter.com/Darestanii/status/1045031993115906050","1045031993115906050")</f>
        <v>1045031993115906050</v>
      </c>
      <c r="F2529" s="4"/>
      <c r="G2529" s="4"/>
      <c r="H2529" s="4"/>
      <c r="I2529" s="10" t="str">
        <f>HYPERLINK("http://twitter.com/download/iphone","Twitter for iPhone")</f>
        <v>Twitter for iPhone</v>
      </c>
      <c r="J2529" s="2">
        <v>263</v>
      </c>
      <c r="K2529" s="2">
        <v>365</v>
      </c>
      <c r="L2529" s="2">
        <v>1</v>
      </c>
      <c r="M2529" s="2"/>
      <c r="N2529" s="8">
        <v>42901.506273148145</v>
      </c>
      <c r="O2529" s="4" t="s">
        <v>1245</v>
      </c>
      <c r="P2529" s="3" t="s">
        <v>1244</v>
      </c>
      <c r="Q2529" s="4"/>
      <c r="R2529" s="4"/>
      <c r="S2529" s="9" t="str">
        <f>HYPERLINK("https://pbs.twimg.com/profile_images/1024584371444047872/YWMzm3Xd.jpg","View")</f>
        <v>View</v>
      </c>
    </row>
    <row r="2530" spans="1:19" ht="20">
      <c r="A2530" s="8">
        <v>43369.955972222218</v>
      </c>
      <c r="B2530" s="11" t="str">
        <f>HYPERLINK("https://twitter.com/farshidabed","@farshidabed")</f>
        <v>@farshidabed</v>
      </c>
      <c r="C2530" s="6" t="s">
        <v>1243</v>
      </c>
      <c r="D2530" s="5" t="s">
        <v>1242</v>
      </c>
      <c r="E2530" s="9" t="str">
        <f>HYPERLINK("https://twitter.com/farshidabed/status/1045031906398666752","1045031906398666752")</f>
        <v>1045031906398666752</v>
      </c>
      <c r="F2530" s="4"/>
      <c r="G2530" s="4"/>
      <c r="H2530" s="4"/>
      <c r="I2530" s="10" t="str">
        <f>HYPERLINK("http://twitter.com/download/android","Twitter for Android")</f>
        <v>Twitter for Android</v>
      </c>
      <c r="J2530" s="2">
        <v>196</v>
      </c>
      <c r="K2530" s="2">
        <v>422</v>
      </c>
      <c r="L2530" s="2">
        <v>0</v>
      </c>
      <c r="M2530" s="2"/>
      <c r="N2530" s="8">
        <v>42753.93173611111</v>
      </c>
      <c r="O2530" s="4" t="s">
        <v>254</v>
      </c>
      <c r="P2530" s="3" t="s">
        <v>1241</v>
      </c>
      <c r="Q2530" s="4"/>
      <c r="R2530" s="4"/>
      <c r="S2530" s="9" t="str">
        <f>HYPERLINK("https://pbs.twimg.com/profile_images/990317878112120833/9btW777e.jpg","View")</f>
        <v>View</v>
      </c>
    </row>
    <row r="2531" spans="1:19" ht="30">
      <c r="A2531" s="8">
        <v>43369.955462962964</v>
      </c>
      <c r="B2531" s="11" t="str">
        <f>HYPERLINK("https://twitter.com/toomadj","@toomadj")</f>
        <v>@toomadj</v>
      </c>
      <c r="C2531" s="6" t="s">
        <v>1240</v>
      </c>
      <c r="D2531" s="5" t="s">
        <v>1239</v>
      </c>
      <c r="E2531" s="9" t="str">
        <f>HYPERLINK("https://twitter.com/toomadj/status/1045031721866055680","1045031721866055680")</f>
        <v>1045031721866055680</v>
      </c>
      <c r="F2531" s="4"/>
      <c r="G2531" s="4"/>
      <c r="H2531" s="4"/>
      <c r="I2531" s="10" t="str">
        <f>HYPERLINK("http://twitter.com/download/android","Twitter for Android")</f>
        <v>Twitter for Android</v>
      </c>
      <c r="J2531" s="2">
        <v>2131</v>
      </c>
      <c r="K2531" s="2">
        <v>1180</v>
      </c>
      <c r="L2531" s="2">
        <v>13</v>
      </c>
      <c r="M2531" s="2"/>
      <c r="N2531" s="8">
        <v>39884.637615740743</v>
      </c>
      <c r="O2531" s="4"/>
      <c r="P2531" s="3" t="s">
        <v>1238</v>
      </c>
      <c r="Q2531" s="4"/>
      <c r="R2531" s="4"/>
      <c r="S2531" s="9" t="str">
        <f>HYPERLINK("https://pbs.twimg.com/profile_images/824277971456376832/I941WXSV.jpg","View")</f>
        <v>View</v>
      </c>
    </row>
    <row r="2532" spans="1:19" ht="12.5">
      <c r="A2532" s="8">
        <v>43369.955358796295</v>
      </c>
      <c r="B2532" s="11" t="str">
        <f>HYPERLINK("https://twitter.com/mojix2370","@mojix2370")</f>
        <v>@mojix2370</v>
      </c>
      <c r="C2532" s="6" t="s">
        <v>1237</v>
      </c>
      <c r="D2532" s="5" t="s">
        <v>1236</v>
      </c>
      <c r="E2532" s="9" t="str">
        <f>HYPERLINK("https://twitter.com/mojix2370/status/1045031683169427456","1045031683169427456")</f>
        <v>1045031683169427456</v>
      </c>
      <c r="F2532" s="4"/>
      <c r="G2532" s="4"/>
      <c r="H2532" s="4"/>
      <c r="I2532" s="10" t="str">
        <f>HYPERLINK("http://twitter.com/download/iphone","Twitter for iPhone")</f>
        <v>Twitter for iPhone</v>
      </c>
      <c r="J2532" s="2">
        <v>757</v>
      </c>
      <c r="K2532" s="2">
        <v>1219</v>
      </c>
      <c r="L2532" s="2">
        <v>1</v>
      </c>
      <c r="M2532" s="2"/>
      <c r="N2532" s="8">
        <v>42383.882303240738</v>
      </c>
      <c r="O2532" s="4" t="s">
        <v>200</v>
      </c>
      <c r="P2532" s="3" t="s">
        <v>1235</v>
      </c>
      <c r="Q2532" s="4"/>
      <c r="R2532" s="4"/>
      <c r="S2532" s="9" t="str">
        <f>HYPERLINK("https://pbs.twimg.com/profile_images/1042874594766581760/RWnhfcWm.jpg","View")</f>
        <v>View</v>
      </c>
    </row>
    <row r="2533" spans="1:19" ht="20">
      <c r="A2533" s="8">
        <v>43369.955243055556</v>
      </c>
      <c r="B2533" s="11" t="str">
        <f>HYPERLINK("https://twitter.com/amire_tanha","@amire_tanha")</f>
        <v>@amire_tanha</v>
      </c>
      <c r="C2533" s="6" t="s">
        <v>1234</v>
      </c>
      <c r="D2533" s="5" t="s">
        <v>1233</v>
      </c>
      <c r="E2533" s="9" t="str">
        <f>HYPERLINK("https://twitter.com/amire_tanha/status/1045031641301876736","1045031641301876736")</f>
        <v>1045031641301876736</v>
      </c>
      <c r="F2533" s="4"/>
      <c r="G2533" s="10" t="s">
        <v>1232</v>
      </c>
      <c r="H2533" s="4"/>
      <c r="I2533" s="10" t="str">
        <f>HYPERLINK("http://twitter.com/download/iphone","Twitter for iPhone")</f>
        <v>Twitter for iPhone</v>
      </c>
      <c r="J2533" s="2">
        <v>7486</v>
      </c>
      <c r="K2533" s="2">
        <v>3889</v>
      </c>
      <c r="L2533" s="2">
        <v>31</v>
      </c>
      <c r="M2533" s="2"/>
      <c r="N2533" s="8">
        <v>41558.983773148146</v>
      </c>
      <c r="O2533" s="4" t="s">
        <v>254</v>
      </c>
      <c r="P2533" s="3" t="s">
        <v>1231</v>
      </c>
      <c r="Q2533" s="10" t="s">
        <v>1230</v>
      </c>
      <c r="R2533" s="4"/>
      <c r="S2533" s="9" t="str">
        <f>HYPERLINK("https://pbs.twimg.com/profile_images/1042760339673239552/YG70mAqv.jpg","View")</f>
        <v>View</v>
      </c>
    </row>
    <row r="2534" spans="1:19" ht="20">
      <c r="A2534" s="8">
        <v>43369.955196759256</v>
      </c>
      <c r="B2534" s="11" t="str">
        <f>HYPERLINK("https://twitter.com/mostaqelazzaman","@mostaqelazzaman")</f>
        <v>@mostaqelazzaman</v>
      </c>
      <c r="C2534" s="6" t="s">
        <v>1229</v>
      </c>
      <c r="D2534" s="5" t="s">
        <v>1228</v>
      </c>
      <c r="E2534" s="9" t="str">
        <f>HYPERLINK("https://twitter.com/mostaqelazzaman/status/1045031625304788993","1045031625304788993")</f>
        <v>1045031625304788993</v>
      </c>
      <c r="F2534" s="4"/>
      <c r="G2534" s="10" t="s">
        <v>1227</v>
      </c>
      <c r="H2534" s="4"/>
      <c r="I2534" s="10" t="str">
        <f>HYPERLINK("http://twitter.com/download/android","Twitter for Android")</f>
        <v>Twitter for Android</v>
      </c>
      <c r="J2534" s="2">
        <v>716</v>
      </c>
      <c r="K2534" s="2">
        <v>276</v>
      </c>
      <c r="L2534" s="2">
        <v>8</v>
      </c>
      <c r="M2534" s="2"/>
      <c r="N2534" s="8">
        <v>42606.690613425926</v>
      </c>
      <c r="O2534" s="4" t="s">
        <v>414</v>
      </c>
      <c r="P2534" s="3" t="s">
        <v>1226</v>
      </c>
      <c r="Q2534" s="10" t="s">
        <v>1225</v>
      </c>
      <c r="R2534" s="4"/>
      <c r="S2534" s="9" t="str">
        <f>HYPERLINK("https://pbs.twimg.com/profile_images/1043966876454457345/w2lDBRMB.jpg","View")</f>
        <v>View</v>
      </c>
    </row>
    <row r="2535" spans="1:19" ht="50">
      <c r="A2535" s="8">
        <v>43369.95511574074</v>
      </c>
      <c r="B2535" s="11" t="str">
        <f>HYPERLINK("https://twitter.com/SonPersia","@SonPersia")</f>
        <v>@SonPersia</v>
      </c>
      <c r="C2535" s="6" t="s">
        <v>1224</v>
      </c>
      <c r="D2535" s="5" t="s">
        <v>1168</v>
      </c>
      <c r="E2535" s="9" t="str">
        <f>HYPERLINK("https://twitter.com/SonPersia/status/1045031594225029120","1045031594225029120")</f>
        <v>1045031594225029120</v>
      </c>
      <c r="F2535" s="4"/>
      <c r="G2535" s="10" t="s">
        <v>907</v>
      </c>
      <c r="H2535" s="4"/>
      <c r="I2535" s="10" t="str">
        <f>HYPERLINK("http://twitter.com/download/iphone","Twitter for iPhone")</f>
        <v>Twitter for iPhone</v>
      </c>
      <c r="J2535" s="2">
        <v>124</v>
      </c>
      <c r="K2535" s="2">
        <v>182</v>
      </c>
      <c r="L2535" s="2">
        <v>0</v>
      </c>
      <c r="M2535" s="2"/>
      <c r="N2535" s="8">
        <v>43079.946539351848</v>
      </c>
      <c r="O2535" s="4"/>
      <c r="P2535" s="3" t="s">
        <v>1223</v>
      </c>
      <c r="Q2535" s="4"/>
      <c r="R2535" s="4"/>
      <c r="S2535" s="9" t="str">
        <f>HYPERLINK("https://pbs.twimg.com/profile_images/1044101851304644613/0Yfk-f4z.jpg","View")</f>
        <v>View</v>
      </c>
    </row>
    <row r="2536" spans="1:19" ht="30">
      <c r="A2536" s="8">
        <v>43369.955034722225</v>
      </c>
      <c r="B2536" s="11" t="str">
        <f>HYPERLINK("https://twitter.com/s_m_altaha","@s_m_altaha")</f>
        <v>@s_m_altaha</v>
      </c>
      <c r="C2536" s="6" t="s">
        <v>1222</v>
      </c>
      <c r="D2536" s="5" t="s">
        <v>1221</v>
      </c>
      <c r="E2536" s="9" t="str">
        <f>HYPERLINK("https://twitter.com/s_m_altaha/status/1045031564948762626","1045031564948762626")</f>
        <v>1045031564948762626</v>
      </c>
      <c r="F2536" s="4"/>
      <c r="G2536" s="4"/>
      <c r="H2536" s="4"/>
      <c r="I2536" s="10" t="str">
        <f>HYPERLINK("http://twitter.com/download/android","Twitter for Android")</f>
        <v>Twitter for Android</v>
      </c>
      <c r="J2536" s="2">
        <v>4730</v>
      </c>
      <c r="K2536" s="2">
        <v>814</v>
      </c>
      <c r="L2536" s="2">
        <v>27</v>
      </c>
      <c r="M2536" s="2"/>
      <c r="N2536" s="8">
        <v>41440.589212962965</v>
      </c>
      <c r="O2536" s="4" t="s">
        <v>254</v>
      </c>
      <c r="P2536" s="3" t="s">
        <v>1220</v>
      </c>
      <c r="Q2536" s="4"/>
      <c r="R2536" s="4"/>
      <c r="S2536" s="9" t="str">
        <f>HYPERLINK("https://pbs.twimg.com/profile_images/1015004581925916672/-4aJ0e1V.jpg","View")</f>
        <v>View</v>
      </c>
    </row>
    <row r="2537" spans="1:19" ht="50">
      <c r="A2537" s="8">
        <v>43369.954456018517</v>
      </c>
      <c r="B2537" s="11" t="str">
        <f>HYPERLINK("https://twitter.com/renehossein","@renehossein")</f>
        <v>@renehossein</v>
      </c>
      <c r="C2537" s="6" t="s">
        <v>1219</v>
      </c>
      <c r="D2537" s="5" t="s">
        <v>1168</v>
      </c>
      <c r="E2537" s="9" t="str">
        <f>HYPERLINK("https://twitter.com/renehossein/status/1045031355791421443","1045031355791421443")</f>
        <v>1045031355791421443</v>
      </c>
      <c r="F2537" s="4"/>
      <c r="G2537" s="10" t="s">
        <v>907</v>
      </c>
      <c r="H2537" s="4"/>
      <c r="I2537" s="10" t="str">
        <f>HYPERLINK("https://mobile.twitter.com","Twitter Lite")</f>
        <v>Twitter Lite</v>
      </c>
      <c r="J2537" s="2">
        <v>1234</v>
      </c>
      <c r="K2537" s="2">
        <v>1148</v>
      </c>
      <c r="L2537" s="2">
        <v>3</v>
      </c>
      <c r="M2537" s="2"/>
      <c r="N2537" s="8">
        <v>42748.791805555556</v>
      </c>
      <c r="O2537" s="4"/>
      <c r="P2537" s="3" t="s">
        <v>1218</v>
      </c>
      <c r="Q2537" s="4"/>
      <c r="R2537" s="4"/>
      <c r="S2537" s="9" t="str">
        <f>HYPERLINK("https://pbs.twimg.com/profile_images/1018956489787166723/GO27BED8.jpg","View")</f>
        <v>View</v>
      </c>
    </row>
    <row r="2538" spans="1:19" ht="50">
      <c r="A2538" s="8">
        <v>43369.953692129631</v>
      </c>
      <c r="B2538" s="11" t="str">
        <f>HYPERLINK("https://twitter.com/Sushiant11","@Sushiant11")</f>
        <v>@Sushiant11</v>
      </c>
      <c r="C2538" s="6" t="s">
        <v>1217</v>
      </c>
      <c r="D2538" s="5" t="s">
        <v>1168</v>
      </c>
      <c r="E2538" s="9" t="str">
        <f>HYPERLINK("https://twitter.com/Sushiant11/status/1045031080083038208","1045031080083038208")</f>
        <v>1045031080083038208</v>
      </c>
      <c r="F2538" s="4"/>
      <c r="G2538" s="10" t="s">
        <v>907</v>
      </c>
      <c r="H2538" s="4"/>
      <c r="I2538" s="10" t="str">
        <f>HYPERLINK("http://twitter.com/download/android","Twitter for Android")</f>
        <v>Twitter for Android</v>
      </c>
      <c r="J2538" s="2">
        <v>273</v>
      </c>
      <c r="K2538" s="2">
        <v>469</v>
      </c>
      <c r="L2538" s="2">
        <v>1</v>
      </c>
      <c r="M2538" s="2"/>
      <c r="N2538" s="8">
        <v>43286.715868055559</v>
      </c>
      <c r="O2538" s="4"/>
      <c r="P2538" s="3" t="s">
        <v>1216</v>
      </c>
      <c r="Q2538" s="4"/>
      <c r="R2538" s="4"/>
      <c r="S2538" s="9" t="str">
        <f>HYPERLINK("https://pbs.twimg.com/profile_images/1042518035821748230/zC545C26.jpg","View")</f>
        <v>View</v>
      </c>
    </row>
    <row r="2539" spans="1:19" ht="50">
      <c r="A2539" s="8">
        <v>43369.953553240739</v>
      </c>
      <c r="B2539" s="11" t="str">
        <f>HYPERLINK("https://twitter.com/VEngelab","@VEngelab")</f>
        <v>@VEngelab</v>
      </c>
      <c r="C2539" s="6" t="s">
        <v>923</v>
      </c>
      <c r="D2539" s="5" t="s">
        <v>1168</v>
      </c>
      <c r="E2539" s="9" t="str">
        <f>HYPERLINK("https://twitter.com/VEngelab/status/1045031027436126208","1045031027436126208")</f>
        <v>1045031027436126208</v>
      </c>
      <c r="F2539" s="4"/>
      <c r="G2539" s="10" t="s">
        <v>907</v>
      </c>
      <c r="H2539" s="4"/>
      <c r="I2539" s="10" t="str">
        <f>HYPERLINK("http://twitter.com/download/iphone","Twitter for iPhone")</f>
        <v>Twitter for iPhone</v>
      </c>
      <c r="J2539" s="2">
        <v>224</v>
      </c>
      <c r="K2539" s="2">
        <v>152</v>
      </c>
      <c r="L2539" s="2">
        <v>0</v>
      </c>
      <c r="M2539" s="2"/>
      <c r="N2539" s="8">
        <v>41554.705069444448</v>
      </c>
      <c r="O2539" s="4"/>
      <c r="P2539" s="3"/>
      <c r="Q2539" s="4"/>
      <c r="R2539" s="4"/>
      <c r="S2539" s="9" t="str">
        <f>HYPERLINK("https://pbs.twimg.com/profile_images/999063312590503936/wqcUs7jT.jpg","View")</f>
        <v>View</v>
      </c>
    </row>
    <row r="2540" spans="1:19" ht="30">
      <c r="A2540" s="8">
        <v>43369.953217592592</v>
      </c>
      <c r="B2540" s="11" t="str">
        <f>HYPERLINK("https://twitter.com/Far_naz64","@Far_naz64")</f>
        <v>@Far_naz64</v>
      </c>
      <c r="C2540" s="6" t="s">
        <v>1098</v>
      </c>
      <c r="D2540" s="5" t="s">
        <v>1215</v>
      </c>
      <c r="E2540" s="9" t="str">
        <f>HYPERLINK("https://twitter.com/Far_naz64/status/1045030908263354369","1045030908263354369")</f>
        <v>1045030908263354369</v>
      </c>
      <c r="F2540" s="4"/>
      <c r="G2540" s="10" t="s">
        <v>1214</v>
      </c>
      <c r="H2540" s="4"/>
      <c r="I2540" s="10" t="str">
        <f>HYPERLINK("http://twitter.com/download/iphone","Twitter for iPhone")</f>
        <v>Twitter for iPhone</v>
      </c>
      <c r="J2540" s="2">
        <v>12014</v>
      </c>
      <c r="K2540" s="2">
        <v>8634</v>
      </c>
      <c r="L2540" s="2">
        <v>67</v>
      </c>
      <c r="M2540" s="2"/>
      <c r="N2540" s="8">
        <v>40598.671585648146</v>
      </c>
      <c r="O2540" s="4" t="s">
        <v>1095</v>
      </c>
      <c r="P2540" s="3" t="s">
        <v>1094</v>
      </c>
      <c r="Q2540" s="10" t="s">
        <v>1093</v>
      </c>
      <c r="R2540" s="4"/>
      <c r="S2540" s="9" t="str">
        <f>HYPERLINK("https://pbs.twimg.com/profile_images/1040985112207339520/4EAnrJt6.jpg","View")</f>
        <v>View</v>
      </c>
    </row>
    <row r="2541" spans="1:19" ht="20">
      <c r="A2541" s="8">
        <v>43369.953078703707</v>
      </c>
      <c r="B2541" s="11" t="str">
        <f>HYPERLINK("https://twitter.com/arezooahmadi7","@arezooahmadi7")</f>
        <v>@arezooahmadi7</v>
      </c>
      <c r="C2541" s="6" t="s">
        <v>1213</v>
      </c>
      <c r="D2541" s="5" t="s">
        <v>1212</v>
      </c>
      <c r="E2541" s="9" t="str">
        <f>HYPERLINK("https://twitter.com/arezooahmadi7/status/1045030856237228033","1045030856237228033")</f>
        <v>1045030856237228033</v>
      </c>
      <c r="F2541" s="4"/>
      <c r="G2541" s="4"/>
      <c r="H2541" s="4"/>
      <c r="I2541" s="10" t="str">
        <f>HYPERLINK("https://mobile.twitter.com","Twitter Lite")</f>
        <v>Twitter Lite</v>
      </c>
      <c r="J2541" s="2">
        <v>39</v>
      </c>
      <c r="K2541" s="2">
        <v>23</v>
      </c>
      <c r="L2541" s="2">
        <v>0</v>
      </c>
      <c r="M2541" s="2"/>
      <c r="N2541" s="8">
        <v>42688.849826388891</v>
      </c>
      <c r="O2541" s="4"/>
      <c r="P2541" s="3"/>
      <c r="Q2541" s="4"/>
      <c r="R2541" s="4"/>
      <c r="S2541" s="9" t="str">
        <f>HYPERLINK("https://pbs.twimg.com/profile_images/984754282007334913/zkVgSL3H.jpg","View")</f>
        <v>View</v>
      </c>
    </row>
    <row r="2542" spans="1:19" ht="20">
      <c r="A2542" s="8">
        <v>43369.953043981484</v>
      </c>
      <c r="B2542" s="11" t="str">
        <f>HYPERLINK("https://twitter.com/aghahesam912","@aghahesam912")</f>
        <v>@aghahesam912</v>
      </c>
      <c r="C2542" s="6" t="s">
        <v>1152</v>
      </c>
      <c r="D2542" s="5" t="s">
        <v>1151</v>
      </c>
      <c r="E2542" s="9" t="str">
        <f>HYPERLINK("https://twitter.com/aghahesam912/status/1045030842878300160","1045030842878300160")</f>
        <v>1045030842878300160</v>
      </c>
      <c r="F2542" s="4"/>
      <c r="G2542" s="4"/>
      <c r="H2542" s="4"/>
      <c r="I2542" s="10" t="str">
        <f>HYPERLINK("http://twitter.com/#!/download/ipad","Twitter for iPad")</f>
        <v>Twitter for iPad</v>
      </c>
      <c r="J2542" s="2">
        <v>2559</v>
      </c>
      <c r="K2542" s="2">
        <v>4835</v>
      </c>
      <c r="L2542" s="2">
        <v>3</v>
      </c>
      <c r="M2542" s="2"/>
      <c r="N2542" s="8">
        <v>41872.480185185181</v>
      </c>
      <c r="O2542" s="4" t="s">
        <v>72</v>
      </c>
      <c r="P2542" s="3" t="s">
        <v>1150</v>
      </c>
      <c r="Q2542" s="10" t="s">
        <v>1149</v>
      </c>
      <c r="R2542" s="4"/>
      <c r="S2542" s="9" t="str">
        <f>HYPERLINK("https://pbs.twimg.com/profile_images/959883247453949953/ZRluifnf.jpg","View")</f>
        <v>View</v>
      </c>
    </row>
    <row r="2543" spans="1:19" ht="20">
      <c r="A2543" s="8">
        <v>43369.952881944446</v>
      </c>
      <c r="B2543" s="11" t="str">
        <f>HYPERLINK("https://twitter.com/Mr30bilo","@Mr30bilo")</f>
        <v>@Mr30bilo</v>
      </c>
      <c r="C2543" s="6" t="s">
        <v>716</v>
      </c>
      <c r="D2543" s="5" t="s">
        <v>354</v>
      </c>
      <c r="E2543" s="9" t="str">
        <f>HYPERLINK("https://twitter.com/Mr30bilo/status/1045030785886146565","1045030785886146565")</f>
        <v>1045030785886146565</v>
      </c>
      <c r="F2543" s="4"/>
      <c r="G2543" s="4"/>
      <c r="H2543" s="4"/>
      <c r="I2543" s="10" t="str">
        <f>HYPERLINK("http://twitter.com/download/android","Twitter for Android")</f>
        <v>Twitter for Android</v>
      </c>
      <c r="J2543" s="2">
        <v>1672</v>
      </c>
      <c r="K2543" s="2">
        <v>1653</v>
      </c>
      <c r="L2543" s="2">
        <v>2</v>
      </c>
      <c r="M2543" s="2"/>
      <c r="N2543" s="8">
        <v>43324.043113425927</v>
      </c>
      <c r="O2543" s="4" t="s">
        <v>62</v>
      </c>
      <c r="P2543" s="3" t="s">
        <v>715</v>
      </c>
      <c r="Q2543" s="10" t="s">
        <v>714</v>
      </c>
      <c r="R2543" s="4"/>
      <c r="S2543" s="9" t="str">
        <f>HYPERLINK("https://pbs.twimg.com/profile_images/1039795587997163521/Yv-4G512.jpg","View")</f>
        <v>View</v>
      </c>
    </row>
    <row r="2544" spans="1:19" ht="12.5">
      <c r="A2544" s="8">
        <v>43369.9528587963</v>
      </c>
      <c r="B2544" s="11" t="str">
        <f>HYPERLINK("https://twitter.com/ploto2546","@ploto2546")</f>
        <v>@ploto2546</v>
      </c>
      <c r="C2544" s="6" t="s">
        <v>264</v>
      </c>
      <c r="D2544" s="5" t="s">
        <v>1211</v>
      </c>
      <c r="E2544" s="9" t="str">
        <f>HYPERLINK("https://twitter.com/ploto2546/status/1045030778420297729","1045030778420297729")</f>
        <v>1045030778420297729</v>
      </c>
      <c r="F2544" s="4"/>
      <c r="G2544" s="4"/>
      <c r="H2544" s="4"/>
      <c r="I2544" s="10" t="str">
        <f>HYPERLINK("http://twitter.com/download/android","Twitter for Android")</f>
        <v>Twitter for Android</v>
      </c>
      <c r="J2544" s="2">
        <v>1663</v>
      </c>
      <c r="K2544" s="2">
        <v>1868</v>
      </c>
      <c r="L2544" s="2">
        <v>5</v>
      </c>
      <c r="M2544" s="2"/>
      <c r="N2544" s="8">
        <v>43207.184918981482</v>
      </c>
      <c r="O2544" s="4" t="s">
        <v>262</v>
      </c>
      <c r="P2544" s="3" t="s">
        <v>261</v>
      </c>
      <c r="Q2544" s="4"/>
      <c r="R2544" s="4"/>
      <c r="S2544" s="9" t="str">
        <f>HYPERLINK("https://pbs.twimg.com/profile_images/1025171503271301127/S_pGLx0M.jpg","View")</f>
        <v>View</v>
      </c>
    </row>
    <row r="2545" spans="1:19" ht="50">
      <c r="A2545" s="8">
        <v>43369.952303240745</v>
      </c>
      <c r="B2545" s="11" t="str">
        <f>HYPERLINK("https://twitter.com/irankhaton","@irankhaton")</f>
        <v>@irankhaton</v>
      </c>
      <c r="C2545" s="6" t="s">
        <v>1210</v>
      </c>
      <c r="D2545" s="5" t="s">
        <v>1168</v>
      </c>
      <c r="E2545" s="9" t="str">
        <f>HYPERLINK("https://twitter.com/irankhaton/status/1045030575533424643","1045030575533424643")</f>
        <v>1045030575533424643</v>
      </c>
      <c r="F2545" s="4"/>
      <c r="G2545" s="10" t="s">
        <v>907</v>
      </c>
      <c r="H2545" s="4"/>
      <c r="I2545" s="10" t="str">
        <f>HYPERLINK("http://twitter.com/download/android","Twitter for Android")</f>
        <v>Twitter for Android</v>
      </c>
      <c r="J2545" s="2">
        <v>147</v>
      </c>
      <c r="K2545" s="2">
        <v>182</v>
      </c>
      <c r="L2545" s="2">
        <v>0</v>
      </c>
      <c r="M2545" s="2"/>
      <c r="N2545" s="8">
        <v>43203.094085648147</v>
      </c>
      <c r="O2545" s="4" t="s">
        <v>1209</v>
      </c>
      <c r="P2545" s="3" t="s">
        <v>1208</v>
      </c>
      <c r="Q2545" s="4"/>
      <c r="R2545" s="4"/>
      <c r="S2545" s="9" t="str">
        <f>HYPERLINK("https://pbs.twimg.com/profile_images/1039301656083554305/rATHLEdJ.jpg","View")</f>
        <v>View</v>
      </c>
    </row>
    <row r="2546" spans="1:19" ht="12.5">
      <c r="A2546" s="8">
        <v>43369.95207175926</v>
      </c>
      <c r="B2546" s="11" t="str">
        <f>HYPERLINK("https://twitter.com/shikarinkito","@shikarinkito")</f>
        <v>@shikarinkito</v>
      </c>
      <c r="C2546" s="6" t="s">
        <v>1207</v>
      </c>
      <c r="D2546" s="5" t="s">
        <v>1206</v>
      </c>
      <c r="E2546" s="9" t="str">
        <f>HYPERLINK("https://twitter.com/shikarinkito/status/1045030490451922946","1045030490451922946")</f>
        <v>1045030490451922946</v>
      </c>
      <c r="F2546" s="4"/>
      <c r="G2546" s="4"/>
      <c r="H2546" s="4"/>
      <c r="I2546" s="10" t="str">
        <f>HYPERLINK("http://twitter.com/download/iphone","Twitter for iPhone")</f>
        <v>Twitter for iPhone</v>
      </c>
      <c r="J2546" s="2">
        <v>255</v>
      </c>
      <c r="K2546" s="2">
        <v>113</v>
      </c>
      <c r="L2546" s="2">
        <v>4</v>
      </c>
      <c r="M2546" s="2"/>
      <c r="N2546" s="8">
        <v>39956.58798611111</v>
      </c>
      <c r="O2546" s="4" t="s">
        <v>1205</v>
      </c>
      <c r="P2546" s="3" t="s">
        <v>1204</v>
      </c>
      <c r="Q2546" s="4"/>
      <c r="R2546" s="4"/>
      <c r="S2546" s="9" t="str">
        <f>HYPERLINK("https://pbs.twimg.com/profile_images/1035075296163246085/_BQ5jsl9.jpg","View")</f>
        <v>View</v>
      </c>
    </row>
    <row r="2547" spans="1:19" ht="20">
      <c r="A2547" s="8">
        <v>43369.951990740738</v>
      </c>
      <c r="B2547" s="11" t="str">
        <f>HYPERLINK("https://twitter.com/aghahesam912","@aghahesam912")</f>
        <v>@aghahesam912</v>
      </c>
      <c r="C2547" s="6" t="s">
        <v>1152</v>
      </c>
      <c r="D2547" s="5" t="s">
        <v>1203</v>
      </c>
      <c r="E2547" s="9" t="str">
        <f>HYPERLINK("https://twitter.com/aghahesam912/status/1045030463776141312","1045030463776141312")</f>
        <v>1045030463776141312</v>
      </c>
      <c r="F2547" s="4"/>
      <c r="G2547" s="4"/>
      <c r="H2547" s="4"/>
      <c r="I2547" s="10" t="str">
        <f>HYPERLINK("http://twitter.com/#!/download/ipad","Twitter for iPad")</f>
        <v>Twitter for iPad</v>
      </c>
      <c r="J2547" s="2">
        <v>2559</v>
      </c>
      <c r="K2547" s="2">
        <v>4835</v>
      </c>
      <c r="L2547" s="2">
        <v>3</v>
      </c>
      <c r="M2547" s="2"/>
      <c r="N2547" s="8">
        <v>41872.480185185181</v>
      </c>
      <c r="O2547" s="4" t="s">
        <v>72</v>
      </c>
      <c r="P2547" s="3" t="s">
        <v>1150</v>
      </c>
      <c r="Q2547" s="10" t="s">
        <v>1149</v>
      </c>
      <c r="R2547" s="4"/>
      <c r="S2547" s="9" t="str">
        <f>HYPERLINK("https://pbs.twimg.com/profile_images/959883247453949953/ZRluifnf.jpg","View")</f>
        <v>View</v>
      </c>
    </row>
    <row r="2548" spans="1:19" ht="30">
      <c r="A2548" s="8">
        <v>43369.951712962968</v>
      </c>
      <c r="B2548" s="11" t="str">
        <f>HYPERLINK("https://twitter.com/Perel43471228","@Perel43471228")</f>
        <v>@Perel43471228</v>
      </c>
      <c r="C2548" s="6" t="s">
        <v>1202</v>
      </c>
      <c r="D2548" s="5" t="s">
        <v>1201</v>
      </c>
      <c r="E2548" s="9" t="str">
        <f>HYPERLINK("https://twitter.com/Perel43471228/status/1045030361514856449","1045030361514856449")</f>
        <v>1045030361514856449</v>
      </c>
      <c r="F2548" s="4"/>
      <c r="G2548" s="4"/>
      <c r="H2548" s="4"/>
      <c r="I2548" s="10" t="str">
        <f>HYPERLINK("http://twitter.com/download/iphone","Twitter for iPhone")</f>
        <v>Twitter for iPhone</v>
      </c>
      <c r="J2548" s="2">
        <v>44</v>
      </c>
      <c r="K2548" s="2">
        <v>80</v>
      </c>
      <c r="L2548" s="2">
        <v>0</v>
      </c>
      <c r="M2548" s="2"/>
      <c r="N2548" s="8">
        <v>43270.135648148149</v>
      </c>
      <c r="O2548" s="4"/>
      <c r="P2548" s="3"/>
      <c r="Q2548" s="4"/>
      <c r="R2548" s="4"/>
      <c r="S2548" s="9" t="str">
        <f>HYPERLINK("https://pbs.twimg.com/profile_images/1010970332122046470/6r5ZQWGC.jpg","View")</f>
        <v>View</v>
      </c>
    </row>
    <row r="2549" spans="1:19" ht="50">
      <c r="A2549" s="8">
        <v>43369.951215277775</v>
      </c>
      <c r="B2549" s="11" t="str">
        <f>HYPERLINK("https://twitter.com/ShaghayeghSjS","@ShaghayeghSjS")</f>
        <v>@ShaghayeghSjS</v>
      </c>
      <c r="C2549" s="6" t="s">
        <v>1200</v>
      </c>
      <c r="D2549" s="5" t="s">
        <v>1168</v>
      </c>
      <c r="E2549" s="9" t="str">
        <f>HYPERLINK("https://twitter.com/ShaghayeghSjS/status/1045030182233542656","1045030182233542656")</f>
        <v>1045030182233542656</v>
      </c>
      <c r="F2549" s="4"/>
      <c r="G2549" s="10" t="s">
        <v>907</v>
      </c>
      <c r="H2549" s="4"/>
      <c r="I2549" s="10" t="str">
        <f>HYPERLINK("http://twitter.com/download/android","Twitter for Android")</f>
        <v>Twitter for Android</v>
      </c>
      <c r="J2549" s="2">
        <v>157</v>
      </c>
      <c r="K2549" s="2">
        <v>174</v>
      </c>
      <c r="L2549" s="2">
        <v>3</v>
      </c>
      <c r="M2549" s="2"/>
      <c r="N2549" s="8">
        <v>42453.059560185182</v>
      </c>
      <c r="O2549" s="4" t="s">
        <v>1199</v>
      </c>
      <c r="P2549" s="3" t="s">
        <v>1198</v>
      </c>
      <c r="Q2549" s="4"/>
      <c r="R2549" s="4"/>
      <c r="S2549" s="9" t="str">
        <f>HYPERLINK("https://pbs.twimg.com/profile_images/1045020740725149696/iRbISl5G.jpg","View")</f>
        <v>View</v>
      </c>
    </row>
    <row r="2550" spans="1:19" ht="30">
      <c r="A2550" s="8">
        <v>43369.950995370367</v>
      </c>
      <c r="B2550" s="11" t="str">
        <f>HYPERLINK("https://twitter.com/REZAAA1999","@REZAAA1999")</f>
        <v>@REZAAA1999</v>
      </c>
      <c r="C2550" s="6" t="s">
        <v>823</v>
      </c>
      <c r="D2550" s="5" t="s">
        <v>1153</v>
      </c>
      <c r="E2550" s="9" t="str">
        <f>HYPERLINK("https://twitter.com/REZAAA1999/status/1045030100641755138","1045030100641755138")</f>
        <v>1045030100641755138</v>
      </c>
      <c r="F2550" s="4"/>
      <c r="G2550" s="10" t="s">
        <v>1102</v>
      </c>
      <c r="H2550" s="4"/>
      <c r="I2550" s="10" t="str">
        <f>HYPERLINK("http://twitter.com/download/android","Twitter for Android")</f>
        <v>Twitter for Android</v>
      </c>
      <c r="J2550" s="2">
        <v>3251</v>
      </c>
      <c r="K2550" s="2">
        <v>1375</v>
      </c>
      <c r="L2550" s="2">
        <v>13</v>
      </c>
      <c r="M2550" s="2"/>
      <c r="N2550" s="8">
        <v>43028.945601851854</v>
      </c>
      <c r="O2550" s="4" t="s">
        <v>822</v>
      </c>
      <c r="P2550" s="3" t="s">
        <v>821</v>
      </c>
      <c r="Q2550" s="10" t="s">
        <v>820</v>
      </c>
      <c r="R2550" s="4"/>
      <c r="S2550" s="9" t="str">
        <f>HYPERLINK("https://pbs.twimg.com/profile_images/1042829654124621825/xd3pfBSh.jpg","View")</f>
        <v>View</v>
      </c>
    </row>
    <row r="2551" spans="1:19" ht="20">
      <c r="A2551" s="8">
        <v>43369.950671296298</v>
      </c>
      <c r="B2551" s="11" t="str">
        <f>HYPERLINK("https://twitter.com/amin_rt07","@amin_rt07")</f>
        <v>@amin_rt07</v>
      </c>
      <c r="C2551" s="6" t="s">
        <v>1197</v>
      </c>
      <c r="D2551" s="5" t="s">
        <v>1196</v>
      </c>
      <c r="E2551" s="9" t="str">
        <f>HYPERLINK("https://twitter.com/amin_rt07/status/1045029982387474433","1045029982387474433")</f>
        <v>1045029982387474433</v>
      </c>
      <c r="F2551" s="4"/>
      <c r="G2551" s="4"/>
      <c r="H2551" s="4"/>
      <c r="I2551" s="10" t="str">
        <f>HYPERLINK("http://example.com","RT_03")</f>
        <v>RT_03</v>
      </c>
      <c r="J2551" s="2">
        <v>3053</v>
      </c>
      <c r="K2551" s="2">
        <v>2325</v>
      </c>
      <c r="L2551" s="2">
        <v>10</v>
      </c>
      <c r="M2551" s="2"/>
      <c r="N2551" s="8">
        <v>42935.376192129625</v>
      </c>
      <c r="O2551" s="4" t="s">
        <v>1195</v>
      </c>
      <c r="P2551" s="3" t="s">
        <v>1194</v>
      </c>
      <c r="Q2551" s="4"/>
      <c r="R2551" s="4"/>
      <c r="S2551" s="9" t="str">
        <f>HYPERLINK("https://pbs.twimg.com/profile_images/890462059804188672/m3LVcUUm.jpg","View")</f>
        <v>View</v>
      </c>
    </row>
    <row r="2552" spans="1:19" ht="30">
      <c r="A2552" s="8">
        <v>43369.950624999998</v>
      </c>
      <c r="B2552" s="11" t="str">
        <f>HYPERLINK("https://twitter.com/parsatika","@parsatika")</f>
        <v>@parsatika</v>
      </c>
      <c r="C2552" s="6" t="s">
        <v>1193</v>
      </c>
      <c r="D2552" s="5" t="s">
        <v>945</v>
      </c>
      <c r="E2552" s="9" t="str">
        <f>HYPERLINK("https://twitter.com/parsatika/status/1045029965388029952","1045029965388029952")</f>
        <v>1045029965388029952</v>
      </c>
      <c r="F2552" s="4"/>
      <c r="G2552" s="4"/>
      <c r="H2552" s="4"/>
      <c r="I2552" s="10" t="str">
        <f>HYPERLINK("http://twitter.com/download/iphone","Twitter for iPhone")</f>
        <v>Twitter for iPhone</v>
      </c>
      <c r="J2552" s="2">
        <v>2998</v>
      </c>
      <c r="K2552" s="2">
        <v>2464</v>
      </c>
      <c r="L2552" s="2">
        <v>4</v>
      </c>
      <c r="M2552" s="2"/>
      <c r="N2552" s="8">
        <v>41494.830057870371</v>
      </c>
      <c r="O2552" s="4" t="s">
        <v>1192</v>
      </c>
      <c r="P2552" s="3" t="s">
        <v>1191</v>
      </c>
      <c r="Q2552" s="10" t="s">
        <v>1190</v>
      </c>
      <c r="R2552" s="4"/>
      <c r="S2552" s="9" t="str">
        <f>HYPERLINK("https://pbs.twimg.com/profile_images/953308244939821056/8_IZwtF3.jpg","View")</f>
        <v>View</v>
      </c>
    </row>
    <row r="2553" spans="1:19" ht="20">
      <c r="A2553" s="8">
        <v>43369.950543981482</v>
      </c>
      <c r="B2553" s="11" t="str">
        <f>HYPERLINK("https://twitter.com/FRuholla","@FRuholla")</f>
        <v>@FRuholla</v>
      </c>
      <c r="C2553" s="6" t="s">
        <v>1189</v>
      </c>
      <c r="D2553" s="5" t="s">
        <v>1035</v>
      </c>
      <c r="E2553" s="9" t="str">
        <f>HYPERLINK("https://twitter.com/FRuholla/status/1045029939232350209","1045029939232350209")</f>
        <v>1045029939232350209</v>
      </c>
      <c r="F2553" s="4"/>
      <c r="G2553" s="10" t="s">
        <v>1015</v>
      </c>
      <c r="H2553" s="4"/>
      <c r="I2553" s="10" t="str">
        <f>HYPERLINK("http://twitter.com/download/android","Twitter for Android")</f>
        <v>Twitter for Android</v>
      </c>
      <c r="J2553" s="2">
        <v>515</v>
      </c>
      <c r="K2553" s="2">
        <v>728</v>
      </c>
      <c r="L2553" s="2">
        <v>1</v>
      </c>
      <c r="M2553" s="2"/>
      <c r="N2553" s="8">
        <v>41432.558483796296</v>
      </c>
      <c r="O2553" s="4" t="s">
        <v>1188</v>
      </c>
      <c r="P2553" s="3" t="s">
        <v>1187</v>
      </c>
      <c r="Q2553" s="4"/>
      <c r="R2553" s="4"/>
      <c r="S2553" s="9" t="str">
        <f>HYPERLINK("https://pbs.twimg.com/profile_images/1042450323925815301/2BCXUyIx.jpg","View")</f>
        <v>View</v>
      </c>
    </row>
    <row r="2554" spans="1:19" ht="12.5">
      <c r="A2554" s="8">
        <v>43369.95012731482</v>
      </c>
      <c r="B2554" s="11" t="str">
        <f>HYPERLINK("https://twitter.com/rasoul_110","@rasoul_110")</f>
        <v>@rasoul_110</v>
      </c>
      <c r="C2554" s="6" t="s">
        <v>1186</v>
      </c>
      <c r="D2554" s="5" t="s">
        <v>1185</v>
      </c>
      <c r="E2554" s="9" t="str">
        <f>HYPERLINK("https://twitter.com/rasoul_110/status/1045029786417065984","1045029786417065984")</f>
        <v>1045029786417065984</v>
      </c>
      <c r="F2554" s="4"/>
      <c r="G2554" s="4"/>
      <c r="H2554" s="4"/>
      <c r="I2554" s="10" t="str">
        <f>HYPERLINK("http://twitter.com/download/android","Twitter for Android")</f>
        <v>Twitter for Android</v>
      </c>
      <c r="J2554" s="2">
        <v>3350</v>
      </c>
      <c r="K2554" s="2">
        <v>282</v>
      </c>
      <c r="L2554" s="2">
        <v>9</v>
      </c>
      <c r="M2554" s="2"/>
      <c r="N2554" s="8">
        <v>42945.668958333335</v>
      </c>
      <c r="O2554" s="4" t="s">
        <v>62</v>
      </c>
      <c r="P2554" s="3"/>
      <c r="Q2554" s="4"/>
      <c r="R2554" s="4"/>
      <c r="S2554" s="9" t="str">
        <f>HYPERLINK("https://pbs.twimg.com/profile_images/1045024043383103489/gn2LuvHD.jpg","View")</f>
        <v>View</v>
      </c>
    </row>
    <row r="2555" spans="1:19" ht="30">
      <c r="A2555" s="8">
        <v>43369.949629629627</v>
      </c>
      <c r="B2555" s="11" t="str">
        <f>HYPERLINK("https://twitter.com/behnamaghababa2","@behnamaghababa2")</f>
        <v>@behnamaghababa2</v>
      </c>
      <c r="C2555" s="6" t="s">
        <v>1181</v>
      </c>
      <c r="D2555" s="5" t="s">
        <v>114</v>
      </c>
      <c r="E2555" s="9" t="str">
        <f>HYPERLINK("https://twitter.com/behnamaghababa2/status/1045029607412502528","1045029607412502528")</f>
        <v>1045029607412502528</v>
      </c>
      <c r="F2555" s="4"/>
      <c r="G2555" s="10" t="s">
        <v>113</v>
      </c>
      <c r="H2555" s="4"/>
      <c r="I2555" s="10" t="str">
        <f>HYPERLINK("http://twitter.com/download/android","Twitter for Android")</f>
        <v>Twitter for Android</v>
      </c>
      <c r="J2555" s="2">
        <v>1084</v>
      </c>
      <c r="K2555" s="2">
        <v>3099</v>
      </c>
      <c r="L2555" s="2">
        <v>0</v>
      </c>
      <c r="M2555" s="2"/>
      <c r="N2555" s="8">
        <v>42655.893055555556</v>
      </c>
      <c r="O2555" s="4" t="s">
        <v>1180</v>
      </c>
      <c r="P2555" s="3" t="s">
        <v>1179</v>
      </c>
      <c r="Q2555" s="4"/>
      <c r="R2555" s="4"/>
      <c r="S2555" s="9" t="str">
        <f>HYPERLINK("https://pbs.twimg.com/profile_images/801776744185339904/XdMXlXl3.jpg","View")</f>
        <v>View</v>
      </c>
    </row>
    <row r="2556" spans="1:19" ht="50">
      <c r="A2556" s="8">
        <v>43369.949444444443</v>
      </c>
      <c r="B2556" s="11" t="str">
        <f>HYPERLINK("https://twitter.com/57fu4X8hqRDEaFW","@57fu4X8hqRDEaFW")</f>
        <v>@57fu4X8hqRDEaFW</v>
      </c>
      <c r="C2556" s="6" t="s">
        <v>1184</v>
      </c>
      <c r="D2556" s="5" t="s">
        <v>1168</v>
      </c>
      <c r="E2556" s="9" t="str">
        <f>HYPERLINK("https://twitter.com/57fu4X8hqRDEaFW/status/1045029537979994112","1045029537979994112")</f>
        <v>1045029537979994112</v>
      </c>
      <c r="F2556" s="4"/>
      <c r="G2556" s="10" t="s">
        <v>907</v>
      </c>
      <c r="H2556" s="4"/>
      <c r="I2556" s="10" t="str">
        <f>HYPERLINK("http://twitter.com/download/android","Twitter for Android")</f>
        <v>Twitter for Android</v>
      </c>
      <c r="J2556" s="2">
        <v>19</v>
      </c>
      <c r="K2556" s="2">
        <v>70</v>
      </c>
      <c r="L2556" s="2">
        <v>0</v>
      </c>
      <c r="M2556" s="2"/>
      <c r="N2556" s="8">
        <v>43321.965601851851</v>
      </c>
      <c r="O2556" s="4" t="s">
        <v>1183</v>
      </c>
      <c r="P2556" s="3" t="s">
        <v>1182</v>
      </c>
      <c r="Q2556" s="4"/>
      <c r="R2556" s="4"/>
      <c r="S2556" s="9" t="str">
        <f>HYPERLINK("https://pbs.twimg.com/profile_images/1040164235970576390/yHFZ935l.jpg","View")</f>
        <v>View</v>
      </c>
    </row>
    <row r="2557" spans="1:19" ht="30">
      <c r="A2557" s="8">
        <v>43369.94935185185</v>
      </c>
      <c r="B2557" s="11" t="str">
        <f>HYPERLINK("https://twitter.com/behnamaghababa2","@behnamaghababa2")</f>
        <v>@behnamaghababa2</v>
      </c>
      <c r="C2557" s="6" t="s">
        <v>1181</v>
      </c>
      <c r="D2557" s="5" t="s">
        <v>140</v>
      </c>
      <c r="E2557" s="9" t="str">
        <f>HYPERLINK("https://twitter.com/behnamaghababa2/status/1045029506237517824","1045029506237517824")</f>
        <v>1045029506237517824</v>
      </c>
      <c r="F2557" s="4"/>
      <c r="G2557" s="10" t="s">
        <v>139</v>
      </c>
      <c r="H2557" s="4"/>
      <c r="I2557" s="10" t="str">
        <f>HYPERLINK("http://twitter.com/download/android","Twitter for Android")</f>
        <v>Twitter for Android</v>
      </c>
      <c r="J2557" s="2">
        <v>1084</v>
      </c>
      <c r="K2557" s="2">
        <v>3099</v>
      </c>
      <c r="L2557" s="2">
        <v>0</v>
      </c>
      <c r="M2557" s="2"/>
      <c r="N2557" s="8">
        <v>42655.893055555556</v>
      </c>
      <c r="O2557" s="4" t="s">
        <v>1180</v>
      </c>
      <c r="P2557" s="3" t="s">
        <v>1179</v>
      </c>
      <c r="Q2557" s="4"/>
      <c r="R2557" s="4"/>
      <c r="S2557" s="9" t="str">
        <f>HYPERLINK("https://pbs.twimg.com/profile_images/801776744185339904/XdMXlXl3.jpg","View")</f>
        <v>View</v>
      </c>
    </row>
    <row r="2558" spans="1:19" ht="12.5">
      <c r="A2558" s="8">
        <v>43369.949259259258</v>
      </c>
      <c r="B2558" s="11" t="str">
        <f>HYPERLINK("https://twitter.com/adadPi","@adadPi")</f>
        <v>@adadPi</v>
      </c>
      <c r="C2558" s="6" t="s">
        <v>1178</v>
      </c>
      <c r="D2558" s="5" t="s">
        <v>1177</v>
      </c>
      <c r="E2558" s="9" t="str">
        <f>HYPERLINK("https://twitter.com/adadPi/status/1045029473656197120","1045029473656197120")</f>
        <v>1045029473656197120</v>
      </c>
      <c r="F2558" s="4"/>
      <c r="G2558" s="4"/>
      <c r="H2558" s="4"/>
      <c r="I2558" s="10" t="str">
        <f>HYPERLINK("http://twitter.com/download/android","Twitter for Android")</f>
        <v>Twitter for Android</v>
      </c>
      <c r="J2558" s="2">
        <v>192</v>
      </c>
      <c r="K2558" s="2">
        <v>133</v>
      </c>
      <c r="L2558" s="2">
        <v>1</v>
      </c>
      <c r="M2558" s="2"/>
      <c r="N2558" s="8">
        <v>42922.467870370368</v>
      </c>
      <c r="O2558" s="4" t="s">
        <v>1176</v>
      </c>
      <c r="P2558" s="3" t="s">
        <v>1175</v>
      </c>
      <c r="Q2558" s="10" t="s">
        <v>1174</v>
      </c>
      <c r="R2558" s="4"/>
      <c r="S2558" s="9" t="str">
        <f>HYPERLINK("https://pbs.twimg.com/profile_images/1018239715340939264/n3lpbIdH.jpg","View")</f>
        <v>View</v>
      </c>
    </row>
    <row r="2559" spans="1:19" ht="12.5">
      <c r="A2559" s="8">
        <v>43369.949062500003</v>
      </c>
      <c r="B2559" s="11" t="str">
        <f>HYPERLINK("https://twitter.com/mardemashreghi","@mardemashreghi")</f>
        <v>@mardemashreghi</v>
      </c>
      <c r="C2559" s="6" t="s">
        <v>1173</v>
      </c>
      <c r="D2559" s="5" t="s">
        <v>904</v>
      </c>
      <c r="E2559" s="9" t="str">
        <f>HYPERLINK("https://twitter.com/mardemashreghi/status/1045029399983280128","1045029399983280128")</f>
        <v>1045029399983280128</v>
      </c>
      <c r="F2559" s="4"/>
      <c r="G2559" s="4"/>
      <c r="H2559" s="4"/>
      <c r="I2559" s="10" t="str">
        <f>HYPERLINK("http://twitter.com/download/iphone","Twitter for iPhone")</f>
        <v>Twitter for iPhone</v>
      </c>
      <c r="J2559" s="2">
        <v>613</v>
      </c>
      <c r="K2559" s="2">
        <v>4038</v>
      </c>
      <c r="L2559" s="2">
        <v>1</v>
      </c>
      <c r="M2559" s="2"/>
      <c r="N2559" s="8">
        <v>39982.329837962963</v>
      </c>
      <c r="O2559" s="4" t="s">
        <v>200</v>
      </c>
      <c r="P2559" s="3" t="s">
        <v>1172</v>
      </c>
      <c r="Q2559" s="4"/>
      <c r="R2559" s="4"/>
      <c r="S2559" s="9" t="str">
        <f>HYPERLINK("https://pbs.twimg.com/profile_images/421372784803987457/3ar7vgL2.jpeg","View")</f>
        <v>View</v>
      </c>
    </row>
    <row r="2560" spans="1:19" ht="50">
      <c r="A2560" s="8">
        <v>43369.948888888888</v>
      </c>
      <c r="B2560" s="11" t="str">
        <f>HYPERLINK("https://twitter.com/hosseinsharr666","@hosseinsharr666")</f>
        <v>@hosseinsharr666</v>
      </c>
      <c r="C2560" s="6" t="s">
        <v>1171</v>
      </c>
      <c r="D2560" s="5" t="s">
        <v>1168</v>
      </c>
      <c r="E2560" s="9" t="str">
        <f>HYPERLINK("https://twitter.com/hosseinsharr666/status/1045029337328754690","1045029337328754690")</f>
        <v>1045029337328754690</v>
      </c>
      <c r="F2560" s="4"/>
      <c r="G2560" s="10" t="s">
        <v>907</v>
      </c>
      <c r="H2560" s="4"/>
      <c r="I2560" s="10" t="str">
        <f>HYPERLINK("http://twitter.com/download/android","Twitter for Android")</f>
        <v>Twitter for Android</v>
      </c>
      <c r="J2560" s="2">
        <v>956</v>
      </c>
      <c r="K2560" s="2">
        <v>414</v>
      </c>
      <c r="L2560" s="2">
        <v>3</v>
      </c>
      <c r="M2560" s="2"/>
      <c r="N2560" s="8">
        <v>43198.975069444445</v>
      </c>
      <c r="O2560" s="4" t="s">
        <v>272</v>
      </c>
      <c r="P2560" s="3" t="s">
        <v>1170</v>
      </c>
      <c r="Q2560" s="4"/>
      <c r="R2560" s="4"/>
      <c r="S2560" s="9" t="str">
        <f>HYPERLINK("https://pbs.twimg.com/profile_images/1038464083526336513/P_1jlXJn.jpg","View")</f>
        <v>View</v>
      </c>
    </row>
    <row r="2561" spans="1:19" ht="50">
      <c r="A2561" s="8">
        <v>43369.948634259257</v>
      </c>
      <c r="B2561" s="11" t="str">
        <f>HYPERLINK("https://twitter.com/Pensylvani","@Pensylvani")</f>
        <v>@Pensylvani</v>
      </c>
      <c r="C2561" s="6" t="s">
        <v>1169</v>
      </c>
      <c r="D2561" s="5" t="s">
        <v>1168</v>
      </c>
      <c r="E2561" s="9" t="str">
        <f>HYPERLINK("https://twitter.com/Pensylvani/status/1045029245620285442","1045029245620285442")</f>
        <v>1045029245620285442</v>
      </c>
      <c r="F2561" s="4"/>
      <c r="G2561" s="10" t="s">
        <v>907</v>
      </c>
      <c r="H2561" s="4"/>
      <c r="I2561" s="10" t="str">
        <f>HYPERLINK("http://twitter.com/download/android","Twitter for Android")</f>
        <v>Twitter for Android</v>
      </c>
      <c r="J2561" s="2">
        <v>37623</v>
      </c>
      <c r="K2561" s="2">
        <v>1067</v>
      </c>
      <c r="L2561" s="2">
        <v>171</v>
      </c>
      <c r="M2561" s="2"/>
      <c r="N2561" s="8">
        <v>40193.790138888886</v>
      </c>
      <c r="O2561" s="4"/>
      <c r="P2561" s="3" t="s">
        <v>1167</v>
      </c>
      <c r="Q2561" s="4"/>
      <c r="R2561" s="4"/>
      <c r="S2561" s="9" t="str">
        <f>HYPERLINK("https://pbs.twimg.com/profile_images/1042405464045178881/nRQMrluC.jpg","View")</f>
        <v>View</v>
      </c>
    </row>
    <row r="2562" spans="1:19" ht="12.5">
      <c r="A2562" s="8">
        <v>43369.947928240741</v>
      </c>
      <c r="B2562" s="11" t="str">
        <f>HYPERLINK("https://twitter.com/Shadabism","@Shadabism")</f>
        <v>@Shadabism</v>
      </c>
      <c r="C2562" s="6" t="s">
        <v>1166</v>
      </c>
      <c r="D2562" s="5" t="s">
        <v>1165</v>
      </c>
      <c r="E2562" s="9" t="str">
        <f>HYPERLINK("https://twitter.com/Shadabism/status/1045028991269294081","1045028991269294081")</f>
        <v>1045028991269294081</v>
      </c>
      <c r="F2562" s="4"/>
      <c r="G2562" s="4"/>
      <c r="H2562" s="4"/>
      <c r="I2562" s="10" t="str">
        <f>HYPERLINK("http://twitter.com/download/iphone","Twitter for iPhone")</f>
        <v>Twitter for iPhone</v>
      </c>
      <c r="J2562" s="2">
        <v>143</v>
      </c>
      <c r="K2562" s="2">
        <v>328</v>
      </c>
      <c r="L2562" s="2">
        <v>0</v>
      </c>
      <c r="M2562" s="2"/>
      <c r="N2562" s="8">
        <v>42843.914016203707</v>
      </c>
      <c r="O2562" s="4"/>
      <c r="P2562" s="3" t="s">
        <v>1164</v>
      </c>
      <c r="Q2562" s="4"/>
      <c r="R2562" s="4"/>
      <c r="S2562" s="9" t="str">
        <f>HYPERLINK("https://pbs.twimg.com/profile_images/959396240801849344/h0Aq0xah.jpg","View")</f>
        <v>View</v>
      </c>
    </row>
    <row r="2563" spans="1:19" ht="30">
      <c r="A2563" s="8">
        <v>43369.947222222225</v>
      </c>
      <c r="B2563" s="11" t="str">
        <f>HYPERLINK("https://twitter.com/fereshtevpt","@fereshtevpt")</f>
        <v>@fereshtevpt</v>
      </c>
      <c r="C2563" s="6" t="s">
        <v>331</v>
      </c>
      <c r="D2563" s="5" t="s">
        <v>732</v>
      </c>
      <c r="E2563" s="9" t="str">
        <f>HYPERLINK("https://twitter.com/fereshtevpt/status/1045028734024241152","1045028734024241152")</f>
        <v>1045028734024241152</v>
      </c>
      <c r="F2563" s="4"/>
      <c r="G2563" s="10" t="s">
        <v>706</v>
      </c>
      <c r="H2563" s="4"/>
      <c r="I2563" s="10" t="str">
        <f>HYPERLINK("http://twitter.com/download/iphone","Twitter for iPhone")</f>
        <v>Twitter for iPhone</v>
      </c>
      <c r="J2563" s="2">
        <v>2475</v>
      </c>
      <c r="K2563" s="2">
        <v>2147</v>
      </c>
      <c r="L2563" s="2">
        <v>6</v>
      </c>
      <c r="M2563" s="2"/>
      <c r="N2563" s="8">
        <v>43106.721226851849</v>
      </c>
      <c r="O2563" s="4"/>
      <c r="P2563" s="3" t="s">
        <v>329</v>
      </c>
      <c r="Q2563" s="4"/>
      <c r="R2563" s="4"/>
      <c r="S2563" s="9" t="str">
        <f>HYPERLINK("https://pbs.twimg.com/profile_images/1037751959716016135/k__ynAL7.jpg","View")</f>
        <v>View</v>
      </c>
    </row>
    <row r="2564" spans="1:19" ht="20">
      <c r="A2564" s="8">
        <v>43369.947187500002</v>
      </c>
      <c r="B2564" s="11" t="str">
        <f>HYPERLINK("https://twitter.com/fereshtevpt","@fereshtevpt")</f>
        <v>@fereshtevpt</v>
      </c>
      <c r="C2564" s="6" t="s">
        <v>331</v>
      </c>
      <c r="D2564" s="5" t="s">
        <v>1153</v>
      </c>
      <c r="E2564" s="9" t="str">
        <f>HYPERLINK("https://twitter.com/fereshtevpt/status/1045028721294528514","1045028721294528514")</f>
        <v>1045028721294528514</v>
      </c>
      <c r="F2564" s="4"/>
      <c r="G2564" s="10" t="s">
        <v>1102</v>
      </c>
      <c r="H2564" s="4"/>
      <c r="I2564" s="10" t="str">
        <f>HYPERLINK("http://twitter.com/download/iphone","Twitter for iPhone")</f>
        <v>Twitter for iPhone</v>
      </c>
      <c r="J2564" s="2">
        <v>2475</v>
      </c>
      <c r="K2564" s="2">
        <v>2147</v>
      </c>
      <c r="L2564" s="2">
        <v>6</v>
      </c>
      <c r="M2564" s="2"/>
      <c r="N2564" s="8">
        <v>43106.721226851849</v>
      </c>
      <c r="O2564" s="4"/>
      <c r="P2564" s="3" t="s">
        <v>329</v>
      </c>
      <c r="Q2564" s="4"/>
      <c r="R2564" s="4"/>
      <c r="S2564" s="9" t="str">
        <f>HYPERLINK("https://pbs.twimg.com/profile_images/1037751959716016135/k__ynAL7.jpg","View")</f>
        <v>View</v>
      </c>
    </row>
    <row r="2565" spans="1:19" ht="20">
      <c r="A2565" s="8">
        <v>43369.946608796294</v>
      </c>
      <c r="B2565" s="11" t="str">
        <f>HYPERLINK("https://twitter.com/halfspace_","@halfspace_")</f>
        <v>@halfspace_</v>
      </c>
      <c r="C2565" s="6" t="s">
        <v>1163</v>
      </c>
      <c r="D2565" s="5" t="s">
        <v>1162</v>
      </c>
      <c r="E2565" s="9" t="str">
        <f>HYPERLINK("https://twitter.com/halfspace_/status/1045028510228762624","1045028510228762624")</f>
        <v>1045028510228762624</v>
      </c>
      <c r="F2565" s="4"/>
      <c r="G2565" s="4"/>
      <c r="H2565" s="4"/>
      <c r="I2565" s="10" t="str">
        <f>HYPERLINK("http://twitter.com","Twitter Web Client")</f>
        <v>Twitter Web Client</v>
      </c>
      <c r="J2565" s="2">
        <v>158</v>
      </c>
      <c r="K2565" s="2">
        <v>677</v>
      </c>
      <c r="L2565" s="2">
        <v>1</v>
      </c>
      <c r="M2565" s="2"/>
      <c r="N2565" s="8">
        <v>42330.924166666664</v>
      </c>
      <c r="O2565" s="4"/>
      <c r="P2565" s="3" t="s">
        <v>1161</v>
      </c>
      <c r="Q2565" s="10" t="s">
        <v>1160</v>
      </c>
      <c r="R2565" s="4"/>
      <c r="S2565" s="9" t="str">
        <f>HYPERLINK("https://pbs.twimg.com/profile_images/1030501316420747264/8UhFhivE.jpg","View")</f>
        <v>View</v>
      </c>
    </row>
    <row r="2566" spans="1:19" ht="12.5">
      <c r="A2566" s="8">
        <v>43369.9294212963</v>
      </c>
      <c r="B2566" s="11" t="str">
        <f>HYPERLINK("https://twitter.com/golgoli4301","@golgoli4301")</f>
        <v>@golgoli4301</v>
      </c>
      <c r="C2566" s="6" t="s">
        <v>1159</v>
      </c>
      <c r="D2566" s="5" t="s">
        <v>1158</v>
      </c>
      <c r="E2566" s="9" t="str">
        <f>HYPERLINK("https://twitter.com/golgoli4301/status/1045022282031267842","1045022282031267842")</f>
        <v>1045022282031267842</v>
      </c>
      <c r="F2566" s="4"/>
      <c r="G2566" s="4"/>
      <c r="H2566" s="4"/>
      <c r="I2566" s="10" t="str">
        <f>HYPERLINK("http://twitter.com/download/iphone","Twitter for iPhone")</f>
        <v>Twitter for iPhone</v>
      </c>
      <c r="J2566" s="2">
        <v>2276</v>
      </c>
      <c r="K2566" s="2">
        <v>1651</v>
      </c>
      <c r="L2566" s="2">
        <v>4</v>
      </c>
      <c r="M2566" s="2"/>
      <c r="N2566" s="8">
        <v>43102.983287037037</v>
      </c>
      <c r="O2566" s="4"/>
      <c r="P2566" s="3" t="s">
        <v>1157</v>
      </c>
      <c r="Q2566" s="4"/>
      <c r="R2566" s="4"/>
      <c r="S2566" s="9" t="str">
        <f>HYPERLINK("https://pbs.twimg.com/profile_images/1044989411035959297/MGZC2rce.jpg","View")</f>
        <v>View</v>
      </c>
    </row>
    <row r="2567" spans="1:19" ht="20">
      <c r="A2567" s="8">
        <v>43369.929270833338</v>
      </c>
      <c r="B2567" s="11" t="str">
        <f>HYPERLINK("https://twitter.com/akramrazaghi","@akramrazaghi")</f>
        <v>@akramrazaghi</v>
      </c>
      <c r="C2567" s="6" t="s">
        <v>1156</v>
      </c>
      <c r="D2567" s="5" t="s">
        <v>1155</v>
      </c>
      <c r="E2567" s="9" t="str">
        <f>HYPERLINK("https://twitter.com/akramrazaghi/status/1045022226616127488","1045022226616127488")</f>
        <v>1045022226616127488</v>
      </c>
      <c r="F2567" s="4"/>
      <c r="G2567" s="4"/>
      <c r="H2567" s="4"/>
      <c r="I2567" s="10" t="str">
        <f>HYPERLINK("http://twitter.com/download/android","Twitter for Android")</f>
        <v>Twitter for Android</v>
      </c>
      <c r="J2567" s="2">
        <v>92</v>
      </c>
      <c r="K2567" s="2">
        <v>111</v>
      </c>
      <c r="L2567" s="2">
        <v>0</v>
      </c>
      <c r="M2567" s="2"/>
      <c r="N2567" s="8">
        <v>42779.830034722225</v>
      </c>
      <c r="O2567" s="4" t="s">
        <v>62</v>
      </c>
      <c r="P2567" s="3" t="s">
        <v>1154</v>
      </c>
      <c r="Q2567" s="4"/>
      <c r="R2567" s="4"/>
      <c r="S2567" s="9" t="str">
        <f>HYPERLINK("https://pbs.twimg.com/profile_images/953918361469177856/EbDnpKmf.jpg","View")</f>
        <v>View</v>
      </c>
    </row>
    <row r="2568" spans="1:19" ht="20">
      <c r="A2568" s="8">
        <v>43369.928483796291</v>
      </c>
      <c r="B2568" s="11" t="str">
        <f>HYPERLINK("https://twitter.com/ladyblocker1","@ladyblocker1")</f>
        <v>@ladyblocker1</v>
      </c>
      <c r="C2568" s="6" t="s">
        <v>342</v>
      </c>
      <c r="D2568" s="5" t="s">
        <v>1153</v>
      </c>
      <c r="E2568" s="9" t="str">
        <f>HYPERLINK("https://twitter.com/ladyblocker1/status/1045021944867885056","1045021944867885056")</f>
        <v>1045021944867885056</v>
      </c>
      <c r="F2568" s="4"/>
      <c r="G2568" s="10" t="s">
        <v>1102</v>
      </c>
      <c r="H2568" s="4"/>
      <c r="I2568" s="10" t="str">
        <f>HYPERLINK("http://twitter.com/download/android","Twitter for Android")</f>
        <v>Twitter for Android</v>
      </c>
      <c r="J2568" s="2">
        <v>1083</v>
      </c>
      <c r="K2568" s="2">
        <v>650</v>
      </c>
      <c r="L2568" s="2">
        <v>5</v>
      </c>
      <c r="M2568" s="2"/>
      <c r="N2568" s="8">
        <v>41791.892696759256</v>
      </c>
      <c r="O2568" s="4" t="s">
        <v>340</v>
      </c>
      <c r="P2568" s="3" t="s">
        <v>339</v>
      </c>
      <c r="Q2568" s="10" t="s">
        <v>338</v>
      </c>
      <c r="R2568" s="4"/>
      <c r="S2568" s="9" t="str">
        <f>HYPERLINK("https://pbs.twimg.com/profile_images/1044967591222087680/0GW2vhal.jpg","View")</f>
        <v>View</v>
      </c>
    </row>
    <row r="2569" spans="1:19" ht="20">
      <c r="A2569" s="8">
        <v>43369.928391203706</v>
      </c>
      <c r="B2569" s="11" t="str">
        <f>HYPERLINK("https://twitter.com/aghahesam912","@aghahesam912")</f>
        <v>@aghahesam912</v>
      </c>
      <c r="C2569" s="6" t="s">
        <v>1152</v>
      </c>
      <c r="D2569" s="5" t="s">
        <v>1151</v>
      </c>
      <c r="E2569" s="9" t="str">
        <f>HYPERLINK("https://twitter.com/aghahesam912/status/1045021907937087489","1045021907937087489")</f>
        <v>1045021907937087489</v>
      </c>
      <c r="F2569" s="4"/>
      <c r="G2569" s="4"/>
      <c r="H2569" s="4"/>
      <c r="I2569" s="10" t="str">
        <f>HYPERLINK("http://twitter.com/#!/download/ipad","Twitter for iPad")</f>
        <v>Twitter for iPad</v>
      </c>
      <c r="J2569" s="2">
        <v>2553</v>
      </c>
      <c r="K2569" s="2">
        <v>4743</v>
      </c>
      <c r="L2569" s="2">
        <v>3</v>
      </c>
      <c r="M2569" s="2"/>
      <c r="N2569" s="8">
        <v>41872.480185185181</v>
      </c>
      <c r="O2569" s="4" t="s">
        <v>72</v>
      </c>
      <c r="P2569" s="3" t="s">
        <v>1150</v>
      </c>
      <c r="Q2569" s="10" t="s">
        <v>1149</v>
      </c>
      <c r="R2569" s="4"/>
      <c r="S2569" s="9" t="str">
        <f>HYPERLINK("https://pbs.twimg.com/profile_images/959883247453949953/ZRluifnf.jpg","View")</f>
        <v>View</v>
      </c>
    </row>
    <row r="2570" spans="1:19" ht="12.5">
      <c r="A2570" s="8">
        <v>43369.928379629629</v>
      </c>
      <c r="B2570" s="11" t="str">
        <f>HYPERLINK("https://twitter.com/sepehrlm","@sepehrlm")</f>
        <v>@sepehrlm</v>
      </c>
      <c r="C2570" s="6" t="s">
        <v>107</v>
      </c>
      <c r="D2570" s="5" t="s">
        <v>1148</v>
      </c>
      <c r="E2570" s="9" t="str">
        <f>HYPERLINK("https://twitter.com/sepehrlm/status/1045021906196418560","1045021906196418560")</f>
        <v>1045021906196418560</v>
      </c>
      <c r="F2570" s="4"/>
      <c r="G2570" s="4"/>
      <c r="H2570" s="4"/>
      <c r="I2570" s="10" t="str">
        <f>HYPERLINK("http://twitter.com/download/iphone","Twitter for iPhone")</f>
        <v>Twitter for iPhone</v>
      </c>
      <c r="J2570" s="2">
        <v>179</v>
      </c>
      <c r="K2570" s="2">
        <v>366</v>
      </c>
      <c r="L2570" s="2">
        <v>1</v>
      </c>
      <c r="M2570" s="2"/>
      <c r="N2570" s="8">
        <v>42616.911122685182</v>
      </c>
      <c r="O2570" s="4" t="s">
        <v>104</v>
      </c>
      <c r="P2570" s="3" t="s">
        <v>103</v>
      </c>
      <c r="Q2570" s="10" t="s">
        <v>102</v>
      </c>
      <c r="R2570" s="4"/>
      <c r="S2570" s="9" t="str">
        <f>HYPERLINK("https://pbs.twimg.com/profile_images/1037594766765170689/Khn8u_pC.jpg","View")</f>
        <v>View</v>
      </c>
    </row>
    <row r="2571" spans="1:19" ht="40">
      <c r="A2571" s="8">
        <v>43369.928159722222</v>
      </c>
      <c r="B2571" s="11" t="str">
        <f>HYPERLINK("https://twitter.com/KhodNeviss","@KhodNeviss")</f>
        <v>@KhodNeviss</v>
      </c>
      <c r="C2571" s="6" t="s">
        <v>987</v>
      </c>
      <c r="D2571" s="5" t="s">
        <v>1147</v>
      </c>
      <c r="E2571" s="9" t="str">
        <f>HYPERLINK("https://twitter.com/KhodNeviss/status/1045021825225424897","1045021825225424897")</f>
        <v>1045021825225424897</v>
      </c>
      <c r="F2571" s="4"/>
      <c r="G2571" s="4"/>
      <c r="H2571" s="4"/>
      <c r="I2571" s="10" t="str">
        <f>HYPERLINK("http://twitter.com/download/android","Twitter for Android")</f>
        <v>Twitter for Android</v>
      </c>
      <c r="J2571" s="2">
        <v>5041</v>
      </c>
      <c r="K2571" s="2">
        <v>296</v>
      </c>
      <c r="L2571" s="2">
        <v>53</v>
      </c>
      <c r="M2571" s="2"/>
      <c r="N2571" s="8">
        <v>40795.913888888885</v>
      </c>
      <c r="O2571" s="4" t="s">
        <v>985</v>
      </c>
      <c r="P2571" s="3" t="s">
        <v>984</v>
      </c>
      <c r="Q2571" s="10" t="s">
        <v>983</v>
      </c>
      <c r="R2571" s="4"/>
      <c r="S2571" s="9" t="str">
        <f>HYPERLINK("https://pbs.twimg.com/profile_images/1039387795570216962/6LEe-sRU.jpg","View")</f>
        <v>View</v>
      </c>
    </row>
    <row r="2572" spans="1:19" ht="30">
      <c r="A2572" s="8">
        <v>43369.928067129629</v>
      </c>
      <c r="B2572" s="11" t="str">
        <f>HYPERLINK("https://twitter.com/AhouraVaHoura","@AhouraVaHoura")</f>
        <v>@AhouraVaHoura</v>
      </c>
      <c r="C2572" s="6" t="s">
        <v>1146</v>
      </c>
      <c r="D2572" s="5" t="s">
        <v>408</v>
      </c>
      <c r="E2572" s="9" t="str">
        <f>HYPERLINK("https://twitter.com/AhouraVaHoura/status/1045021792463511552","1045021792463511552")</f>
        <v>1045021792463511552</v>
      </c>
      <c r="F2572" s="4"/>
      <c r="G2572" s="4"/>
      <c r="H2572" s="4"/>
      <c r="I2572" s="10" t="str">
        <f>HYPERLINK("http://twitter.com/download/iphone","Twitter for iPhone")</f>
        <v>Twitter for iPhone</v>
      </c>
      <c r="J2572" s="2">
        <v>118</v>
      </c>
      <c r="K2572" s="2">
        <v>748</v>
      </c>
      <c r="L2572" s="2">
        <v>0</v>
      </c>
      <c r="M2572" s="2"/>
      <c r="N2572" s="8">
        <v>42808.910949074074</v>
      </c>
      <c r="O2572" s="4"/>
      <c r="P2572" s="3" t="s">
        <v>1145</v>
      </c>
      <c r="Q2572" s="4"/>
      <c r="R2572" s="4"/>
      <c r="S2572" s="9" t="str">
        <f>HYPERLINK("https://pbs.twimg.com/profile_images/989438854242361344/2ZYkRLG2.jpg","View")</f>
        <v>View</v>
      </c>
    </row>
    <row r="2573" spans="1:19" ht="12.5">
      <c r="A2573" s="8">
        <v>43369.927835648152</v>
      </c>
      <c r="B2573" s="11" t="str">
        <f>HYPERLINK("https://twitter.com/MahdijianMahdi","@MahdijianMahdi")</f>
        <v>@MahdijianMahdi</v>
      </c>
      <c r="C2573" s="6" t="s">
        <v>1144</v>
      </c>
      <c r="D2573" s="5" t="s">
        <v>904</v>
      </c>
      <c r="E2573" s="9" t="str">
        <f>HYPERLINK("https://twitter.com/MahdijianMahdi/status/1045021707407413248","1045021707407413248")</f>
        <v>1045021707407413248</v>
      </c>
      <c r="F2573" s="4"/>
      <c r="G2573" s="4"/>
      <c r="H2573" s="4"/>
      <c r="I2573" s="10" t="str">
        <f>HYPERLINK("http://twitter.com/download/iphone","Twitter for iPhone")</f>
        <v>Twitter for iPhone</v>
      </c>
      <c r="J2573" s="2">
        <v>247</v>
      </c>
      <c r="K2573" s="2">
        <v>649</v>
      </c>
      <c r="L2573" s="2">
        <v>1</v>
      </c>
      <c r="M2573" s="2"/>
      <c r="N2573" s="8">
        <v>41848.547071759262</v>
      </c>
      <c r="O2573" s="4" t="s">
        <v>1143</v>
      </c>
      <c r="P2573" s="3" t="s">
        <v>1142</v>
      </c>
      <c r="Q2573" s="4"/>
      <c r="R2573" s="4"/>
      <c r="S2573" s="9" t="str">
        <f>HYPERLINK("https://pbs.twimg.com/profile_images/926903546519408641/1VXNmJpp.jpg","View")</f>
        <v>View</v>
      </c>
    </row>
    <row r="2574" spans="1:19" ht="40">
      <c r="A2574" s="8">
        <v>43369.927743055552</v>
      </c>
      <c r="B2574" s="11" t="str">
        <f>HYPERLINK("https://twitter.com/sdehghanpour","@sdehghanpour")</f>
        <v>@sdehghanpour</v>
      </c>
      <c r="C2574" s="6" t="s">
        <v>1141</v>
      </c>
      <c r="D2574" s="5" t="s">
        <v>1140</v>
      </c>
      <c r="E2574" s="9" t="str">
        <f>HYPERLINK("https://twitter.com/sdehghanpour/status/1045021673362255873","1045021673362255873")</f>
        <v>1045021673362255873</v>
      </c>
      <c r="F2574" s="4"/>
      <c r="G2574" s="4"/>
      <c r="H2574" s="4"/>
      <c r="I2574" s="10" t="str">
        <f>HYPERLINK("http://twitter.com/download/iphone","Twitter for iPhone")</f>
        <v>Twitter for iPhone</v>
      </c>
      <c r="J2574" s="2">
        <v>8982</v>
      </c>
      <c r="K2574" s="2">
        <v>2511</v>
      </c>
      <c r="L2574" s="2">
        <v>60</v>
      </c>
      <c r="M2574" s="2"/>
      <c r="N2574" s="8">
        <v>39985.089560185181</v>
      </c>
      <c r="O2574" s="4" t="s">
        <v>1139</v>
      </c>
      <c r="P2574" s="3" t="s">
        <v>1138</v>
      </c>
      <c r="Q2574" s="4"/>
      <c r="R2574" s="4"/>
      <c r="S2574" s="9" t="str">
        <f>HYPERLINK("https://pbs.twimg.com/profile_images/877012338427219968/wCoYS1tn.jpg","View")</f>
        <v>View</v>
      </c>
    </row>
    <row r="2575" spans="1:19" ht="12.5">
      <c r="A2575" s="8">
        <v>43369.927337962959</v>
      </c>
      <c r="B2575" s="11" t="str">
        <f>HYPERLINK("https://twitter.com/Red_adore_angel","@Red_adore_angel")</f>
        <v>@Red_adore_angel</v>
      </c>
      <c r="C2575" s="6" t="s">
        <v>1137</v>
      </c>
      <c r="D2575" s="5" t="s">
        <v>1136</v>
      </c>
      <c r="E2575" s="9" t="str">
        <f>HYPERLINK("https://twitter.com/Red_adore_angel/status/1045021528511959041","1045021528511959041")</f>
        <v>1045021528511959041</v>
      </c>
      <c r="F2575" s="4"/>
      <c r="G2575" s="4"/>
      <c r="H2575" s="4"/>
      <c r="I2575" s="10" t="str">
        <f>HYPERLINK("http://twitter.com/download/android","Twitter for Android")</f>
        <v>Twitter for Android</v>
      </c>
      <c r="J2575" s="2">
        <v>1643</v>
      </c>
      <c r="K2575" s="2">
        <v>344</v>
      </c>
      <c r="L2575" s="2">
        <v>8</v>
      </c>
      <c r="M2575" s="2"/>
      <c r="N2575" s="8">
        <v>43053.892824074079</v>
      </c>
      <c r="O2575" s="4" t="s">
        <v>1135</v>
      </c>
      <c r="P2575" s="3" t="s">
        <v>1134</v>
      </c>
      <c r="Q2575" s="10" t="s">
        <v>1133</v>
      </c>
      <c r="R2575" s="4"/>
      <c r="S2575" s="9" t="str">
        <f>HYPERLINK("https://pbs.twimg.com/profile_images/1039561956238286850/xIwIXQV1.jpg","View")</f>
        <v>View</v>
      </c>
    </row>
    <row r="2576" spans="1:19" ht="20">
      <c r="A2576" s="8">
        <v>43369.927210648151</v>
      </c>
      <c r="B2576" s="11" t="str">
        <f>HYPERLINK("https://twitter.com/ehsank777","@ehsank777")</f>
        <v>@ehsank777</v>
      </c>
      <c r="C2576" s="6" t="s">
        <v>1132</v>
      </c>
      <c r="D2576" s="5" t="s">
        <v>1131</v>
      </c>
      <c r="E2576" s="9" t="str">
        <f>HYPERLINK("https://twitter.com/ehsank777/status/1045021480998903808","1045021480998903808")</f>
        <v>1045021480998903808</v>
      </c>
      <c r="F2576" s="4"/>
      <c r="G2576" s="4"/>
      <c r="H2576" s="4"/>
      <c r="I2576" s="10" t="str">
        <f>HYPERLINK("http://twitter.com/download/iphone","Twitter for iPhone")</f>
        <v>Twitter for iPhone</v>
      </c>
      <c r="J2576" s="2">
        <v>52</v>
      </c>
      <c r="K2576" s="2">
        <v>131</v>
      </c>
      <c r="L2576" s="2">
        <v>0</v>
      </c>
      <c r="M2576" s="2"/>
      <c r="N2576" s="8">
        <v>43006.492442129631</v>
      </c>
      <c r="O2576" s="4"/>
      <c r="P2576" s="3" t="s">
        <v>1130</v>
      </c>
      <c r="Q2576" s="4"/>
      <c r="R2576" s="4"/>
      <c r="S2576" s="9" t="str">
        <f>HYPERLINK("https://pbs.twimg.com/profile_images/913322885690863616/rqLSfLaS.jpg","View")</f>
        <v>View</v>
      </c>
    </row>
    <row r="2577" spans="1:19" ht="20">
      <c r="A2577" s="8">
        <v>43369.927187499998</v>
      </c>
      <c r="B2577" s="11" t="str">
        <f>HYPERLINK("https://twitter.com/far_sheed","@far_sheed")</f>
        <v>@far_sheed</v>
      </c>
      <c r="C2577" s="6" t="s">
        <v>1129</v>
      </c>
      <c r="D2577" s="5" t="s">
        <v>1128</v>
      </c>
      <c r="E2577" s="9" t="str">
        <f>HYPERLINK("https://twitter.com/far_sheed/status/1045021472446697474","1045021472446697474")</f>
        <v>1045021472446697474</v>
      </c>
      <c r="F2577" s="4"/>
      <c r="G2577" s="4"/>
      <c r="H2577" s="4"/>
      <c r="I2577" s="10" t="str">
        <f>HYPERLINK("http://twitter.com/download/android","Twitter for Android")</f>
        <v>Twitter for Android</v>
      </c>
      <c r="J2577" s="2">
        <v>70</v>
      </c>
      <c r="K2577" s="2">
        <v>143</v>
      </c>
      <c r="L2577" s="2">
        <v>0</v>
      </c>
      <c r="M2577" s="2"/>
      <c r="N2577" s="8">
        <v>42861.933576388888</v>
      </c>
      <c r="O2577" s="4" t="s">
        <v>1127</v>
      </c>
      <c r="P2577" s="3" t="s">
        <v>1126</v>
      </c>
      <c r="Q2577" s="4"/>
      <c r="R2577" s="4"/>
      <c r="S2577" s="9" t="str">
        <f>HYPERLINK("https://pbs.twimg.com/profile_images/860922281270411264/Ncc61umG.jpg","View")</f>
        <v>View</v>
      </c>
    </row>
    <row r="2578" spans="1:19" ht="20">
      <c r="A2578" s="8">
        <v>43369.926921296297</v>
      </c>
      <c r="B2578" s="11" t="str">
        <f>HYPERLINK("https://twitter.com/vahidkamali8","@vahidkamali8")</f>
        <v>@vahidkamali8</v>
      </c>
      <c r="C2578" s="6" t="s">
        <v>1125</v>
      </c>
      <c r="D2578" s="5" t="s">
        <v>1035</v>
      </c>
      <c r="E2578" s="9" t="str">
        <f>HYPERLINK("https://twitter.com/vahidkamali8/status/1045021375034003461","1045021375034003461")</f>
        <v>1045021375034003461</v>
      </c>
      <c r="F2578" s="4"/>
      <c r="G2578" s="10" t="s">
        <v>1015</v>
      </c>
      <c r="H2578" s="4"/>
      <c r="I2578" s="10" t="str">
        <f>HYPERLINK("http://twitter.com/download/android","Twitter for Android")</f>
        <v>Twitter for Android</v>
      </c>
      <c r="J2578" s="2">
        <v>1179</v>
      </c>
      <c r="K2578" s="2">
        <v>756</v>
      </c>
      <c r="L2578" s="2">
        <v>3</v>
      </c>
      <c r="M2578" s="2"/>
      <c r="N2578" s="8">
        <v>43014.959097222221</v>
      </c>
      <c r="O2578" s="4" t="s">
        <v>1124</v>
      </c>
      <c r="P2578" s="3" t="s">
        <v>1123</v>
      </c>
      <c r="Q2578" s="4"/>
      <c r="R2578" s="4"/>
      <c r="S2578" s="9" t="str">
        <f>HYPERLINK("https://pbs.twimg.com/profile_images/1038771428496224256/S5RZcTKt.jpg","View")</f>
        <v>View</v>
      </c>
    </row>
    <row r="2579" spans="1:19" ht="30">
      <c r="A2579" s="8">
        <v>43369.92690972222</v>
      </c>
      <c r="B2579" s="11" t="str">
        <f>HYPERLINK("https://twitter.com/_werg","@_werg")</f>
        <v>@_werg</v>
      </c>
      <c r="C2579" s="6" t="s">
        <v>1122</v>
      </c>
      <c r="D2579" s="5" t="s">
        <v>1121</v>
      </c>
      <c r="E2579" s="9" t="str">
        <f>HYPERLINK("https://twitter.com/_werg/status/1045021373221896192","1045021373221896192")</f>
        <v>1045021373221896192</v>
      </c>
      <c r="F2579" s="4"/>
      <c r="G2579" s="4"/>
      <c r="H2579" s="4"/>
      <c r="I2579" s="10" t="str">
        <f>HYPERLINK("http://twitter.com","Twitter Web Client")</f>
        <v>Twitter Web Client</v>
      </c>
      <c r="J2579" s="2">
        <v>1145</v>
      </c>
      <c r="K2579" s="2">
        <v>471</v>
      </c>
      <c r="L2579" s="2">
        <v>4</v>
      </c>
      <c r="M2579" s="2"/>
      <c r="N2579" s="8">
        <v>42324.69694444444</v>
      </c>
      <c r="O2579" s="4"/>
      <c r="P2579" s="3" t="s">
        <v>1120</v>
      </c>
      <c r="Q2579" s="10" t="s">
        <v>1119</v>
      </c>
      <c r="R2579" s="4"/>
      <c r="S2579" s="9" t="str">
        <f>HYPERLINK("https://pbs.twimg.com/profile_images/1039189483508269059/O-obO24I.jpg","View")</f>
        <v>View</v>
      </c>
    </row>
    <row r="2580" spans="1:19" ht="20">
      <c r="A2580" s="8">
        <v>43369.926458333328</v>
      </c>
      <c r="B2580" s="11" t="str">
        <f>HYPERLINK("https://twitter.com/Rohaming","@Rohaming")</f>
        <v>@Rohaming</v>
      </c>
      <c r="C2580" s="6" t="s">
        <v>1118</v>
      </c>
      <c r="D2580" s="5" t="s">
        <v>1117</v>
      </c>
      <c r="E2580" s="9" t="str">
        <f>HYPERLINK("https://twitter.com/Rohaming/status/1045021207639281664","1045021207639281664")</f>
        <v>1045021207639281664</v>
      </c>
      <c r="F2580" s="4"/>
      <c r="G2580" s="10" t="s">
        <v>1116</v>
      </c>
      <c r="H2580" s="4"/>
      <c r="I2580" s="10" t="str">
        <f>HYPERLINK("http://twitter.com/download/iphone","Twitter for iPhone")</f>
        <v>Twitter for iPhone</v>
      </c>
      <c r="J2580" s="2">
        <v>256</v>
      </c>
      <c r="K2580" s="2">
        <v>302</v>
      </c>
      <c r="L2580" s="2">
        <v>1</v>
      </c>
      <c r="M2580" s="2"/>
      <c r="N2580" s="8">
        <v>41626.581377314811</v>
      </c>
      <c r="O2580" s="4"/>
      <c r="P2580" s="3" t="s">
        <v>1115</v>
      </c>
      <c r="Q2580" s="4"/>
      <c r="R2580" s="4"/>
      <c r="S2580" s="9" t="str">
        <f>HYPERLINK("https://pbs.twimg.com/profile_images/1021307887212261376/onG3qO0L.jpg","View")</f>
        <v>View</v>
      </c>
    </row>
    <row r="2581" spans="1:19" ht="30">
      <c r="A2581" s="8">
        <v>43369.926284722227</v>
      </c>
      <c r="B2581" s="11" t="str">
        <f>HYPERLINK("https://twitter.com/aloneboycity","@aloneboycity")</f>
        <v>@aloneboycity</v>
      </c>
      <c r="C2581" s="6" t="s">
        <v>700</v>
      </c>
      <c r="D2581" s="5" t="s">
        <v>974</v>
      </c>
      <c r="E2581" s="9" t="str">
        <f>HYPERLINK("https://twitter.com/aloneboycity/status/1045021146993881090","1045021146993881090")</f>
        <v>1045021146993881090</v>
      </c>
      <c r="F2581" s="4"/>
      <c r="G2581" s="4"/>
      <c r="H2581" s="4"/>
      <c r="I2581" s="10" t="str">
        <f>HYPERLINK("http://twitter.com/download/android","Twitter for Android")</f>
        <v>Twitter for Android</v>
      </c>
      <c r="J2581" s="2">
        <v>785</v>
      </c>
      <c r="K2581" s="2">
        <v>896</v>
      </c>
      <c r="L2581" s="2">
        <v>0</v>
      </c>
      <c r="M2581" s="2"/>
      <c r="N2581" s="8">
        <v>43178.59547453704</v>
      </c>
      <c r="O2581" s="4" t="s">
        <v>697</v>
      </c>
      <c r="P2581" s="3" t="s">
        <v>696</v>
      </c>
      <c r="Q2581" s="4"/>
      <c r="R2581" s="4"/>
      <c r="S2581" s="9" t="str">
        <f>HYPERLINK("https://pbs.twimg.com/profile_images/1043792266299674624/vdBrQkbX.jpg","View")</f>
        <v>View</v>
      </c>
    </row>
    <row r="2582" spans="1:19" ht="20">
      <c r="A2582" s="8">
        <v>43369.926261574074</v>
      </c>
      <c r="B2582" s="11" t="str">
        <f>HYPERLINK("https://twitter.com/yousefpour","@yousefpour")</f>
        <v>@yousefpour</v>
      </c>
      <c r="C2582" s="6" t="s">
        <v>1114</v>
      </c>
      <c r="D2582" s="5" t="s">
        <v>1113</v>
      </c>
      <c r="E2582" s="9" t="str">
        <f>HYPERLINK("https://twitter.com/yousefpour/status/1045021137804103680","1045021137804103680")</f>
        <v>1045021137804103680</v>
      </c>
      <c r="F2582" s="4"/>
      <c r="G2582" s="4"/>
      <c r="H2582" s="4"/>
      <c r="I2582" s="10" t="str">
        <f>HYPERLINK("http://twitter.com/download/android","Twitter for Android")</f>
        <v>Twitter for Android</v>
      </c>
      <c r="J2582" s="2">
        <v>1605</v>
      </c>
      <c r="K2582" s="2">
        <v>781</v>
      </c>
      <c r="L2582" s="2">
        <v>8</v>
      </c>
      <c r="M2582" s="2"/>
      <c r="N2582" s="8">
        <v>39998.643657407403</v>
      </c>
      <c r="O2582" s="4" t="s">
        <v>10</v>
      </c>
      <c r="P2582" s="3" t="s">
        <v>1112</v>
      </c>
      <c r="Q2582" s="4"/>
      <c r="R2582" s="4"/>
      <c r="S2582" s="9" t="str">
        <f>HYPERLINK("https://pbs.twimg.com/profile_images/958067078224928768/5SdRvojn.jpg","View")</f>
        <v>View</v>
      </c>
    </row>
    <row r="2583" spans="1:19" ht="20">
      <c r="A2583" s="8">
        <v>43369.926157407404</v>
      </c>
      <c r="B2583" s="11" t="str">
        <f>HYPERLINK("https://twitter.com/amirhossein767","@amirhossein767")</f>
        <v>@amirhossein767</v>
      </c>
      <c r="C2583" s="6" t="s">
        <v>1111</v>
      </c>
      <c r="D2583" s="5" t="s">
        <v>1035</v>
      </c>
      <c r="E2583" s="9" t="str">
        <f>HYPERLINK("https://twitter.com/amirhossein767/status/1045021101808648192","1045021101808648192")</f>
        <v>1045021101808648192</v>
      </c>
      <c r="F2583" s="4"/>
      <c r="G2583" s="10" t="s">
        <v>1015</v>
      </c>
      <c r="H2583" s="4"/>
      <c r="I2583" s="10" t="str">
        <f>HYPERLINK("http://twitter.com/download/android","Twitter for Android")</f>
        <v>Twitter for Android</v>
      </c>
      <c r="J2583" s="2">
        <v>973</v>
      </c>
      <c r="K2583" s="2">
        <v>235</v>
      </c>
      <c r="L2583" s="2">
        <v>3</v>
      </c>
      <c r="M2583" s="2"/>
      <c r="N2583" s="8">
        <v>41669.767951388887</v>
      </c>
      <c r="O2583" s="4" t="s">
        <v>1110</v>
      </c>
      <c r="P2583" s="3" t="s">
        <v>1109</v>
      </c>
      <c r="Q2583" s="10" t="s">
        <v>1108</v>
      </c>
      <c r="R2583" s="4"/>
      <c r="S2583" s="9" t="str">
        <f>HYPERLINK("https://pbs.twimg.com/profile_images/1025820682624675845/1cRg7vMF.jpg","View")</f>
        <v>View</v>
      </c>
    </row>
    <row r="2584" spans="1:19" ht="40">
      <c r="A2584" s="8">
        <v>43369.925902777773</v>
      </c>
      <c r="B2584" s="11" t="str">
        <f>HYPERLINK("https://twitter.com/Tahmineh_6","@Tahmineh_6")</f>
        <v>@Tahmineh_6</v>
      </c>
      <c r="C2584" s="6" t="s">
        <v>96</v>
      </c>
      <c r="D2584" s="5" t="s">
        <v>1107</v>
      </c>
      <c r="E2584" s="9" t="str">
        <f>HYPERLINK("https://twitter.com/Tahmineh_6/status/1045021006287589377","1045021006287589377")</f>
        <v>1045021006287589377</v>
      </c>
      <c r="F2584" s="4"/>
      <c r="G2584" s="10" t="s">
        <v>1080</v>
      </c>
      <c r="H2584" s="4"/>
      <c r="I2584" s="10" t="str">
        <f>HYPERLINK("http://twitter.com/download/android","Twitter for Android")</f>
        <v>Twitter for Android</v>
      </c>
      <c r="J2584" s="2">
        <v>7110</v>
      </c>
      <c r="K2584" s="2">
        <v>6669</v>
      </c>
      <c r="L2584" s="2">
        <v>5</v>
      </c>
      <c r="M2584" s="2"/>
      <c r="N2584" s="8">
        <v>43008.625925925924</v>
      </c>
      <c r="O2584" s="4" t="s">
        <v>94</v>
      </c>
      <c r="P2584" s="3" t="s">
        <v>93</v>
      </c>
      <c r="Q2584" s="4"/>
      <c r="R2584" s="4"/>
      <c r="S2584" s="9" t="str">
        <f>HYPERLINK("https://pbs.twimg.com/profile_images/1038869552568983558/284xNb8H.jpg","View")</f>
        <v>View</v>
      </c>
    </row>
    <row r="2585" spans="1:19" ht="30">
      <c r="A2585" s="8">
        <v>43369.92586805555</v>
      </c>
      <c r="B2585" s="11" t="str">
        <f>HYPERLINK("https://twitter.com/james_ibn_clark","@james_ibn_clark")</f>
        <v>@james_ibn_clark</v>
      </c>
      <c r="C2585" s="6" t="s">
        <v>1106</v>
      </c>
      <c r="D2585" s="5" t="s">
        <v>974</v>
      </c>
      <c r="E2585" s="9" t="str">
        <f>HYPERLINK("https://twitter.com/james_ibn_clark/status/1045020993738219521","1045020993738219521")</f>
        <v>1045020993738219521</v>
      </c>
      <c r="F2585" s="4"/>
      <c r="G2585" s="4"/>
      <c r="H2585" s="4"/>
      <c r="I2585" s="10" t="str">
        <f>HYPERLINK("http://twitter.com/download/iphone","Twitter for iPhone")</f>
        <v>Twitter for iPhone</v>
      </c>
      <c r="J2585" s="2">
        <v>373</v>
      </c>
      <c r="K2585" s="2">
        <v>389</v>
      </c>
      <c r="L2585" s="2">
        <v>0</v>
      </c>
      <c r="M2585" s="2"/>
      <c r="N2585" s="8">
        <v>43219.429976851854</v>
      </c>
      <c r="O2585" s="4" t="s">
        <v>200</v>
      </c>
      <c r="P2585" s="3" t="s">
        <v>1105</v>
      </c>
      <c r="Q2585" s="4"/>
      <c r="R2585" s="4"/>
      <c r="S2585" s="9" t="str">
        <f>HYPERLINK("https://pbs.twimg.com/profile_images/1025037942899847168/P05XQ4BE.jpg","View")</f>
        <v>View</v>
      </c>
    </row>
    <row r="2586" spans="1:19" ht="12.5">
      <c r="A2586" s="8">
        <v>43369.925462962958</v>
      </c>
      <c r="B2586" s="11" t="str">
        <f>HYPERLINK("https://twitter.com/Haanaa72","@Haanaa72")</f>
        <v>@Haanaa72</v>
      </c>
      <c r="C2586" s="6" t="s">
        <v>1104</v>
      </c>
      <c r="D2586" s="5" t="s">
        <v>1103</v>
      </c>
      <c r="E2586" s="9" t="str">
        <f>HYPERLINK("https://twitter.com/Haanaa72/status/1045020846924984322","1045020846924984322")</f>
        <v>1045020846924984322</v>
      </c>
      <c r="F2586" s="4"/>
      <c r="G2586" s="10" t="s">
        <v>1102</v>
      </c>
      <c r="H2586" s="4"/>
      <c r="I2586" s="10" t="str">
        <f>HYPERLINK("http://twitter.com/download/android","Twitter for Android")</f>
        <v>Twitter for Android</v>
      </c>
      <c r="J2586" s="2">
        <v>412</v>
      </c>
      <c r="K2586" s="2">
        <v>182</v>
      </c>
      <c r="L2586" s="2">
        <v>2</v>
      </c>
      <c r="M2586" s="2"/>
      <c r="N2586" s="8">
        <v>43104.676030092596</v>
      </c>
      <c r="O2586" s="4" t="s">
        <v>1101</v>
      </c>
      <c r="P2586" s="3" t="s">
        <v>1100</v>
      </c>
      <c r="Q2586" s="4"/>
      <c r="R2586" s="4"/>
      <c r="S2586" s="9" t="str">
        <f>HYPERLINK("https://pbs.twimg.com/profile_images/1039064853388951552/bmqz3GqB.jpg","View")</f>
        <v>View</v>
      </c>
    </row>
    <row r="2587" spans="1:19" ht="20">
      <c r="A2587" s="8">
        <v>43369.925439814819</v>
      </c>
      <c r="B2587" s="11" t="str">
        <f>HYPERLINK("https://twitter.com/KhodNeviss","@KhodNeviss")</f>
        <v>@KhodNeviss</v>
      </c>
      <c r="C2587" s="6" t="s">
        <v>987</v>
      </c>
      <c r="D2587" s="5" t="s">
        <v>1099</v>
      </c>
      <c r="E2587" s="9" t="str">
        <f>HYPERLINK("https://twitter.com/KhodNeviss/status/1045020840667074566","1045020840667074566")</f>
        <v>1045020840667074566</v>
      </c>
      <c r="F2587" s="4"/>
      <c r="G2587" s="4"/>
      <c r="H2587" s="4"/>
      <c r="I2587" s="10" t="str">
        <f>HYPERLINK("http://twitter.com/download/android","Twitter for Android")</f>
        <v>Twitter for Android</v>
      </c>
      <c r="J2587" s="2">
        <v>5041</v>
      </c>
      <c r="K2587" s="2">
        <v>296</v>
      </c>
      <c r="L2587" s="2">
        <v>53</v>
      </c>
      <c r="M2587" s="2"/>
      <c r="N2587" s="8">
        <v>40795.913888888885</v>
      </c>
      <c r="O2587" s="4" t="s">
        <v>985</v>
      </c>
      <c r="P2587" s="3" t="s">
        <v>984</v>
      </c>
      <c r="Q2587" s="10" t="s">
        <v>983</v>
      </c>
      <c r="R2587" s="4"/>
      <c r="S2587" s="9" t="str">
        <f>HYPERLINK("https://pbs.twimg.com/profile_images/1039387795570216962/6LEe-sRU.jpg","View")</f>
        <v>View</v>
      </c>
    </row>
    <row r="2588" spans="1:19" ht="50">
      <c r="A2588" s="8">
        <v>43369.925393518519</v>
      </c>
      <c r="B2588" s="11" t="str">
        <f>HYPERLINK("https://twitter.com/Far_naz64","@Far_naz64")</f>
        <v>@Far_naz64</v>
      </c>
      <c r="C2588" s="6" t="s">
        <v>1098</v>
      </c>
      <c r="D2588" s="5" t="s">
        <v>1097</v>
      </c>
      <c r="E2588" s="9" t="str">
        <f>HYPERLINK("https://twitter.com/Far_naz64/status/1045020822606417920","1045020822606417920")</f>
        <v>1045020822606417920</v>
      </c>
      <c r="F2588" s="4"/>
      <c r="G2588" s="10" t="s">
        <v>1096</v>
      </c>
      <c r="H2588" s="4"/>
      <c r="I2588" s="10" t="str">
        <f>HYPERLINK("http://twitter.com/download/iphone","Twitter for iPhone")</f>
        <v>Twitter for iPhone</v>
      </c>
      <c r="J2588" s="2">
        <v>12014</v>
      </c>
      <c r="K2588" s="2">
        <v>8634</v>
      </c>
      <c r="L2588" s="2">
        <v>67</v>
      </c>
      <c r="M2588" s="2"/>
      <c r="N2588" s="8">
        <v>40598.671585648146</v>
      </c>
      <c r="O2588" s="4" t="s">
        <v>1095</v>
      </c>
      <c r="P2588" s="3" t="s">
        <v>1094</v>
      </c>
      <c r="Q2588" s="10" t="s">
        <v>1093</v>
      </c>
      <c r="R2588" s="4"/>
      <c r="S2588" s="9" t="str">
        <f>HYPERLINK("https://pbs.twimg.com/profile_images/1040985112207339520/4EAnrJt6.jpg","View")</f>
        <v>View</v>
      </c>
    </row>
    <row r="2589" spans="1:19" ht="20">
      <c r="A2589" s="8">
        <v>43369.925092592588</v>
      </c>
      <c r="B2589" s="11" t="str">
        <f>HYPERLINK("https://twitter.com/footballbin","@footballbin")</f>
        <v>@footballbin</v>
      </c>
      <c r="C2589" s="6" t="s">
        <v>1092</v>
      </c>
      <c r="D2589" s="5" t="s">
        <v>1091</v>
      </c>
      <c r="E2589" s="9" t="str">
        <f>HYPERLINK("https://twitter.com/footballbin/status/1045020716125626370","1045020716125626370")</f>
        <v>1045020716125626370</v>
      </c>
      <c r="F2589" s="4"/>
      <c r="G2589" s="4"/>
      <c r="H2589" s="4"/>
      <c r="I2589" s="10" t="str">
        <f>HYPERLINK("http://twitter.com/download/android","Twitter for Android")</f>
        <v>Twitter for Android</v>
      </c>
      <c r="J2589" s="2">
        <v>207</v>
      </c>
      <c r="K2589" s="2">
        <v>578</v>
      </c>
      <c r="L2589" s="2">
        <v>0</v>
      </c>
      <c r="M2589" s="2"/>
      <c r="N2589" s="8">
        <v>42959.119432870371</v>
      </c>
      <c r="O2589" s="4" t="s">
        <v>1090</v>
      </c>
      <c r="P2589" s="3" t="s">
        <v>1089</v>
      </c>
      <c r="Q2589" s="4"/>
      <c r="R2589" s="4"/>
      <c r="S2589" s="9" t="str">
        <f>HYPERLINK("https://pbs.twimg.com/profile_images/1005177794949734401/eck322ZS.jpg","View")</f>
        <v>View</v>
      </c>
    </row>
    <row r="2590" spans="1:19" ht="20">
      <c r="A2590" s="8">
        <v>43369.925034722226</v>
      </c>
      <c r="B2590" s="11" t="str">
        <f>HYPERLINK("https://twitter.com/moha33adreza2","@moha33adreza2")</f>
        <v>@moha33adreza2</v>
      </c>
      <c r="C2590" s="6" t="s">
        <v>1088</v>
      </c>
      <c r="D2590" s="5" t="s">
        <v>1087</v>
      </c>
      <c r="E2590" s="9" t="str">
        <f>HYPERLINK("https://twitter.com/moha33adreza2/status/1045020693161791493","1045020693161791493")</f>
        <v>1045020693161791493</v>
      </c>
      <c r="F2590" s="4"/>
      <c r="G2590" s="10" t="s">
        <v>1086</v>
      </c>
      <c r="H2590" s="4"/>
      <c r="I2590" s="10" t="str">
        <f>HYPERLINK("http://twitter.com/download/iphone","Twitter for iPhone")</f>
        <v>Twitter for iPhone</v>
      </c>
      <c r="J2590" s="2">
        <v>124</v>
      </c>
      <c r="K2590" s="2">
        <v>228</v>
      </c>
      <c r="L2590" s="2">
        <v>0</v>
      </c>
      <c r="M2590" s="2"/>
      <c r="N2590" s="8">
        <v>43349.552858796298</v>
      </c>
      <c r="O2590" s="4" t="s">
        <v>200</v>
      </c>
      <c r="P2590" s="3" t="s">
        <v>1085</v>
      </c>
      <c r="Q2590" s="4"/>
      <c r="R2590" s="4"/>
      <c r="S2590" s="9" t="str">
        <f>HYPERLINK("https://pbs.twimg.com/profile_images/1039807776048992257/jAxAyyZY.jpg","View")</f>
        <v>View</v>
      </c>
    </row>
    <row r="2591" spans="1:19" ht="30">
      <c r="A2591" s="8">
        <v>43369.924837962964</v>
      </c>
      <c r="B2591" s="11" t="str">
        <f>HYPERLINK("https://twitter.com/Chivas_Regall8","@Chivas_Regall8")</f>
        <v>@Chivas_Regall8</v>
      </c>
      <c r="C2591" s="6" t="s">
        <v>1084</v>
      </c>
      <c r="D2591" s="5" t="s">
        <v>1083</v>
      </c>
      <c r="E2591" s="9" t="str">
        <f>HYPERLINK("https://twitter.com/Chivas_Regall8/status/1045020621112045568","1045020621112045568")</f>
        <v>1045020621112045568</v>
      </c>
      <c r="F2591" s="4"/>
      <c r="G2591" s="4"/>
      <c r="H2591" s="4"/>
      <c r="I2591" s="10" t="str">
        <f>HYPERLINK("http://twitter.com/download/iphone","Twitter for iPhone")</f>
        <v>Twitter for iPhone</v>
      </c>
      <c r="J2591" s="2">
        <v>5557</v>
      </c>
      <c r="K2591" s="2">
        <v>259</v>
      </c>
      <c r="L2591" s="2">
        <v>41</v>
      </c>
      <c r="M2591" s="2"/>
      <c r="N2591" s="8">
        <v>40647.779803240745</v>
      </c>
      <c r="O2591" s="4"/>
      <c r="P2591" s="3" t="s">
        <v>1082</v>
      </c>
      <c r="Q2591" s="4"/>
      <c r="R2591" s="4"/>
      <c r="S2591" s="9" t="str">
        <f>HYPERLINK("https://pbs.twimg.com/profile_images/1011368521064943617/RbUH_6Lk.jpg","View")</f>
        <v>View</v>
      </c>
    </row>
    <row r="2592" spans="1:19" ht="30">
      <c r="A2592" s="8">
        <v>43369.923807870371</v>
      </c>
      <c r="B2592" s="11" t="str">
        <f>HYPERLINK("https://twitter.com/yjcagency","@yjcagency")</f>
        <v>@yjcagency</v>
      </c>
      <c r="C2592" s="6" t="s">
        <v>88</v>
      </c>
      <c r="D2592" s="5" t="s">
        <v>1081</v>
      </c>
      <c r="E2592" s="9" t="str">
        <f>HYPERLINK("https://twitter.com/yjcagency/status/1045020247995162630","1045020247995162630")</f>
        <v>1045020247995162630</v>
      </c>
      <c r="F2592" s="4"/>
      <c r="G2592" s="10" t="s">
        <v>1080</v>
      </c>
      <c r="H2592" s="4"/>
      <c r="I2592" s="10" t="str">
        <f>HYPERLINK("http://twitter.com/download/iphone","Twitter for iPhone")</f>
        <v>Twitter for iPhone</v>
      </c>
      <c r="J2592" s="2">
        <v>11347</v>
      </c>
      <c r="K2592" s="2">
        <v>3</v>
      </c>
      <c r="L2592" s="2">
        <v>63</v>
      </c>
      <c r="M2592" s="2"/>
      <c r="N2592" s="8">
        <v>42691.645821759259</v>
      </c>
      <c r="O2592" s="4" t="s">
        <v>85</v>
      </c>
      <c r="P2592" s="3" t="s">
        <v>84</v>
      </c>
      <c r="Q2592" s="10" t="s">
        <v>83</v>
      </c>
      <c r="R2592" s="4"/>
      <c r="S2592" s="9" t="str">
        <f>HYPERLINK("https://pbs.twimg.com/profile_images/1039447384940531714/s7Ntm7-U.jpg","View")</f>
        <v>View</v>
      </c>
    </row>
    <row r="2593" spans="1:19" ht="20">
      <c r="A2593" s="8">
        <v>43369.923645833333</v>
      </c>
      <c r="B2593" s="11" t="str">
        <f>HYPERLINK("https://twitter.com/fereshtevpt","@fereshtevpt")</f>
        <v>@fereshtevpt</v>
      </c>
      <c r="C2593" s="6" t="s">
        <v>331</v>
      </c>
      <c r="D2593" s="5" t="s">
        <v>1079</v>
      </c>
      <c r="E2593" s="9" t="str">
        <f>HYPERLINK("https://twitter.com/fereshtevpt/status/1045020188503093248","1045020188503093248")</f>
        <v>1045020188503093248</v>
      </c>
      <c r="F2593" s="4"/>
      <c r="G2593" s="4"/>
      <c r="H2593" s="4"/>
      <c r="I2593" s="10" t="str">
        <f>HYPERLINK("http://twitter.com/download/iphone","Twitter for iPhone")</f>
        <v>Twitter for iPhone</v>
      </c>
      <c r="J2593" s="2">
        <v>2474</v>
      </c>
      <c r="K2593" s="2">
        <v>2147</v>
      </c>
      <c r="L2593" s="2">
        <v>6</v>
      </c>
      <c r="M2593" s="2"/>
      <c r="N2593" s="8">
        <v>43106.721226851849</v>
      </c>
      <c r="O2593" s="4"/>
      <c r="P2593" s="3" t="s">
        <v>329</v>
      </c>
      <c r="Q2593" s="4"/>
      <c r="R2593" s="4"/>
      <c r="S2593" s="9" t="str">
        <f>HYPERLINK("https://pbs.twimg.com/profile_images/1037751959716016135/k__ynAL7.jpg","View")</f>
        <v>View</v>
      </c>
    </row>
    <row r="2594" spans="1:19" ht="20">
      <c r="A2594" s="8">
        <v>43369.923414351855</v>
      </c>
      <c r="B2594" s="11" t="str">
        <f>HYPERLINK("https://twitter.com/Beth7876","@Beth7876")</f>
        <v>@Beth7876</v>
      </c>
      <c r="C2594" s="6" t="s">
        <v>53</v>
      </c>
      <c r="D2594" s="5" t="s">
        <v>1079</v>
      </c>
      <c r="E2594" s="9" t="str">
        <f>HYPERLINK("https://twitter.com/Beth7876/status/1045020104319270912","1045020104319270912")</f>
        <v>1045020104319270912</v>
      </c>
      <c r="F2594" s="4"/>
      <c r="G2594" s="4"/>
      <c r="H2594" s="4"/>
      <c r="I2594" s="10" t="str">
        <f>HYPERLINK("http://twitter.com/download/android","Twitter for Android")</f>
        <v>Twitter for Android</v>
      </c>
      <c r="J2594" s="2">
        <v>9265</v>
      </c>
      <c r="K2594" s="2">
        <v>1646</v>
      </c>
      <c r="L2594" s="2">
        <v>17</v>
      </c>
      <c r="M2594" s="2"/>
      <c r="N2594" s="8">
        <v>43053.419363425928</v>
      </c>
      <c r="O2594" s="4" t="s">
        <v>10</v>
      </c>
      <c r="P2594" s="3" t="s">
        <v>51</v>
      </c>
      <c r="Q2594" s="4"/>
      <c r="R2594" s="4"/>
      <c r="S2594" s="9" t="str">
        <f>HYPERLINK("https://pbs.twimg.com/profile_images/1043178143933181952/KaP_lpTl.jpg","View")</f>
        <v>View</v>
      </c>
    </row>
    <row r="2595" spans="1:19" ht="100">
      <c r="A2595" s="8">
        <v>43369.923020833332</v>
      </c>
      <c r="B2595" s="11" t="str">
        <f>HYPERLINK("https://twitter.com/CalcioIraniano","@CalcioIraniano")</f>
        <v>@CalcioIraniano</v>
      </c>
      <c r="C2595" s="6" t="s">
        <v>1078</v>
      </c>
      <c r="D2595" s="5" t="s">
        <v>1077</v>
      </c>
      <c r="E2595" s="9" t="str">
        <f>HYPERLINK("https://twitter.com/CalcioIraniano/status/1045019964510543873","1045019964510543873")</f>
        <v>1045019964510543873</v>
      </c>
      <c r="F2595" s="10" t="s">
        <v>1076</v>
      </c>
      <c r="G2595" s="10" t="s">
        <v>1042</v>
      </c>
      <c r="H2595" s="4"/>
      <c r="I2595" s="10" t="str">
        <f>HYPERLINK("http://twitter.com","Twitter Web Client")</f>
        <v>Twitter Web Client</v>
      </c>
      <c r="J2595" s="2">
        <v>96</v>
      </c>
      <c r="K2595" s="2">
        <v>73</v>
      </c>
      <c r="L2595" s="2">
        <v>2</v>
      </c>
      <c r="M2595" s="2"/>
      <c r="N2595" s="8">
        <v>42943.737407407403</v>
      </c>
      <c r="O2595" s="4" t="s">
        <v>1075</v>
      </c>
      <c r="P2595" s="3" t="s">
        <v>1074</v>
      </c>
      <c r="Q2595" s="10" t="s">
        <v>1073</v>
      </c>
      <c r="R2595" s="4"/>
      <c r="S2595" s="9" t="str">
        <f>HYPERLINK("https://pbs.twimg.com/profile_images/890563384915243008/kZ2we3yk.jpg","View")</f>
        <v>View</v>
      </c>
    </row>
    <row r="2596" spans="1:19" ht="20">
      <c r="A2596" s="8">
        <v>43369.922997685186</v>
      </c>
      <c r="B2596" s="11" t="str">
        <f>HYPERLINK("https://twitter.com/Shima_Na","@Shima_Na")</f>
        <v>@Shima_Na</v>
      </c>
      <c r="C2596" s="6" t="s">
        <v>1072</v>
      </c>
      <c r="D2596" s="5" t="s">
        <v>163</v>
      </c>
      <c r="E2596" s="9" t="str">
        <f>HYPERLINK("https://twitter.com/Shima_Na/status/1045019955643723776","1045019955643723776")</f>
        <v>1045019955643723776</v>
      </c>
      <c r="F2596" s="4"/>
      <c r="G2596" s="4"/>
      <c r="H2596" s="4"/>
      <c r="I2596" s="10" t="str">
        <f>HYPERLINK("http://twitter.com/download/android","Twitter for Android")</f>
        <v>Twitter for Android</v>
      </c>
      <c r="J2596" s="2">
        <v>214</v>
      </c>
      <c r="K2596" s="2">
        <v>40</v>
      </c>
      <c r="L2596" s="2">
        <v>1</v>
      </c>
      <c r="M2596" s="2"/>
      <c r="N2596" s="8">
        <v>42002.276620370365</v>
      </c>
      <c r="O2596" s="4" t="s">
        <v>200</v>
      </c>
      <c r="P2596" s="3" t="s">
        <v>1071</v>
      </c>
      <c r="Q2596" s="4"/>
      <c r="R2596" s="4"/>
      <c r="S2596" s="9" t="str">
        <f>HYPERLINK("https://pbs.twimg.com/profile_images/988516861498314752/JYxPTF9B.jpg","View")</f>
        <v>View</v>
      </c>
    </row>
    <row r="2597" spans="1:19" ht="20">
      <c r="A2597" s="8">
        <v>43369.922731481478</v>
      </c>
      <c r="B2597" s="11" t="str">
        <f>HYPERLINK("https://twitter.com/Reza_Gh1990","@Reza_Gh1990")</f>
        <v>@Reza_Gh1990</v>
      </c>
      <c r="C2597" s="6" t="s">
        <v>326</v>
      </c>
      <c r="D2597" s="5" t="s">
        <v>1070</v>
      </c>
      <c r="E2597" s="9" t="str">
        <f>HYPERLINK("https://twitter.com/Reza_Gh1990/status/1045019859074125826","1045019859074125826")</f>
        <v>1045019859074125826</v>
      </c>
      <c r="F2597" s="4"/>
      <c r="G2597" s="4"/>
      <c r="H2597" s="4"/>
      <c r="I2597" s="10" t="str">
        <f>HYPERLINK("http://twitter.com","Twitter Web Client")</f>
        <v>Twitter Web Client</v>
      </c>
      <c r="J2597" s="2">
        <v>2619</v>
      </c>
      <c r="K2597" s="2">
        <v>1141</v>
      </c>
      <c r="L2597" s="2">
        <v>10</v>
      </c>
      <c r="M2597" s="2"/>
      <c r="N2597" s="8">
        <v>42034.77043981482</v>
      </c>
      <c r="O2597" s="4" t="s">
        <v>323</v>
      </c>
      <c r="P2597" s="3" t="s">
        <v>322</v>
      </c>
      <c r="Q2597" s="4"/>
      <c r="R2597" s="4"/>
      <c r="S2597" s="9" t="str">
        <f>HYPERLINK("https://pbs.twimg.com/profile_images/1044632756221890562/Kn6N1eml.jpg","View")</f>
        <v>View</v>
      </c>
    </row>
    <row r="2598" spans="1:19" ht="30">
      <c r="A2598" s="8">
        <v>43369.922662037032</v>
      </c>
      <c r="B2598" s="11" t="str">
        <f>HYPERLINK("https://twitter.com/DorostNevisi","@DorostNevisi")</f>
        <v>@DorostNevisi</v>
      </c>
      <c r="C2598" s="6" t="s">
        <v>1069</v>
      </c>
      <c r="D2598" s="13" t="s">
        <v>1068</v>
      </c>
      <c r="E2598" s="9" t="str">
        <f>HYPERLINK("https://twitter.com/DorostNevisi/status/1045019832901685248","1045019832901685248")</f>
        <v>1045019832901685248</v>
      </c>
      <c r="F2598" s="10" t="s">
        <v>1067</v>
      </c>
      <c r="G2598" s="4"/>
      <c r="H2598" s="4"/>
      <c r="I2598" s="10" t="str">
        <f>HYPERLINK("http://twitter.com/download/android","Twitter for Android")</f>
        <v>Twitter for Android</v>
      </c>
      <c r="J2598" s="2">
        <v>1576</v>
      </c>
      <c r="K2598" s="2">
        <v>2</v>
      </c>
      <c r="L2598" s="2">
        <v>6</v>
      </c>
      <c r="M2598" s="2"/>
      <c r="N2598" s="8">
        <v>43232.504108796296</v>
      </c>
      <c r="O2598" s="4" t="s">
        <v>524</v>
      </c>
      <c r="P2598" s="3" t="s">
        <v>1066</v>
      </c>
      <c r="Q2598" s="10" t="s">
        <v>1065</v>
      </c>
      <c r="R2598" s="4"/>
      <c r="S2598" s="9" t="str">
        <f>HYPERLINK("https://pbs.twimg.com/profile_images/995397119421960192/BEDnhhju.jpg","View")</f>
        <v>View</v>
      </c>
    </row>
    <row r="2599" spans="1:19" ht="20">
      <c r="A2599" s="8">
        <v>43369.921840277777</v>
      </c>
      <c r="B2599" s="11" t="str">
        <f>HYPERLINK("https://twitter.com/Angel27875781","@Angel27875781")</f>
        <v>@Angel27875781</v>
      </c>
      <c r="C2599" s="6" t="s">
        <v>1064</v>
      </c>
      <c r="D2599" s="5" t="s">
        <v>1035</v>
      </c>
      <c r="E2599" s="9" t="str">
        <f>HYPERLINK("https://twitter.com/Angel27875781/status/1045019537660399616","1045019537660399616")</f>
        <v>1045019537660399616</v>
      </c>
      <c r="F2599" s="4"/>
      <c r="G2599" s="10" t="s">
        <v>1015</v>
      </c>
      <c r="H2599" s="4"/>
      <c r="I2599" s="10" t="str">
        <f>HYPERLINK("http://twitter.com/download/android","Twitter for Android")</f>
        <v>Twitter for Android</v>
      </c>
      <c r="J2599" s="2">
        <v>240</v>
      </c>
      <c r="K2599" s="2">
        <v>251</v>
      </c>
      <c r="L2599" s="2">
        <v>0</v>
      </c>
      <c r="M2599" s="2"/>
      <c r="N2599" s="8">
        <v>43356.696446759262</v>
      </c>
      <c r="O2599" s="4"/>
      <c r="P2599" s="3" t="s">
        <v>1063</v>
      </c>
      <c r="Q2599" s="4"/>
      <c r="R2599" s="4"/>
      <c r="S2599" s="9" t="str">
        <f>HYPERLINK("https://pbs.twimg.com/profile_images/1043961173048262656/TQ_D4NOQ.jpg","View")</f>
        <v>View</v>
      </c>
    </row>
    <row r="2600" spans="1:19" ht="20">
      <c r="A2600" s="8">
        <v>43369.921388888892</v>
      </c>
      <c r="B2600" s="11" t="str">
        <f>HYPERLINK("https://twitter.com/m_bj2000","@m_bj2000")</f>
        <v>@m_bj2000</v>
      </c>
      <c r="C2600" s="6" t="s">
        <v>1062</v>
      </c>
      <c r="D2600" s="5" t="s">
        <v>1061</v>
      </c>
      <c r="E2600" s="9" t="str">
        <f>HYPERLINK("https://twitter.com/m_bj2000/status/1045019373163999232","1045019373163999232")</f>
        <v>1045019373163999232</v>
      </c>
      <c r="F2600" s="4"/>
      <c r="G2600" s="10" t="s">
        <v>1060</v>
      </c>
      <c r="H2600" s="4"/>
      <c r="I2600" s="10" t="str">
        <f>HYPERLINK("http://twitter.com/download/android","Twitter for Android")</f>
        <v>Twitter for Android</v>
      </c>
      <c r="J2600" s="2">
        <v>877</v>
      </c>
      <c r="K2600" s="2">
        <v>1327</v>
      </c>
      <c r="L2600" s="2">
        <v>2</v>
      </c>
      <c r="M2600" s="2"/>
      <c r="N2600" s="8">
        <v>43086.513865740737</v>
      </c>
      <c r="O2600" s="4"/>
      <c r="P2600" s="3" t="s">
        <v>1059</v>
      </c>
      <c r="Q2600" s="4"/>
      <c r="R2600" s="4"/>
      <c r="S2600" s="9" t="str">
        <f>HYPERLINK("https://pbs.twimg.com/profile_images/1043854411095834624/NMM14CT8.jpg","View")</f>
        <v>View</v>
      </c>
    </row>
    <row r="2601" spans="1:19" ht="12.5">
      <c r="A2601" s="8">
        <v>43369.921331018515</v>
      </c>
      <c r="B2601" s="11" t="str">
        <f>HYPERLINK("https://twitter.com/BEHRANG30861784","@BEHRANG30861784")</f>
        <v>@BEHRANG30861784</v>
      </c>
      <c r="C2601" s="6" t="s">
        <v>1058</v>
      </c>
      <c r="D2601" s="5" t="s">
        <v>1057</v>
      </c>
      <c r="E2601" s="9" t="str">
        <f>HYPERLINK("https://twitter.com/BEHRANG30861784/status/1045019351076786182","1045019351076786182")</f>
        <v>1045019351076786182</v>
      </c>
      <c r="F2601" s="4"/>
      <c r="G2601" s="10" t="s">
        <v>1056</v>
      </c>
      <c r="H2601" s="4"/>
      <c r="I2601" s="10" t="str">
        <f>HYPERLINK("http://twitter.com/download/iphone","Twitter for iPhone")</f>
        <v>Twitter for iPhone</v>
      </c>
      <c r="J2601" s="2">
        <v>5</v>
      </c>
      <c r="K2601" s="2">
        <v>43</v>
      </c>
      <c r="L2601" s="2">
        <v>0</v>
      </c>
      <c r="M2601" s="2"/>
      <c r="N2601" s="8">
        <v>43363.537893518514</v>
      </c>
      <c r="O2601" s="4"/>
      <c r="P2601" s="3"/>
      <c r="Q2601" s="4"/>
      <c r="R2601" s="4"/>
      <c r="S2601" s="9" t="str">
        <f>HYPERLINK("https://pbs.twimg.com/profile_images/1042783141751136256/u6K0PCgQ.jpg","View")</f>
        <v>View</v>
      </c>
    </row>
    <row r="2602" spans="1:19" ht="40">
      <c r="A2602" s="8">
        <v>43369.919108796297</v>
      </c>
      <c r="B2602" s="11" t="str">
        <f>HYPERLINK("https://twitter.com/Amin_khamosh","@Amin_khamosh")</f>
        <v>@Amin_khamosh</v>
      </c>
      <c r="C2602" s="6" t="s">
        <v>1055</v>
      </c>
      <c r="D2602" s="5" t="s">
        <v>231</v>
      </c>
      <c r="E2602" s="9" t="str">
        <f>HYPERLINK("https://twitter.com/Amin_khamosh/status/1045018546147905543","1045018546147905543")</f>
        <v>1045018546147905543</v>
      </c>
      <c r="F2602" s="4"/>
      <c r="G2602" s="4"/>
      <c r="H2602" s="4"/>
      <c r="I2602" s="10" t="str">
        <f>HYPERLINK("http://twitter.com/download/android","Twitter for Android")</f>
        <v>Twitter for Android</v>
      </c>
      <c r="J2602" s="2">
        <v>356</v>
      </c>
      <c r="K2602" s="2">
        <v>343</v>
      </c>
      <c r="L2602" s="2">
        <v>0</v>
      </c>
      <c r="M2602" s="2"/>
      <c r="N2602" s="8">
        <v>43110.563287037032</v>
      </c>
      <c r="O2602" s="4" t="s">
        <v>55</v>
      </c>
      <c r="P2602" s="3" t="s">
        <v>1054</v>
      </c>
      <c r="Q2602" s="4"/>
      <c r="R2602" s="4"/>
      <c r="S2602" s="9" t="str">
        <f>HYPERLINK("https://pbs.twimg.com/profile_images/999089840665718784/FlXc0XBu.jpg","View")</f>
        <v>View</v>
      </c>
    </row>
    <row r="2603" spans="1:19" ht="20">
      <c r="A2603" s="8">
        <v>43369.918865740736</v>
      </c>
      <c r="B2603" s="11" t="str">
        <f>HYPERLINK("https://twitter.com/zhakrusso","@zhakrusso")</f>
        <v>@zhakrusso</v>
      </c>
      <c r="C2603" s="6" t="s">
        <v>1053</v>
      </c>
      <c r="D2603" s="5" t="s">
        <v>276</v>
      </c>
      <c r="E2603" s="9" t="str">
        <f>HYPERLINK("https://twitter.com/zhakrusso/status/1045018458826723329","1045018458826723329")</f>
        <v>1045018458826723329</v>
      </c>
      <c r="F2603" s="4"/>
      <c r="G2603" s="4"/>
      <c r="H2603" s="4"/>
      <c r="I2603" s="10" t="str">
        <f>HYPERLINK("http://twitter.com/download/android","Twitter for Android")</f>
        <v>Twitter for Android</v>
      </c>
      <c r="J2603" s="2">
        <v>4631</v>
      </c>
      <c r="K2603" s="2">
        <v>4812</v>
      </c>
      <c r="L2603" s="2">
        <v>0</v>
      </c>
      <c r="M2603" s="2"/>
      <c r="N2603" s="8">
        <v>43265.725590277776</v>
      </c>
      <c r="O2603" s="4" t="s">
        <v>1052</v>
      </c>
      <c r="P2603" s="3" t="s">
        <v>1051</v>
      </c>
      <c r="Q2603" s="4"/>
      <c r="R2603" s="4"/>
      <c r="S2603" s="9" t="str">
        <f>HYPERLINK("https://pbs.twimg.com/profile_images/1011628993790005253/PKYlDKZw.jpg","View")</f>
        <v>View</v>
      </c>
    </row>
    <row r="2604" spans="1:19" ht="20">
      <c r="A2604" s="8">
        <v>43369.918506944443</v>
      </c>
      <c r="B2604" s="11" t="str">
        <f>HYPERLINK("https://twitter.com/ThreefarFery","@ThreefarFery")</f>
        <v>@ThreefarFery</v>
      </c>
      <c r="C2604" s="6" t="s">
        <v>1050</v>
      </c>
      <c r="D2604" s="5" t="s">
        <v>163</v>
      </c>
      <c r="E2604" s="9" t="str">
        <f>HYPERLINK("https://twitter.com/ThreefarFery/status/1045018326148296704","1045018326148296704")</f>
        <v>1045018326148296704</v>
      </c>
      <c r="F2604" s="4"/>
      <c r="G2604" s="4"/>
      <c r="H2604" s="4"/>
      <c r="I2604" s="10" t="str">
        <f>HYPERLINK("http://twitter.com/download/android","Twitter for Android")</f>
        <v>Twitter for Android</v>
      </c>
      <c r="J2604" s="2">
        <v>44</v>
      </c>
      <c r="K2604" s="2">
        <v>78</v>
      </c>
      <c r="L2604" s="2">
        <v>0</v>
      </c>
      <c r="M2604" s="2"/>
      <c r="N2604" s="8">
        <v>41565.454259259262</v>
      </c>
      <c r="O2604" s="4"/>
      <c r="P2604" s="3"/>
      <c r="Q2604" s="4"/>
      <c r="R2604" s="4"/>
      <c r="S2604" s="9" t="str">
        <f>HYPERLINK("https://pbs.twimg.com/profile_images/1033431102990544896/r4O5oMf9.jpg","View")</f>
        <v>View</v>
      </c>
    </row>
    <row r="2605" spans="1:19" ht="30">
      <c r="A2605" s="8">
        <v>43369.918437500004</v>
      </c>
      <c r="B2605" s="11" t="str">
        <f>HYPERLINK("https://twitter.com/fereshtevpt","@fereshtevpt")</f>
        <v>@fereshtevpt</v>
      </c>
      <c r="C2605" s="6" t="s">
        <v>331</v>
      </c>
      <c r="D2605" s="5" t="s">
        <v>1049</v>
      </c>
      <c r="E2605" s="9" t="str">
        <f>HYPERLINK("https://twitter.com/fereshtevpt/status/1045018300885999616","1045018300885999616")</f>
        <v>1045018300885999616</v>
      </c>
      <c r="F2605" s="4"/>
      <c r="G2605" s="4"/>
      <c r="H2605" s="4"/>
      <c r="I2605" s="10" t="str">
        <f>HYPERLINK("http://twitter.com/download/iphone","Twitter for iPhone")</f>
        <v>Twitter for iPhone</v>
      </c>
      <c r="J2605" s="2">
        <v>2474</v>
      </c>
      <c r="K2605" s="2">
        <v>2147</v>
      </c>
      <c r="L2605" s="2">
        <v>6</v>
      </c>
      <c r="M2605" s="2"/>
      <c r="N2605" s="8">
        <v>43106.721226851849</v>
      </c>
      <c r="O2605" s="4"/>
      <c r="P2605" s="3" t="s">
        <v>329</v>
      </c>
      <c r="Q2605" s="4"/>
      <c r="R2605" s="4"/>
      <c r="S2605" s="9" t="str">
        <f>HYPERLINK("https://pbs.twimg.com/profile_images/1037751959716016135/k__ynAL7.jpg","View")</f>
        <v>View</v>
      </c>
    </row>
    <row r="2606" spans="1:19" ht="30">
      <c r="A2606" s="8">
        <v>43369.918414351851</v>
      </c>
      <c r="B2606" s="11" t="str">
        <f>HYPERLINK("https://twitter.com/hepliin","@hepliin")</f>
        <v>@hepliin</v>
      </c>
      <c r="C2606" s="6" t="s">
        <v>1048</v>
      </c>
      <c r="D2606" s="5" t="s">
        <v>974</v>
      </c>
      <c r="E2606" s="9" t="str">
        <f>HYPERLINK("https://twitter.com/hepliin/status/1045018292929409024","1045018292929409024")</f>
        <v>1045018292929409024</v>
      </c>
      <c r="F2606" s="4"/>
      <c r="G2606" s="4"/>
      <c r="H2606" s="4"/>
      <c r="I2606" s="10" t="str">
        <f>HYPERLINK("http://twitter.com/download/iphone","Twitter for iPhone")</f>
        <v>Twitter for iPhone</v>
      </c>
      <c r="J2606" s="2">
        <v>351</v>
      </c>
      <c r="K2606" s="2">
        <v>223</v>
      </c>
      <c r="L2606" s="2">
        <v>0</v>
      </c>
      <c r="M2606" s="2"/>
      <c r="N2606" s="8">
        <v>42434.360277777778</v>
      </c>
      <c r="O2606" s="4"/>
      <c r="P2606" s="3" t="s">
        <v>1047</v>
      </c>
      <c r="Q2606" s="4"/>
      <c r="R2606" s="4"/>
      <c r="S2606" s="9" t="str">
        <f>HYPERLINK("https://pbs.twimg.com/profile_images/1043698765251731457/XEn864hL.jpg","View")</f>
        <v>View</v>
      </c>
    </row>
    <row r="2607" spans="1:19" ht="30">
      <c r="A2607" s="8">
        <v>43369.918090277773</v>
      </c>
      <c r="B2607" s="11" t="str">
        <f>HYPERLINK("https://twitter.com/yek_majnoun","@yek_majnoun")</f>
        <v>@yek_majnoun</v>
      </c>
      <c r="C2607" s="6" t="s">
        <v>1046</v>
      </c>
      <c r="D2607" s="5" t="s">
        <v>1035</v>
      </c>
      <c r="E2607" s="9" t="str">
        <f>HYPERLINK("https://twitter.com/yek_majnoun/status/1045018176344469504","1045018176344469504")</f>
        <v>1045018176344469504</v>
      </c>
      <c r="F2607" s="4"/>
      <c r="G2607" s="10" t="s">
        <v>1015</v>
      </c>
      <c r="H2607" s="4"/>
      <c r="I2607" s="10" t="str">
        <f>HYPERLINK("http://twitter.com/download/android","Twitter for Android")</f>
        <v>Twitter for Android</v>
      </c>
      <c r="J2607" s="2">
        <v>647</v>
      </c>
      <c r="K2607" s="2">
        <v>291</v>
      </c>
      <c r="L2607" s="2">
        <v>2</v>
      </c>
      <c r="M2607" s="2"/>
      <c r="N2607" s="8">
        <v>42745.541273148148</v>
      </c>
      <c r="O2607" s="4" t="s">
        <v>200</v>
      </c>
      <c r="P2607" s="3" t="s">
        <v>1045</v>
      </c>
      <c r="Q2607" s="4"/>
      <c r="R2607" s="4"/>
      <c r="S2607" s="9" t="str">
        <f>HYPERLINK("https://pbs.twimg.com/profile_images/1039084892213178368/qjmhlq-o.jpg","View")</f>
        <v>View</v>
      </c>
    </row>
    <row r="2608" spans="1:19" ht="50">
      <c r="A2608" s="8">
        <v>43369.917997685188</v>
      </c>
      <c r="B2608" s="11" t="str">
        <f>HYPERLINK("https://twitter.com/iranteammelli","@iranteammelli")</f>
        <v>@iranteammelli</v>
      </c>
      <c r="C2608" s="6" t="s">
        <v>1044</v>
      </c>
      <c r="D2608" s="5" t="s">
        <v>1043</v>
      </c>
      <c r="E2608" s="9" t="str">
        <f>HYPERLINK("https://twitter.com/iranteammelli/status/1045018142186131457","1045018142186131457")</f>
        <v>1045018142186131457</v>
      </c>
      <c r="F2608" s="4"/>
      <c r="G2608" s="10" t="s">
        <v>1042</v>
      </c>
      <c r="H2608" s="4"/>
      <c r="I2608" s="10" t="str">
        <f>HYPERLINK("http://twitter.com","Twitter Web Client")</f>
        <v>Twitter Web Client</v>
      </c>
      <c r="J2608" s="2">
        <v>1081</v>
      </c>
      <c r="K2608" s="2">
        <v>375</v>
      </c>
      <c r="L2608" s="2">
        <v>67</v>
      </c>
      <c r="M2608" s="2"/>
      <c r="N2608" s="8">
        <v>41797.646249999998</v>
      </c>
      <c r="O2608" s="4" t="s">
        <v>62</v>
      </c>
      <c r="P2608" s="3" t="s">
        <v>1041</v>
      </c>
      <c r="Q2608" s="10" t="s">
        <v>1040</v>
      </c>
      <c r="R2608" s="4"/>
      <c r="S2608" s="9" t="str">
        <f>HYPERLINK("https://pbs.twimg.com/profile_images/757538975724761088/D2_y6aCK.jpg","View")</f>
        <v>View</v>
      </c>
    </row>
    <row r="2609" spans="1:19" ht="20">
      <c r="A2609" s="8">
        <v>43369.917361111111</v>
      </c>
      <c r="B2609" s="11" t="str">
        <f>HYPERLINK("https://twitter.com/Ardeshir","@Ardeshir")</f>
        <v>@Ardeshir</v>
      </c>
      <c r="C2609" s="6" t="s">
        <v>1039</v>
      </c>
      <c r="D2609" s="5" t="s">
        <v>498</v>
      </c>
      <c r="E2609" s="9" t="str">
        <f>HYPERLINK("https://twitter.com/Ardeshir/status/1045017913357455360","1045017913357455360")</f>
        <v>1045017913357455360</v>
      </c>
      <c r="F2609" s="4"/>
      <c r="G2609" s="4"/>
      <c r="H2609" s="4"/>
      <c r="I2609" s="10" t="str">
        <f>HYPERLINK("http://twitter.com/download/iphone","Twitter for iPhone")</f>
        <v>Twitter for iPhone</v>
      </c>
      <c r="J2609" s="2">
        <v>4239</v>
      </c>
      <c r="K2609" s="2">
        <v>518</v>
      </c>
      <c r="L2609" s="2">
        <v>41</v>
      </c>
      <c r="M2609" s="2"/>
      <c r="N2609" s="8">
        <v>39238.005879629629</v>
      </c>
      <c r="O2609" s="4" t="s">
        <v>311</v>
      </c>
      <c r="P2609" s="3" t="s">
        <v>1038</v>
      </c>
      <c r="Q2609" s="4"/>
      <c r="R2609" s="4"/>
      <c r="S2609" s="9" t="str">
        <f>HYPERLINK("https://pbs.twimg.com/profile_images/965177067875729409/2qDrHBmK.jpg","View")</f>
        <v>View</v>
      </c>
    </row>
    <row r="2610" spans="1:19" ht="30">
      <c r="A2610" s="8">
        <v>43369.91678240741</v>
      </c>
      <c r="B2610" s="11" t="str">
        <f>HYPERLINK("https://twitter.com/getaway_car4","@getaway_car4")</f>
        <v>@getaway_car4</v>
      </c>
      <c r="C2610" s="6" t="s">
        <v>1037</v>
      </c>
      <c r="D2610" s="5" t="s">
        <v>408</v>
      </c>
      <c r="E2610" s="9" t="str">
        <f>HYPERLINK("https://twitter.com/getaway_car4/status/1045017704313311232","1045017704313311232")</f>
        <v>1045017704313311232</v>
      </c>
      <c r="F2610" s="4"/>
      <c r="G2610" s="4"/>
      <c r="H2610" s="4"/>
      <c r="I2610" s="10" t="str">
        <f>HYPERLINK("http://twitter.com/download/iphone","Twitter for iPhone")</f>
        <v>Twitter for iPhone</v>
      </c>
      <c r="J2610" s="2">
        <v>113</v>
      </c>
      <c r="K2610" s="2">
        <v>45</v>
      </c>
      <c r="L2610" s="2">
        <v>0</v>
      </c>
      <c r="M2610" s="2"/>
      <c r="N2610" s="8">
        <v>43117.495729166665</v>
      </c>
      <c r="O2610" s="4"/>
      <c r="P2610" s="3"/>
      <c r="Q2610" s="4"/>
      <c r="R2610" s="4"/>
      <c r="S2610" s="9" t="str">
        <f>HYPERLINK("https://pbs.twimg.com/profile_images/1024205036740636672/Gm1cXKrp.jpg","View")</f>
        <v>View</v>
      </c>
    </row>
    <row r="2611" spans="1:19" ht="20">
      <c r="A2611" s="8">
        <v>43369.916585648149</v>
      </c>
      <c r="B2611" s="11" t="str">
        <f>HYPERLINK("https://twitter.com/alishaeri89","@alishaeri89")</f>
        <v>@alishaeri89</v>
      </c>
      <c r="C2611" s="6" t="s">
        <v>1036</v>
      </c>
      <c r="D2611" s="5" t="s">
        <v>1035</v>
      </c>
      <c r="E2611" s="9" t="str">
        <f>HYPERLINK("https://twitter.com/alishaeri89/status/1045017632628342784","1045017632628342784")</f>
        <v>1045017632628342784</v>
      </c>
      <c r="F2611" s="4"/>
      <c r="G2611" s="10" t="s">
        <v>1015</v>
      </c>
      <c r="H2611" s="4"/>
      <c r="I2611" s="10" t="str">
        <f>HYPERLINK("http://twitter.com/download/android","Twitter for Android")</f>
        <v>Twitter for Android</v>
      </c>
      <c r="J2611" s="2">
        <v>1807</v>
      </c>
      <c r="K2611" s="2">
        <v>1761</v>
      </c>
      <c r="L2611" s="2">
        <v>2</v>
      </c>
      <c r="M2611" s="2"/>
      <c r="N2611" s="8">
        <v>43248.747106481482</v>
      </c>
      <c r="O2611" s="4" t="s">
        <v>62</v>
      </c>
      <c r="P2611" s="3" t="s">
        <v>1034</v>
      </c>
      <c r="Q2611" s="4"/>
      <c r="R2611" s="4"/>
      <c r="S2611" s="9" t="str">
        <f>HYPERLINK("https://pbs.twimg.com/profile_images/1019917938999070720/VqHRCseB.jpg","View")</f>
        <v>View</v>
      </c>
    </row>
    <row r="2612" spans="1:19" ht="50">
      <c r="A2612" s="8">
        <v>43369.91578703704</v>
      </c>
      <c r="B2612" s="11" t="str">
        <f>HYPERLINK("https://twitter.com/mehrzad_77","@mehrzad_77")</f>
        <v>@mehrzad_77</v>
      </c>
      <c r="C2612" s="6" t="s">
        <v>1033</v>
      </c>
      <c r="D2612" s="5" t="s">
        <v>1032</v>
      </c>
      <c r="E2612" s="9" t="str">
        <f>HYPERLINK("https://twitter.com/mehrzad_77/status/1045017342399442944","1045017342399442944")</f>
        <v>1045017342399442944</v>
      </c>
      <c r="F2612" s="4"/>
      <c r="G2612" s="4"/>
      <c r="H2612" s="4"/>
      <c r="I2612" s="10" t="str">
        <f>HYPERLINK("http://twitter.com/download/android","Twitter for Android")</f>
        <v>Twitter for Android</v>
      </c>
      <c r="J2612" s="2">
        <v>1486</v>
      </c>
      <c r="K2612" s="2">
        <v>1308</v>
      </c>
      <c r="L2612" s="2">
        <v>14</v>
      </c>
      <c r="M2612" s="2"/>
      <c r="N2612" s="8">
        <v>40600.882291666669</v>
      </c>
      <c r="O2612" s="4"/>
      <c r="P2612" s="3" t="s">
        <v>1031</v>
      </c>
      <c r="Q2612" s="4"/>
      <c r="R2612" s="4"/>
      <c r="S2612" s="9" t="str">
        <f>HYPERLINK("https://pbs.twimg.com/profile_images/1031152442640093184/5q9L_jc4.jpg","View")</f>
        <v>View</v>
      </c>
    </row>
    <row r="2613" spans="1:19" ht="30">
      <c r="A2613" s="8">
        <v>43369.91569444444</v>
      </c>
      <c r="B2613" s="11" t="str">
        <f>HYPERLINK("https://twitter.com/melatemazlum","@melatemazlum")</f>
        <v>@melatemazlum</v>
      </c>
      <c r="C2613" s="6" t="s">
        <v>1030</v>
      </c>
      <c r="D2613" s="5" t="s">
        <v>974</v>
      </c>
      <c r="E2613" s="9" t="str">
        <f>HYPERLINK("https://twitter.com/melatemazlum/status/1045017307964223488","1045017307964223488")</f>
        <v>1045017307964223488</v>
      </c>
      <c r="F2613" s="4"/>
      <c r="G2613" s="4"/>
      <c r="H2613" s="4"/>
      <c r="I2613" s="10" t="str">
        <f>HYPERLINK("http://twitter.com/download/android","Twitter for Android")</f>
        <v>Twitter for Android</v>
      </c>
      <c r="J2613" s="2">
        <v>89</v>
      </c>
      <c r="K2613" s="2">
        <v>290</v>
      </c>
      <c r="L2613" s="2">
        <v>1</v>
      </c>
      <c r="M2613" s="2"/>
      <c r="N2613" s="8">
        <v>43219.742581018523</v>
      </c>
      <c r="O2613" s="4" t="s">
        <v>1029</v>
      </c>
      <c r="P2613" s="3" t="s">
        <v>1028</v>
      </c>
      <c r="Q2613" s="4"/>
      <c r="R2613" s="4"/>
      <c r="S2613" s="9" t="str">
        <f>HYPERLINK("https://pbs.twimg.com/profile_images/990583785405190144/1AqTnkiG.jpg","View")</f>
        <v>View</v>
      </c>
    </row>
    <row r="2614" spans="1:19" ht="40">
      <c r="A2614" s="8">
        <v>43369.915358796294</v>
      </c>
      <c r="B2614" s="11" t="str">
        <f>HYPERLINK("https://twitter.com/cyrus_2538","@cyrus_2538")</f>
        <v>@cyrus_2538</v>
      </c>
      <c r="C2614" s="6" t="s">
        <v>1027</v>
      </c>
      <c r="D2614" s="5" t="s">
        <v>922</v>
      </c>
      <c r="E2614" s="9" t="str">
        <f>HYPERLINK("https://twitter.com/cyrus_2538/status/1045017186002239488","1045017186002239488")</f>
        <v>1045017186002239488</v>
      </c>
      <c r="F2614" s="4"/>
      <c r="G2614" s="4"/>
      <c r="H2614" s="4"/>
      <c r="I2614" s="10" t="str">
        <f>HYPERLINK("http://twitter.com/download/android","Twitter for Android")</f>
        <v>Twitter for Android</v>
      </c>
      <c r="J2614" s="2">
        <v>199</v>
      </c>
      <c r="K2614" s="2">
        <v>275</v>
      </c>
      <c r="L2614" s="2">
        <v>1</v>
      </c>
      <c r="M2614" s="2"/>
      <c r="N2614" s="8">
        <v>40832.514317129629</v>
      </c>
      <c r="O2614" s="4" t="s">
        <v>1026</v>
      </c>
      <c r="P2614" s="3" t="s">
        <v>1025</v>
      </c>
      <c r="Q2614" s="4"/>
      <c r="R2614" s="4"/>
      <c r="S2614" s="9" t="str">
        <f>HYPERLINK("https://pbs.twimg.com/profile_images/1026779549420273664/D3Blzbor.jpg","View")</f>
        <v>View</v>
      </c>
    </row>
    <row r="2615" spans="1:19" ht="12.5">
      <c r="A2615" s="8">
        <v>43369.915138888886</v>
      </c>
      <c r="B2615" s="11" t="str">
        <f>HYPERLINK("https://twitter.com/javan_1396","@javan_1396")</f>
        <v>@javan_1396</v>
      </c>
      <c r="C2615" s="6" t="s">
        <v>1024</v>
      </c>
      <c r="D2615" s="5" t="s">
        <v>1023</v>
      </c>
      <c r="E2615" s="9" t="str">
        <f>HYPERLINK("https://twitter.com/javan_1396/status/1045017105932984320","1045017105932984320")</f>
        <v>1045017105932984320</v>
      </c>
      <c r="F2615" s="4"/>
      <c r="G2615" s="4"/>
      <c r="H2615" s="4"/>
      <c r="I2615" s="10" t="str">
        <f>HYPERLINK("http://twitter.com/download/android","Twitter for Android")</f>
        <v>Twitter for Android</v>
      </c>
      <c r="J2615" s="2">
        <v>2735</v>
      </c>
      <c r="K2615" s="2">
        <v>2568</v>
      </c>
      <c r="L2615" s="2">
        <v>6</v>
      </c>
      <c r="M2615" s="2"/>
      <c r="N2615" s="8">
        <v>43121.492291666669</v>
      </c>
      <c r="O2615" s="4" t="s">
        <v>1022</v>
      </c>
      <c r="P2615" s="3" t="s">
        <v>1021</v>
      </c>
      <c r="Q2615" s="4"/>
      <c r="R2615" s="4"/>
      <c r="S2615" s="9" t="str">
        <f>HYPERLINK("https://pbs.twimg.com/profile_images/1039077322303975424/KT6ak9XH.jpg","View")</f>
        <v>View</v>
      </c>
    </row>
    <row r="2616" spans="1:19" ht="30">
      <c r="A2616" s="8">
        <v>43369.91506944444</v>
      </c>
      <c r="B2616" s="11" t="str">
        <f>HYPERLINK("https://twitter.com/Niiiiiiishhh","@Niiiiiiishhh")</f>
        <v>@Niiiiiiishhh</v>
      </c>
      <c r="C2616" s="6" t="s">
        <v>1020</v>
      </c>
      <c r="D2616" s="5" t="s">
        <v>974</v>
      </c>
      <c r="E2616" s="9" t="str">
        <f>HYPERLINK("https://twitter.com/Niiiiiiishhh/status/1045017081316593664","1045017081316593664")</f>
        <v>1045017081316593664</v>
      </c>
      <c r="F2616" s="4"/>
      <c r="G2616" s="4"/>
      <c r="H2616" s="4"/>
      <c r="I2616" s="10" t="str">
        <f>HYPERLINK("http://twitter.com/download/android","Twitter for Android")</f>
        <v>Twitter for Android</v>
      </c>
      <c r="J2616" s="2">
        <v>6669</v>
      </c>
      <c r="K2616" s="2">
        <v>6162</v>
      </c>
      <c r="L2616" s="2">
        <v>10</v>
      </c>
      <c r="M2616" s="2"/>
      <c r="N2616" s="8">
        <v>42258.061249999999</v>
      </c>
      <c r="O2616" s="4" t="s">
        <v>1019</v>
      </c>
      <c r="P2616" s="3" t="s">
        <v>1018</v>
      </c>
      <c r="Q2616" s="4"/>
      <c r="R2616" s="4"/>
      <c r="S2616" s="9" t="str">
        <f>HYPERLINK("https://pbs.twimg.com/profile_images/973300232124420096/QQ57rT9p.jpg","View")</f>
        <v>View</v>
      </c>
    </row>
    <row r="2617" spans="1:19" ht="20">
      <c r="A2617" s="8">
        <v>43369.914942129632</v>
      </c>
      <c r="B2617" s="11" t="str">
        <f>HYPERLINK("https://twitter.com/MostafaPirhaya3","@MostafaPirhaya3")</f>
        <v>@MostafaPirhaya3</v>
      </c>
      <c r="C2617" s="6" t="s">
        <v>1017</v>
      </c>
      <c r="D2617" s="5" t="s">
        <v>1016</v>
      </c>
      <c r="E2617" s="9" t="str">
        <f>HYPERLINK("https://twitter.com/MostafaPirhaya3/status/1045017036596957189","1045017036596957189")</f>
        <v>1045017036596957189</v>
      </c>
      <c r="F2617" s="4"/>
      <c r="G2617" s="10" t="s">
        <v>1015</v>
      </c>
      <c r="H2617" s="4"/>
      <c r="I2617" s="10" t="str">
        <f>HYPERLINK("http://twitter.com/download/android","Twitter for Android")</f>
        <v>Twitter for Android</v>
      </c>
      <c r="J2617" s="2">
        <v>706</v>
      </c>
      <c r="K2617" s="2">
        <v>757</v>
      </c>
      <c r="L2617" s="2">
        <v>3</v>
      </c>
      <c r="M2617" s="2"/>
      <c r="N2617" s="8">
        <v>43288.989895833336</v>
      </c>
      <c r="O2617" s="4" t="s">
        <v>200</v>
      </c>
      <c r="P2617" s="3" t="s">
        <v>1014</v>
      </c>
      <c r="Q2617" s="4"/>
      <c r="R2617" s="4"/>
      <c r="S2617" s="9" t="str">
        <f>HYPERLINK("https://pbs.twimg.com/profile_images/1038483116099350534/URHH_U_r.jpg","View")</f>
        <v>View</v>
      </c>
    </row>
    <row r="2618" spans="1:19" ht="40">
      <c r="A2618" s="8">
        <v>43369.914351851854</v>
      </c>
      <c r="B2618" s="11" t="str">
        <f>HYPERLINK("https://twitter.com/saeedvakiil","@saeedvakiil")</f>
        <v>@saeedvakiil</v>
      </c>
      <c r="C2618" s="6" t="s">
        <v>1013</v>
      </c>
      <c r="D2618" s="5" t="s">
        <v>365</v>
      </c>
      <c r="E2618" s="9" t="str">
        <f>HYPERLINK("https://twitter.com/saeedvakiil/status/1045016820149833734","1045016820149833734")</f>
        <v>1045016820149833734</v>
      </c>
      <c r="F2618" s="4"/>
      <c r="G2618" s="4"/>
      <c r="H2618" s="4"/>
      <c r="I2618" s="10" t="str">
        <f>HYPERLINK("http://twitter.com/download/iphone","Twitter for iPhone")</f>
        <v>Twitter for iPhone</v>
      </c>
      <c r="J2618" s="2">
        <v>4084</v>
      </c>
      <c r="K2618" s="2">
        <v>4108</v>
      </c>
      <c r="L2618" s="2">
        <v>6</v>
      </c>
      <c r="M2618" s="2"/>
      <c r="N2618" s="8">
        <v>43269.981122685189</v>
      </c>
      <c r="O2618" s="4" t="s">
        <v>414</v>
      </c>
      <c r="P2618" s="3" t="s">
        <v>1012</v>
      </c>
      <c r="Q2618" s="4"/>
      <c r="R2618" s="4"/>
      <c r="S2618" s="9" t="str">
        <f>HYPERLINK("https://pbs.twimg.com/profile_images/1018594021193781253/Vlw3tVat.jpg","View")</f>
        <v>View</v>
      </c>
    </row>
    <row r="2619" spans="1:19" ht="20">
      <c r="A2619" s="8">
        <v>43369.914155092592</v>
      </c>
      <c r="B2619" s="11" t="str">
        <f>HYPERLINK("https://twitter.com/Reza_Gh1990","@Reza_Gh1990")</f>
        <v>@Reza_Gh1990</v>
      </c>
      <c r="C2619" s="6" t="s">
        <v>326</v>
      </c>
      <c r="D2619" s="5" t="s">
        <v>966</v>
      </c>
      <c r="E2619" s="9" t="str">
        <f>HYPERLINK("https://twitter.com/Reza_Gh1990/status/1045016752546086913","1045016752546086913")</f>
        <v>1045016752546086913</v>
      </c>
      <c r="F2619" s="4"/>
      <c r="G2619" s="10" t="s">
        <v>965</v>
      </c>
      <c r="H2619" s="4"/>
      <c r="I2619" s="10" t="str">
        <f>HYPERLINK("http://twitter.com","Twitter Web Client")</f>
        <v>Twitter Web Client</v>
      </c>
      <c r="J2619" s="2">
        <v>2619</v>
      </c>
      <c r="K2619" s="2">
        <v>1141</v>
      </c>
      <c r="L2619" s="2">
        <v>10</v>
      </c>
      <c r="M2619" s="2"/>
      <c r="N2619" s="8">
        <v>42034.77043981482</v>
      </c>
      <c r="O2619" s="4" t="s">
        <v>323</v>
      </c>
      <c r="P2619" s="3" t="s">
        <v>322</v>
      </c>
      <c r="Q2619" s="4"/>
      <c r="R2619" s="4"/>
      <c r="S2619" s="9" t="str">
        <f>HYPERLINK("https://pbs.twimg.com/profile_images/1044632756221890562/Kn6N1eml.jpg","View")</f>
        <v>View</v>
      </c>
    </row>
    <row r="2620" spans="1:19" ht="20">
      <c r="A2620" s="8">
        <v>43369.913124999999</v>
      </c>
      <c r="B2620" s="11" t="str">
        <f>HYPERLINK("https://twitter.com/mariooo1992","@mariooo1992")</f>
        <v>@mariooo1992</v>
      </c>
      <c r="C2620" s="6" t="s">
        <v>1011</v>
      </c>
      <c r="D2620" s="5" t="s">
        <v>1010</v>
      </c>
      <c r="E2620" s="9" t="str">
        <f>HYPERLINK("https://twitter.com/mariooo1992/status/1045016375683678213","1045016375683678213")</f>
        <v>1045016375683678213</v>
      </c>
      <c r="F2620" s="4"/>
      <c r="G2620" s="4"/>
      <c r="H2620" s="4"/>
      <c r="I2620" s="10" t="str">
        <f>HYPERLINK("http://twitter.com/download/android","Twitter for Android")</f>
        <v>Twitter for Android</v>
      </c>
      <c r="J2620" s="2">
        <v>1637</v>
      </c>
      <c r="K2620" s="2">
        <v>898</v>
      </c>
      <c r="L2620" s="2">
        <v>10</v>
      </c>
      <c r="M2620" s="2"/>
      <c r="N2620" s="8">
        <v>42914.548159722224</v>
      </c>
      <c r="O2620" s="4" t="s">
        <v>864</v>
      </c>
      <c r="P2620" s="3" t="s">
        <v>1009</v>
      </c>
      <c r="Q2620" s="4"/>
      <c r="R2620" s="4"/>
      <c r="S2620" s="9" t="str">
        <f>HYPERLINK("https://pbs.twimg.com/profile_images/1039827948629618688/GJZQAmvr.jpg","View")</f>
        <v>View</v>
      </c>
    </row>
    <row r="2621" spans="1:19" ht="20">
      <c r="A2621" s="8">
        <v>43369.912881944445</v>
      </c>
      <c r="B2621" s="11" t="str">
        <f>HYPERLINK("https://twitter.com/TouchWeed","@TouchWeed")</f>
        <v>@TouchWeed</v>
      </c>
      <c r="C2621" s="6" t="s">
        <v>1008</v>
      </c>
      <c r="D2621" s="5" t="s">
        <v>1007</v>
      </c>
      <c r="E2621" s="9" t="str">
        <f>HYPERLINK("https://twitter.com/TouchWeed/status/1045016289578831873","1045016289578831873")</f>
        <v>1045016289578831873</v>
      </c>
      <c r="F2621" s="4"/>
      <c r="G2621" s="4"/>
      <c r="H2621" s="4"/>
      <c r="I2621" s="10" t="str">
        <f>HYPERLINK("http://twitter.com/download/android","Twitter for Android")</f>
        <v>Twitter for Android</v>
      </c>
      <c r="J2621" s="2">
        <v>130</v>
      </c>
      <c r="K2621" s="2">
        <v>127</v>
      </c>
      <c r="L2621" s="2">
        <v>2</v>
      </c>
      <c r="M2621" s="2"/>
      <c r="N2621" s="8">
        <v>42142.827615740738</v>
      </c>
      <c r="O2621" s="4"/>
      <c r="P2621" s="3" t="s">
        <v>1006</v>
      </c>
      <c r="Q2621" s="4"/>
      <c r="R2621" s="4"/>
      <c r="S2621" s="9" t="str">
        <f>HYPERLINK("https://pbs.twimg.com/profile_images/941755866247819266/5Pt_iOdP.jpg","View")</f>
        <v>View</v>
      </c>
    </row>
    <row r="2622" spans="1:19" ht="30">
      <c r="A2622" s="8">
        <v>43369.912210648152</v>
      </c>
      <c r="B2622" s="11" t="str">
        <f>HYPERLINK("https://twitter.com/AliBazgosha2","@AliBazgosha2")</f>
        <v>@AliBazgosha2</v>
      </c>
      <c r="C2622" s="6" t="s">
        <v>164</v>
      </c>
      <c r="D2622" s="5" t="s">
        <v>1005</v>
      </c>
      <c r="E2622" s="9" t="str">
        <f>HYPERLINK("https://twitter.com/AliBazgosha2/status/1045016045579325440","1045016045579325440")</f>
        <v>1045016045579325440</v>
      </c>
      <c r="F2622" s="10" t="s">
        <v>1004</v>
      </c>
      <c r="G2622" s="4"/>
      <c r="H2622" s="4"/>
      <c r="I2622" s="10" t="str">
        <f>HYPERLINK("http://twitter.com/download/iphone","Twitter for iPhone")</f>
        <v>Twitter for iPhone</v>
      </c>
      <c r="J2622" s="2">
        <v>4614</v>
      </c>
      <c r="K2622" s="2">
        <v>479</v>
      </c>
      <c r="L2622" s="2">
        <v>11</v>
      </c>
      <c r="M2622" s="2"/>
      <c r="N2622" s="8">
        <v>42597.534224537041</v>
      </c>
      <c r="O2622" s="4" t="s">
        <v>162</v>
      </c>
      <c r="P2622" s="3" t="s">
        <v>161</v>
      </c>
      <c r="Q2622" s="4"/>
      <c r="R2622" s="4"/>
      <c r="S2622" s="9" t="str">
        <f>HYPERLINK("https://pbs.twimg.com/profile_images/1002173034688647168/DDTAV-9J.jpg","View")</f>
        <v>View</v>
      </c>
    </row>
    <row r="2623" spans="1:19" ht="20">
      <c r="A2623" s="8">
        <v>43369.911979166667</v>
      </c>
      <c r="B2623" s="11" t="str">
        <f>HYPERLINK("https://twitter.com/B3HnaaaM","@B3HnaaaM")</f>
        <v>@B3HnaaaM</v>
      </c>
      <c r="C2623" s="6" t="s">
        <v>731</v>
      </c>
      <c r="D2623" s="5" t="s">
        <v>1003</v>
      </c>
      <c r="E2623" s="9" t="str">
        <f>HYPERLINK("https://twitter.com/B3HnaaaM/status/1045015963584876544","1045015963584876544")</f>
        <v>1045015963584876544</v>
      </c>
      <c r="F2623" s="4"/>
      <c r="G2623" s="4"/>
      <c r="H2623" s="4"/>
      <c r="I2623" s="10" t="str">
        <f>HYPERLINK("http://twitter.com/download/iphone","Twitter for iPhone")</f>
        <v>Twitter for iPhone</v>
      </c>
      <c r="J2623" s="2">
        <v>1597</v>
      </c>
      <c r="K2623" s="2">
        <v>424</v>
      </c>
      <c r="L2623" s="2">
        <v>6</v>
      </c>
      <c r="M2623" s="2"/>
      <c r="N2623" s="8">
        <v>43034.65896990741</v>
      </c>
      <c r="O2623" s="4" t="s">
        <v>730</v>
      </c>
      <c r="P2623" s="3" t="s">
        <v>729</v>
      </c>
      <c r="Q2623" s="10" t="s">
        <v>728</v>
      </c>
      <c r="R2623" s="4"/>
      <c r="S2623" s="9" t="str">
        <f>HYPERLINK("https://pbs.twimg.com/profile_images/1044686769952882688/q_MpxNQJ.jpg","View")</f>
        <v>View</v>
      </c>
    </row>
    <row r="2624" spans="1:19" ht="12.5">
      <c r="A2624" s="8">
        <v>43369.911979166667</v>
      </c>
      <c r="B2624" s="11" t="str">
        <f>HYPERLINK("https://twitter.com/sirmo30","@sirmo30")</f>
        <v>@sirmo30</v>
      </c>
      <c r="C2624" s="6" t="s">
        <v>1002</v>
      </c>
      <c r="D2624" s="5" t="s">
        <v>917</v>
      </c>
      <c r="E2624" s="9" t="str">
        <f>HYPERLINK("https://twitter.com/sirmo30/status/1045015961785577477","1045015961785577477")</f>
        <v>1045015961785577477</v>
      </c>
      <c r="F2624" s="4"/>
      <c r="G2624" s="10" t="s">
        <v>486</v>
      </c>
      <c r="H2624" s="4"/>
      <c r="I2624" s="10" t="str">
        <f>HYPERLINK("http://twitter.com/download/android","Twitter for Android")</f>
        <v>Twitter for Android</v>
      </c>
      <c r="J2624" s="2">
        <v>606</v>
      </c>
      <c r="K2624" s="2">
        <v>182</v>
      </c>
      <c r="L2624" s="2">
        <v>3</v>
      </c>
      <c r="M2624" s="2"/>
      <c r="N2624" s="8">
        <v>42542.991157407407</v>
      </c>
      <c r="O2624" s="4" t="s">
        <v>200</v>
      </c>
      <c r="P2624" s="3" t="s">
        <v>1001</v>
      </c>
      <c r="Q2624" s="4"/>
      <c r="R2624" s="4"/>
      <c r="S2624" s="9" t="str">
        <f>HYPERLINK("https://pbs.twimg.com/profile_images/1018588747779248134/HR_RFl1J.jpg","View")</f>
        <v>View</v>
      </c>
    </row>
    <row r="2625" spans="1:19" ht="30">
      <c r="A2625" s="8">
        <v>43369.911747685182</v>
      </c>
      <c r="B2625" s="11" t="str">
        <f>HYPERLINK("https://twitter.com/torshizi","@torshizi")</f>
        <v>@torshizi</v>
      </c>
      <c r="C2625" s="6" t="s">
        <v>1000</v>
      </c>
      <c r="D2625" s="5" t="s">
        <v>999</v>
      </c>
      <c r="E2625" s="9" t="str">
        <f>HYPERLINK("https://twitter.com/torshizi/status/1045015878243418112","1045015878243418112")</f>
        <v>1045015878243418112</v>
      </c>
      <c r="F2625" s="4"/>
      <c r="G2625" s="4"/>
      <c r="H2625" s="4"/>
      <c r="I2625" s="10" t="str">
        <f>HYPERLINK("http://twitter.com/download/iphone","Twitter for iPhone")</f>
        <v>Twitter for iPhone</v>
      </c>
      <c r="J2625" s="2">
        <v>280</v>
      </c>
      <c r="K2625" s="2">
        <v>336</v>
      </c>
      <c r="L2625" s="2">
        <v>1</v>
      </c>
      <c r="M2625" s="2"/>
      <c r="N2625" s="8">
        <v>41117.976678240739</v>
      </c>
      <c r="O2625" s="4" t="s">
        <v>998</v>
      </c>
      <c r="P2625" s="3" t="s">
        <v>997</v>
      </c>
      <c r="Q2625" s="4"/>
      <c r="R2625" s="4"/>
      <c r="S2625" s="9" t="str">
        <f>HYPERLINK("https://pbs.twimg.com/profile_images/1034206561282019330/4yhP9FAG.jpg","View")</f>
        <v>View</v>
      </c>
    </row>
    <row r="2626" spans="1:19" ht="30">
      <c r="A2626" s="8">
        <v>43369.911643518513</v>
      </c>
      <c r="B2626" s="11" t="str">
        <f>HYPERLINK("https://twitter.com/patrik0934","@patrik0934")</f>
        <v>@patrik0934</v>
      </c>
      <c r="C2626" s="6" t="s">
        <v>996</v>
      </c>
      <c r="D2626" s="5" t="s">
        <v>408</v>
      </c>
      <c r="E2626" s="9" t="str">
        <f>HYPERLINK("https://twitter.com/patrik0934/status/1045015840222072832","1045015840222072832")</f>
        <v>1045015840222072832</v>
      </c>
      <c r="F2626" s="4"/>
      <c r="G2626" s="4"/>
      <c r="H2626" s="4"/>
      <c r="I2626" s="10" t="str">
        <f>HYPERLINK("http://twitter.com/download/iphone","Twitter for iPhone")</f>
        <v>Twitter for iPhone</v>
      </c>
      <c r="J2626" s="2">
        <v>154</v>
      </c>
      <c r="K2626" s="2">
        <v>231</v>
      </c>
      <c r="L2626" s="2">
        <v>0</v>
      </c>
      <c r="M2626" s="2"/>
      <c r="N2626" s="8">
        <v>42797.995069444441</v>
      </c>
      <c r="O2626" s="4"/>
      <c r="P2626" s="3" t="s">
        <v>995</v>
      </c>
      <c r="Q2626" s="4"/>
      <c r="R2626" s="4"/>
      <c r="S2626" s="9" t="str">
        <f>HYPERLINK("https://pbs.twimg.com/profile_images/1017952548844646401/Ahu6rbVv.jpg","View")</f>
        <v>View</v>
      </c>
    </row>
    <row r="2627" spans="1:19" ht="30">
      <c r="A2627" s="8">
        <v>43369.911585648151</v>
      </c>
      <c r="B2627" s="11" t="str">
        <f>HYPERLINK("https://twitter.com/far_zad_","@far_zad_")</f>
        <v>@far_zad_</v>
      </c>
      <c r="C2627" s="6" t="s">
        <v>994</v>
      </c>
      <c r="D2627" s="5" t="s">
        <v>993</v>
      </c>
      <c r="E2627" s="9" t="str">
        <f>HYPERLINK("https://twitter.com/far_zad_/status/1045015818860408837","1045015818860408837")</f>
        <v>1045015818860408837</v>
      </c>
      <c r="F2627" s="4"/>
      <c r="G2627" s="4"/>
      <c r="H2627" s="4"/>
      <c r="I2627" s="10" t="str">
        <f>HYPERLINK("http://twitter.com/download/android","Twitter for Android")</f>
        <v>Twitter for Android</v>
      </c>
      <c r="J2627" s="2">
        <v>130</v>
      </c>
      <c r="K2627" s="2">
        <v>167</v>
      </c>
      <c r="L2627" s="2">
        <v>0</v>
      </c>
      <c r="M2627" s="2"/>
      <c r="N2627" s="8">
        <v>43106.154733796298</v>
      </c>
      <c r="O2627" s="4" t="s">
        <v>992</v>
      </c>
      <c r="P2627" s="3"/>
      <c r="Q2627" s="4"/>
      <c r="R2627" s="4"/>
      <c r="S2627" s="9" t="str">
        <f>HYPERLINK("https://pbs.twimg.com/profile_images/1043045462012395520/TUyNvS9k.jpg","View")</f>
        <v>View</v>
      </c>
    </row>
    <row r="2628" spans="1:19" ht="20">
      <c r="A2628" s="8">
        <v>43369.911377314813</v>
      </c>
      <c r="B2628" s="11" t="str">
        <f>HYPERLINK("https://twitter.com/H_ra19270","@H_ra19270")</f>
        <v>@H_ra19270</v>
      </c>
      <c r="C2628" s="6" t="s">
        <v>724</v>
      </c>
      <c r="D2628" s="5" t="s">
        <v>944</v>
      </c>
      <c r="E2628" s="9" t="str">
        <f>HYPERLINK("https://twitter.com/H_ra19270/status/1045015744977752064","1045015744977752064")</f>
        <v>1045015744977752064</v>
      </c>
      <c r="F2628" s="4"/>
      <c r="G2628" s="10" t="s">
        <v>929</v>
      </c>
      <c r="H2628" s="4"/>
      <c r="I2628" s="10" t="str">
        <f>HYPERLINK("http://twitter.com/download/android","Twitter for Android")</f>
        <v>Twitter for Android</v>
      </c>
      <c r="J2628" s="2">
        <v>2739</v>
      </c>
      <c r="K2628" s="2">
        <v>2559</v>
      </c>
      <c r="L2628" s="2">
        <v>6</v>
      </c>
      <c r="M2628" s="2"/>
      <c r="N2628" s="8">
        <v>42849.055162037039</v>
      </c>
      <c r="O2628" s="4"/>
      <c r="P2628" s="3" t="s">
        <v>721</v>
      </c>
      <c r="Q2628" s="4"/>
      <c r="R2628" s="4"/>
      <c r="S2628" s="9" t="str">
        <f>HYPERLINK("https://pbs.twimg.com/profile_images/1044258901288529920/qNZzWJtc.jpg","View")</f>
        <v>View</v>
      </c>
    </row>
    <row r="2629" spans="1:19" ht="20">
      <c r="A2629" s="8">
        <v>43369.911030092597</v>
      </c>
      <c r="B2629" s="11" t="str">
        <f>HYPERLINK("https://twitter.com/fereshtevpt","@fereshtevpt")</f>
        <v>@fereshtevpt</v>
      </c>
      <c r="C2629" s="6" t="s">
        <v>331</v>
      </c>
      <c r="D2629" s="5" t="s">
        <v>944</v>
      </c>
      <c r="E2629" s="9" t="str">
        <f>HYPERLINK("https://twitter.com/fereshtevpt/status/1045015617563230210","1045015617563230210")</f>
        <v>1045015617563230210</v>
      </c>
      <c r="F2629" s="4"/>
      <c r="G2629" s="10" t="s">
        <v>929</v>
      </c>
      <c r="H2629" s="4"/>
      <c r="I2629" s="10" t="str">
        <f>HYPERLINK("http://twitter.com/download/iphone","Twitter for iPhone")</f>
        <v>Twitter for iPhone</v>
      </c>
      <c r="J2629" s="2">
        <v>2474</v>
      </c>
      <c r="K2629" s="2">
        <v>2147</v>
      </c>
      <c r="L2629" s="2">
        <v>6</v>
      </c>
      <c r="M2629" s="2"/>
      <c r="N2629" s="8">
        <v>43106.721226851849</v>
      </c>
      <c r="O2629" s="4"/>
      <c r="P2629" s="3" t="s">
        <v>329</v>
      </c>
      <c r="Q2629" s="4"/>
      <c r="R2629" s="4"/>
      <c r="S2629" s="9" t="str">
        <f>HYPERLINK("https://pbs.twimg.com/profile_images/1037751959716016135/k__ynAL7.jpg","View")</f>
        <v>View</v>
      </c>
    </row>
    <row r="2630" spans="1:19" ht="20">
      <c r="A2630" s="8">
        <v>43369.910891203705</v>
      </c>
      <c r="B2630" s="11" t="str">
        <f>HYPERLINK("https://twitter.com/ali_amin_i","@ali_amin_i")</f>
        <v>@ali_amin_i</v>
      </c>
      <c r="C2630" s="6" t="s">
        <v>991</v>
      </c>
      <c r="D2630" s="5" t="s">
        <v>990</v>
      </c>
      <c r="E2630" s="9" t="str">
        <f>HYPERLINK("https://twitter.com/ali_amin_i/status/1045015569844637696","1045015569844637696")</f>
        <v>1045015569844637696</v>
      </c>
      <c r="F2630" s="4"/>
      <c r="G2630" s="10" t="s">
        <v>989</v>
      </c>
      <c r="H2630" s="4"/>
      <c r="I2630" s="10" t="str">
        <f>HYPERLINK("http://twitter.com/download/android","Twitter for Android")</f>
        <v>Twitter for Android</v>
      </c>
      <c r="J2630" s="2">
        <v>873</v>
      </c>
      <c r="K2630" s="2">
        <v>209</v>
      </c>
      <c r="L2630" s="2">
        <v>5</v>
      </c>
      <c r="M2630" s="2"/>
      <c r="N2630" s="8">
        <v>41024.089884259258</v>
      </c>
      <c r="O2630" s="4"/>
      <c r="P2630" s="3" t="s">
        <v>988</v>
      </c>
      <c r="Q2630" s="4"/>
      <c r="R2630" s="4"/>
      <c r="S2630" s="9" t="str">
        <f>HYPERLINK("https://pbs.twimg.com/profile_images/858023625101914112/4J95kRcj.jpg","View")</f>
        <v>View</v>
      </c>
    </row>
    <row r="2631" spans="1:19" ht="40">
      <c r="A2631" s="8">
        <v>43369.910196759258</v>
      </c>
      <c r="B2631" s="11" t="str">
        <f>HYPERLINK("https://twitter.com/KhodNeviss","@KhodNeviss")</f>
        <v>@KhodNeviss</v>
      </c>
      <c r="C2631" s="6" t="s">
        <v>987</v>
      </c>
      <c r="D2631" s="5" t="s">
        <v>986</v>
      </c>
      <c r="E2631" s="9" t="str">
        <f>HYPERLINK("https://twitter.com/KhodNeviss/status/1045015314667311104","1045015314667311104")</f>
        <v>1045015314667311104</v>
      </c>
      <c r="F2631" s="4"/>
      <c r="G2631" s="4"/>
      <c r="H2631" s="4"/>
      <c r="I2631" s="10" t="str">
        <f>HYPERLINK("http://twitter.com/download/android","Twitter for Android")</f>
        <v>Twitter for Android</v>
      </c>
      <c r="J2631" s="2">
        <v>5041</v>
      </c>
      <c r="K2631" s="2">
        <v>296</v>
      </c>
      <c r="L2631" s="2">
        <v>53</v>
      </c>
      <c r="M2631" s="2"/>
      <c r="N2631" s="8">
        <v>40795.913888888885</v>
      </c>
      <c r="O2631" s="4" t="s">
        <v>985</v>
      </c>
      <c r="P2631" s="3" t="s">
        <v>984</v>
      </c>
      <c r="Q2631" s="10" t="s">
        <v>983</v>
      </c>
      <c r="R2631" s="4"/>
      <c r="S2631" s="9" t="str">
        <f>HYPERLINK("https://pbs.twimg.com/profile_images/1039387795570216962/6LEe-sRU.jpg","View")</f>
        <v>View</v>
      </c>
    </row>
    <row r="2632" spans="1:19" ht="30">
      <c r="A2632" s="8">
        <v>43369.90997685185</v>
      </c>
      <c r="B2632" s="11" t="str">
        <f>HYPERLINK("https://twitter.com/mrteacher_ir","@mrteacher_ir")</f>
        <v>@mrteacher_ir</v>
      </c>
      <c r="C2632" s="6" t="s">
        <v>913</v>
      </c>
      <c r="D2632" s="5" t="s">
        <v>982</v>
      </c>
      <c r="E2632" s="9" t="str">
        <f>HYPERLINK("https://twitter.com/mrteacher_ir/status/1045015234660970498","1045015234660970498")</f>
        <v>1045015234660970498</v>
      </c>
      <c r="F2632" s="4"/>
      <c r="G2632" s="4"/>
      <c r="H2632" s="4"/>
      <c r="I2632" s="10" t="str">
        <f>HYPERLINK("http://twitter.com/download/android","Twitter for Android")</f>
        <v>Twitter for Android</v>
      </c>
      <c r="J2632" s="2">
        <v>984</v>
      </c>
      <c r="K2632" s="2">
        <v>2466</v>
      </c>
      <c r="L2632" s="2">
        <v>2</v>
      </c>
      <c r="M2632" s="2"/>
      <c r="N2632" s="8">
        <v>43326.407037037032</v>
      </c>
      <c r="O2632" s="4"/>
      <c r="P2632" s="3" t="s">
        <v>912</v>
      </c>
      <c r="Q2632" s="4"/>
      <c r="R2632" s="4"/>
      <c r="S2632" s="9" t="str">
        <f>HYPERLINK("https://pbs.twimg.com/profile_images/1043584180230258688/6xthYCLV.jpg","View")</f>
        <v>View</v>
      </c>
    </row>
    <row r="2633" spans="1:19" ht="20">
      <c r="A2633" s="8">
        <v>43369.909768518519</v>
      </c>
      <c r="B2633" s="11" t="str">
        <f>HYPERLINK("https://twitter.com/Bigdada1981","@Bigdada1981")</f>
        <v>@Bigdada1981</v>
      </c>
      <c r="C2633" s="6" t="s">
        <v>981</v>
      </c>
      <c r="D2633" s="5" t="s">
        <v>980</v>
      </c>
      <c r="E2633" s="9" t="str">
        <f>HYPERLINK("https://twitter.com/Bigdada1981/status/1045015162632245248","1045015162632245248")</f>
        <v>1045015162632245248</v>
      </c>
      <c r="F2633" s="4"/>
      <c r="G2633" s="4"/>
      <c r="H2633" s="4"/>
      <c r="I2633" s="10" t="str">
        <f>HYPERLINK("http://twitter.com","Twitter Web Client")</f>
        <v>Twitter Web Client</v>
      </c>
      <c r="J2633" s="2">
        <v>1782</v>
      </c>
      <c r="K2633" s="2">
        <v>433</v>
      </c>
      <c r="L2633" s="2">
        <v>4</v>
      </c>
      <c r="M2633" s="2"/>
      <c r="N2633" s="8">
        <v>42846.798854166671</v>
      </c>
      <c r="O2633" s="4"/>
      <c r="P2633" s="3" t="s">
        <v>979</v>
      </c>
      <c r="Q2633" s="4"/>
      <c r="R2633" s="4"/>
      <c r="S2633" s="9" t="str">
        <f>HYPERLINK("https://pbs.twimg.com/profile_images/1044837418761945088/-5svXnX4.jpg","View")</f>
        <v>View</v>
      </c>
    </row>
    <row r="2634" spans="1:19" ht="30">
      <c r="A2634" s="8">
        <v>43369.909641203703</v>
      </c>
      <c r="B2634" s="11" t="str">
        <f>HYPERLINK("https://twitter.com/MHN7596","@MHN7596")</f>
        <v>@MHN7596</v>
      </c>
      <c r="C2634" s="6" t="s">
        <v>978</v>
      </c>
      <c r="D2634" s="5" t="s">
        <v>977</v>
      </c>
      <c r="E2634" s="9" t="str">
        <f>HYPERLINK("https://twitter.com/MHN7596/status/1045015114032836609","1045015114032836609")</f>
        <v>1045015114032836609</v>
      </c>
      <c r="F2634" s="4"/>
      <c r="G2634" s="4"/>
      <c r="H2634" s="4"/>
      <c r="I2634" s="10" t="str">
        <f>HYPERLINK("http://twitter.com/download/android","Twitter for Android")</f>
        <v>Twitter for Android</v>
      </c>
      <c r="J2634" s="2">
        <v>1811</v>
      </c>
      <c r="K2634" s="2">
        <v>266</v>
      </c>
      <c r="L2634" s="2">
        <v>8</v>
      </c>
      <c r="M2634" s="2"/>
      <c r="N2634" s="8">
        <v>42906.003333333334</v>
      </c>
      <c r="O2634" s="4" t="s">
        <v>62</v>
      </c>
      <c r="P2634" s="3" t="s">
        <v>976</v>
      </c>
      <c r="Q2634" s="4"/>
      <c r="R2634" s="4"/>
      <c r="S2634" s="9" t="str">
        <f>HYPERLINK("https://pbs.twimg.com/profile_images/1038859368769482755/Ttb-oTBa.jpg","View")</f>
        <v>View</v>
      </c>
    </row>
    <row r="2635" spans="1:19" ht="30">
      <c r="A2635" s="8">
        <v>43369.909444444449</v>
      </c>
      <c r="B2635" s="11" t="str">
        <f>HYPERLINK("https://twitter.com/shutterakas","@shutterakas")</f>
        <v>@shutterakas</v>
      </c>
      <c r="C2635" s="6" t="s">
        <v>975</v>
      </c>
      <c r="D2635" s="5" t="s">
        <v>974</v>
      </c>
      <c r="E2635" s="9" t="str">
        <f>HYPERLINK("https://twitter.com/shutterakas/status/1045015043501379584","1045015043501379584")</f>
        <v>1045015043501379584</v>
      </c>
      <c r="F2635" s="4"/>
      <c r="G2635" s="4"/>
      <c r="H2635" s="4"/>
      <c r="I2635" s="10" t="str">
        <f>HYPERLINK("http://twitter.com/download/android","Twitter for Android")</f>
        <v>Twitter for Android</v>
      </c>
      <c r="J2635" s="2">
        <v>329</v>
      </c>
      <c r="K2635" s="2">
        <v>653</v>
      </c>
      <c r="L2635" s="2">
        <v>0</v>
      </c>
      <c r="M2635" s="2"/>
      <c r="N2635" s="8">
        <v>42086.932175925926</v>
      </c>
      <c r="O2635" s="4"/>
      <c r="P2635" s="3" t="s">
        <v>973</v>
      </c>
      <c r="Q2635" s="4"/>
      <c r="R2635" s="4"/>
      <c r="S2635" s="9" t="str">
        <f>HYPERLINK("https://pbs.twimg.com/profile_images/996396456360595456/wLflRaMq.jpg","View")</f>
        <v>View</v>
      </c>
    </row>
    <row r="2636" spans="1:19" ht="20">
      <c r="A2636" s="8">
        <v>43369.909409722226</v>
      </c>
      <c r="B2636" s="11" t="str">
        <f>HYPERLINK("https://twitter.com/saras27772","@saras27772")</f>
        <v>@saras27772</v>
      </c>
      <c r="C2636" s="6" t="s">
        <v>458</v>
      </c>
      <c r="D2636" s="5" t="s">
        <v>944</v>
      </c>
      <c r="E2636" s="9" t="str">
        <f>HYPERLINK("https://twitter.com/saras27772/status/1045015029995786240","1045015029995786240")</f>
        <v>1045015029995786240</v>
      </c>
      <c r="F2636" s="4"/>
      <c r="G2636" s="10" t="s">
        <v>929</v>
      </c>
      <c r="H2636" s="4"/>
      <c r="I2636" s="10" t="str">
        <f>HYPERLINK("http://twitter.com/download/android","Twitter for Android")</f>
        <v>Twitter for Android</v>
      </c>
      <c r="J2636" s="2">
        <v>816</v>
      </c>
      <c r="K2636" s="2">
        <v>474</v>
      </c>
      <c r="L2636" s="2">
        <v>3</v>
      </c>
      <c r="M2636" s="2"/>
      <c r="N2636" s="8">
        <v>43231.791319444441</v>
      </c>
      <c r="O2636" s="4" t="s">
        <v>457</v>
      </c>
      <c r="P2636" s="3" t="s">
        <v>456</v>
      </c>
      <c r="Q2636" s="10" t="s">
        <v>455</v>
      </c>
      <c r="R2636" s="4"/>
      <c r="S2636" s="9" t="str">
        <f>HYPERLINK("https://pbs.twimg.com/profile_images/1043624314485055488/uxhvAusV.jpg","View")</f>
        <v>View</v>
      </c>
    </row>
    <row r="2637" spans="1:19" ht="20">
      <c r="A2637" s="8">
        <v>43369.90924768518</v>
      </c>
      <c r="B2637" s="11" t="str">
        <f>HYPERLINK("https://twitter.com/dokhtararyaee","@dokhtararyaee")</f>
        <v>@dokhtararyaee</v>
      </c>
      <c r="C2637" s="6" t="s">
        <v>972</v>
      </c>
      <c r="D2637" s="5" t="s">
        <v>971</v>
      </c>
      <c r="E2637" s="9" t="str">
        <f>HYPERLINK("https://twitter.com/dokhtararyaee/status/1045014973582315521","1045014973582315521")</f>
        <v>1045014973582315521</v>
      </c>
      <c r="F2637" s="4"/>
      <c r="G2637" s="4"/>
      <c r="H2637" s="4"/>
      <c r="I2637" s="10" t="str">
        <f>HYPERLINK("https://mobile.twitter.com","Twitter Lite")</f>
        <v>Twitter Lite</v>
      </c>
      <c r="J2637" s="2">
        <v>7</v>
      </c>
      <c r="K2637" s="2">
        <v>26</v>
      </c>
      <c r="L2637" s="2">
        <v>0</v>
      </c>
      <c r="M2637" s="2"/>
      <c r="N2637" s="8">
        <v>43244.229722222226</v>
      </c>
      <c r="O2637" s="4"/>
      <c r="P2637" s="3"/>
      <c r="Q2637" s="4"/>
      <c r="R2637" s="4"/>
      <c r="S2637" s="9" t="str">
        <f>HYPERLINK("https://pbs.twimg.com/profile_images/1008834123480346627/NyYMn5UQ.jpg","View")</f>
        <v>View</v>
      </c>
    </row>
    <row r="2638" spans="1:19" ht="20">
      <c r="A2638" s="8">
        <v>43369.909236111111</v>
      </c>
      <c r="B2638" s="11" t="str">
        <f>HYPERLINK("https://twitter.com/Reza_Gh1990","@Reza_Gh1990")</f>
        <v>@Reza_Gh1990</v>
      </c>
      <c r="C2638" s="6" t="s">
        <v>326</v>
      </c>
      <c r="D2638" s="5" t="s">
        <v>970</v>
      </c>
      <c r="E2638" s="9" t="str">
        <f>HYPERLINK("https://twitter.com/Reza_Gh1990/status/1045014968339509250","1045014968339509250")</f>
        <v>1045014968339509250</v>
      </c>
      <c r="F2638" s="10" t="s">
        <v>969</v>
      </c>
      <c r="G2638" s="4"/>
      <c r="H2638" s="4"/>
      <c r="I2638" s="10" t="str">
        <f>HYPERLINK("http://twitter.com","Twitter Web Client")</f>
        <v>Twitter Web Client</v>
      </c>
      <c r="J2638" s="2">
        <v>2619</v>
      </c>
      <c r="K2638" s="2">
        <v>1141</v>
      </c>
      <c r="L2638" s="2">
        <v>10</v>
      </c>
      <c r="M2638" s="2"/>
      <c r="N2638" s="8">
        <v>42034.77043981482</v>
      </c>
      <c r="O2638" s="4" t="s">
        <v>323</v>
      </c>
      <c r="P2638" s="3" t="s">
        <v>322</v>
      </c>
      <c r="Q2638" s="4"/>
      <c r="R2638" s="4"/>
      <c r="S2638" s="9" t="str">
        <f>HYPERLINK("https://pbs.twimg.com/profile_images/1044632756221890562/Kn6N1eml.jpg","View")</f>
        <v>View</v>
      </c>
    </row>
    <row r="2639" spans="1:19" ht="40">
      <c r="A2639" s="8">
        <v>43369.908113425925</v>
      </c>
      <c r="B2639" s="11" t="str">
        <f>HYPERLINK("https://twitter.com/mahdiipana","@mahdiipana")</f>
        <v>@mahdiipana</v>
      </c>
      <c r="C2639" s="6" t="s">
        <v>958</v>
      </c>
      <c r="D2639" s="5" t="s">
        <v>296</v>
      </c>
      <c r="E2639" s="9" t="str">
        <f>HYPERLINK("https://twitter.com/mahdiipana/status/1045014559218708480","1045014559218708480")</f>
        <v>1045014559218708480</v>
      </c>
      <c r="F2639" s="4"/>
      <c r="G2639" s="10" t="s">
        <v>295</v>
      </c>
      <c r="H2639" s="4"/>
      <c r="I2639" s="10" t="str">
        <f>HYPERLINK("http://twitter.com/download/iphone","Twitter for iPhone")</f>
        <v>Twitter for iPhone</v>
      </c>
      <c r="J2639" s="2">
        <v>2</v>
      </c>
      <c r="K2639" s="2">
        <v>3</v>
      </c>
      <c r="L2639" s="2">
        <v>0</v>
      </c>
      <c r="M2639" s="2"/>
      <c r="N2639" s="8">
        <v>41538.690046296295</v>
      </c>
      <c r="O2639" s="4" t="s">
        <v>55</v>
      </c>
      <c r="P2639" s="3" t="s">
        <v>55</v>
      </c>
      <c r="Q2639" s="4"/>
      <c r="R2639" s="4"/>
      <c r="S2639" s="9" t="str">
        <f>HYPERLINK("https://pbs.twimg.com/profile_images/1045012140447461377/I2OkcipV.jpg","View")</f>
        <v>View</v>
      </c>
    </row>
    <row r="2640" spans="1:19" ht="20">
      <c r="A2640" s="8">
        <v>43369.908055555556</v>
      </c>
      <c r="B2640" s="11" t="str">
        <f>HYPERLINK("https://twitter.com/SanchopansaSani","@SanchopansaSani")</f>
        <v>@SanchopansaSani</v>
      </c>
      <c r="C2640" s="6" t="s">
        <v>968</v>
      </c>
      <c r="D2640" s="5" t="s">
        <v>687</v>
      </c>
      <c r="E2640" s="9" t="str">
        <f>HYPERLINK("https://twitter.com/SanchopansaSani/status/1045014541971673088","1045014541971673088")</f>
        <v>1045014541971673088</v>
      </c>
      <c r="F2640" s="4"/>
      <c r="G2640" s="10" t="s">
        <v>686</v>
      </c>
      <c r="H2640" s="4"/>
      <c r="I2640" s="10" t="str">
        <f>HYPERLINK("http://twitter.com/#!/download/ipad","Twitter for iPad")</f>
        <v>Twitter for iPad</v>
      </c>
      <c r="J2640" s="2">
        <v>400</v>
      </c>
      <c r="K2640" s="2">
        <v>1043</v>
      </c>
      <c r="L2640" s="2">
        <v>2</v>
      </c>
      <c r="M2640" s="2"/>
      <c r="N2640" s="8">
        <v>43183.63689814815</v>
      </c>
      <c r="O2640" s="4"/>
      <c r="P2640" s="3" t="s">
        <v>967</v>
      </c>
      <c r="Q2640" s="4"/>
      <c r="R2640" s="4"/>
      <c r="S2640" s="9" t="str">
        <f>HYPERLINK("https://pbs.twimg.com/profile_images/1021496657102422017/oKKecFOm.jpg","View")</f>
        <v>View</v>
      </c>
    </row>
    <row r="2641" spans="1:19" ht="20">
      <c r="A2641" s="8">
        <v>43369.908032407402</v>
      </c>
      <c r="B2641" s="11" t="str">
        <f>HYPERLINK("https://twitter.com/Pariiia1","@Pariiia1")</f>
        <v>@Pariiia1</v>
      </c>
      <c r="C2641" s="6" t="s">
        <v>557</v>
      </c>
      <c r="D2641" s="5" t="s">
        <v>966</v>
      </c>
      <c r="E2641" s="9" t="str">
        <f>HYPERLINK("https://twitter.com/Pariiia1/status/1045014530454159362","1045014530454159362")</f>
        <v>1045014530454159362</v>
      </c>
      <c r="F2641" s="4"/>
      <c r="G2641" s="10" t="s">
        <v>965</v>
      </c>
      <c r="H2641" s="4"/>
      <c r="I2641" s="10" t="str">
        <f>HYPERLINK("http://twitter.com/download/android","Twitter for Android")</f>
        <v>Twitter for Android</v>
      </c>
      <c r="J2641" s="2">
        <v>1592</v>
      </c>
      <c r="K2641" s="2">
        <v>1542</v>
      </c>
      <c r="L2641" s="2">
        <v>7</v>
      </c>
      <c r="M2641" s="2"/>
      <c r="N2641" s="8">
        <v>42945.723449074074</v>
      </c>
      <c r="O2641" s="4" t="s">
        <v>556</v>
      </c>
      <c r="P2641" s="3" t="s">
        <v>555</v>
      </c>
      <c r="Q2641" s="10" t="s">
        <v>554</v>
      </c>
      <c r="R2641" s="4"/>
      <c r="S2641" s="9" t="str">
        <f>HYPERLINK("https://pbs.twimg.com/profile_images/1044937384335478784/roLNo0FT.jpg","View")</f>
        <v>View</v>
      </c>
    </row>
    <row r="2642" spans="1:19" ht="30">
      <c r="A2642" s="8">
        <v>43369.908020833333</v>
      </c>
      <c r="B2642" s="11" t="str">
        <f>HYPERLINK("https://twitter.com/luckyjok","@luckyjok")</f>
        <v>@luckyjok</v>
      </c>
      <c r="C2642" s="6" t="s">
        <v>964</v>
      </c>
      <c r="D2642" s="5" t="s">
        <v>963</v>
      </c>
      <c r="E2642" s="9" t="str">
        <f>HYPERLINK("https://twitter.com/luckyjok/status/1045014526448545793","1045014526448545793")</f>
        <v>1045014526448545793</v>
      </c>
      <c r="F2642" s="4"/>
      <c r="G2642" s="4"/>
      <c r="H2642" s="4"/>
      <c r="I2642" s="10" t="str">
        <f>HYPERLINK("http://twitter.com/download/android","Twitter for Android")</f>
        <v>Twitter for Android</v>
      </c>
      <c r="J2642" s="2">
        <v>178</v>
      </c>
      <c r="K2642" s="2">
        <v>293</v>
      </c>
      <c r="L2642" s="2">
        <v>0</v>
      </c>
      <c r="M2642" s="2"/>
      <c r="N2642" s="8">
        <v>42757.491712962961</v>
      </c>
      <c r="O2642" s="4" t="s">
        <v>962</v>
      </c>
      <c r="P2642" s="3" t="s">
        <v>961</v>
      </c>
      <c r="Q2642" s="4"/>
      <c r="R2642" s="4"/>
      <c r="S2642" s="9" t="str">
        <f>HYPERLINK("https://pbs.twimg.com/profile_images/986194826587754496/c1sYm2IH.jpg","View")</f>
        <v>View</v>
      </c>
    </row>
    <row r="2643" spans="1:19" ht="20">
      <c r="A2643" s="8">
        <v>43369.90797453704</v>
      </c>
      <c r="B2643" s="11" t="str">
        <f>HYPERLINK("https://twitter.com/k_rez1","@k_rez1")</f>
        <v>@k_rez1</v>
      </c>
      <c r="C2643" s="6" t="s">
        <v>665</v>
      </c>
      <c r="D2643" s="5" t="s">
        <v>944</v>
      </c>
      <c r="E2643" s="9" t="str">
        <f>HYPERLINK("https://twitter.com/k_rez1/status/1045014511227465734","1045014511227465734")</f>
        <v>1045014511227465734</v>
      </c>
      <c r="F2643" s="4"/>
      <c r="G2643" s="10" t="s">
        <v>929</v>
      </c>
      <c r="H2643" s="4"/>
      <c r="I2643" s="10" t="str">
        <f>HYPERLINK("http://twitter.com/download/android","Twitter for Android")</f>
        <v>Twitter for Android</v>
      </c>
      <c r="J2643" s="2">
        <v>4161</v>
      </c>
      <c r="K2643" s="2">
        <v>2427</v>
      </c>
      <c r="L2643" s="2">
        <v>11</v>
      </c>
      <c r="M2643" s="2"/>
      <c r="N2643" s="8">
        <v>43102.517060185186</v>
      </c>
      <c r="O2643" s="4"/>
      <c r="P2643" s="3" t="s">
        <v>664</v>
      </c>
      <c r="Q2643" s="4"/>
      <c r="R2643" s="4"/>
      <c r="S2643" s="9" t="str">
        <f>HYPERLINK("https://pbs.twimg.com/profile_images/1040661642097373184/kGpkn4yZ.jpg","View")</f>
        <v>View</v>
      </c>
    </row>
    <row r="2644" spans="1:19" ht="20">
      <c r="A2644" s="8">
        <v>43369.907870370371</v>
      </c>
      <c r="B2644" s="11" t="str">
        <f>HYPERLINK("https://twitter.com/Beth7876","@Beth7876")</f>
        <v>@Beth7876</v>
      </c>
      <c r="C2644" s="6" t="s">
        <v>53</v>
      </c>
      <c r="D2644" s="5" t="s">
        <v>944</v>
      </c>
      <c r="E2644" s="9" t="str">
        <f>HYPERLINK("https://twitter.com/Beth7876/status/1045014473105440769","1045014473105440769")</f>
        <v>1045014473105440769</v>
      </c>
      <c r="F2644" s="4"/>
      <c r="G2644" s="10" t="s">
        <v>929</v>
      </c>
      <c r="H2644" s="4"/>
      <c r="I2644" s="10" t="str">
        <f>HYPERLINK("http://twitter.com/download/android","Twitter for Android")</f>
        <v>Twitter for Android</v>
      </c>
      <c r="J2644" s="2">
        <v>9265</v>
      </c>
      <c r="K2644" s="2">
        <v>1646</v>
      </c>
      <c r="L2644" s="2">
        <v>17</v>
      </c>
      <c r="M2644" s="2"/>
      <c r="N2644" s="8">
        <v>43053.419363425928</v>
      </c>
      <c r="O2644" s="4" t="s">
        <v>10</v>
      </c>
      <c r="P2644" s="3" t="s">
        <v>51</v>
      </c>
      <c r="Q2644" s="4"/>
      <c r="R2644" s="4"/>
      <c r="S2644" s="9" t="str">
        <f>HYPERLINK("https://pbs.twimg.com/profile_images/1043178143933181952/KaP_lpTl.jpg","View")</f>
        <v>View</v>
      </c>
    </row>
    <row r="2645" spans="1:19" ht="30">
      <c r="A2645" s="8">
        <v>43369.907569444447</v>
      </c>
      <c r="B2645" s="11" t="str">
        <f>HYPERLINK("https://twitter.com/Nou00RF","@Nou00RF")</f>
        <v>@Nou00RF</v>
      </c>
      <c r="C2645" s="6" t="s">
        <v>960</v>
      </c>
      <c r="D2645" s="5" t="s">
        <v>408</v>
      </c>
      <c r="E2645" s="9" t="str">
        <f>HYPERLINK("https://twitter.com/Nou00RF/status/1045014363554361344","1045014363554361344")</f>
        <v>1045014363554361344</v>
      </c>
      <c r="F2645" s="4"/>
      <c r="G2645" s="4"/>
      <c r="H2645" s="4"/>
      <c r="I2645" s="10" t="str">
        <f>HYPERLINK("http://twitter.com/download/iphone","Twitter for iPhone")</f>
        <v>Twitter for iPhone</v>
      </c>
      <c r="J2645" s="2">
        <v>24</v>
      </c>
      <c r="K2645" s="2">
        <v>81</v>
      </c>
      <c r="L2645" s="2">
        <v>1</v>
      </c>
      <c r="M2645" s="2"/>
      <c r="N2645" s="8">
        <v>43101.987592592588</v>
      </c>
      <c r="O2645" s="4"/>
      <c r="P2645" s="3" t="s">
        <v>959</v>
      </c>
      <c r="Q2645" s="4"/>
      <c r="R2645" s="4"/>
      <c r="S2645" s="9" t="str">
        <f>HYPERLINK("https://pbs.twimg.com/profile_images/1036380644069335041/t8yNOo98.jpg","View")</f>
        <v>View</v>
      </c>
    </row>
    <row r="2646" spans="1:19" ht="20">
      <c r="A2646" s="8">
        <v>43369.907523148147</v>
      </c>
      <c r="B2646" s="11" t="str">
        <f>HYPERLINK("https://twitter.com/ladyblocker1","@ladyblocker1")</f>
        <v>@ladyblocker1</v>
      </c>
      <c r="C2646" s="6" t="s">
        <v>342</v>
      </c>
      <c r="D2646" s="5" t="s">
        <v>944</v>
      </c>
      <c r="E2646" s="9" t="str">
        <f>HYPERLINK("https://twitter.com/ladyblocker1/status/1045014345560854528","1045014345560854528")</f>
        <v>1045014345560854528</v>
      </c>
      <c r="F2646" s="4"/>
      <c r="G2646" s="10" t="s">
        <v>929</v>
      </c>
      <c r="H2646" s="4"/>
      <c r="I2646" s="10" t="str">
        <f>HYPERLINK("http://twitter.com/download/android","Twitter for Android")</f>
        <v>Twitter for Android</v>
      </c>
      <c r="J2646" s="2">
        <v>1083</v>
      </c>
      <c r="K2646" s="2">
        <v>650</v>
      </c>
      <c r="L2646" s="2">
        <v>5</v>
      </c>
      <c r="M2646" s="2"/>
      <c r="N2646" s="8">
        <v>41791.892696759256</v>
      </c>
      <c r="O2646" s="4" t="s">
        <v>340</v>
      </c>
      <c r="P2646" s="3" t="s">
        <v>339</v>
      </c>
      <c r="Q2646" s="10" t="s">
        <v>338</v>
      </c>
      <c r="R2646" s="4"/>
      <c r="S2646" s="9" t="str">
        <f>HYPERLINK("https://pbs.twimg.com/profile_images/1044967591222087680/0GW2vhal.jpg","View")</f>
        <v>View</v>
      </c>
    </row>
    <row r="2647" spans="1:19" ht="30">
      <c r="A2647" s="8">
        <v>43369.907372685186</v>
      </c>
      <c r="B2647" s="11" t="str">
        <f>HYPERLINK("https://twitter.com/mahdiipana","@mahdiipana")</f>
        <v>@mahdiipana</v>
      </c>
      <c r="C2647" s="6" t="s">
        <v>958</v>
      </c>
      <c r="D2647" s="5" t="s">
        <v>74</v>
      </c>
      <c r="E2647" s="9" t="str">
        <f>HYPERLINK("https://twitter.com/mahdiipana/status/1045014291227844609","1045014291227844609")</f>
        <v>1045014291227844609</v>
      </c>
      <c r="F2647" s="4"/>
      <c r="G2647" s="4"/>
      <c r="H2647" s="4"/>
      <c r="I2647" s="10" t="str">
        <f>HYPERLINK("http://twitter.com/download/iphone","Twitter for iPhone")</f>
        <v>Twitter for iPhone</v>
      </c>
      <c r="J2647" s="2">
        <v>2</v>
      </c>
      <c r="K2647" s="2">
        <v>3</v>
      </c>
      <c r="L2647" s="2">
        <v>0</v>
      </c>
      <c r="M2647" s="2"/>
      <c r="N2647" s="8">
        <v>41538.690046296295</v>
      </c>
      <c r="O2647" s="4" t="s">
        <v>55</v>
      </c>
      <c r="P2647" s="3" t="s">
        <v>55</v>
      </c>
      <c r="Q2647" s="4"/>
      <c r="R2647" s="4"/>
      <c r="S2647" s="9" t="str">
        <f>HYPERLINK("https://pbs.twimg.com/profile_images/1045012140447461377/I2OkcipV.jpg","View")</f>
        <v>View</v>
      </c>
    </row>
    <row r="2648" spans="1:19" ht="12.5">
      <c r="A2648" s="8">
        <v>43369.907233796301</v>
      </c>
      <c r="B2648" s="11" t="str">
        <f>HYPERLINK("https://twitter.com/aftab_yazd","@aftab_yazd")</f>
        <v>@aftab_yazd</v>
      </c>
      <c r="C2648" s="6" t="s">
        <v>957</v>
      </c>
      <c r="D2648" s="5" t="s">
        <v>956</v>
      </c>
      <c r="E2648" s="9" t="str">
        <f>HYPERLINK("https://twitter.com/aftab_yazd/status/1045014243311906816","1045014243311906816")</f>
        <v>1045014243311906816</v>
      </c>
      <c r="F2648" s="4"/>
      <c r="G2648" s="10" t="s">
        <v>955</v>
      </c>
      <c r="H2648" s="4"/>
      <c r="I2648" s="10" t="str">
        <f>HYPERLINK("http://twitter.com","Twitter Web Client")</f>
        <v>Twitter Web Client</v>
      </c>
      <c r="J2648" s="2">
        <v>2339</v>
      </c>
      <c r="K2648" s="2">
        <v>22</v>
      </c>
      <c r="L2648" s="2">
        <v>25</v>
      </c>
      <c r="M2648" s="2"/>
      <c r="N2648" s="8">
        <v>42473.810833333337</v>
      </c>
      <c r="O2648" s="4" t="s">
        <v>414</v>
      </c>
      <c r="P2648" s="3" t="s">
        <v>954</v>
      </c>
      <c r="Q2648" s="10" t="s">
        <v>953</v>
      </c>
      <c r="R2648" s="4"/>
      <c r="S2648" s="9" t="str">
        <f>HYPERLINK("https://pbs.twimg.com/profile_images/966314681961975810/ymMQC0D_.jpg","View")</f>
        <v>View</v>
      </c>
    </row>
    <row r="2649" spans="1:19" ht="20">
      <c r="A2649" s="8">
        <v>43369.907002314816</v>
      </c>
      <c r="B2649" s="11" t="str">
        <f>HYPERLINK("https://twitter.com/Reza_Gh1990","@Reza_Gh1990")</f>
        <v>@Reza_Gh1990</v>
      </c>
      <c r="C2649" s="6" t="s">
        <v>326</v>
      </c>
      <c r="D2649" s="5" t="s">
        <v>944</v>
      </c>
      <c r="E2649" s="9" t="str">
        <f>HYPERLINK("https://twitter.com/Reza_Gh1990/status/1045014160122286081","1045014160122286081")</f>
        <v>1045014160122286081</v>
      </c>
      <c r="F2649" s="4"/>
      <c r="G2649" s="10" t="s">
        <v>929</v>
      </c>
      <c r="H2649" s="4"/>
      <c r="I2649" s="10" t="str">
        <f>HYPERLINK("http://twitter.com","Twitter Web Client")</f>
        <v>Twitter Web Client</v>
      </c>
      <c r="J2649" s="2">
        <v>2619</v>
      </c>
      <c r="K2649" s="2">
        <v>1141</v>
      </c>
      <c r="L2649" s="2">
        <v>10</v>
      </c>
      <c r="M2649" s="2"/>
      <c r="N2649" s="8">
        <v>42034.77043981482</v>
      </c>
      <c r="O2649" s="4" t="s">
        <v>323</v>
      </c>
      <c r="P2649" s="3" t="s">
        <v>322</v>
      </c>
      <c r="Q2649" s="4"/>
      <c r="R2649" s="4"/>
      <c r="S2649" s="9" t="str">
        <f>HYPERLINK("https://pbs.twimg.com/profile_images/1044632756221890562/Kn6N1eml.jpg","View")</f>
        <v>View</v>
      </c>
    </row>
    <row r="2650" spans="1:19" ht="30">
      <c r="A2650" s="8">
        <v>43369.907002314816</v>
      </c>
      <c r="B2650" s="11" t="str">
        <f>HYPERLINK("https://twitter.com/babak_ariayi","@babak_ariayi")</f>
        <v>@babak_ariayi</v>
      </c>
      <c r="C2650" s="6" t="s">
        <v>947</v>
      </c>
      <c r="D2650" s="5" t="s">
        <v>952</v>
      </c>
      <c r="E2650" s="9" t="str">
        <f>HYPERLINK("https://twitter.com/babak_ariayi/status/1045014158113206273","1045014158113206273")</f>
        <v>1045014158113206273</v>
      </c>
      <c r="F2650" s="4"/>
      <c r="G2650" s="10" t="s">
        <v>951</v>
      </c>
      <c r="H2650" s="4"/>
      <c r="I2650" s="10" t="str">
        <f>HYPERLINK("http://twitter.com/download/android","Twitter for Android")</f>
        <v>Twitter for Android</v>
      </c>
      <c r="J2650" s="2">
        <v>1339</v>
      </c>
      <c r="K2650" s="2">
        <v>1565</v>
      </c>
      <c r="L2650" s="2">
        <v>0</v>
      </c>
      <c r="M2650" s="2"/>
      <c r="N2650" s="8">
        <v>42594.490995370375</v>
      </c>
      <c r="O2650" s="4" t="s">
        <v>648</v>
      </c>
      <c r="P2650" s="3" t="s">
        <v>946</v>
      </c>
      <c r="Q2650" s="4"/>
      <c r="R2650" s="4"/>
      <c r="S2650" s="9" t="str">
        <f>HYPERLINK("https://pbs.twimg.com/profile_images/1035541271907950594/_hgpC3we.jpg","View")</f>
        <v>View</v>
      </c>
    </row>
    <row r="2651" spans="1:19" ht="50">
      <c r="A2651" s="8">
        <v>43369.906168981484</v>
      </c>
      <c r="B2651" s="11" t="str">
        <f>HYPERLINK("https://twitter.com/NimaAthiest","@NimaAthiest")</f>
        <v>@NimaAthiest</v>
      </c>
      <c r="C2651" s="6" t="s">
        <v>950</v>
      </c>
      <c r="D2651" s="5" t="s">
        <v>927</v>
      </c>
      <c r="E2651" s="9" t="str">
        <f>HYPERLINK("https://twitter.com/NimaAthiest/status/1045013854592348163","1045013854592348163")</f>
        <v>1045013854592348163</v>
      </c>
      <c r="F2651" s="4"/>
      <c r="G2651" s="10" t="s">
        <v>926</v>
      </c>
      <c r="H2651" s="4"/>
      <c r="I2651" s="10" t="str">
        <f>HYPERLINK("http://twitter.com/download/android","Twitter for Android")</f>
        <v>Twitter for Android</v>
      </c>
      <c r="J2651" s="2">
        <v>4502</v>
      </c>
      <c r="K2651" s="2">
        <v>3870</v>
      </c>
      <c r="L2651" s="2">
        <v>9</v>
      </c>
      <c r="M2651" s="2"/>
      <c r="N2651" s="8">
        <v>40802.070694444446</v>
      </c>
      <c r="O2651" s="4" t="s">
        <v>949</v>
      </c>
      <c r="P2651" s="3" t="s">
        <v>948</v>
      </c>
      <c r="Q2651" s="4"/>
      <c r="R2651" s="4"/>
      <c r="S2651" s="9" t="str">
        <f>HYPERLINK("https://pbs.twimg.com/profile_images/998911932299030528/LCcj4i76.jpg","View")</f>
        <v>View</v>
      </c>
    </row>
    <row r="2652" spans="1:19" ht="30">
      <c r="A2652" s="8">
        <v>43369.905995370369</v>
      </c>
      <c r="B2652" s="11" t="str">
        <f>HYPERLINK("https://twitter.com/babak_ariayi","@babak_ariayi")</f>
        <v>@babak_ariayi</v>
      </c>
      <c r="C2652" s="6" t="s">
        <v>947</v>
      </c>
      <c r="D2652" s="5" t="s">
        <v>204</v>
      </c>
      <c r="E2652" s="9" t="str">
        <f>HYPERLINK("https://twitter.com/babak_ariayi/status/1045013795817623552","1045013795817623552")</f>
        <v>1045013795817623552</v>
      </c>
      <c r="F2652" s="4"/>
      <c r="G2652" s="4"/>
      <c r="H2652" s="4"/>
      <c r="I2652" s="10" t="str">
        <f>HYPERLINK("http://twitter.com/download/android","Twitter for Android")</f>
        <v>Twitter for Android</v>
      </c>
      <c r="J2652" s="2">
        <v>1339</v>
      </c>
      <c r="K2652" s="2">
        <v>1565</v>
      </c>
      <c r="L2652" s="2">
        <v>0</v>
      </c>
      <c r="M2652" s="2"/>
      <c r="N2652" s="8">
        <v>42594.490995370375</v>
      </c>
      <c r="O2652" s="4" t="s">
        <v>648</v>
      </c>
      <c r="P2652" s="3" t="s">
        <v>946</v>
      </c>
      <c r="Q2652" s="4"/>
      <c r="R2652" s="4"/>
      <c r="S2652" s="9" t="str">
        <f>HYPERLINK("https://pbs.twimg.com/profile_images/1035541271907950594/_hgpC3we.jpg","View")</f>
        <v>View</v>
      </c>
    </row>
    <row r="2653" spans="1:19" ht="20">
      <c r="A2653" s="8">
        <v>43369.905960648146</v>
      </c>
      <c r="B2653" s="11" t="str">
        <f>HYPERLINK("https://twitter.com/kaveh_kiana","@kaveh_kiana")</f>
        <v>@kaveh_kiana</v>
      </c>
      <c r="C2653" s="6" t="s">
        <v>153</v>
      </c>
      <c r="D2653" s="5" t="s">
        <v>313</v>
      </c>
      <c r="E2653" s="9" t="str">
        <f>HYPERLINK("https://twitter.com/kaveh_kiana/status/1045013779145265159","1045013779145265159")</f>
        <v>1045013779145265159</v>
      </c>
      <c r="F2653" s="4"/>
      <c r="G2653" s="10" t="s">
        <v>312</v>
      </c>
      <c r="H2653" s="4"/>
      <c r="I2653" s="10" t="str">
        <f>HYPERLINK("http://twitter.com/download/android","Twitter for Android")</f>
        <v>Twitter for Android</v>
      </c>
      <c r="J2653" s="2">
        <v>13</v>
      </c>
      <c r="K2653" s="2">
        <v>34</v>
      </c>
      <c r="L2653" s="2">
        <v>0</v>
      </c>
      <c r="M2653" s="2"/>
      <c r="N2653" s="8">
        <v>43321.02548611111</v>
      </c>
      <c r="O2653" s="4"/>
      <c r="P2653" s="3"/>
      <c r="Q2653" s="4"/>
      <c r="R2653" s="4"/>
      <c r="S2653" s="9" t="str">
        <f>HYPERLINK("https://pbs.twimg.com/profile_images/1027287042580013056/HH6j01Lp.jpg","View")</f>
        <v>View</v>
      </c>
    </row>
    <row r="2654" spans="1:19" ht="30">
      <c r="A2654" s="8">
        <v>43369.905856481477</v>
      </c>
      <c r="B2654" s="11" t="str">
        <f>HYPERLINK("https://twitter.com/hoseinbipanahi1","@hoseinbipanahi1")</f>
        <v>@hoseinbipanahi1</v>
      </c>
      <c r="C2654" s="6" t="s">
        <v>911</v>
      </c>
      <c r="D2654" s="5" t="s">
        <v>945</v>
      </c>
      <c r="E2654" s="9" t="str">
        <f>HYPERLINK("https://twitter.com/hoseinbipanahi1/status/1045013742491250688","1045013742491250688")</f>
        <v>1045013742491250688</v>
      </c>
      <c r="F2654" s="4"/>
      <c r="G2654" s="4"/>
      <c r="H2654" s="4"/>
      <c r="I2654" s="10" t="str">
        <f>HYPERLINK("http://twitter.com/download/android","Twitter for Android")</f>
        <v>Twitter for Android</v>
      </c>
      <c r="J2654" s="2">
        <v>4262</v>
      </c>
      <c r="K2654" s="2">
        <v>2755</v>
      </c>
      <c r="L2654" s="2">
        <v>11</v>
      </c>
      <c r="M2654" s="2"/>
      <c r="N2654" s="8">
        <v>40971.767384259263</v>
      </c>
      <c r="O2654" s="4" t="s">
        <v>72</v>
      </c>
      <c r="P2654" s="3" t="s">
        <v>910</v>
      </c>
      <c r="Q2654" s="4"/>
      <c r="R2654" s="4"/>
      <c r="S2654" s="9" t="str">
        <f>HYPERLINK("https://pbs.twimg.com/profile_images/1020313986884128774/LEkXoxB4.jpg","View")</f>
        <v>View</v>
      </c>
    </row>
    <row r="2655" spans="1:19" ht="20">
      <c r="A2655" s="8">
        <v>43369.905787037038</v>
      </c>
      <c r="B2655" s="11" t="str">
        <f>HYPERLINK("https://twitter.com/Pariiia1","@Pariiia1")</f>
        <v>@Pariiia1</v>
      </c>
      <c r="C2655" s="6" t="s">
        <v>557</v>
      </c>
      <c r="D2655" s="5" t="s">
        <v>944</v>
      </c>
      <c r="E2655" s="9" t="str">
        <f>HYPERLINK("https://twitter.com/Pariiia1/status/1045013716822044672","1045013716822044672")</f>
        <v>1045013716822044672</v>
      </c>
      <c r="F2655" s="4"/>
      <c r="G2655" s="10" t="s">
        <v>929</v>
      </c>
      <c r="H2655" s="4"/>
      <c r="I2655" s="10" t="str">
        <f>HYPERLINK("http://twitter.com/download/android","Twitter for Android")</f>
        <v>Twitter for Android</v>
      </c>
      <c r="J2655" s="2">
        <v>1592</v>
      </c>
      <c r="K2655" s="2">
        <v>1542</v>
      </c>
      <c r="L2655" s="2">
        <v>7</v>
      </c>
      <c r="M2655" s="2"/>
      <c r="N2655" s="8">
        <v>42945.723449074074</v>
      </c>
      <c r="O2655" s="4" t="s">
        <v>556</v>
      </c>
      <c r="P2655" s="3" t="s">
        <v>555</v>
      </c>
      <c r="Q2655" s="10" t="s">
        <v>554</v>
      </c>
      <c r="R2655" s="4"/>
      <c r="S2655" s="9" t="str">
        <f>HYPERLINK("https://pbs.twimg.com/profile_images/1044937384335478784/roLNo0FT.jpg","View")</f>
        <v>View</v>
      </c>
    </row>
    <row r="2656" spans="1:19" ht="12.5">
      <c r="A2656" s="8">
        <v>43369.905752314815</v>
      </c>
      <c r="B2656" s="11" t="str">
        <f>HYPERLINK("https://twitter.com/paroosamir","@paroosamir")</f>
        <v>@paroosamir</v>
      </c>
      <c r="C2656" s="6" t="s">
        <v>943</v>
      </c>
      <c r="D2656" s="5" t="s">
        <v>942</v>
      </c>
      <c r="E2656" s="9" t="str">
        <f>HYPERLINK("https://twitter.com/paroosamir/status/1045013707443634177","1045013707443634177")</f>
        <v>1045013707443634177</v>
      </c>
      <c r="F2656" s="4"/>
      <c r="G2656" s="4"/>
      <c r="H2656" s="4"/>
      <c r="I2656" s="10" t="str">
        <f>HYPERLINK("http://twitter.com/download/android","Twitter for Android")</f>
        <v>Twitter for Android</v>
      </c>
      <c r="J2656" s="2">
        <v>878</v>
      </c>
      <c r="K2656" s="2">
        <v>926</v>
      </c>
      <c r="L2656" s="2">
        <v>0</v>
      </c>
      <c r="M2656" s="2"/>
      <c r="N2656" s="8">
        <v>42420.664780092593</v>
      </c>
      <c r="O2656" s="4" t="s">
        <v>941</v>
      </c>
      <c r="P2656" s="3" t="s">
        <v>940</v>
      </c>
      <c r="Q2656" s="10" t="s">
        <v>939</v>
      </c>
      <c r="R2656" s="4"/>
      <c r="S2656" s="9" t="str">
        <f>HYPERLINK("https://pbs.twimg.com/profile_images/946808792397897729/bnCFs7Ex.jpg","View")</f>
        <v>View</v>
      </c>
    </row>
    <row r="2657" spans="1:19" ht="40">
      <c r="A2657" s="8">
        <v>43369.905740740738</v>
      </c>
      <c r="B2657" s="11" t="str">
        <f>HYPERLINK("https://twitter.com/zana_naseri","@zana_naseri")</f>
        <v>@zana_naseri</v>
      </c>
      <c r="C2657" s="6" t="s">
        <v>938</v>
      </c>
      <c r="D2657" s="5" t="s">
        <v>20</v>
      </c>
      <c r="E2657" s="9" t="str">
        <f>HYPERLINK("https://twitter.com/zana_naseri/status/1045013702959931392","1045013702959931392")</f>
        <v>1045013702959931392</v>
      </c>
      <c r="F2657" s="4"/>
      <c r="G2657" s="10" t="s">
        <v>19</v>
      </c>
      <c r="H2657" s="4"/>
      <c r="I2657" s="10" t="str">
        <f>HYPERLINK("http://twitter.com","Twitter Web Client")</f>
        <v>Twitter Web Client</v>
      </c>
      <c r="J2657" s="2">
        <v>98</v>
      </c>
      <c r="K2657" s="2">
        <v>149</v>
      </c>
      <c r="L2657" s="2">
        <v>1</v>
      </c>
      <c r="M2657" s="2"/>
      <c r="N2657" s="8">
        <v>43099.729131944448</v>
      </c>
      <c r="O2657" s="4" t="s">
        <v>937</v>
      </c>
      <c r="P2657" s="3" t="s">
        <v>936</v>
      </c>
      <c r="Q2657" s="10" t="s">
        <v>935</v>
      </c>
      <c r="R2657" s="4"/>
      <c r="S2657" s="9" t="str">
        <f>HYPERLINK("https://pbs.twimg.com/profile_images/948582455023427584/nb3leFoA.jpg","View")</f>
        <v>View</v>
      </c>
    </row>
    <row r="2658" spans="1:19" ht="30">
      <c r="A2658" s="8">
        <v>43369.90556712963</v>
      </c>
      <c r="B2658" s="11" t="str">
        <f>HYPERLINK("https://twitter.com/bittercoffee97","@bittercoffee97")</f>
        <v>@bittercoffee97</v>
      </c>
      <c r="C2658" s="6" t="s">
        <v>934</v>
      </c>
      <c r="D2658" s="5" t="s">
        <v>408</v>
      </c>
      <c r="E2658" s="9" t="str">
        <f>HYPERLINK("https://twitter.com/bittercoffee97/status/1045013638061453312","1045013638061453312")</f>
        <v>1045013638061453312</v>
      </c>
      <c r="F2658" s="4"/>
      <c r="G2658" s="4"/>
      <c r="H2658" s="4"/>
      <c r="I2658" s="10" t="str">
        <f>HYPERLINK("http://twitter.com/download/android","Twitter for Android")</f>
        <v>Twitter for Android</v>
      </c>
      <c r="J2658" s="2">
        <v>164</v>
      </c>
      <c r="K2658" s="2">
        <v>389</v>
      </c>
      <c r="L2658" s="2">
        <v>0</v>
      </c>
      <c r="M2658" s="2"/>
      <c r="N2658" s="8">
        <v>43362.117743055554</v>
      </c>
      <c r="O2658" s="4"/>
      <c r="P2658" s="3" t="s">
        <v>933</v>
      </c>
      <c r="Q2658" s="4"/>
      <c r="R2658" s="4"/>
      <c r="S2658" s="9" t="str">
        <f>HYPERLINK("https://pbs.twimg.com/profile_images/1042746118008987648/uz8aBf4U.jpg","View")</f>
        <v>View</v>
      </c>
    </row>
    <row r="2659" spans="1:19" ht="30">
      <c r="A2659" s="8">
        <v>43369.905312499999</v>
      </c>
      <c r="B2659" s="11" t="str">
        <f>HYPERLINK("https://twitter.com/PMR0731","@PMR0731")</f>
        <v>@PMR0731</v>
      </c>
      <c r="C2659" s="6" t="s">
        <v>423</v>
      </c>
      <c r="D2659" s="5" t="s">
        <v>732</v>
      </c>
      <c r="E2659" s="9" t="str">
        <f>HYPERLINK("https://twitter.com/PMR0731/status/1045013547758112769","1045013547758112769")</f>
        <v>1045013547758112769</v>
      </c>
      <c r="F2659" s="4"/>
      <c r="G2659" s="10" t="s">
        <v>706</v>
      </c>
      <c r="H2659" s="4"/>
      <c r="I2659" s="10" t="str">
        <f>HYPERLINK("http://twitter.com","Twitter Web Client")</f>
        <v>Twitter Web Client</v>
      </c>
      <c r="J2659" s="2">
        <v>793</v>
      </c>
      <c r="K2659" s="2">
        <v>189</v>
      </c>
      <c r="L2659" s="2">
        <v>6</v>
      </c>
      <c r="M2659" s="2"/>
      <c r="N2659" s="8">
        <v>42590.050578703704</v>
      </c>
      <c r="O2659" s="4" t="s">
        <v>420</v>
      </c>
      <c r="P2659" s="3" t="s">
        <v>419</v>
      </c>
      <c r="Q2659" s="4"/>
      <c r="R2659" s="4"/>
      <c r="S2659" s="9" t="str">
        <f>HYPERLINK("https://pbs.twimg.com/profile_images/1030356397630926848/x8SmplII.jpg","View")</f>
        <v>View</v>
      </c>
    </row>
    <row r="2660" spans="1:19" ht="30">
      <c r="A2660" s="8">
        <v>43369.905277777776</v>
      </c>
      <c r="B2660" s="11" t="str">
        <f>HYPERLINK("https://twitter.com/samssash","@samssash")</f>
        <v>@samssash</v>
      </c>
      <c r="C2660" s="6" t="s">
        <v>932</v>
      </c>
      <c r="D2660" s="5" t="s">
        <v>408</v>
      </c>
      <c r="E2660" s="9" t="str">
        <f>HYPERLINK("https://twitter.com/samssash/status/1045013535003213825","1045013535003213825")</f>
        <v>1045013535003213825</v>
      </c>
      <c r="F2660" s="4"/>
      <c r="G2660" s="4"/>
      <c r="H2660" s="4"/>
      <c r="I2660" s="10" t="str">
        <f>HYPERLINK("http://twitter.com/download/iphone","Twitter for iPhone")</f>
        <v>Twitter for iPhone</v>
      </c>
      <c r="J2660" s="2">
        <v>127</v>
      </c>
      <c r="K2660" s="2">
        <v>204</v>
      </c>
      <c r="L2660" s="2">
        <v>0</v>
      </c>
      <c r="M2660" s="2"/>
      <c r="N2660" s="8">
        <v>40614.877060185187</v>
      </c>
      <c r="O2660" s="4" t="s">
        <v>931</v>
      </c>
      <c r="P2660" s="3"/>
      <c r="Q2660" s="4"/>
      <c r="R2660" s="4"/>
      <c r="S2660" s="9" t="str">
        <f>HYPERLINK("https://pbs.twimg.com/profile_images/1031493284278030336/enPgO4sE.jpg","View")</f>
        <v>View</v>
      </c>
    </row>
    <row r="2661" spans="1:19" ht="20">
      <c r="A2661" s="8">
        <v>43369.904745370368</v>
      </c>
      <c r="B2661" s="11" t="str">
        <f>HYPERLINK("https://twitter.com/iranpayande2213","@iranpayande2213")</f>
        <v>@iranpayande2213</v>
      </c>
      <c r="C2661" s="6" t="s">
        <v>739</v>
      </c>
      <c r="D2661" s="5" t="s">
        <v>930</v>
      </c>
      <c r="E2661" s="9" t="str">
        <f>HYPERLINK("https://twitter.com/iranpayande2213/status/1045013339280199681","1045013339280199681")</f>
        <v>1045013339280199681</v>
      </c>
      <c r="F2661" s="4"/>
      <c r="G2661" s="10" t="s">
        <v>929</v>
      </c>
      <c r="H2661" s="4"/>
      <c r="I2661" s="10" t="str">
        <f>HYPERLINK("http://twitter.com/download/iphone","Twitter for iPhone")</f>
        <v>Twitter for iPhone</v>
      </c>
      <c r="J2661" s="2">
        <v>5134</v>
      </c>
      <c r="K2661" s="2">
        <v>4565</v>
      </c>
      <c r="L2661" s="2">
        <v>6</v>
      </c>
      <c r="M2661" s="2"/>
      <c r="N2661" s="8">
        <v>43001.501828703702</v>
      </c>
      <c r="O2661" s="4" t="s">
        <v>72</v>
      </c>
      <c r="P2661" s="3" t="s">
        <v>738</v>
      </c>
      <c r="Q2661" s="4"/>
      <c r="R2661" s="4"/>
      <c r="S2661" s="9" t="str">
        <f>HYPERLINK("https://pbs.twimg.com/profile_images/1043035224198676487/uGnsQISu.jpg","View")</f>
        <v>View</v>
      </c>
    </row>
    <row r="2662" spans="1:19" ht="50">
      <c r="A2662" s="8">
        <v>43369.904409722221</v>
      </c>
      <c r="B2662" s="11" t="str">
        <f>HYPERLINK("https://twitter.com/barandazambot","@barandazambot")</f>
        <v>@barandazambot</v>
      </c>
      <c r="C2662" s="6" t="s">
        <v>46</v>
      </c>
      <c r="D2662" s="5" t="s">
        <v>927</v>
      </c>
      <c r="E2662" s="9" t="str">
        <f>HYPERLINK("https://twitter.com/barandazambot/status/1045013220396691456","1045013220396691456")</f>
        <v>1045013220396691456</v>
      </c>
      <c r="F2662" s="4"/>
      <c r="G2662" s="10" t="s">
        <v>926</v>
      </c>
      <c r="H2662" s="4"/>
      <c r="I2662" s="10" t="str">
        <f>HYPERLINK("http://127.0.0.1","barandazambot")</f>
        <v>barandazambot</v>
      </c>
      <c r="J2662" s="2">
        <v>929</v>
      </c>
      <c r="K2662" s="2">
        <v>23</v>
      </c>
      <c r="L2662" s="2">
        <v>2</v>
      </c>
      <c r="M2662" s="2"/>
      <c r="N2662" s="8">
        <v>43293.668993055559</v>
      </c>
      <c r="O2662" s="4" t="s">
        <v>45</v>
      </c>
      <c r="P2662" s="3" t="s">
        <v>44</v>
      </c>
      <c r="Q2662" s="4"/>
      <c r="R2662" s="4"/>
      <c r="S2662" s="9" t="str">
        <f>HYPERLINK("https://pbs.twimg.com/profile_images/1017382724485730305/hGaBNoXG.jpg","View")</f>
        <v>View</v>
      </c>
    </row>
    <row r="2663" spans="1:19" ht="50">
      <c r="A2663" s="8">
        <v>43369.904340277775</v>
      </c>
      <c r="B2663" s="11" t="str">
        <f>HYPERLINK("https://twitter.com/NwmN2E6glgIlgQu","@NwmN2E6glgIlgQu")</f>
        <v>@NwmN2E6glgIlgQu</v>
      </c>
      <c r="C2663" s="6" t="s">
        <v>928</v>
      </c>
      <c r="D2663" s="5" t="s">
        <v>927</v>
      </c>
      <c r="E2663" s="9" t="str">
        <f>HYPERLINK("https://twitter.com/NwmN2E6glgIlgQu/status/1045013193595244545","1045013193595244545")</f>
        <v>1045013193595244545</v>
      </c>
      <c r="F2663" s="4"/>
      <c r="G2663" s="10" t="s">
        <v>926</v>
      </c>
      <c r="H2663" s="4"/>
      <c r="I2663" s="10" t="str">
        <f>HYPERLINK("http://twitter.com/download/android","Twitter for Android")</f>
        <v>Twitter for Android</v>
      </c>
      <c r="J2663" s="2">
        <v>234</v>
      </c>
      <c r="K2663" s="2">
        <v>321</v>
      </c>
      <c r="L2663" s="2">
        <v>0</v>
      </c>
      <c r="M2663" s="2"/>
      <c r="N2663" s="8">
        <v>43307.92359953704</v>
      </c>
      <c r="O2663" s="4" t="s">
        <v>925</v>
      </c>
      <c r="P2663" s="3" t="s">
        <v>924</v>
      </c>
      <c r="Q2663" s="4"/>
      <c r="R2663" s="4"/>
      <c r="S2663" s="9" t="str">
        <f>HYPERLINK("https://pbs.twimg.com/profile_images/1027190253008957440/l9GdESTL.jpg","View")</f>
        <v>View</v>
      </c>
    </row>
    <row r="2664" spans="1:19" ht="40">
      <c r="A2664" s="8">
        <v>43369.904317129629</v>
      </c>
      <c r="B2664" s="11" t="str">
        <f>HYPERLINK("https://twitter.com/VEngelab","@VEngelab")</f>
        <v>@VEngelab</v>
      </c>
      <c r="C2664" s="6" t="s">
        <v>923</v>
      </c>
      <c r="D2664" s="5" t="s">
        <v>922</v>
      </c>
      <c r="E2664" s="9" t="str">
        <f>HYPERLINK("https://twitter.com/VEngelab/status/1045013186548838401","1045013186548838401")</f>
        <v>1045013186548838401</v>
      </c>
      <c r="F2664" s="4"/>
      <c r="G2664" s="4"/>
      <c r="H2664" s="4"/>
      <c r="I2664" s="10" t="str">
        <f>HYPERLINK("http://twitter.com/download/iphone","Twitter for iPhone")</f>
        <v>Twitter for iPhone</v>
      </c>
      <c r="J2664" s="2">
        <v>226</v>
      </c>
      <c r="K2664" s="2">
        <v>152</v>
      </c>
      <c r="L2664" s="2">
        <v>0</v>
      </c>
      <c r="M2664" s="2"/>
      <c r="N2664" s="8">
        <v>41554.705069444448</v>
      </c>
      <c r="O2664" s="4"/>
      <c r="P2664" s="3"/>
      <c r="Q2664" s="4"/>
      <c r="R2664" s="4"/>
      <c r="S2664" s="9" t="str">
        <f>HYPERLINK("https://pbs.twimg.com/profile_images/999063312590503936/wqcUs7jT.jpg","View")</f>
        <v>View</v>
      </c>
    </row>
    <row r="2665" spans="1:19" ht="30">
      <c r="A2665" s="8">
        <v>43369.90424768519</v>
      </c>
      <c r="B2665" s="11" t="str">
        <f>HYPERLINK("https://twitter.com/Reza_Gh1990","@Reza_Gh1990")</f>
        <v>@Reza_Gh1990</v>
      </c>
      <c r="C2665" s="6" t="s">
        <v>326</v>
      </c>
      <c r="D2665" s="5" t="s">
        <v>732</v>
      </c>
      <c r="E2665" s="9" t="str">
        <f>HYPERLINK("https://twitter.com/Reza_Gh1990/status/1045013161928200193","1045013161928200193")</f>
        <v>1045013161928200193</v>
      </c>
      <c r="F2665" s="4"/>
      <c r="G2665" s="10" t="s">
        <v>706</v>
      </c>
      <c r="H2665" s="4"/>
      <c r="I2665" s="10" t="str">
        <f>HYPERLINK("http://twitter.com","Twitter Web Client")</f>
        <v>Twitter Web Client</v>
      </c>
      <c r="J2665" s="2">
        <v>2619</v>
      </c>
      <c r="K2665" s="2">
        <v>1141</v>
      </c>
      <c r="L2665" s="2">
        <v>10</v>
      </c>
      <c r="M2665" s="2"/>
      <c r="N2665" s="8">
        <v>42034.77043981482</v>
      </c>
      <c r="O2665" s="4" t="s">
        <v>323</v>
      </c>
      <c r="P2665" s="3" t="s">
        <v>322</v>
      </c>
      <c r="Q2665" s="4"/>
      <c r="R2665" s="4"/>
      <c r="S2665" s="9" t="str">
        <f>HYPERLINK("https://pbs.twimg.com/profile_images/1044632756221890562/Kn6N1eml.jpg","View")</f>
        <v>View</v>
      </c>
    </row>
    <row r="2666" spans="1:19" ht="12.5">
      <c r="A2666" s="8">
        <v>43369.88795138889</v>
      </c>
      <c r="B2666" s="11" t="str">
        <f>HYPERLINK("https://twitter.com/JavadMollaei","@JavadMollaei")</f>
        <v>@JavadMollaei</v>
      </c>
      <c r="C2666" s="6" t="s">
        <v>921</v>
      </c>
      <c r="D2666" s="5" t="s">
        <v>920</v>
      </c>
      <c r="E2666" s="9" t="str">
        <f>HYPERLINK("https://twitter.com/JavadMollaei/status/1045007253399629824","1045007253399629824")</f>
        <v>1045007253399629824</v>
      </c>
      <c r="F2666" s="4"/>
      <c r="G2666" s="10" t="s">
        <v>919</v>
      </c>
      <c r="H2666" s="4"/>
      <c r="I2666" s="10" t="str">
        <f>HYPERLINK("http://twitter.com/download/android","Twitter for Android")</f>
        <v>Twitter for Android</v>
      </c>
      <c r="J2666" s="2">
        <v>583</v>
      </c>
      <c r="K2666" s="2">
        <v>831</v>
      </c>
      <c r="L2666" s="2">
        <v>1</v>
      </c>
      <c r="M2666" s="2"/>
      <c r="N2666" s="8">
        <v>42899.466574074075</v>
      </c>
      <c r="O2666" s="4" t="s">
        <v>648</v>
      </c>
      <c r="P2666" s="3" t="s">
        <v>918</v>
      </c>
      <c r="Q2666" s="4"/>
      <c r="R2666" s="4"/>
      <c r="S2666" s="9" t="str">
        <f>HYPERLINK("https://pbs.twimg.com/profile_images/1033354893027889152/ifg5mIbU.jpg","View")</f>
        <v>View</v>
      </c>
    </row>
    <row r="2667" spans="1:19" ht="30">
      <c r="A2667" s="8">
        <v>43369.887164351851</v>
      </c>
      <c r="B2667" s="11" t="str">
        <f>HYPERLINK("https://twitter.com/hoseinbipanahi1","@hoseinbipanahi1")</f>
        <v>@hoseinbipanahi1</v>
      </c>
      <c r="C2667" s="6" t="s">
        <v>911</v>
      </c>
      <c r="D2667" s="5" t="s">
        <v>917</v>
      </c>
      <c r="E2667" s="9" t="str">
        <f>HYPERLINK("https://twitter.com/hoseinbipanahi1/status/1045006971190095873","1045006971190095873")</f>
        <v>1045006971190095873</v>
      </c>
      <c r="F2667" s="4"/>
      <c r="G2667" s="10" t="s">
        <v>486</v>
      </c>
      <c r="H2667" s="4"/>
      <c r="I2667" s="10" t="str">
        <f>HYPERLINK("http://twitter.com/download/android","Twitter for Android")</f>
        <v>Twitter for Android</v>
      </c>
      <c r="J2667" s="2">
        <v>4260</v>
      </c>
      <c r="K2667" s="2">
        <v>2755</v>
      </c>
      <c r="L2667" s="2">
        <v>11</v>
      </c>
      <c r="M2667" s="2"/>
      <c r="N2667" s="8">
        <v>40971.767384259263</v>
      </c>
      <c r="O2667" s="4" t="s">
        <v>72</v>
      </c>
      <c r="P2667" s="3" t="s">
        <v>910</v>
      </c>
      <c r="Q2667" s="4"/>
      <c r="R2667" s="4"/>
      <c r="S2667" s="9" t="str">
        <f>HYPERLINK("https://pbs.twimg.com/profile_images/1020313986884128774/LEkXoxB4.jpg","View")</f>
        <v>View</v>
      </c>
    </row>
    <row r="2668" spans="1:19" ht="30">
      <c r="A2668" s="8">
        <v>43369.886493055557</v>
      </c>
      <c r="B2668" s="11" t="str">
        <f>HYPERLINK("https://twitter.com/QeszvxM8yVP7qti","@QeszvxM8yVP7qti")</f>
        <v>@QeszvxM8yVP7qti</v>
      </c>
      <c r="C2668" s="6" t="s">
        <v>916</v>
      </c>
      <c r="D2668" s="5" t="s">
        <v>408</v>
      </c>
      <c r="E2668" s="9" t="str">
        <f>HYPERLINK("https://twitter.com/QeszvxM8yVP7qti/status/1045006726385356802","1045006726385356802")</f>
        <v>1045006726385356802</v>
      </c>
      <c r="F2668" s="4"/>
      <c r="G2668" s="4"/>
      <c r="H2668" s="4"/>
      <c r="I2668" s="10" t="str">
        <f>HYPERLINK("http://twitter.com/download/android","Twitter for Android")</f>
        <v>Twitter for Android</v>
      </c>
      <c r="J2668" s="2">
        <v>215</v>
      </c>
      <c r="K2668" s="2">
        <v>355</v>
      </c>
      <c r="L2668" s="2">
        <v>0</v>
      </c>
      <c r="M2668" s="2"/>
      <c r="N2668" s="8">
        <v>43305.579918981486</v>
      </c>
      <c r="O2668" s="4" t="s">
        <v>915</v>
      </c>
      <c r="P2668" s="3" t="s">
        <v>914</v>
      </c>
      <c r="Q2668" s="4"/>
      <c r="R2668" s="4"/>
      <c r="S2668" s="9" t="str">
        <f>HYPERLINK("https://pbs.twimg.com/profile_images/1021691254244028417/7dTw6r1D.jpg","View")</f>
        <v>View</v>
      </c>
    </row>
    <row r="2669" spans="1:19" ht="30">
      <c r="A2669" s="8">
        <v>43369.885833333334</v>
      </c>
      <c r="B2669" s="11" t="str">
        <f>HYPERLINK("https://twitter.com/mrteacher_ir","@mrteacher_ir")</f>
        <v>@mrteacher_ir</v>
      </c>
      <c r="C2669" s="6" t="s">
        <v>913</v>
      </c>
      <c r="D2669" s="5" t="s">
        <v>901</v>
      </c>
      <c r="E2669" s="9" t="str">
        <f>HYPERLINK("https://twitter.com/mrteacher_ir/status/1045006488757055488","1045006488757055488")</f>
        <v>1045006488757055488</v>
      </c>
      <c r="F2669" s="4"/>
      <c r="G2669" s="4"/>
      <c r="H2669" s="4"/>
      <c r="I2669" s="10" t="str">
        <f>HYPERLINK("http://twitter.com/download/android","Twitter for Android")</f>
        <v>Twitter for Android</v>
      </c>
      <c r="J2669" s="2">
        <v>986</v>
      </c>
      <c r="K2669" s="2">
        <v>2467</v>
      </c>
      <c r="L2669" s="2">
        <v>2</v>
      </c>
      <c r="M2669" s="2"/>
      <c r="N2669" s="8">
        <v>43326.407037037032</v>
      </c>
      <c r="O2669" s="4"/>
      <c r="P2669" s="3" t="s">
        <v>912</v>
      </c>
      <c r="Q2669" s="4"/>
      <c r="R2669" s="4"/>
      <c r="S2669" s="9" t="str">
        <f>HYPERLINK("https://pbs.twimg.com/profile_images/1043584180230258688/6xthYCLV.jpg","View")</f>
        <v>View</v>
      </c>
    </row>
    <row r="2670" spans="1:19" ht="30">
      <c r="A2670" s="8">
        <v>43369.885601851856</v>
      </c>
      <c r="B2670" s="11" t="str">
        <f>HYPERLINK("https://twitter.com/hoseinbipanahi1","@hoseinbipanahi1")</f>
        <v>@hoseinbipanahi1</v>
      </c>
      <c r="C2670" s="6" t="s">
        <v>911</v>
      </c>
      <c r="D2670" s="5" t="s">
        <v>732</v>
      </c>
      <c r="E2670" s="9" t="str">
        <f>HYPERLINK("https://twitter.com/hoseinbipanahi1/status/1045006402853449729","1045006402853449729")</f>
        <v>1045006402853449729</v>
      </c>
      <c r="F2670" s="4"/>
      <c r="G2670" s="10" t="s">
        <v>706</v>
      </c>
      <c r="H2670" s="4"/>
      <c r="I2670" s="10" t="str">
        <f>HYPERLINK("http://twitter.com/download/android","Twitter for Android")</f>
        <v>Twitter for Android</v>
      </c>
      <c r="J2670" s="2">
        <v>4260</v>
      </c>
      <c r="K2670" s="2">
        <v>2755</v>
      </c>
      <c r="L2670" s="2">
        <v>11</v>
      </c>
      <c r="M2670" s="2"/>
      <c r="N2670" s="8">
        <v>40971.767384259263</v>
      </c>
      <c r="O2670" s="4" t="s">
        <v>72</v>
      </c>
      <c r="P2670" s="3" t="s">
        <v>910</v>
      </c>
      <c r="Q2670" s="4"/>
      <c r="R2670" s="4"/>
      <c r="S2670" s="9" t="str">
        <f>HYPERLINK("https://pbs.twimg.com/profile_images/1020313986884128774/LEkXoxB4.jpg","View")</f>
        <v>View</v>
      </c>
    </row>
    <row r="2671" spans="1:19" ht="40">
      <c r="A2671" s="8">
        <v>43369.885266203702</v>
      </c>
      <c r="B2671" s="11" t="str">
        <f>HYPERLINK("https://twitter.com/Averell5Dalton","@Averell5Dalton")</f>
        <v>@Averell5Dalton</v>
      </c>
      <c r="C2671" s="6" t="s">
        <v>909</v>
      </c>
      <c r="D2671" s="5" t="s">
        <v>908</v>
      </c>
      <c r="E2671" s="9" t="str">
        <f>HYPERLINK("https://twitter.com/Averell5Dalton/status/1045006281906552835","1045006281906552835")</f>
        <v>1045006281906552835</v>
      </c>
      <c r="F2671" s="4"/>
      <c r="G2671" s="10" t="s">
        <v>907</v>
      </c>
      <c r="H2671" s="4"/>
      <c r="I2671" s="10" t="str">
        <f>HYPERLINK("http://twitter.com/download/android","Twitter for Android")</f>
        <v>Twitter for Android</v>
      </c>
      <c r="J2671" s="2">
        <v>29</v>
      </c>
      <c r="K2671" s="2">
        <v>41</v>
      </c>
      <c r="L2671" s="2">
        <v>0</v>
      </c>
      <c r="M2671" s="2"/>
      <c r="N2671" s="8">
        <v>40687.990081018521</v>
      </c>
      <c r="O2671" s="4"/>
      <c r="P2671" s="3"/>
      <c r="Q2671" s="4"/>
      <c r="R2671" s="4"/>
      <c r="S2671" s="9" t="str">
        <f>HYPERLINK("https://pbs.twimg.com/profile_images/1045006499217641472/5-pTO5Rx.jpg","View")</f>
        <v>View</v>
      </c>
    </row>
    <row r="2672" spans="1:19" ht="20">
      <c r="A2672" s="8">
        <v>43369.88490740741</v>
      </c>
      <c r="B2672" s="11" t="str">
        <f>HYPERLINK("https://twitter.com/Beth7876","@Beth7876")</f>
        <v>@Beth7876</v>
      </c>
      <c r="C2672" s="6" t="s">
        <v>53</v>
      </c>
      <c r="D2672" s="5" t="s">
        <v>727</v>
      </c>
      <c r="E2672" s="9" t="str">
        <f>HYPERLINK("https://twitter.com/Beth7876/status/1045006152944111616","1045006152944111616")</f>
        <v>1045006152944111616</v>
      </c>
      <c r="F2672" s="4"/>
      <c r="G2672" s="10" t="s">
        <v>722</v>
      </c>
      <c r="H2672" s="4"/>
      <c r="I2672" s="10" t="str">
        <f>HYPERLINK("http://twitter.com/download/android","Twitter for Android")</f>
        <v>Twitter for Android</v>
      </c>
      <c r="J2672" s="2">
        <v>9271</v>
      </c>
      <c r="K2672" s="2">
        <v>1647</v>
      </c>
      <c r="L2672" s="2">
        <v>17</v>
      </c>
      <c r="M2672" s="2"/>
      <c r="N2672" s="8">
        <v>43053.419363425928</v>
      </c>
      <c r="O2672" s="4" t="s">
        <v>10</v>
      </c>
      <c r="P2672" s="3" t="s">
        <v>51</v>
      </c>
      <c r="Q2672" s="4"/>
      <c r="R2672" s="4"/>
      <c r="S2672" s="9" t="str">
        <f>HYPERLINK("https://pbs.twimg.com/profile_images/1043178143933181952/KaP_lpTl.jpg","View")</f>
        <v>View</v>
      </c>
    </row>
    <row r="2673" spans="1:19" ht="30">
      <c r="A2673" s="8">
        <v>43369.884062500001</v>
      </c>
      <c r="B2673" s="11" t="str">
        <f>HYPERLINK("https://twitter.com/Beth7876","@Beth7876")</f>
        <v>@Beth7876</v>
      </c>
      <c r="C2673" s="6" t="s">
        <v>53</v>
      </c>
      <c r="D2673" s="5" t="s">
        <v>732</v>
      </c>
      <c r="E2673" s="9" t="str">
        <f>HYPERLINK("https://twitter.com/Beth7876/status/1045005846327963648","1045005846327963648")</f>
        <v>1045005846327963648</v>
      </c>
      <c r="F2673" s="4"/>
      <c r="G2673" s="10" t="s">
        <v>706</v>
      </c>
      <c r="H2673" s="4"/>
      <c r="I2673" s="10" t="str">
        <f>HYPERLINK("http://twitter.com/download/android","Twitter for Android")</f>
        <v>Twitter for Android</v>
      </c>
      <c r="J2673" s="2">
        <v>9271</v>
      </c>
      <c r="K2673" s="2">
        <v>1647</v>
      </c>
      <c r="L2673" s="2">
        <v>17</v>
      </c>
      <c r="M2673" s="2"/>
      <c r="N2673" s="8">
        <v>43053.419363425928</v>
      </c>
      <c r="O2673" s="4" t="s">
        <v>10</v>
      </c>
      <c r="P2673" s="3" t="s">
        <v>51</v>
      </c>
      <c r="Q2673" s="4"/>
      <c r="R2673" s="4"/>
      <c r="S2673" s="9" t="str">
        <f>HYPERLINK("https://pbs.twimg.com/profile_images/1043178143933181952/KaP_lpTl.jpg","View")</f>
        <v>View</v>
      </c>
    </row>
    <row r="2674" spans="1:19" ht="40">
      <c r="A2674" s="8">
        <v>43369.883657407408</v>
      </c>
      <c r="B2674" s="11" t="str">
        <f>HYPERLINK("https://twitter.com/Beth7876","@Beth7876")</f>
        <v>@Beth7876</v>
      </c>
      <c r="C2674" s="6" t="s">
        <v>53</v>
      </c>
      <c r="D2674" s="5" t="s">
        <v>422</v>
      </c>
      <c r="E2674" s="9" t="str">
        <f>HYPERLINK("https://twitter.com/Beth7876/status/1045005698550001664","1045005698550001664")</f>
        <v>1045005698550001664</v>
      </c>
      <c r="F2674" s="4"/>
      <c r="G2674" s="10" t="s">
        <v>421</v>
      </c>
      <c r="H2674" s="4"/>
      <c r="I2674" s="10" t="str">
        <f>HYPERLINK("http://twitter.com/download/android","Twitter for Android")</f>
        <v>Twitter for Android</v>
      </c>
      <c r="J2674" s="2">
        <v>9271</v>
      </c>
      <c r="K2674" s="2">
        <v>1647</v>
      </c>
      <c r="L2674" s="2">
        <v>17</v>
      </c>
      <c r="M2674" s="2"/>
      <c r="N2674" s="8">
        <v>43053.419363425928</v>
      </c>
      <c r="O2674" s="4" t="s">
        <v>10</v>
      </c>
      <c r="P2674" s="3" t="s">
        <v>51</v>
      </c>
      <c r="Q2674" s="4"/>
      <c r="R2674" s="4"/>
      <c r="S2674" s="9" t="str">
        <f>HYPERLINK("https://pbs.twimg.com/profile_images/1043178143933181952/KaP_lpTl.jpg","View")</f>
        <v>View</v>
      </c>
    </row>
    <row r="2675" spans="1:19" ht="20">
      <c r="A2675" s="8">
        <v>43369.883530092593</v>
      </c>
      <c r="B2675" s="11" t="str">
        <f>HYPERLINK("https://twitter.com/Beth7876","@Beth7876")</f>
        <v>@Beth7876</v>
      </c>
      <c r="C2675" s="6" t="s">
        <v>53</v>
      </c>
      <c r="D2675" s="5" t="s">
        <v>429</v>
      </c>
      <c r="E2675" s="9" t="str">
        <f>HYPERLINK("https://twitter.com/Beth7876/status/1045005651271856128","1045005651271856128")</f>
        <v>1045005651271856128</v>
      </c>
      <c r="F2675" s="4"/>
      <c r="G2675" s="4"/>
      <c r="H2675" s="4"/>
      <c r="I2675" s="10" t="str">
        <f>HYPERLINK("http://twitter.com/download/android","Twitter for Android")</f>
        <v>Twitter for Android</v>
      </c>
      <c r="J2675" s="2">
        <v>9271</v>
      </c>
      <c r="K2675" s="2">
        <v>1647</v>
      </c>
      <c r="L2675" s="2">
        <v>17</v>
      </c>
      <c r="M2675" s="2"/>
      <c r="N2675" s="8">
        <v>43053.419363425928</v>
      </c>
      <c r="O2675" s="4" t="s">
        <v>10</v>
      </c>
      <c r="P2675" s="3" t="s">
        <v>51</v>
      </c>
      <c r="Q2675" s="4"/>
      <c r="R2675" s="4"/>
      <c r="S2675" s="9" t="str">
        <f>HYPERLINK("https://pbs.twimg.com/profile_images/1043178143933181952/KaP_lpTl.jpg","View")</f>
        <v>View</v>
      </c>
    </row>
    <row r="2676" spans="1:19" ht="30">
      <c r="A2676" s="8">
        <v>43369.883483796293</v>
      </c>
      <c r="B2676" s="11" t="str">
        <f>HYPERLINK("https://twitter.com/iran_tomarow","@iran_tomarow")</f>
        <v>@iran_tomarow</v>
      </c>
      <c r="C2676" s="6" t="s">
        <v>906</v>
      </c>
      <c r="D2676" s="5" t="s">
        <v>408</v>
      </c>
      <c r="E2676" s="9" t="str">
        <f>HYPERLINK("https://twitter.com/iran_tomarow/status/1045005637221068800","1045005637221068800")</f>
        <v>1045005637221068800</v>
      </c>
      <c r="F2676" s="4"/>
      <c r="G2676" s="4"/>
      <c r="H2676" s="4"/>
      <c r="I2676" s="10" t="str">
        <f>HYPERLINK("http://twitter.com/download/android","Twitter for Android")</f>
        <v>Twitter for Android</v>
      </c>
      <c r="J2676" s="2">
        <v>82</v>
      </c>
      <c r="K2676" s="2">
        <v>122</v>
      </c>
      <c r="L2676" s="2">
        <v>0</v>
      </c>
      <c r="M2676" s="2"/>
      <c r="N2676" s="8">
        <v>43239.66615740741</v>
      </c>
      <c r="O2676" s="4"/>
      <c r="P2676" s="3"/>
      <c r="Q2676" s="4"/>
      <c r="R2676" s="4"/>
      <c r="S2676" s="9" t="str">
        <f>HYPERLINK("https://pbs.twimg.com/profile_images/997891764886392833/Gc5Lnc44.jpg","View")</f>
        <v>View</v>
      </c>
    </row>
    <row r="2677" spans="1:19" ht="12.5">
      <c r="A2677" s="8">
        <v>43369.883368055554</v>
      </c>
      <c r="B2677" s="11" t="str">
        <f>HYPERLINK("https://twitter.com/saraaiism","@saraaiism")</f>
        <v>@saraaiism</v>
      </c>
      <c r="C2677" s="6" t="s">
        <v>905</v>
      </c>
      <c r="D2677" s="5" t="s">
        <v>904</v>
      </c>
      <c r="E2677" s="9" t="str">
        <f>HYPERLINK("https://twitter.com/saraaiism/status/1045005594598543360","1045005594598543360")</f>
        <v>1045005594598543360</v>
      </c>
      <c r="F2677" s="4"/>
      <c r="G2677" s="4"/>
      <c r="H2677" s="4"/>
      <c r="I2677" s="10" t="str">
        <f>HYPERLINK("http://twitter.com/download/iphone","Twitter for iPhone")</f>
        <v>Twitter for iPhone</v>
      </c>
      <c r="J2677" s="2">
        <v>278</v>
      </c>
      <c r="K2677" s="2">
        <v>350</v>
      </c>
      <c r="L2677" s="2">
        <v>1</v>
      </c>
      <c r="M2677" s="2"/>
      <c r="N2677" s="8">
        <v>43247.92559027778</v>
      </c>
      <c r="O2677" s="4"/>
      <c r="P2677" s="3" t="s">
        <v>903</v>
      </c>
      <c r="Q2677" s="4"/>
      <c r="R2677" s="4"/>
      <c r="S2677" s="9" t="str">
        <f>HYPERLINK("https://pbs.twimg.com/profile_images/1043062711062544384/7NyIGuPL.jpg","View")</f>
        <v>View</v>
      </c>
    </row>
    <row r="2678" spans="1:19" ht="20">
      <c r="A2678" s="8">
        <v>43369.883206018523</v>
      </c>
      <c r="B2678" s="11" t="str">
        <f>HYPERLINK("https://twitter.com/MJAHMADEE","@MJAHMADEE")</f>
        <v>@MJAHMADEE</v>
      </c>
      <c r="C2678" s="6" t="s">
        <v>902</v>
      </c>
      <c r="D2678" s="5" t="s">
        <v>901</v>
      </c>
      <c r="E2678" s="9" t="str">
        <f>HYPERLINK("https://twitter.com/MJAHMADEE/status/1045005536087937025","1045005536087937025")</f>
        <v>1045005536087937025</v>
      </c>
      <c r="F2678" s="4"/>
      <c r="G2678" s="4"/>
      <c r="H2678" s="4"/>
      <c r="I2678" s="10" t="str">
        <f>HYPERLINK("http://twitter.com/download/android","Twitter for Android")</f>
        <v>Twitter for Android</v>
      </c>
      <c r="J2678" s="2">
        <v>153</v>
      </c>
      <c r="K2678" s="2">
        <v>157</v>
      </c>
      <c r="L2678" s="2">
        <v>0</v>
      </c>
      <c r="M2678" s="2"/>
      <c r="N2678" s="8">
        <v>42799.823564814811</v>
      </c>
      <c r="O2678" s="4" t="s">
        <v>900</v>
      </c>
      <c r="P2678" s="3" t="s">
        <v>899</v>
      </c>
      <c r="Q2678" s="10" t="s">
        <v>898</v>
      </c>
      <c r="R2678" s="4"/>
      <c r="S2678" s="9" t="str">
        <f>HYPERLINK("https://pbs.twimg.com/profile_images/1030018558334566400/RbNk5HaX.jpg","View")</f>
        <v>View</v>
      </c>
    </row>
    <row r="2679" spans="1:19" ht="20">
      <c r="A2679" s="8">
        <v>43369.883009259254</v>
      </c>
      <c r="B2679" s="11" t="str">
        <f>HYPERLINK("https://twitter.com/cherchilepesar","@cherchilepesar")</f>
        <v>@cherchilepesar</v>
      </c>
      <c r="C2679" s="6" t="s">
        <v>897</v>
      </c>
      <c r="D2679" s="5" t="s">
        <v>896</v>
      </c>
      <c r="E2679" s="9" t="str">
        <f>HYPERLINK("https://twitter.com/cherchilepesar/status/1045005465481072648","1045005465481072648")</f>
        <v>1045005465481072648</v>
      </c>
      <c r="F2679" s="4"/>
      <c r="G2679" s="4"/>
      <c r="H2679" s="4"/>
      <c r="I2679" s="10" t="str">
        <f>HYPERLINK("http://twitter.com/download/android","Twitter for Android")</f>
        <v>Twitter for Android</v>
      </c>
      <c r="J2679" s="2">
        <v>484</v>
      </c>
      <c r="K2679" s="2">
        <v>581</v>
      </c>
      <c r="L2679" s="2">
        <v>0</v>
      </c>
      <c r="M2679" s="2"/>
      <c r="N2679" s="8">
        <v>43204.74962962963</v>
      </c>
      <c r="O2679" s="4" t="s">
        <v>414</v>
      </c>
      <c r="P2679" s="3" t="s">
        <v>895</v>
      </c>
      <c r="Q2679" s="10" t="s">
        <v>894</v>
      </c>
      <c r="R2679" s="4"/>
      <c r="S2679" s="9" t="str">
        <f>HYPERLINK("https://pbs.twimg.com/profile_images/1043544779940872192/LkKbEsp1.jpg","View")</f>
        <v>View</v>
      </c>
    </row>
    <row r="2680" spans="1:19" ht="20">
      <c r="A2680" s="8">
        <v>43369.882754629631</v>
      </c>
      <c r="B2680" s="11" t="str">
        <f>HYPERLINK("https://twitter.com/zoheirIRAN","@zoheirIRAN")</f>
        <v>@zoheirIRAN</v>
      </c>
      <c r="C2680" s="6" t="s">
        <v>893</v>
      </c>
      <c r="D2680" s="5" t="s">
        <v>892</v>
      </c>
      <c r="E2680" s="9" t="str">
        <f>HYPERLINK("https://twitter.com/zoheirIRAN/status/1045005371662905345","1045005371662905345")</f>
        <v>1045005371662905345</v>
      </c>
      <c r="F2680" s="4"/>
      <c r="G2680" s="4"/>
      <c r="H2680" s="4"/>
      <c r="I2680" s="10" t="str">
        <f>HYPERLINK("http://twitter.com/download/android","Twitter for Android")</f>
        <v>Twitter for Android</v>
      </c>
      <c r="J2680" s="2">
        <v>4057</v>
      </c>
      <c r="K2680" s="2">
        <v>273</v>
      </c>
      <c r="L2680" s="2">
        <v>30</v>
      </c>
      <c r="M2680" s="2"/>
      <c r="N2680" s="8">
        <v>41442.947453703702</v>
      </c>
      <c r="O2680" s="4"/>
      <c r="P2680" s="3" t="s">
        <v>891</v>
      </c>
      <c r="Q2680" s="4"/>
      <c r="R2680" s="4"/>
      <c r="S2680" s="9" t="str">
        <f>HYPERLINK("https://pbs.twimg.com/profile_images/1041343758317629440/ePtIEYlY.jpg","View")</f>
        <v>View</v>
      </c>
    </row>
    <row r="2681" spans="1:19" ht="12.5">
      <c r="A2681" s="8">
        <v>43369.882199074069</v>
      </c>
      <c r="B2681" s="11" t="str">
        <f>HYPERLINK("https://twitter.com/shinaAmp","@shinaAmp")</f>
        <v>@shinaAmp</v>
      </c>
      <c r="C2681" s="6" t="s">
        <v>890</v>
      </c>
      <c r="D2681" s="5" t="s">
        <v>889</v>
      </c>
      <c r="E2681" s="9" t="str">
        <f>HYPERLINK("https://twitter.com/shinaAmp/status/1045005170411737090","1045005170411737090")</f>
        <v>1045005170411737090</v>
      </c>
      <c r="F2681" s="4"/>
      <c r="G2681" s="4"/>
      <c r="H2681" s="4"/>
      <c r="I2681" s="10" t="str">
        <f>HYPERLINK("http://twitter.com/download/iphone","Twitter for iPhone")</f>
        <v>Twitter for iPhone</v>
      </c>
      <c r="J2681" s="2">
        <v>88</v>
      </c>
      <c r="K2681" s="2">
        <v>90</v>
      </c>
      <c r="L2681" s="2">
        <v>0</v>
      </c>
      <c r="M2681" s="2"/>
      <c r="N2681" s="8">
        <v>43308.060995370368</v>
      </c>
      <c r="O2681" s="4"/>
      <c r="P2681" s="3" t="s">
        <v>888</v>
      </c>
      <c r="Q2681" s="4"/>
      <c r="R2681" s="4"/>
      <c r="S2681" s="9" t="str">
        <f>HYPERLINK("https://pbs.twimg.com/profile_images/1022588415987077120/EtSz3EJP.jpg","View")</f>
        <v>View</v>
      </c>
    </row>
    <row r="2682" spans="1:19" ht="20">
      <c r="A2682" s="8">
        <v>43369.882037037038</v>
      </c>
      <c r="B2682" s="11" t="str">
        <f>HYPERLINK("https://twitter.com/tallghadboland","@tallghadboland")</f>
        <v>@tallghadboland</v>
      </c>
      <c r="C2682" s="6" t="s">
        <v>887</v>
      </c>
      <c r="D2682" s="5" t="s">
        <v>886</v>
      </c>
      <c r="E2682" s="9" t="str">
        <f>HYPERLINK("https://twitter.com/tallghadboland/status/1045005111255330816","1045005111255330816")</f>
        <v>1045005111255330816</v>
      </c>
      <c r="F2682" s="4"/>
      <c r="G2682" s="4"/>
      <c r="H2682" s="4"/>
      <c r="I2682" s="10" t="str">
        <f>HYPERLINK("http://twitter.com/download/android","Twitter for Android")</f>
        <v>Twitter for Android</v>
      </c>
      <c r="J2682" s="2">
        <v>1213</v>
      </c>
      <c r="K2682" s="2">
        <v>986</v>
      </c>
      <c r="L2682" s="2">
        <v>3</v>
      </c>
      <c r="M2682" s="2"/>
      <c r="N2682" s="8">
        <v>42764.624525462961</v>
      </c>
      <c r="O2682" s="4"/>
      <c r="P2682" s="3" t="s">
        <v>885</v>
      </c>
      <c r="Q2682" s="4"/>
      <c r="R2682" s="4"/>
      <c r="S2682" s="9" t="str">
        <f>HYPERLINK("https://pbs.twimg.com/profile_images/1014500545594314752/RT_jkDgg.jpg","View")</f>
        <v>View</v>
      </c>
    </row>
    <row r="2683" spans="1:19" ht="30">
      <c r="A2683" s="8">
        <v>43369.88145833333</v>
      </c>
      <c r="B2683" s="11" t="str">
        <f>HYPERLINK("https://twitter.com/Leila100ri","@Leila100ri")</f>
        <v>@Leila100ri</v>
      </c>
      <c r="C2683" s="6" t="s">
        <v>884</v>
      </c>
      <c r="D2683" s="5" t="s">
        <v>883</v>
      </c>
      <c r="E2683" s="9" t="str">
        <f>HYPERLINK("https://twitter.com/Leila100ri/status/1045004902571880448","1045004902571880448")</f>
        <v>1045004902571880448</v>
      </c>
      <c r="F2683" s="4"/>
      <c r="G2683" s="4"/>
      <c r="H2683" s="4"/>
      <c r="I2683" s="10" t="str">
        <f>HYPERLINK("http://twitter.com/download/android","Twitter for Android")</f>
        <v>Twitter for Android</v>
      </c>
      <c r="J2683" s="2">
        <v>1710</v>
      </c>
      <c r="K2683" s="2">
        <v>313</v>
      </c>
      <c r="L2683" s="2">
        <v>10</v>
      </c>
      <c r="M2683" s="2"/>
      <c r="N2683" s="8">
        <v>43210.475428240738</v>
      </c>
      <c r="O2683" s="4" t="s">
        <v>882</v>
      </c>
      <c r="P2683" s="3" t="s">
        <v>881</v>
      </c>
      <c r="Q2683" s="10" t="s">
        <v>880</v>
      </c>
      <c r="R2683" s="4"/>
      <c r="S2683" s="9" t="str">
        <f>HYPERLINK("https://pbs.twimg.com/profile_images/1039125297122222081/gOHbY1eN.jpg","View")</f>
        <v>View</v>
      </c>
    </row>
    <row r="2684" spans="1:19" ht="30">
      <c r="A2684" s="8">
        <v>43369.88145833333</v>
      </c>
      <c r="B2684" s="11" t="str">
        <f>HYPERLINK("https://twitter.com/patenonkel_","@patenonkel_")</f>
        <v>@patenonkel_</v>
      </c>
      <c r="C2684" s="6" t="s">
        <v>879</v>
      </c>
      <c r="D2684" s="5" t="s">
        <v>878</v>
      </c>
      <c r="E2684" s="9" t="str">
        <f>HYPERLINK("https://twitter.com/patenonkel_/status/1045004900009213952","1045004900009213952")</f>
        <v>1045004900009213952</v>
      </c>
      <c r="F2684" s="4"/>
      <c r="G2684" s="10" t="s">
        <v>653</v>
      </c>
      <c r="H2684" s="4"/>
      <c r="I2684" s="10" t="str">
        <f>HYPERLINK("http://twitter.com/download/android","Twitter for Android")</f>
        <v>Twitter for Android</v>
      </c>
      <c r="J2684" s="2">
        <v>400</v>
      </c>
      <c r="K2684" s="2">
        <v>400</v>
      </c>
      <c r="L2684" s="2">
        <v>1</v>
      </c>
      <c r="M2684" s="2"/>
      <c r="N2684" s="8">
        <v>39984.743252314816</v>
      </c>
      <c r="O2684" s="4" t="s">
        <v>72</v>
      </c>
      <c r="P2684" s="3" t="s">
        <v>877</v>
      </c>
      <c r="Q2684" s="4"/>
      <c r="R2684" s="4"/>
      <c r="S2684" s="9" t="str">
        <f>HYPERLINK("https://pbs.twimg.com/profile_images/1035802817573863427/19cO4HSJ.jpg","View")</f>
        <v>View</v>
      </c>
    </row>
    <row r="2685" spans="1:19" ht="30">
      <c r="A2685" s="8">
        <v>43369.881111111114</v>
      </c>
      <c r="B2685" s="11" t="str">
        <f>HYPERLINK("https://twitter.com/MuHu80","@MuHu80")</f>
        <v>@MuHu80</v>
      </c>
      <c r="C2685" s="6" t="s">
        <v>876</v>
      </c>
      <c r="D2685" s="5" t="s">
        <v>875</v>
      </c>
      <c r="E2685" s="9" t="str">
        <f>HYPERLINK("https://twitter.com/MuHu80/status/1045004775157379072","1045004775157379072")</f>
        <v>1045004775157379072</v>
      </c>
      <c r="F2685" s="4"/>
      <c r="G2685" s="4"/>
      <c r="H2685" s="4"/>
      <c r="I2685" s="10" t="str">
        <f>HYPERLINK("http://twitter.com/download/android","Twitter for Android")</f>
        <v>Twitter for Android</v>
      </c>
      <c r="J2685" s="2">
        <v>9</v>
      </c>
      <c r="K2685" s="2">
        <v>10</v>
      </c>
      <c r="L2685" s="2">
        <v>0</v>
      </c>
      <c r="M2685" s="2"/>
      <c r="N2685" s="8">
        <v>43265.020208333328</v>
      </c>
      <c r="O2685" s="4"/>
      <c r="P2685" s="3" t="s">
        <v>874</v>
      </c>
      <c r="Q2685" s="4"/>
      <c r="R2685" s="4"/>
      <c r="S2685" s="9" t="str">
        <f>HYPERLINK("https://pbs.twimg.com/profile_images/1006992720261365760/NuaLvXsp.jpg","View")</f>
        <v>View</v>
      </c>
    </row>
    <row r="2686" spans="1:19" ht="40">
      <c r="A2686" s="8">
        <v>43369.88081018519</v>
      </c>
      <c r="B2686" s="11" t="str">
        <f>HYPERLINK("https://twitter.com/Turkmenchay","@Turkmenchay")</f>
        <v>@Turkmenchay</v>
      </c>
      <c r="C2686" s="6" t="s">
        <v>873</v>
      </c>
      <c r="D2686" s="5" t="s">
        <v>20</v>
      </c>
      <c r="E2686" s="9" t="str">
        <f>HYPERLINK("https://twitter.com/Turkmenchay/status/1045004667871260672","1045004667871260672")</f>
        <v>1045004667871260672</v>
      </c>
      <c r="F2686" s="4"/>
      <c r="G2686" s="10" t="s">
        <v>19</v>
      </c>
      <c r="H2686" s="4"/>
      <c r="I2686" s="10" t="str">
        <f>HYPERLINK("https://mobile.twitter.com","Twitter Lite")</f>
        <v>Twitter Lite</v>
      </c>
      <c r="J2686" s="2">
        <v>0</v>
      </c>
      <c r="K2686" s="2">
        <v>0</v>
      </c>
      <c r="L2686" s="2">
        <v>0</v>
      </c>
      <c r="M2686" s="2"/>
      <c r="N2686" s="8">
        <v>41291.070150462961</v>
      </c>
      <c r="O2686" s="4"/>
      <c r="P2686" s="3" t="s">
        <v>872</v>
      </c>
      <c r="Q2686" s="4"/>
      <c r="R2686" s="4"/>
      <c r="S2686" s="9" t="str">
        <f>HYPERLINK("https://pbs.twimg.com/profile_images/818755281689673730/6nwZhvE4.jpg","View")</f>
        <v>View</v>
      </c>
    </row>
    <row r="2687" spans="1:19" ht="40">
      <c r="A2687" s="8">
        <v>43369.880150462966</v>
      </c>
      <c r="B2687" s="11" t="str">
        <f>HYPERLINK("https://twitter.com/bahmanbabazade","@bahmanbabazade")</f>
        <v>@bahmanbabazade</v>
      </c>
      <c r="C2687" s="6" t="s">
        <v>871</v>
      </c>
      <c r="D2687" s="5" t="s">
        <v>20</v>
      </c>
      <c r="E2687" s="9" t="str">
        <f>HYPERLINK("https://twitter.com/bahmanbabazade/status/1045004429467033600","1045004429467033600")</f>
        <v>1045004429467033600</v>
      </c>
      <c r="F2687" s="4"/>
      <c r="G2687" s="10" t="s">
        <v>19</v>
      </c>
      <c r="H2687" s="4"/>
      <c r="I2687" s="10" t="str">
        <f>HYPERLINK("http://twitter.com/download/android","Twitter for Android")</f>
        <v>Twitter for Android</v>
      </c>
      <c r="J2687" s="2">
        <v>1824</v>
      </c>
      <c r="K2687" s="2">
        <v>447</v>
      </c>
      <c r="L2687" s="2">
        <v>22</v>
      </c>
      <c r="M2687" s="2"/>
      <c r="N2687" s="8">
        <v>41997.028449074074</v>
      </c>
      <c r="O2687" s="4" t="s">
        <v>870</v>
      </c>
      <c r="P2687" s="3" t="s">
        <v>869</v>
      </c>
      <c r="Q2687" s="4"/>
      <c r="R2687" s="4"/>
      <c r="S2687" s="9" t="str">
        <f>HYPERLINK("https://pbs.twimg.com/profile_images/547501257976315904/zJNVaQ6k.jpeg","View")</f>
        <v>View</v>
      </c>
    </row>
    <row r="2688" spans="1:19" ht="12.5">
      <c r="A2688" s="8">
        <v>43369.879328703704</v>
      </c>
      <c r="B2688" s="11" t="str">
        <f>HYPERLINK("https://twitter.com/missAzarakhsh","@missAzarakhsh")</f>
        <v>@missAzarakhsh</v>
      </c>
      <c r="C2688" s="6" t="s">
        <v>868</v>
      </c>
      <c r="D2688" s="5" t="s">
        <v>851</v>
      </c>
      <c r="E2688" s="9" t="str">
        <f>HYPERLINK("https://twitter.com/missAzarakhsh/status/1045004129599455232","1045004129599455232")</f>
        <v>1045004129599455232</v>
      </c>
      <c r="F2688" s="10" t="s">
        <v>841</v>
      </c>
      <c r="G2688" s="4"/>
      <c r="H2688" s="4"/>
      <c r="I2688" s="10" t="str">
        <f>HYPERLINK("http://twitter.com/download/android","Twitter for Android")</f>
        <v>Twitter for Android</v>
      </c>
      <c r="J2688" s="2">
        <v>1778</v>
      </c>
      <c r="K2688" s="2">
        <v>200</v>
      </c>
      <c r="L2688" s="2">
        <v>16</v>
      </c>
      <c r="M2688" s="2"/>
      <c r="N2688" s="8">
        <v>41566.817928240736</v>
      </c>
      <c r="O2688" s="4" t="s">
        <v>867</v>
      </c>
      <c r="P2688" s="3" t="s">
        <v>866</v>
      </c>
      <c r="Q2688" s="4"/>
      <c r="R2688" s="4"/>
      <c r="S2688" s="9" t="str">
        <f>HYPERLINK("https://pbs.twimg.com/profile_images/1044265485188177920/O3hC9F3m.jpg","View")</f>
        <v>View</v>
      </c>
    </row>
    <row r="2689" spans="1:19" ht="30">
      <c r="A2689" s="8">
        <v>43369.878854166665</v>
      </c>
      <c r="B2689" s="11" t="str">
        <f>HYPERLINK("https://twitter.com/chobastani","@chobastani")</f>
        <v>@chobastani</v>
      </c>
      <c r="C2689" s="6" t="s">
        <v>865</v>
      </c>
      <c r="D2689" s="5" t="s">
        <v>732</v>
      </c>
      <c r="E2689" s="9" t="str">
        <f>HYPERLINK("https://twitter.com/chobastani/status/1045003959381962752","1045003959381962752")</f>
        <v>1045003959381962752</v>
      </c>
      <c r="F2689" s="4"/>
      <c r="G2689" s="10" t="s">
        <v>706</v>
      </c>
      <c r="H2689" s="4"/>
      <c r="I2689" s="10" t="str">
        <f>HYPERLINK("http://twitter.com/download/iphone","Twitter for iPhone")</f>
        <v>Twitter for iPhone</v>
      </c>
      <c r="J2689" s="2">
        <v>93</v>
      </c>
      <c r="K2689" s="2">
        <v>837</v>
      </c>
      <c r="L2689" s="2">
        <v>1</v>
      </c>
      <c r="M2689" s="2"/>
      <c r="N2689" s="8">
        <v>42102.738182870366</v>
      </c>
      <c r="O2689" s="4" t="s">
        <v>864</v>
      </c>
      <c r="P2689" s="3" t="s">
        <v>863</v>
      </c>
      <c r="Q2689" s="4"/>
      <c r="R2689" s="4"/>
      <c r="S2689" s="9" t="str">
        <f>HYPERLINK("https://pbs.twimg.com/profile_images/1043236624312815616/3HJh1OSX.jpg","View")</f>
        <v>View</v>
      </c>
    </row>
    <row r="2690" spans="1:19" ht="30">
      <c r="A2690" s="8">
        <v>43369.878321759257</v>
      </c>
      <c r="B2690" s="11" t="str">
        <f>HYPERLINK("https://twitter.com/soeilan1376","@soeilan1376")</f>
        <v>@soeilan1376</v>
      </c>
      <c r="C2690" s="6" t="s">
        <v>862</v>
      </c>
      <c r="D2690" s="5" t="s">
        <v>861</v>
      </c>
      <c r="E2690" s="9" t="str">
        <f>HYPERLINK("https://twitter.com/soeilan1376/status/1045003763847696386","1045003763847696386")</f>
        <v>1045003763847696386</v>
      </c>
      <c r="F2690" s="4"/>
      <c r="G2690" s="4"/>
      <c r="H2690" s="4"/>
      <c r="I2690" s="10" t="str">
        <f>HYPERLINK("http://twitter.com/download/iphone","Twitter for iPhone")</f>
        <v>Twitter for iPhone</v>
      </c>
      <c r="J2690" s="2">
        <v>849</v>
      </c>
      <c r="K2690" s="2">
        <v>871</v>
      </c>
      <c r="L2690" s="2">
        <v>3</v>
      </c>
      <c r="M2690" s="2"/>
      <c r="N2690" s="8">
        <v>43293.856539351851</v>
      </c>
      <c r="O2690" s="4"/>
      <c r="P2690" s="3" t="s">
        <v>860</v>
      </c>
      <c r="Q2690" s="4"/>
      <c r="R2690" s="4"/>
      <c r="S2690" s="9" t="str">
        <f>HYPERLINK("https://pbs.twimg.com/profile_images/1043523034366337029/TeEbO-5A.jpg","View")</f>
        <v>View</v>
      </c>
    </row>
    <row r="2691" spans="1:19" ht="20">
      <c r="A2691" s="8">
        <v>43369.878310185188</v>
      </c>
      <c r="B2691" s="11" t="str">
        <f>HYPERLINK("https://twitter.com/alien1990a","@alien1990a")</f>
        <v>@alien1990a</v>
      </c>
      <c r="C2691" s="6" t="s">
        <v>859</v>
      </c>
      <c r="D2691" s="5" t="s">
        <v>858</v>
      </c>
      <c r="E2691" s="9" t="str">
        <f>HYPERLINK("https://twitter.com/alien1990a/status/1045003760794312704","1045003760794312704")</f>
        <v>1045003760794312704</v>
      </c>
      <c r="F2691" s="4"/>
      <c r="G2691" s="10" t="s">
        <v>190</v>
      </c>
      <c r="H2691" s="4"/>
      <c r="I2691" s="10" t="str">
        <f>HYPERLINK("http://twitter.com/download/android","Twitter for Android")</f>
        <v>Twitter for Android</v>
      </c>
      <c r="J2691" s="2">
        <v>60</v>
      </c>
      <c r="K2691" s="2">
        <v>116</v>
      </c>
      <c r="L2691" s="2">
        <v>0</v>
      </c>
      <c r="M2691" s="2"/>
      <c r="N2691" s="8">
        <v>41994.896886574075</v>
      </c>
      <c r="O2691" s="4" t="s">
        <v>857</v>
      </c>
      <c r="P2691" s="3"/>
      <c r="Q2691" s="4"/>
      <c r="R2691" s="4"/>
      <c r="S2691" s="9" t="str">
        <f>HYPERLINK("https://pbs.twimg.com/profile_images/1023210019809120256/3-ZIZg0x.jpg","View")</f>
        <v>View</v>
      </c>
    </row>
    <row r="2692" spans="1:19" ht="12.5">
      <c r="A2692" s="8">
        <v>43369.87809027778</v>
      </c>
      <c r="B2692" s="11" t="str">
        <f>HYPERLINK("https://twitter.com/Kaarton_khaab","@Kaarton_khaab")</f>
        <v>@Kaarton_khaab</v>
      </c>
      <c r="C2692" s="6" t="s">
        <v>856</v>
      </c>
      <c r="D2692" s="5" t="s">
        <v>140</v>
      </c>
      <c r="E2692" s="9" t="str">
        <f>HYPERLINK("https://twitter.com/Kaarton_khaab/status/1045003681417121793","1045003681417121793")</f>
        <v>1045003681417121793</v>
      </c>
      <c r="F2692" s="4"/>
      <c r="G2692" s="10" t="s">
        <v>139</v>
      </c>
      <c r="H2692" s="4"/>
      <c r="I2692" s="10" t="str">
        <f>HYPERLINK("http://twitter.com/download/android","Twitter for Android")</f>
        <v>Twitter for Android</v>
      </c>
      <c r="J2692" s="2">
        <v>5080</v>
      </c>
      <c r="K2692" s="2">
        <v>5578</v>
      </c>
      <c r="L2692" s="2">
        <v>3</v>
      </c>
      <c r="M2692" s="2"/>
      <c r="N2692" s="8">
        <v>43321.482627314814</v>
      </c>
      <c r="O2692" s="4" t="s">
        <v>855</v>
      </c>
      <c r="P2692" s="3"/>
      <c r="Q2692" s="4"/>
      <c r="R2692" s="4"/>
      <c r="S2692" s="9" t="str">
        <f>HYPERLINK("https://pbs.twimg.com/profile_images/1044151998671671296/wiaq5EXd.jpg","View")</f>
        <v>View</v>
      </c>
    </row>
    <row r="2693" spans="1:19" ht="30">
      <c r="A2693" s="8">
        <v>43369.877974537041</v>
      </c>
      <c r="B2693" s="11" t="str">
        <f>HYPERLINK("https://twitter.com/NimasS67","@NimasS67")</f>
        <v>@NimasS67</v>
      </c>
      <c r="C2693" s="6" t="s">
        <v>854</v>
      </c>
      <c r="D2693" s="5" t="s">
        <v>732</v>
      </c>
      <c r="E2693" s="9" t="str">
        <f>HYPERLINK("https://twitter.com/NimasS67/status/1045003641181151234","1045003641181151234")</f>
        <v>1045003641181151234</v>
      </c>
      <c r="F2693" s="4"/>
      <c r="G2693" s="10" t="s">
        <v>706</v>
      </c>
      <c r="H2693" s="4"/>
      <c r="I2693" s="10" t="str">
        <f>HYPERLINK("http://twitter.com/download/iphone","Twitter for iPhone")</f>
        <v>Twitter for iPhone</v>
      </c>
      <c r="J2693" s="2">
        <v>674</v>
      </c>
      <c r="K2693" s="2">
        <v>988</v>
      </c>
      <c r="L2693" s="2">
        <v>1</v>
      </c>
      <c r="M2693" s="2"/>
      <c r="N2693" s="8">
        <v>43099.064039351855</v>
      </c>
      <c r="O2693" s="4" t="s">
        <v>200</v>
      </c>
      <c r="P2693" s="3" t="s">
        <v>853</v>
      </c>
      <c r="Q2693" s="4"/>
      <c r="R2693" s="4"/>
      <c r="S2693" s="9" t="str">
        <f>HYPERLINK("https://pbs.twimg.com/profile_images/1034137644068954113/Nyn__TDI.jpg","View")</f>
        <v>View</v>
      </c>
    </row>
    <row r="2694" spans="1:19" ht="20">
      <c r="A2694" s="8">
        <v>43369.877407407403</v>
      </c>
      <c r="B2694" s="11" t="str">
        <f>HYPERLINK("https://twitter.com/Habibjulbandi","@Habibjulbandi")</f>
        <v>@Habibjulbandi</v>
      </c>
      <c r="C2694" s="6" t="s">
        <v>852</v>
      </c>
      <c r="D2694" s="5" t="s">
        <v>851</v>
      </c>
      <c r="E2694" s="9" t="str">
        <f>HYPERLINK("https://twitter.com/Habibjulbandi/status/1045003431776268290","1045003431776268290")</f>
        <v>1045003431776268290</v>
      </c>
      <c r="F2694" s="10" t="s">
        <v>841</v>
      </c>
      <c r="G2694" s="4"/>
      <c r="H2694" s="4"/>
      <c r="I2694" s="10" t="str">
        <f>HYPERLINK("http://twitter.com/download/iphone","Twitter for iPhone")</f>
        <v>Twitter for iPhone</v>
      </c>
      <c r="J2694" s="2">
        <v>315</v>
      </c>
      <c r="K2694" s="2">
        <v>213</v>
      </c>
      <c r="L2694" s="2">
        <v>3</v>
      </c>
      <c r="M2694" s="2"/>
      <c r="N2694" s="8">
        <v>43241.630543981482</v>
      </c>
      <c r="O2694" s="4" t="s">
        <v>850</v>
      </c>
      <c r="P2694" s="3" t="s">
        <v>849</v>
      </c>
      <c r="Q2694" s="4"/>
      <c r="R2694" s="4"/>
      <c r="S2694" s="9" t="str">
        <f>HYPERLINK("https://pbs.twimg.com/profile_images/1035778253246656512/aRicVtA3.jpg","View")</f>
        <v>View</v>
      </c>
    </row>
    <row r="2695" spans="1:19" ht="20">
      <c r="A2695" s="8">
        <v>43369.877222222218</v>
      </c>
      <c r="B2695" s="11" t="str">
        <f>HYPERLINK("https://twitter.com/Shellmannnnnn","@Shellmannnnnn")</f>
        <v>@Shellmannnnnn</v>
      </c>
      <c r="C2695" s="6" t="s">
        <v>848</v>
      </c>
      <c r="D2695" s="5" t="s">
        <v>847</v>
      </c>
      <c r="E2695" s="9" t="str">
        <f>HYPERLINK("https://twitter.com/Shellmannnnnn/status/1045003365250478081","1045003365250478081")</f>
        <v>1045003365250478081</v>
      </c>
      <c r="F2695" s="4"/>
      <c r="G2695" s="4"/>
      <c r="H2695" s="4"/>
      <c r="I2695" s="10" t="str">
        <f>HYPERLINK("http://twitter.com/download/android","Twitter for Android")</f>
        <v>Twitter for Android</v>
      </c>
      <c r="J2695" s="2">
        <v>25</v>
      </c>
      <c r="K2695" s="2">
        <v>196</v>
      </c>
      <c r="L2695" s="2">
        <v>0</v>
      </c>
      <c r="M2695" s="2"/>
      <c r="N2695" s="8">
        <v>40588.584224537037</v>
      </c>
      <c r="O2695" s="4"/>
      <c r="P2695" s="3" t="s">
        <v>846</v>
      </c>
      <c r="Q2695" s="4"/>
      <c r="R2695" s="4"/>
      <c r="S2695" s="9" t="str">
        <f>HYPERLINK("https://pbs.twimg.com/profile_images/1028256225702682624/3otFFmew.jpg","View")</f>
        <v>View</v>
      </c>
    </row>
    <row r="2696" spans="1:19" ht="30">
      <c r="A2696" s="8">
        <v>43369.876493055555</v>
      </c>
      <c r="B2696" s="11" t="str">
        <f>HYPERLINK("https://twitter.com/tanha_tarinn","@tanha_tarinn")</f>
        <v>@tanha_tarinn</v>
      </c>
      <c r="C2696" s="6" t="s">
        <v>845</v>
      </c>
      <c r="D2696" s="5" t="s">
        <v>732</v>
      </c>
      <c r="E2696" s="9" t="str">
        <f>HYPERLINK("https://twitter.com/tanha_tarinn/status/1045003100401152000","1045003100401152000")</f>
        <v>1045003100401152000</v>
      </c>
      <c r="F2696" s="4"/>
      <c r="G2696" s="10" t="s">
        <v>706</v>
      </c>
      <c r="H2696" s="4"/>
      <c r="I2696" s="10" t="str">
        <f>HYPERLINK("http://twitter.com/download/android","Twitter for Android")</f>
        <v>Twitter for Android</v>
      </c>
      <c r="J2696" s="2">
        <v>208</v>
      </c>
      <c r="K2696" s="2">
        <v>96</v>
      </c>
      <c r="L2696" s="2">
        <v>0</v>
      </c>
      <c r="M2696" s="2"/>
      <c r="N2696" s="8">
        <v>43114.610347222224</v>
      </c>
      <c r="O2696" s="4"/>
      <c r="P2696" s="3" t="s">
        <v>844</v>
      </c>
      <c r="Q2696" s="4"/>
      <c r="R2696" s="4"/>
      <c r="S2696" s="9" t="str">
        <f>HYPERLINK("https://pbs.twimg.com/profile_images/1044994585041276929/WlJoux7Q.jpg","View")</f>
        <v>View</v>
      </c>
    </row>
    <row r="2697" spans="1:19" ht="30">
      <c r="A2697" s="8">
        <v>43369.876423611116</v>
      </c>
      <c r="B2697" s="11" t="str">
        <f>HYPERLINK("https://twitter.com/Mohem_ni","@Mohem_ni")</f>
        <v>@Mohem_ni</v>
      </c>
      <c r="C2697" s="6" t="s">
        <v>843</v>
      </c>
      <c r="D2697" s="5" t="s">
        <v>842</v>
      </c>
      <c r="E2697" s="9" t="str">
        <f>HYPERLINK("https://twitter.com/Mohem_ni/status/1045003076493561858","1045003076493561858")</f>
        <v>1045003076493561858</v>
      </c>
      <c r="F2697" s="10" t="s">
        <v>841</v>
      </c>
      <c r="G2697" s="4"/>
      <c r="H2697" s="4"/>
      <c r="I2697" s="10" t="str">
        <f>HYPERLINK("http://twitter.com/download/android","Twitter for Android")</f>
        <v>Twitter for Android</v>
      </c>
      <c r="J2697" s="2">
        <v>3310</v>
      </c>
      <c r="K2697" s="2">
        <v>575</v>
      </c>
      <c r="L2697" s="2">
        <v>31</v>
      </c>
      <c r="M2697" s="2"/>
      <c r="N2697" s="8">
        <v>42584.878750000003</v>
      </c>
      <c r="O2697" s="4" t="s">
        <v>840</v>
      </c>
      <c r="P2697" s="3" t="s">
        <v>839</v>
      </c>
      <c r="Q2697" s="10" t="s">
        <v>838</v>
      </c>
      <c r="R2697" s="4"/>
      <c r="S2697" s="9" t="str">
        <f>HYPERLINK("https://pbs.twimg.com/profile_images/1031428593241534464/xZfzGV_O.jpg","View")</f>
        <v>View</v>
      </c>
    </row>
    <row r="2698" spans="1:19" ht="20">
      <c r="A2698" s="8">
        <v>43369.87635416667</v>
      </c>
      <c r="B2698" s="11" t="str">
        <f>HYPERLINK("https://twitter.com/alefzng","@alefzng")</f>
        <v>@alefzng</v>
      </c>
      <c r="C2698" s="6" t="s">
        <v>837</v>
      </c>
      <c r="D2698" s="5" t="s">
        <v>498</v>
      </c>
      <c r="E2698" s="9" t="str">
        <f>HYPERLINK("https://twitter.com/alefzng/status/1045003053701705729","1045003053701705729")</f>
        <v>1045003053701705729</v>
      </c>
      <c r="F2698" s="4"/>
      <c r="G2698" s="4"/>
      <c r="H2698" s="4"/>
      <c r="I2698" s="10" t="str">
        <f>HYPERLINK("http://twitter.com/download/android","Twitter for Android")</f>
        <v>Twitter for Android</v>
      </c>
      <c r="J2698" s="2">
        <v>162</v>
      </c>
      <c r="K2698" s="2">
        <v>63</v>
      </c>
      <c r="L2698" s="2">
        <v>1</v>
      </c>
      <c r="M2698" s="2"/>
      <c r="N2698" s="8">
        <v>42939.80532407407</v>
      </c>
      <c r="O2698" s="4"/>
      <c r="P2698" s="3" t="s">
        <v>836</v>
      </c>
      <c r="Q2698" s="4"/>
      <c r="R2698" s="4"/>
      <c r="S2698" s="9" t="str">
        <f>HYPERLINK("https://pbs.twimg.com/profile_images/1043979855795310598/eRBMT0Gx.jpg","View")</f>
        <v>View</v>
      </c>
    </row>
    <row r="2699" spans="1:19" ht="20">
      <c r="A2699" s="8">
        <v>43369.876342592594</v>
      </c>
      <c r="B2699" s="11" t="str">
        <f>HYPERLINK("https://twitter.com/Pariiia1","@Pariiia1")</f>
        <v>@Pariiia1</v>
      </c>
      <c r="C2699" s="6" t="s">
        <v>557</v>
      </c>
      <c r="D2699" s="5" t="s">
        <v>429</v>
      </c>
      <c r="E2699" s="9" t="str">
        <f>HYPERLINK("https://twitter.com/Pariiia1/status/1045003048861478913","1045003048861478913")</f>
        <v>1045003048861478913</v>
      </c>
      <c r="F2699" s="4"/>
      <c r="G2699" s="4"/>
      <c r="H2699" s="4"/>
      <c r="I2699" s="10" t="str">
        <f>HYPERLINK("http://twitter.com/download/android","Twitter for Android")</f>
        <v>Twitter for Android</v>
      </c>
      <c r="J2699" s="2">
        <v>1597</v>
      </c>
      <c r="K2699" s="2">
        <v>1541</v>
      </c>
      <c r="L2699" s="2">
        <v>7</v>
      </c>
      <c r="M2699" s="2"/>
      <c r="N2699" s="8">
        <v>42945.723449074074</v>
      </c>
      <c r="O2699" s="4" t="s">
        <v>556</v>
      </c>
      <c r="P2699" s="3" t="s">
        <v>555</v>
      </c>
      <c r="Q2699" s="10" t="s">
        <v>554</v>
      </c>
      <c r="R2699" s="4"/>
      <c r="S2699" s="9" t="str">
        <f>HYPERLINK("https://pbs.twimg.com/profile_images/1044937384335478784/roLNo0FT.jpg","View")</f>
        <v>View</v>
      </c>
    </row>
    <row r="2700" spans="1:19" ht="30">
      <c r="A2700" s="8">
        <v>43369.875833333332</v>
      </c>
      <c r="B2700" s="11" t="str">
        <f>HYPERLINK("https://twitter.com/H_ra19270","@H_ra19270")</f>
        <v>@H_ra19270</v>
      </c>
      <c r="C2700" s="6" t="s">
        <v>724</v>
      </c>
      <c r="D2700" s="5" t="s">
        <v>732</v>
      </c>
      <c r="E2700" s="9" t="str">
        <f>HYPERLINK("https://twitter.com/H_ra19270/status/1045002862785441794","1045002862785441794")</f>
        <v>1045002862785441794</v>
      </c>
      <c r="F2700" s="4"/>
      <c r="G2700" s="10" t="s">
        <v>706</v>
      </c>
      <c r="H2700" s="4"/>
      <c r="I2700" s="10" t="str">
        <f>HYPERLINK("http://twitter.com/download/android","Twitter for Android")</f>
        <v>Twitter for Android</v>
      </c>
      <c r="J2700" s="2">
        <v>2740</v>
      </c>
      <c r="K2700" s="2">
        <v>2560</v>
      </c>
      <c r="L2700" s="2">
        <v>6</v>
      </c>
      <c r="M2700" s="2"/>
      <c r="N2700" s="8">
        <v>42849.055162037039</v>
      </c>
      <c r="O2700" s="4"/>
      <c r="P2700" s="3" t="s">
        <v>721</v>
      </c>
      <c r="Q2700" s="4"/>
      <c r="R2700" s="4"/>
      <c r="S2700" s="9" t="str">
        <f>HYPERLINK("https://pbs.twimg.com/profile_images/1044258901288529920/qNZzWJtc.jpg","View")</f>
        <v>View</v>
      </c>
    </row>
    <row r="2701" spans="1:19" ht="30">
      <c r="A2701" s="8">
        <v>43369.873969907407</v>
      </c>
      <c r="B2701" s="11" t="str">
        <f>HYPERLINK("https://twitter.com/freedom_hugo","@freedom_hugo")</f>
        <v>@freedom_hugo</v>
      </c>
      <c r="C2701" s="6" t="s">
        <v>835</v>
      </c>
      <c r="D2701" s="5" t="s">
        <v>408</v>
      </c>
      <c r="E2701" s="9" t="str">
        <f>HYPERLINK("https://twitter.com/freedom_hugo/status/1045002188181909504","1045002188181909504")</f>
        <v>1045002188181909504</v>
      </c>
      <c r="F2701" s="4"/>
      <c r="G2701" s="4"/>
      <c r="H2701" s="4"/>
      <c r="I2701" s="10" t="str">
        <f>HYPERLINK("http://twitter.com/download/android","Twitter for Android")</f>
        <v>Twitter for Android</v>
      </c>
      <c r="J2701" s="2">
        <v>354</v>
      </c>
      <c r="K2701" s="2">
        <v>190</v>
      </c>
      <c r="L2701" s="2">
        <v>1</v>
      </c>
      <c r="M2701" s="2"/>
      <c r="N2701" s="8">
        <v>43299.917314814811</v>
      </c>
      <c r="O2701" s="4"/>
      <c r="P2701" s="3"/>
      <c r="Q2701" s="4"/>
      <c r="R2701" s="4"/>
      <c r="S2701" s="9" t="str">
        <f>HYPERLINK("https://pbs.twimg.com/profile_images/1019637673714159616/0ATLhsxq.jpg","View")</f>
        <v>View</v>
      </c>
    </row>
    <row r="2702" spans="1:19" ht="20">
      <c r="A2702" s="8">
        <v>43369.873657407406</v>
      </c>
      <c r="B2702" s="11" t="str">
        <f>HYPERLINK("https://twitter.com/loolian101","@loolian101")</f>
        <v>@loolian101</v>
      </c>
      <c r="C2702" s="6" t="s">
        <v>834</v>
      </c>
      <c r="D2702" s="5" t="s">
        <v>833</v>
      </c>
      <c r="E2702" s="9" t="str">
        <f>HYPERLINK("https://twitter.com/loolian101/status/1045002074126192640","1045002074126192640")</f>
        <v>1045002074126192640</v>
      </c>
      <c r="F2702" s="4"/>
      <c r="G2702" s="4"/>
      <c r="H2702" s="4"/>
      <c r="I2702" s="10" t="str">
        <f>HYPERLINK("http://twitter.com/download/android","Twitter for Android")</f>
        <v>Twitter for Android</v>
      </c>
      <c r="J2702" s="2">
        <v>108</v>
      </c>
      <c r="K2702" s="2">
        <v>201</v>
      </c>
      <c r="L2702" s="2">
        <v>0</v>
      </c>
      <c r="M2702" s="2"/>
      <c r="N2702" s="8">
        <v>43094.717048611114</v>
      </c>
      <c r="O2702" s="4" t="s">
        <v>832</v>
      </c>
      <c r="P2702" s="3" t="s">
        <v>831</v>
      </c>
      <c r="Q2702" s="10" t="s">
        <v>830</v>
      </c>
      <c r="R2702" s="4"/>
      <c r="S2702" s="9" t="str">
        <f>HYPERLINK("https://pbs.twimg.com/profile_images/1041403640194510848/MVlOx7d4.jpg","View")</f>
        <v>View</v>
      </c>
    </row>
    <row r="2703" spans="1:19" ht="30">
      <c r="A2703" s="8">
        <v>43369.873518518521</v>
      </c>
      <c r="B2703" s="11" t="str">
        <f>HYPERLINK("https://twitter.com/morchesia","@morchesia")</f>
        <v>@morchesia</v>
      </c>
      <c r="C2703" s="6" t="s">
        <v>829</v>
      </c>
      <c r="D2703" s="5" t="s">
        <v>828</v>
      </c>
      <c r="E2703" s="9" t="str">
        <f>HYPERLINK("https://twitter.com/morchesia/status/1045002025417822209","1045002025417822209")</f>
        <v>1045002025417822209</v>
      </c>
      <c r="F2703" s="4"/>
      <c r="G2703" s="4"/>
      <c r="H2703" s="4"/>
      <c r="I2703" s="10" t="str">
        <f>HYPERLINK("http://twitter.com/download/android","Twitter for Android")</f>
        <v>Twitter for Android</v>
      </c>
      <c r="J2703" s="2">
        <v>57</v>
      </c>
      <c r="K2703" s="2">
        <v>41</v>
      </c>
      <c r="L2703" s="2">
        <v>1</v>
      </c>
      <c r="M2703" s="2"/>
      <c r="N2703" s="8">
        <v>43104.600370370375</v>
      </c>
      <c r="O2703" s="4" t="s">
        <v>200</v>
      </c>
      <c r="P2703" s="3" t="s">
        <v>827</v>
      </c>
      <c r="Q2703" s="4"/>
      <c r="R2703" s="4"/>
      <c r="S2703" s="9" t="str">
        <f>HYPERLINK("https://pbs.twimg.com/profile_images/950458231880605696/GnfteWok.jpg","View")</f>
        <v>View</v>
      </c>
    </row>
    <row r="2704" spans="1:19" ht="30">
      <c r="A2704" s="8">
        <v>43369.873402777783</v>
      </c>
      <c r="B2704" s="11" t="str">
        <f>HYPERLINK("https://twitter.com/REZAAA1999","@REZAAA1999")</f>
        <v>@REZAAA1999</v>
      </c>
      <c r="C2704" s="6" t="s">
        <v>823</v>
      </c>
      <c r="D2704" s="5" t="s">
        <v>732</v>
      </c>
      <c r="E2704" s="9" t="str">
        <f>HYPERLINK("https://twitter.com/REZAAA1999/status/1045001981633409032","1045001981633409032")</f>
        <v>1045001981633409032</v>
      </c>
      <c r="F2704" s="4"/>
      <c r="G2704" s="10" t="s">
        <v>706</v>
      </c>
      <c r="H2704" s="4"/>
      <c r="I2704" s="10" t="str">
        <f>HYPERLINK("http://twitter.com/download/android","Twitter for Android")</f>
        <v>Twitter for Android</v>
      </c>
      <c r="J2704" s="2">
        <v>3254</v>
      </c>
      <c r="K2704" s="2">
        <v>1374</v>
      </c>
      <c r="L2704" s="2">
        <v>13</v>
      </c>
      <c r="M2704" s="2"/>
      <c r="N2704" s="8">
        <v>43028.945601851854</v>
      </c>
      <c r="O2704" s="4" t="s">
        <v>822</v>
      </c>
      <c r="P2704" s="3" t="s">
        <v>821</v>
      </c>
      <c r="Q2704" s="10" t="s">
        <v>820</v>
      </c>
      <c r="R2704" s="4"/>
      <c r="S2704" s="9" t="str">
        <f>HYPERLINK("https://pbs.twimg.com/profile_images/1042829654124621825/xd3pfBSh.jpg","View")</f>
        <v>View</v>
      </c>
    </row>
    <row r="2705" spans="1:19" ht="20">
      <c r="A2705" s="8">
        <v>43369.873344907406</v>
      </c>
      <c r="B2705" s="11" t="str">
        <f>HYPERLINK("https://twitter.com/AshkrizH","@AshkrizH")</f>
        <v>@AshkrizH</v>
      </c>
      <c r="C2705" s="6" t="s">
        <v>826</v>
      </c>
      <c r="D2705" s="5" t="s">
        <v>825</v>
      </c>
      <c r="E2705" s="9" t="str">
        <f>HYPERLINK("https://twitter.com/AshkrizH/status/1045001959911157760","1045001959911157760")</f>
        <v>1045001959911157760</v>
      </c>
      <c r="F2705" s="4"/>
      <c r="G2705" s="4"/>
      <c r="H2705" s="4"/>
      <c r="I2705" s="10" t="str">
        <f>HYPERLINK("http://twitter.com/download/android","Twitter for Android")</f>
        <v>Twitter for Android</v>
      </c>
      <c r="J2705" s="2">
        <v>622</v>
      </c>
      <c r="K2705" s="2">
        <v>551</v>
      </c>
      <c r="L2705" s="2">
        <v>4</v>
      </c>
      <c r="M2705" s="2"/>
      <c r="N2705" s="8">
        <v>43281.394155092596</v>
      </c>
      <c r="O2705" s="4"/>
      <c r="P2705" s="3" t="s">
        <v>824</v>
      </c>
      <c r="Q2705" s="4"/>
      <c r="R2705" s="4"/>
      <c r="S2705" s="9" t="str">
        <f>HYPERLINK("https://pbs.twimg.com/profile_images/1031459331462623232/2kBKBEPh.jpg","View")</f>
        <v>View</v>
      </c>
    </row>
    <row r="2706" spans="1:19" ht="40">
      <c r="A2706" s="8">
        <v>43369.873333333337</v>
      </c>
      <c r="B2706" s="11" t="str">
        <f>HYPERLINK("https://twitter.com/REZAAA1999","@REZAAA1999")</f>
        <v>@REZAAA1999</v>
      </c>
      <c r="C2706" s="6" t="s">
        <v>823</v>
      </c>
      <c r="D2706" s="5" t="s">
        <v>422</v>
      </c>
      <c r="E2706" s="9" t="str">
        <f>HYPERLINK("https://twitter.com/REZAAA1999/status/1045001958640287744","1045001958640287744")</f>
        <v>1045001958640287744</v>
      </c>
      <c r="F2706" s="4"/>
      <c r="G2706" s="10" t="s">
        <v>421</v>
      </c>
      <c r="H2706" s="4"/>
      <c r="I2706" s="10" t="str">
        <f>HYPERLINK("http://twitter.com/download/android","Twitter for Android")</f>
        <v>Twitter for Android</v>
      </c>
      <c r="J2706" s="2">
        <v>3254</v>
      </c>
      <c r="K2706" s="2">
        <v>1374</v>
      </c>
      <c r="L2706" s="2">
        <v>13</v>
      </c>
      <c r="M2706" s="2"/>
      <c r="N2706" s="8">
        <v>43028.945601851854</v>
      </c>
      <c r="O2706" s="4" t="s">
        <v>822</v>
      </c>
      <c r="P2706" s="3" t="s">
        <v>821</v>
      </c>
      <c r="Q2706" s="10" t="s">
        <v>820</v>
      </c>
      <c r="R2706" s="4"/>
      <c r="S2706" s="9" t="str">
        <f>HYPERLINK("https://pbs.twimg.com/profile_images/1042829654124621825/xd3pfBSh.jpg","View")</f>
        <v>View</v>
      </c>
    </row>
    <row r="2707" spans="1:19" ht="30">
      <c r="A2707" s="8">
        <v>43369.873229166667</v>
      </c>
      <c r="B2707" s="11" t="str">
        <f>HYPERLINK("https://twitter.com/Daenery03665523","@Daenery03665523")</f>
        <v>@Daenery03665523</v>
      </c>
      <c r="C2707" s="6" t="s">
        <v>819</v>
      </c>
      <c r="D2707" s="5" t="s">
        <v>408</v>
      </c>
      <c r="E2707" s="9" t="str">
        <f>HYPERLINK("https://twitter.com/Daenery03665523/status/1045001921608671232","1045001921608671232")</f>
        <v>1045001921608671232</v>
      </c>
      <c r="F2707" s="4"/>
      <c r="G2707" s="4"/>
      <c r="H2707" s="4"/>
      <c r="I2707" s="10" t="str">
        <f>HYPERLINK("http://twitter.com/download/iphone","Twitter for iPhone")</f>
        <v>Twitter for iPhone</v>
      </c>
      <c r="J2707" s="2">
        <v>20</v>
      </c>
      <c r="K2707" s="2">
        <v>22</v>
      </c>
      <c r="L2707" s="2">
        <v>0</v>
      </c>
      <c r="M2707" s="2"/>
      <c r="N2707" s="8">
        <v>43369.271631944444</v>
      </c>
      <c r="O2707" s="4"/>
      <c r="P2707" s="3"/>
      <c r="Q2707" s="4"/>
      <c r="R2707" s="4"/>
      <c r="S2707" s="9" t="str">
        <f>HYPERLINK("https://pbs.twimg.com/profile_images/1044792151828131841/LzU7fAhe.jpg","View")</f>
        <v>View</v>
      </c>
    </row>
    <row r="2708" spans="1:19" ht="40">
      <c r="A2708" s="8">
        <v>43369.873194444444</v>
      </c>
      <c r="B2708" s="11" t="str">
        <f>HYPERLINK("https://twitter.com/bi_sarzmin","@bi_sarzmin")</f>
        <v>@bi_sarzmin</v>
      </c>
      <c r="C2708" s="6" t="s">
        <v>818</v>
      </c>
      <c r="D2708" s="5" t="s">
        <v>296</v>
      </c>
      <c r="E2708" s="9" t="str">
        <f>HYPERLINK("https://twitter.com/bi_sarzmin/status/1045001908140888065","1045001908140888065")</f>
        <v>1045001908140888065</v>
      </c>
      <c r="F2708" s="4"/>
      <c r="G2708" s="10" t="s">
        <v>295</v>
      </c>
      <c r="H2708" s="4"/>
      <c r="I2708" s="10" t="str">
        <f>HYPERLINK("http://twitter.com/download/android","Twitter for Android")</f>
        <v>Twitter for Android</v>
      </c>
      <c r="J2708" s="2">
        <v>728</v>
      </c>
      <c r="K2708" s="2">
        <v>1523</v>
      </c>
      <c r="L2708" s="2">
        <v>3</v>
      </c>
      <c r="M2708" s="2"/>
      <c r="N2708" s="8">
        <v>42017.437696759254</v>
      </c>
      <c r="O2708" s="4"/>
      <c r="P2708" s="3"/>
      <c r="Q2708" s="4"/>
      <c r="R2708" s="4"/>
      <c r="S2708" s="9" t="str">
        <f>HYPERLINK("https://pbs.twimg.com/profile_images/948995430016278528/bgBUEkNw.jpg","View")</f>
        <v>View</v>
      </c>
    </row>
    <row r="2709" spans="1:19" ht="12.5">
      <c r="A2709" s="8">
        <v>43369.872245370367</v>
      </c>
      <c r="B2709" s="11" t="str">
        <f>HYPERLINK("https://twitter.com/SaraShojaei","@SaraShojaei")</f>
        <v>@SaraShojaei</v>
      </c>
      <c r="C2709" s="6" t="s">
        <v>817</v>
      </c>
      <c r="D2709" s="5" t="s">
        <v>428</v>
      </c>
      <c r="E2709" s="9" t="str">
        <f>HYPERLINK("https://twitter.com/SaraShojaei/status/1045001562219786240","1045001562219786240")</f>
        <v>1045001562219786240</v>
      </c>
      <c r="F2709" s="10" t="s">
        <v>427</v>
      </c>
      <c r="G2709" s="4"/>
      <c r="H2709" s="4"/>
      <c r="I2709" s="10" t="str">
        <f>HYPERLINK("http://twitter.com/download/iphone","Twitter for iPhone")</f>
        <v>Twitter for iPhone</v>
      </c>
      <c r="J2709" s="2">
        <v>266</v>
      </c>
      <c r="K2709" s="2">
        <v>198</v>
      </c>
      <c r="L2709" s="2">
        <v>0</v>
      </c>
      <c r="M2709" s="2"/>
      <c r="N2709" s="8">
        <v>42895.260925925926</v>
      </c>
      <c r="O2709" s="4" t="s">
        <v>200</v>
      </c>
      <c r="P2709" s="3" t="s">
        <v>816</v>
      </c>
      <c r="Q2709" s="4"/>
      <c r="R2709" s="4"/>
      <c r="S2709" s="9" t="str">
        <f>HYPERLINK("https://pbs.twimg.com/profile_images/1040619891051692033/0CVgFTcW.jpg","View")</f>
        <v>View</v>
      </c>
    </row>
    <row r="2710" spans="1:19" ht="30">
      <c r="A2710" s="8">
        <v>43369.871435185181</v>
      </c>
      <c r="B2710" s="11" t="str">
        <f>HYPERLINK("https://twitter.com/free_folks89","@free_folks89")</f>
        <v>@free_folks89</v>
      </c>
      <c r="C2710" s="6" t="s">
        <v>815</v>
      </c>
      <c r="D2710" s="5" t="s">
        <v>408</v>
      </c>
      <c r="E2710" s="9" t="str">
        <f>HYPERLINK("https://twitter.com/free_folks89/status/1045001268849246208","1045001268849246208")</f>
        <v>1045001268849246208</v>
      </c>
      <c r="F2710" s="4"/>
      <c r="G2710" s="4"/>
      <c r="H2710" s="4"/>
      <c r="I2710" s="10" t="str">
        <f>HYPERLINK("http://twitter.com/download/android","Twitter for Android")</f>
        <v>Twitter for Android</v>
      </c>
      <c r="J2710" s="2">
        <v>64</v>
      </c>
      <c r="K2710" s="2">
        <v>240</v>
      </c>
      <c r="L2710" s="2">
        <v>0</v>
      </c>
      <c r="M2710" s="2"/>
      <c r="N2710" s="8">
        <v>43245.873333333337</v>
      </c>
      <c r="O2710" s="4"/>
      <c r="P2710" s="3" t="s">
        <v>814</v>
      </c>
      <c r="Q2710" s="4"/>
      <c r="R2710" s="4"/>
      <c r="S2710" s="9" t="str">
        <f>HYPERLINK("https://pbs.twimg.com/profile_images/1013129399024177152/kdInve5V.jpg","View")</f>
        <v>View</v>
      </c>
    </row>
    <row r="2711" spans="1:19" ht="20">
      <c r="A2711" s="8">
        <v>43369.87091435185</v>
      </c>
      <c r="B2711" s="11" t="str">
        <f>HYPERLINK("https://twitter.com/imranahmd","@imranahmd")</f>
        <v>@imranahmd</v>
      </c>
      <c r="C2711" s="6" t="s">
        <v>813</v>
      </c>
      <c r="D2711" s="5" t="s">
        <v>313</v>
      </c>
      <c r="E2711" s="9" t="str">
        <f>HYPERLINK("https://twitter.com/imranahmd/status/1045001079329501184","1045001079329501184")</f>
        <v>1045001079329501184</v>
      </c>
      <c r="F2711" s="4"/>
      <c r="G2711" s="10" t="s">
        <v>312</v>
      </c>
      <c r="H2711" s="4"/>
      <c r="I2711" s="10" t="str">
        <f>HYPERLINK("http://twitter.com/download/android","Twitter for Android")</f>
        <v>Twitter for Android</v>
      </c>
      <c r="J2711" s="2">
        <v>458</v>
      </c>
      <c r="K2711" s="2">
        <v>481</v>
      </c>
      <c r="L2711" s="2">
        <v>37</v>
      </c>
      <c r="M2711" s="2"/>
      <c r="N2711" s="8">
        <v>40500.337685185186</v>
      </c>
      <c r="O2711" s="4" t="s">
        <v>812</v>
      </c>
      <c r="P2711" s="3" t="s">
        <v>811</v>
      </c>
      <c r="Q2711" s="4"/>
      <c r="R2711" s="4"/>
      <c r="S2711" s="9" t="str">
        <f>HYPERLINK("https://pbs.twimg.com/profile_images/1026356437927092224/bw0kx1Dn.jpg","View")</f>
        <v>View</v>
      </c>
    </row>
    <row r="2712" spans="1:19" ht="30">
      <c r="A2712" s="8">
        <v>43369.870567129634</v>
      </c>
      <c r="B2712" s="11" t="str">
        <f>HYPERLINK("https://twitter.com/johncazalee","@johncazalee")</f>
        <v>@johncazalee</v>
      </c>
      <c r="C2712" s="6" t="s">
        <v>810</v>
      </c>
      <c r="D2712" s="5" t="s">
        <v>408</v>
      </c>
      <c r="E2712" s="9" t="str">
        <f>HYPERLINK("https://twitter.com/johncazalee/status/1045000954293231618","1045000954293231618")</f>
        <v>1045000954293231618</v>
      </c>
      <c r="F2712" s="4"/>
      <c r="G2712" s="4"/>
      <c r="H2712" s="4"/>
      <c r="I2712" s="10" t="str">
        <f>HYPERLINK("http://twitter.com/download/iphone","Twitter for iPhone")</f>
        <v>Twitter for iPhone</v>
      </c>
      <c r="J2712" s="2">
        <v>206</v>
      </c>
      <c r="K2712" s="2">
        <v>74</v>
      </c>
      <c r="L2712" s="2">
        <v>0</v>
      </c>
      <c r="M2712" s="2"/>
      <c r="N2712" s="8">
        <v>40975.535868055558</v>
      </c>
      <c r="O2712" s="4" t="s">
        <v>72</v>
      </c>
      <c r="P2712" s="3" t="s">
        <v>809</v>
      </c>
      <c r="Q2712" s="4"/>
      <c r="R2712" s="4"/>
      <c r="S2712" s="9" t="str">
        <f>HYPERLINK("https://pbs.twimg.com/profile_images/1042760806922952705/srmhJmhx.jpg","View")</f>
        <v>View</v>
      </c>
    </row>
    <row r="2713" spans="1:19" ht="20">
      <c r="A2713" s="8">
        <v>43369.870555555557</v>
      </c>
      <c r="B2713" s="11" t="str">
        <f>HYPERLINK("https://twitter.com/MohsenBagheri16","@MohsenBagheri16")</f>
        <v>@MohsenBagheri16</v>
      </c>
      <c r="C2713" s="6" t="s">
        <v>705</v>
      </c>
      <c r="D2713" s="5" t="s">
        <v>808</v>
      </c>
      <c r="E2713" s="9" t="str">
        <f>HYPERLINK("https://twitter.com/MohsenBagheri16/status/1045000952737148930","1045000952737148930")</f>
        <v>1045000952737148930</v>
      </c>
      <c r="F2713" s="4"/>
      <c r="G2713" s="4"/>
      <c r="H2713" s="4"/>
      <c r="I2713" s="10" t="str">
        <f>HYPERLINK("http://twitter.com/download/iphone","Twitter for iPhone")</f>
        <v>Twitter for iPhone</v>
      </c>
      <c r="J2713" s="2">
        <v>327</v>
      </c>
      <c r="K2713" s="2">
        <v>319</v>
      </c>
      <c r="L2713" s="2">
        <v>1</v>
      </c>
      <c r="M2713" s="2"/>
      <c r="N2713" s="8">
        <v>42411.549861111111</v>
      </c>
      <c r="O2713" s="4"/>
      <c r="P2713" s="3" t="s">
        <v>704</v>
      </c>
      <c r="Q2713" s="4"/>
      <c r="R2713" s="4"/>
      <c r="S2713" s="9" t="str">
        <f>HYPERLINK("https://pbs.twimg.com/profile_images/1040916156272533504/RPYEjLR4.jpg","View")</f>
        <v>View</v>
      </c>
    </row>
    <row r="2714" spans="1:19" ht="12.5">
      <c r="A2714" s="8">
        <v>43369.86991898148</v>
      </c>
      <c r="B2714" s="11" t="str">
        <f>HYPERLINK("https://twitter.com/MahsimaYaghoubi","@MahsimaYaghoubi")</f>
        <v>@MahsimaYaghoubi</v>
      </c>
      <c r="C2714" s="6" t="s">
        <v>807</v>
      </c>
      <c r="D2714" s="5" t="s">
        <v>428</v>
      </c>
      <c r="E2714" s="9" t="str">
        <f>HYPERLINK("https://twitter.com/MahsimaYaghoubi/status/1045000720100020224","1045000720100020224")</f>
        <v>1045000720100020224</v>
      </c>
      <c r="F2714" s="10" t="s">
        <v>427</v>
      </c>
      <c r="G2714" s="4"/>
      <c r="H2714" s="4"/>
      <c r="I2714" s="10" t="str">
        <f>HYPERLINK("https://mobile.twitter.com","Twitter Lite")</f>
        <v>Twitter Lite</v>
      </c>
      <c r="J2714" s="2">
        <v>587</v>
      </c>
      <c r="K2714" s="2">
        <v>274</v>
      </c>
      <c r="L2714" s="2">
        <v>3</v>
      </c>
      <c r="M2714" s="2"/>
      <c r="N2714" s="8">
        <v>43047.974131944444</v>
      </c>
      <c r="O2714" s="4" t="s">
        <v>69</v>
      </c>
      <c r="P2714" s="3"/>
      <c r="Q2714" s="4"/>
      <c r="R2714" s="4"/>
      <c r="S2714" s="9" t="str">
        <f>HYPERLINK("https://pbs.twimg.com/profile_images/997798078362083333/7SiRFsoK.jpg","View")</f>
        <v>View</v>
      </c>
    </row>
    <row r="2715" spans="1:19" ht="20">
      <c r="A2715" s="8">
        <v>43369.869479166664</v>
      </c>
      <c r="B2715" s="11" t="str">
        <f>HYPERLINK("https://twitter.com/sahar13676742","@sahar13676742")</f>
        <v>@sahar13676742</v>
      </c>
      <c r="C2715" s="6" t="s">
        <v>806</v>
      </c>
      <c r="D2715" s="5" t="s">
        <v>805</v>
      </c>
      <c r="E2715" s="9" t="str">
        <f>HYPERLINK("https://twitter.com/sahar13676742/status/1045000558849847296","1045000558849847296")</f>
        <v>1045000558849847296</v>
      </c>
      <c r="F2715" s="4"/>
      <c r="G2715" s="4"/>
      <c r="H2715" s="4"/>
      <c r="I2715" s="10" t="str">
        <f>HYPERLINK("http://twitter.com/download/iphone","Twitter for iPhone")</f>
        <v>Twitter for iPhone</v>
      </c>
      <c r="J2715" s="2">
        <v>22</v>
      </c>
      <c r="K2715" s="2">
        <v>150</v>
      </c>
      <c r="L2715" s="2">
        <v>0</v>
      </c>
      <c r="M2715" s="2"/>
      <c r="N2715" s="8">
        <v>42914.913819444446</v>
      </c>
      <c r="O2715" s="4"/>
      <c r="P2715" s="3" t="s">
        <v>804</v>
      </c>
      <c r="Q2715" s="4"/>
      <c r="R2715" s="4"/>
      <c r="S2715" s="9" t="str">
        <f>HYPERLINK("https://pbs.twimg.com/profile_images/1042680297823891456/lxCu7jv1.jpg","View")</f>
        <v>View</v>
      </c>
    </row>
    <row r="2716" spans="1:19" ht="12.5">
      <c r="A2716" s="8">
        <v>43369.869027777779</v>
      </c>
      <c r="B2716" s="11" t="str">
        <f>HYPERLINK("https://twitter.com/HJahangirzadeh","@HJahangirzadeh")</f>
        <v>@HJahangirzadeh</v>
      </c>
      <c r="C2716" s="6" t="s">
        <v>803</v>
      </c>
      <c r="D2716" s="5" t="s">
        <v>247</v>
      </c>
      <c r="E2716" s="9" t="str">
        <f>HYPERLINK("https://twitter.com/HJahangirzadeh/status/1045000398963126273","1045000398963126273")</f>
        <v>1045000398963126273</v>
      </c>
      <c r="F2716" s="4"/>
      <c r="G2716" s="4"/>
      <c r="H2716" s="4"/>
      <c r="I2716" s="10" t="str">
        <f>HYPERLINK("http://twitter.com/download/android","Twitter for Android")</f>
        <v>Twitter for Android</v>
      </c>
      <c r="J2716" s="2">
        <v>38</v>
      </c>
      <c r="K2716" s="2">
        <v>69</v>
      </c>
      <c r="L2716" s="2">
        <v>0</v>
      </c>
      <c r="M2716" s="2"/>
      <c r="N2716" s="8">
        <v>43353.982268518521</v>
      </c>
      <c r="O2716" s="4" t="s">
        <v>62</v>
      </c>
      <c r="P2716" s="3" t="s">
        <v>802</v>
      </c>
      <c r="Q2716" s="4"/>
      <c r="R2716" s="4"/>
      <c r="S2716" s="9" t="str">
        <f>HYPERLINK("https://pbs.twimg.com/profile_images/1039465076351270914/5Ma30d3Z.jpg","View")</f>
        <v>View</v>
      </c>
    </row>
    <row r="2717" spans="1:19" ht="20">
      <c r="A2717" s="8">
        <v>43369.867858796293</v>
      </c>
      <c r="B2717" s="11" t="str">
        <f>HYPERLINK("https://twitter.com/rezapiri__","@rezapiri__")</f>
        <v>@rezapiri__</v>
      </c>
      <c r="C2717" s="6" t="s">
        <v>801</v>
      </c>
      <c r="D2717" s="5" t="s">
        <v>800</v>
      </c>
      <c r="E2717" s="9" t="str">
        <f>HYPERLINK("https://twitter.com/rezapiri__/status/1044999974222811136","1044999974222811136")</f>
        <v>1044999974222811136</v>
      </c>
      <c r="F2717" s="4"/>
      <c r="G2717" s="10" t="s">
        <v>799</v>
      </c>
      <c r="H2717" s="4"/>
      <c r="I2717" s="10" t="str">
        <f>HYPERLINK("http://twitter.com/download/android","Twitter for Android")</f>
        <v>Twitter for Android</v>
      </c>
      <c r="J2717" s="2">
        <v>178</v>
      </c>
      <c r="K2717" s="2">
        <v>30</v>
      </c>
      <c r="L2717" s="2">
        <v>1</v>
      </c>
      <c r="M2717" s="2"/>
      <c r="N2717" s="8">
        <v>43261.116701388892</v>
      </c>
      <c r="O2717" s="4" t="s">
        <v>513</v>
      </c>
      <c r="P2717" s="3" t="s">
        <v>798</v>
      </c>
      <c r="Q2717" s="4"/>
      <c r="R2717" s="4"/>
      <c r="S2717" s="9" t="str">
        <f>HYPERLINK("https://pbs.twimg.com/profile_images/1039178524186365952/Geiu5iIc.jpg","View")</f>
        <v>View</v>
      </c>
    </row>
    <row r="2718" spans="1:19" ht="30">
      <c r="A2718" s="8">
        <v>43369.867708333331</v>
      </c>
      <c r="B2718" s="11" t="str">
        <f>HYPERLINK("https://twitter.com/nazmik2xxx","@nazmik2xxx")</f>
        <v>@nazmik2xxx</v>
      </c>
      <c r="C2718" s="6" t="s">
        <v>797</v>
      </c>
      <c r="D2718" s="5" t="s">
        <v>408</v>
      </c>
      <c r="E2718" s="9" t="str">
        <f>HYPERLINK("https://twitter.com/nazmik2xxx/status/1044999920195960832","1044999920195960832")</f>
        <v>1044999920195960832</v>
      </c>
      <c r="F2718" s="4"/>
      <c r="G2718" s="4"/>
      <c r="H2718" s="4"/>
      <c r="I2718" s="10" t="str">
        <f>HYPERLINK("http://twitter.com/download/android","Twitter for Android")</f>
        <v>Twitter for Android</v>
      </c>
      <c r="J2718" s="2">
        <v>111</v>
      </c>
      <c r="K2718" s="2">
        <v>84</v>
      </c>
      <c r="L2718" s="2">
        <v>0</v>
      </c>
      <c r="M2718" s="2"/>
      <c r="N2718" s="8">
        <v>39984.772488425922</v>
      </c>
      <c r="O2718" s="4"/>
      <c r="P2718" s="3" t="s">
        <v>796</v>
      </c>
      <c r="Q2718" s="4"/>
      <c r="R2718" s="4"/>
      <c r="S2718" s="9" t="str">
        <f>HYPERLINK("https://pbs.twimg.com/profile_images/1025171641985314816/BSFBlH9I.jpg","View")</f>
        <v>View</v>
      </c>
    </row>
    <row r="2719" spans="1:19" ht="40">
      <c r="A2719" s="8">
        <v>43369.867638888885</v>
      </c>
      <c r="B2719" s="11" t="str">
        <f>HYPERLINK("https://twitter.com/samharisirani","@samharisirani")</f>
        <v>@samharisirani</v>
      </c>
      <c r="C2719" s="6" t="s">
        <v>795</v>
      </c>
      <c r="D2719" s="5" t="s">
        <v>794</v>
      </c>
      <c r="E2719" s="9" t="str">
        <f>HYPERLINK("https://twitter.com/samharisirani/status/1044999895692664832","1044999895692664832")</f>
        <v>1044999895692664832</v>
      </c>
      <c r="F2719" s="4"/>
      <c r="G2719" s="4"/>
      <c r="H2719" s="4"/>
      <c r="I2719" s="10" t="str">
        <f>HYPERLINK("http://twitter.com/download/android","Twitter for Android")</f>
        <v>Twitter for Android</v>
      </c>
      <c r="J2719" s="2">
        <v>4948</v>
      </c>
      <c r="K2719" s="2">
        <v>2622</v>
      </c>
      <c r="L2719" s="2">
        <v>7</v>
      </c>
      <c r="M2719" s="2"/>
      <c r="N2719" s="8">
        <v>41713.290879629625</v>
      </c>
      <c r="O2719" s="4" t="s">
        <v>793</v>
      </c>
      <c r="P2719" s="3" t="s">
        <v>792</v>
      </c>
      <c r="Q2719" s="4"/>
      <c r="R2719" s="4"/>
      <c r="S2719" s="9" t="str">
        <f>HYPERLINK("https://pbs.twimg.com/profile_images/947049442842152962/dI4P1puy.jpg","View")</f>
        <v>View</v>
      </c>
    </row>
    <row r="2720" spans="1:19" ht="20">
      <c r="A2720" s="8">
        <v>43369.86719907407</v>
      </c>
      <c r="B2720" s="11" t="str">
        <f>HYPERLINK("https://twitter.com/Mehrshad45","@Mehrshad45")</f>
        <v>@Mehrshad45</v>
      </c>
      <c r="C2720" s="6" t="s">
        <v>791</v>
      </c>
      <c r="D2720" s="5" t="s">
        <v>790</v>
      </c>
      <c r="E2720" s="9" t="str">
        <f>HYPERLINK("https://twitter.com/Mehrshad45/status/1044999733310357505","1044999733310357505")</f>
        <v>1044999733310357505</v>
      </c>
      <c r="F2720" s="4"/>
      <c r="G2720" s="4"/>
      <c r="H2720" s="4"/>
      <c r="I2720" s="10" t="str">
        <f>HYPERLINK("http://twitter.com/download/iphone","Twitter for iPhone")</f>
        <v>Twitter for iPhone</v>
      </c>
      <c r="J2720" s="2">
        <v>144</v>
      </c>
      <c r="K2720" s="2">
        <v>428</v>
      </c>
      <c r="L2720" s="2">
        <v>0</v>
      </c>
      <c r="M2720" s="2"/>
      <c r="N2720" s="8">
        <v>41183.511053240742</v>
      </c>
      <c r="O2720" s="4"/>
      <c r="P2720" s="3" t="s">
        <v>789</v>
      </c>
      <c r="Q2720" s="4"/>
      <c r="R2720" s="4"/>
      <c r="S2720" s="9" t="str">
        <f>HYPERLINK("https://pbs.twimg.com/profile_images/1012770428581040128/2vL4TnWN.jpg","View")</f>
        <v>View</v>
      </c>
    </row>
    <row r="2721" spans="1:19" ht="30">
      <c r="A2721" s="8">
        <v>43369.867037037038</v>
      </c>
      <c r="B2721" s="11" t="str">
        <f>HYPERLINK("https://twitter.com/kamyab_khordadi","@kamyab_khordadi")</f>
        <v>@kamyab_khordadi</v>
      </c>
      <c r="C2721" s="6" t="s">
        <v>788</v>
      </c>
      <c r="D2721" s="5" t="s">
        <v>408</v>
      </c>
      <c r="E2721" s="9" t="str">
        <f>HYPERLINK("https://twitter.com/kamyab_khordadi/status/1044999673923194880","1044999673923194880")</f>
        <v>1044999673923194880</v>
      </c>
      <c r="F2721" s="4"/>
      <c r="G2721" s="4"/>
      <c r="H2721" s="4"/>
      <c r="I2721" s="10" t="str">
        <f>HYPERLINK("http://twitter.com/download/android","Twitter for Android")</f>
        <v>Twitter for Android</v>
      </c>
      <c r="J2721" s="2">
        <v>135</v>
      </c>
      <c r="K2721" s="2">
        <v>175</v>
      </c>
      <c r="L2721" s="2">
        <v>0</v>
      </c>
      <c r="M2721" s="2"/>
      <c r="N2721" s="8">
        <v>43014.954293981486</v>
      </c>
      <c r="O2721" s="4"/>
      <c r="P2721" s="3" t="s">
        <v>787</v>
      </c>
      <c r="Q2721" s="4"/>
      <c r="R2721" s="4"/>
      <c r="S2721" s="9" t="str">
        <f>HYPERLINK("https://pbs.twimg.com/profile_images/967325577505071104/-R0sKmgY.jpg","View")</f>
        <v>View</v>
      </c>
    </row>
    <row r="2722" spans="1:19" ht="12.5">
      <c r="A2722" s="8">
        <v>43369.866689814815</v>
      </c>
      <c r="B2722" s="11" t="str">
        <f>HYPERLINK("https://twitter.com/mmghorbani","@mmghorbani")</f>
        <v>@mmghorbani</v>
      </c>
      <c r="C2722" s="6" t="s">
        <v>786</v>
      </c>
      <c r="D2722" s="5" t="s">
        <v>785</v>
      </c>
      <c r="E2722" s="9" t="str">
        <f>HYPERLINK("https://twitter.com/mmghorbani/status/1044999549083881473","1044999549083881473")</f>
        <v>1044999549083881473</v>
      </c>
      <c r="F2722" s="4"/>
      <c r="G2722" s="4"/>
      <c r="H2722" s="4"/>
      <c r="I2722" s="10" t="str">
        <f>HYPERLINK("http://twitter.com/download/android","Twitter for Android")</f>
        <v>Twitter for Android</v>
      </c>
      <c r="J2722" s="2">
        <v>6108</v>
      </c>
      <c r="K2722" s="2">
        <v>1198</v>
      </c>
      <c r="L2722" s="2">
        <v>23</v>
      </c>
      <c r="M2722" s="2"/>
      <c r="N2722" s="8">
        <v>43085.038460648153</v>
      </c>
      <c r="O2722" s="4" t="s">
        <v>784</v>
      </c>
      <c r="P2722" s="3" t="s">
        <v>783</v>
      </c>
      <c r="Q2722" s="4"/>
      <c r="R2722" s="4"/>
      <c r="S2722" s="9" t="str">
        <f>HYPERLINK("https://pbs.twimg.com/profile_images/1043155179149905920/-RMAPD59.jpg","View")</f>
        <v>View</v>
      </c>
    </row>
    <row r="2723" spans="1:19" ht="40">
      <c r="A2723" s="8">
        <v>43369.866620370369</v>
      </c>
      <c r="B2723" s="11" t="str">
        <f>HYPERLINK("https://twitter.com/seyedrezagh","@seyedrezagh")</f>
        <v>@seyedrezagh</v>
      </c>
      <c r="C2723" s="6" t="s">
        <v>782</v>
      </c>
      <c r="D2723" s="5" t="s">
        <v>20</v>
      </c>
      <c r="E2723" s="9" t="str">
        <f>HYPERLINK("https://twitter.com/seyedrezagh/status/1044999524173967360","1044999524173967360")</f>
        <v>1044999524173967360</v>
      </c>
      <c r="F2723" s="4"/>
      <c r="G2723" s="10" t="s">
        <v>19</v>
      </c>
      <c r="H2723" s="4"/>
      <c r="I2723" s="10" t="str">
        <f>HYPERLINK("http://twitter.com/download/android","Twitter for Android")</f>
        <v>Twitter for Android</v>
      </c>
      <c r="J2723" s="2">
        <v>71</v>
      </c>
      <c r="K2723" s="2">
        <v>137</v>
      </c>
      <c r="L2723" s="2">
        <v>1</v>
      </c>
      <c r="M2723" s="2"/>
      <c r="N2723" s="8">
        <v>42987.567615740743</v>
      </c>
      <c r="O2723" s="4"/>
      <c r="P2723" s="3" t="s">
        <v>781</v>
      </c>
      <c r="Q2723" s="4"/>
      <c r="R2723" s="4"/>
      <c r="S2723" s="9" t="str">
        <f>HYPERLINK("https://pbs.twimg.com/profile_images/906450889996718081/xur9RbQJ.jpg","View")</f>
        <v>View</v>
      </c>
    </row>
    <row r="2724" spans="1:19" ht="30">
      <c r="A2724" s="8">
        <v>43369.866238425922</v>
      </c>
      <c r="B2724" s="11" t="str">
        <f>HYPERLINK("https://twitter.com/zahra_amnx","@zahra_amnx")</f>
        <v>@zahra_amnx</v>
      </c>
      <c r="C2724" s="6" t="s">
        <v>780</v>
      </c>
      <c r="D2724" s="5" t="s">
        <v>140</v>
      </c>
      <c r="E2724" s="9" t="str">
        <f>HYPERLINK("https://twitter.com/zahra_amnx/status/1044999386059735041","1044999386059735041")</f>
        <v>1044999386059735041</v>
      </c>
      <c r="F2724" s="4"/>
      <c r="G2724" s="10" t="s">
        <v>139</v>
      </c>
      <c r="H2724" s="4"/>
      <c r="I2724" s="10" t="str">
        <f>HYPERLINK("http://twitter.com/download/iphone","Twitter for iPhone")</f>
        <v>Twitter for iPhone</v>
      </c>
      <c r="J2724" s="2">
        <v>1696</v>
      </c>
      <c r="K2724" s="2">
        <v>1252</v>
      </c>
      <c r="L2724" s="2">
        <v>2</v>
      </c>
      <c r="M2724" s="2"/>
      <c r="N2724" s="8">
        <v>42882.918078703704</v>
      </c>
      <c r="O2724" s="4" t="s">
        <v>779</v>
      </c>
      <c r="P2724" s="3" t="s">
        <v>778</v>
      </c>
      <c r="Q2724" s="10" t="s">
        <v>777</v>
      </c>
      <c r="R2724" s="4"/>
      <c r="S2724" s="9" t="str">
        <f>HYPERLINK("https://pbs.twimg.com/profile_images/1044126954893512706/EZkDCE9N.jpg","View")</f>
        <v>View</v>
      </c>
    </row>
    <row r="2725" spans="1:19" ht="20">
      <c r="A2725" s="8">
        <v>43369.865613425922</v>
      </c>
      <c r="B2725" s="11" t="str">
        <f>HYPERLINK("https://twitter.com/aminabbaad","@aminabbaad")</f>
        <v>@aminabbaad</v>
      </c>
      <c r="C2725" s="6" t="s">
        <v>776</v>
      </c>
      <c r="D2725" s="5" t="s">
        <v>775</v>
      </c>
      <c r="E2725" s="9" t="str">
        <f>HYPERLINK("https://twitter.com/aminabbaad/status/1044999161270226944","1044999161270226944")</f>
        <v>1044999161270226944</v>
      </c>
      <c r="F2725" s="4"/>
      <c r="G2725" s="4"/>
      <c r="H2725" s="4"/>
      <c r="I2725" s="10" t="str">
        <f>HYPERLINK("http://twitter.com/download/android","Twitter for Android")</f>
        <v>Twitter for Android</v>
      </c>
      <c r="J2725" s="2">
        <v>14</v>
      </c>
      <c r="K2725" s="2">
        <v>38</v>
      </c>
      <c r="L2725" s="2">
        <v>0</v>
      </c>
      <c r="M2725" s="2"/>
      <c r="N2725" s="8">
        <v>42980.862719907411</v>
      </c>
      <c r="O2725" s="4"/>
      <c r="P2725" s="3" t="s">
        <v>774</v>
      </c>
      <c r="Q2725" s="4"/>
      <c r="R2725" s="4"/>
      <c r="S2725" s="9" t="str">
        <f>HYPERLINK("https://pbs.twimg.com/profile_images/1040736818835017728/PPreeijl.jpg","View")</f>
        <v>View</v>
      </c>
    </row>
    <row r="2726" spans="1:19" ht="30">
      <c r="A2726" s="8">
        <v>43369.865532407406</v>
      </c>
      <c r="B2726" s="11" t="str">
        <f>HYPERLINK("https://twitter.com/Anahid_8","@Anahid_8")</f>
        <v>@Anahid_8</v>
      </c>
      <c r="C2726" s="6" t="s">
        <v>773</v>
      </c>
      <c r="D2726" s="5" t="s">
        <v>732</v>
      </c>
      <c r="E2726" s="9" t="str">
        <f>HYPERLINK("https://twitter.com/Anahid_8/status/1044999129653547008","1044999129653547008")</f>
        <v>1044999129653547008</v>
      </c>
      <c r="F2726" s="4"/>
      <c r="G2726" s="10" t="s">
        <v>706</v>
      </c>
      <c r="H2726" s="4"/>
      <c r="I2726" s="10" t="str">
        <f>HYPERLINK("http://twitter.com/download/android","Twitter for Android")</f>
        <v>Twitter for Android</v>
      </c>
      <c r="J2726" s="2">
        <v>198</v>
      </c>
      <c r="K2726" s="2">
        <v>147</v>
      </c>
      <c r="L2726" s="2">
        <v>2</v>
      </c>
      <c r="M2726" s="2"/>
      <c r="N2726" s="8">
        <v>43028.880370370374</v>
      </c>
      <c r="O2726" s="4" t="s">
        <v>772</v>
      </c>
      <c r="P2726" s="3" t="s">
        <v>771</v>
      </c>
      <c r="Q2726" s="4"/>
      <c r="R2726" s="4"/>
      <c r="S2726" s="9" t="str">
        <f>HYPERLINK("https://pbs.twimg.com/profile_images/1043987493857763328/bz6Vt_9Q.jpg","View")</f>
        <v>View</v>
      </c>
    </row>
    <row r="2727" spans="1:19" ht="20">
      <c r="A2727" s="8">
        <v>43369.865162037036</v>
      </c>
      <c r="B2727" s="11" t="str">
        <f>HYPERLINK("https://twitter.com/Aban__dokht","@Aban__dokht")</f>
        <v>@Aban__dokht</v>
      </c>
      <c r="C2727" s="6" t="s">
        <v>770</v>
      </c>
      <c r="D2727" s="5" t="s">
        <v>163</v>
      </c>
      <c r="E2727" s="9" t="str">
        <f>HYPERLINK("https://twitter.com/Aban__dokht/status/1044998994903126016","1044998994903126016")</f>
        <v>1044998994903126016</v>
      </c>
      <c r="F2727" s="4"/>
      <c r="G2727" s="4"/>
      <c r="H2727" s="4"/>
      <c r="I2727" s="10" t="str">
        <f>HYPERLINK("http://twitter.com/download/android","Twitter for Android")</f>
        <v>Twitter for Android</v>
      </c>
      <c r="J2727" s="2">
        <v>1517</v>
      </c>
      <c r="K2727" s="2">
        <v>1502</v>
      </c>
      <c r="L2727" s="2">
        <v>0</v>
      </c>
      <c r="M2727" s="2"/>
      <c r="N2727" s="8">
        <v>41207.959780092591</v>
      </c>
      <c r="O2727" s="4"/>
      <c r="P2727" s="3" t="s">
        <v>769</v>
      </c>
      <c r="Q2727" s="4"/>
      <c r="R2727" s="4"/>
      <c r="S2727" s="9" t="str">
        <f>HYPERLINK("https://pbs.twimg.com/profile_images/1038710395442225152/qO2j40fo.jpg","View")</f>
        <v>View</v>
      </c>
    </row>
    <row r="2728" spans="1:19" ht="30">
      <c r="A2728" s="8">
        <v>43369.864687499998</v>
      </c>
      <c r="B2728" s="11" t="str">
        <f>HYPERLINK("https://twitter.com/mehdikia","@mehdikia")</f>
        <v>@mehdikia</v>
      </c>
      <c r="C2728" s="6" t="s">
        <v>768</v>
      </c>
      <c r="D2728" s="5" t="s">
        <v>767</v>
      </c>
      <c r="E2728" s="9" t="str">
        <f>HYPERLINK("https://twitter.com/mehdikia/status/1044998823532261376","1044998823532261376")</f>
        <v>1044998823532261376</v>
      </c>
      <c r="F2728" s="10" t="s">
        <v>766</v>
      </c>
      <c r="G2728" s="4"/>
      <c r="H2728" s="4"/>
      <c r="I2728" s="10" t="str">
        <f>HYPERLINK("http://twitter.com/download/android","Twitter for Android")</f>
        <v>Twitter for Android</v>
      </c>
      <c r="J2728" s="2">
        <v>633</v>
      </c>
      <c r="K2728" s="2">
        <v>899</v>
      </c>
      <c r="L2728" s="2">
        <v>4</v>
      </c>
      <c r="M2728" s="2"/>
      <c r="N2728" s="8">
        <v>39686.530694444446</v>
      </c>
      <c r="O2728" s="4" t="s">
        <v>62</v>
      </c>
      <c r="P2728" s="3" t="s">
        <v>765</v>
      </c>
      <c r="Q2728" s="4"/>
      <c r="R2728" s="4"/>
      <c r="S2728" s="9" t="str">
        <f>HYPERLINK("https://pbs.twimg.com/profile_images/1039287562211340288/cG7GSAOF.jpg","View")</f>
        <v>View</v>
      </c>
    </row>
    <row r="2729" spans="1:19" ht="30">
      <c r="A2729" s="8">
        <v>43369.864687499998</v>
      </c>
      <c r="B2729" s="11" t="str">
        <f>HYPERLINK("https://twitter.com/piroozinews","@piroozinews")</f>
        <v>@piroozinews</v>
      </c>
      <c r="C2729" s="6" t="s">
        <v>764</v>
      </c>
      <c r="D2729" s="5" t="s">
        <v>763</v>
      </c>
      <c r="E2729" s="9" t="str">
        <f>HYPERLINK("https://twitter.com/piroozinews/status/1044998822261411841","1044998822261411841")</f>
        <v>1044998822261411841</v>
      </c>
      <c r="F2729" s="4"/>
      <c r="G2729" s="4"/>
      <c r="H2729" s="4"/>
      <c r="I2729" s="10" t="str">
        <f>HYPERLINK("http://twitter.com/download/android","Twitter for Android")</f>
        <v>Twitter for Android</v>
      </c>
      <c r="J2729" s="2">
        <v>28744</v>
      </c>
      <c r="K2729" s="2">
        <v>31</v>
      </c>
      <c r="L2729" s="2">
        <v>245</v>
      </c>
      <c r="M2729" s="2"/>
      <c r="N2729" s="8">
        <v>42343.636840277773</v>
      </c>
      <c r="O2729" s="4" t="s">
        <v>762</v>
      </c>
      <c r="P2729" s="3" t="s">
        <v>761</v>
      </c>
      <c r="Q2729" s="10" t="s">
        <v>760</v>
      </c>
      <c r="R2729" s="4"/>
      <c r="S2729" s="9" t="str">
        <f>HYPERLINK("https://pbs.twimg.com/profile_images/1014483613310570497/0eFAC3lV.jpg","View")</f>
        <v>View</v>
      </c>
    </row>
    <row r="2730" spans="1:19" ht="30">
      <c r="A2730" s="8">
        <v>43369.86445601852</v>
      </c>
      <c r="B2730" s="11" t="str">
        <f>HYPERLINK("https://twitter.com/AliBazgosha2","@AliBazgosha2")</f>
        <v>@AliBazgosha2</v>
      </c>
      <c r="C2730" s="6" t="s">
        <v>164</v>
      </c>
      <c r="D2730" s="5" t="s">
        <v>163</v>
      </c>
      <c r="E2730" s="9" t="str">
        <f>HYPERLINK("https://twitter.com/AliBazgosha2/status/1044998741613260800","1044998741613260800")</f>
        <v>1044998741613260800</v>
      </c>
      <c r="F2730" s="4"/>
      <c r="G2730" s="4"/>
      <c r="H2730" s="4"/>
      <c r="I2730" s="10" t="str">
        <f>HYPERLINK("http://twitter.com/download/iphone","Twitter for iPhone")</f>
        <v>Twitter for iPhone</v>
      </c>
      <c r="J2730" s="2">
        <v>4613</v>
      </c>
      <c r="K2730" s="2">
        <v>479</v>
      </c>
      <c r="L2730" s="2">
        <v>11</v>
      </c>
      <c r="M2730" s="2"/>
      <c r="N2730" s="8">
        <v>42597.534224537041</v>
      </c>
      <c r="O2730" s="4" t="s">
        <v>162</v>
      </c>
      <c r="P2730" s="3" t="s">
        <v>161</v>
      </c>
      <c r="Q2730" s="4"/>
      <c r="R2730" s="4"/>
      <c r="S2730" s="9" t="str">
        <f>HYPERLINK("https://pbs.twimg.com/profile_images/1002173034688647168/DDTAV-9J.jpg","View")</f>
        <v>View</v>
      </c>
    </row>
    <row r="2731" spans="1:19" ht="30">
      <c r="A2731" s="8">
        <v>43369.864432870367</v>
      </c>
      <c r="B2731" s="11" t="str">
        <f>HYPERLINK("https://twitter.com/sahin30661364","@sahin30661364")</f>
        <v>@sahin30661364</v>
      </c>
      <c r="C2731" s="6" t="s">
        <v>759</v>
      </c>
      <c r="D2731" s="5" t="s">
        <v>699</v>
      </c>
      <c r="E2731" s="9" t="str">
        <f>HYPERLINK("https://twitter.com/sahin30661364/status/1044998730963980288","1044998730963980288")</f>
        <v>1044998730963980288</v>
      </c>
      <c r="F2731" s="4"/>
      <c r="G2731" s="10" t="s">
        <v>698</v>
      </c>
      <c r="H2731" s="4"/>
      <c r="I2731" s="10" t="str">
        <f>HYPERLINK("http://twitter.com/download/android","Twitter for Android")</f>
        <v>Twitter for Android</v>
      </c>
      <c r="J2731" s="2">
        <v>638</v>
      </c>
      <c r="K2731" s="2">
        <v>813</v>
      </c>
      <c r="L2731" s="2">
        <v>0</v>
      </c>
      <c r="M2731" s="2"/>
      <c r="N2731" s="8">
        <v>43260.937962962962</v>
      </c>
      <c r="O2731" s="4"/>
      <c r="P2731" s="3"/>
      <c r="Q2731" s="4"/>
      <c r="R2731" s="4"/>
      <c r="S2731" s="9" t="str">
        <f>HYPERLINK("https://pbs.twimg.com/profile_images/1031481494244655104/wApEU985.jpg","View")</f>
        <v>View</v>
      </c>
    </row>
    <row r="2732" spans="1:19" ht="30">
      <c r="A2732" s="8">
        <v>43369.86440972222</v>
      </c>
      <c r="B2732" s="11" t="str">
        <f>HYPERLINK("https://twitter.com/ladyblocker1","@ladyblocker1")</f>
        <v>@ladyblocker1</v>
      </c>
      <c r="C2732" s="6" t="s">
        <v>342</v>
      </c>
      <c r="D2732" s="5" t="s">
        <v>732</v>
      </c>
      <c r="E2732" s="9" t="str">
        <f>HYPERLINK("https://twitter.com/ladyblocker1/status/1044998722453745665","1044998722453745665")</f>
        <v>1044998722453745665</v>
      </c>
      <c r="F2732" s="4"/>
      <c r="G2732" s="10" t="s">
        <v>706</v>
      </c>
      <c r="H2732" s="4"/>
      <c r="I2732" s="10" t="str">
        <f>HYPERLINK("http://twitter.com/download/android","Twitter for Android")</f>
        <v>Twitter for Android</v>
      </c>
      <c r="J2732" s="2">
        <v>1086</v>
      </c>
      <c r="K2732" s="2">
        <v>650</v>
      </c>
      <c r="L2732" s="2">
        <v>5</v>
      </c>
      <c r="M2732" s="2"/>
      <c r="N2732" s="8">
        <v>41791.892696759256</v>
      </c>
      <c r="O2732" s="4" t="s">
        <v>340</v>
      </c>
      <c r="P2732" s="3" t="s">
        <v>339</v>
      </c>
      <c r="Q2732" s="10" t="s">
        <v>338</v>
      </c>
      <c r="R2732" s="4"/>
      <c r="S2732" s="9" t="str">
        <f>HYPERLINK("https://pbs.twimg.com/profile_images/1044967591222087680/0GW2vhal.jpg","View")</f>
        <v>View</v>
      </c>
    </row>
    <row r="2733" spans="1:19" ht="30">
      <c r="A2733" s="8">
        <v>43369.864062499997</v>
      </c>
      <c r="B2733" s="11" t="str">
        <f>HYPERLINK("https://twitter.com/capitanecond","@capitanecond")</f>
        <v>@capitanecond</v>
      </c>
      <c r="C2733" s="6" t="s">
        <v>270</v>
      </c>
      <c r="D2733" s="5" t="s">
        <v>408</v>
      </c>
      <c r="E2733" s="9" t="str">
        <f>HYPERLINK("https://twitter.com/capitanecond/status/1044998595919917056","1044998595919917056")</f>
        <v>1044998595919917056</v>
      </c>
      <c r="F2733" s="4"/>
      <c r="G2733" s="4"/>
      <c r="H2733" s="4"/>
      <c r="I2733" s="10" t="str">
        <f>HYPERLINK("http://twitter.com/download/android","Twitter for Android")</f>
        <v>Twitter for Android</v>
      </c>
      <c r="J2733" s="2">
        <v>187</v>
      </c>
      <c r="K2733" s="2">
        <v>164</v>
      </c>
      <c r="L2733" s="2">
        <v>0</v>
      </c>
      <c r="M2733" s="2"/>
      <c r="N2733" s="8">
        <v>42734.48269675926</v>
      </c>
      <c r="O2733" s="4" t="s">
        <v>72</v>
      </c>
      <c r="P2733" s="3" t="s">
        <v>269</v>
      </c>
      <c r="Q2733" s="4"/>
      <c r="R2733" s="4"/>
      <c r="S2733" s="9" t="str">
        <f>HYPERLINK("https://pbs.twimg.com/profile_images/947953605742436352/qWuiiFgS.jpg","View")</f>
        <v>View</v>
      </c>
    </row>
    <row r="2734" spans="1:19" ht="30">
      <c r="A2734" s="8">
        <v>43369.862754629634</v>
      </c>
      <c r="B2734" s="11" t="str">
        <f>HYPERLINK("https://twitter.com/azademohamadiye","@azademohamadiye")</f>
        <v>@azademohamadiye</v>
      </c>
      <c r="C2734" s="6" t="s">
        <v>758</v>
      </c>
      <c r="D2734" s="5" t="s">
        <v>726</v>
      </c>
      <c r="E2734" s="9" t="str">
        <f>HYPERLINK("https://twitter.com/azademohamadiye/status/1044998122680844288","1044998122680844288")</f>
        <v>1044998122680844288</v>
      </c>
      <c r="F2734" s="4"/>
      <c r="G2734" s="10" t="s">
        <v>725</v>
      </c>
      <c r="H2734" s="4"/>
      <c r="I2734" s="10" t="str">
        <f>HYPERLINK("http://twitter.com/download/android","Twitter for Android")</f>
        <v>Twitter for Android</v>
      </c>
      <c r="J2734" s="2">
        <v>325</v>
      </c>
      <c r="K2734" s="2">
        <v>228</v>
      </c>
      <c r="L2734" s="2">
        <v>2</v>
      </c>
      <c r="M2734" s="2"/>
      <c r="N2734" s="8">
        <v>41484.343275462961</v>
      </c>
      <c r="O2734" s="4"/>
      <c r="P2734" s="3" t="s">
        <v>757</v>
      </c>
      <c r="Q2734" s="4"/>
      <c r="R2734" s="4"/>
      <c r="S2734" s="9" t="str">
        <f>HYPERLINK("https://pbs.twimg.com/profile_images/1044684005671612418/oVYfq_xy.jpg","View")</f>
        <v>View</v>
      </c>
    </row>
    <row r="2735" spans="1:19" ht="12.5">
      <c r="A2735" s="8">
        <v>43369.86210648148</v>
      </c>
      <c r="B2735" s="11" t="str">
        <f>HYPERLINK("https://twitter.com/mojtaba_m1","@mojtaba_m1")</f>
        <v>@mojtaba_m1</v>
      </c>
      <c r="C2735" s="6" t="s">
        <v>756</v>
      </c>
      <c r="D2735" s="5" t="s">
        <v>247</v>
      </c>
      <c r="E2735" s="9" t="str">
        <f>HYPERLINK("https://twitter.com/mojtaba_m1/status/1044997888533835776","1044997888533835776")</f>
        <v>1044997888533835776</v>
      </c>
      <c r="F2735" s="4"/>
      <c r="G2735" s="4"/>
      <c r="H2735" s="4"/>
      <c r="I2735" s="10" t="str">
        <f>HYPERLINK("http://twitter.com/download/android","Twitter for Android")</f>
        <v>Twitter for Android</v>
      </c>
      <c r="J2735" s="2">
        <v>714</v>
      </c>
      <c r="K2735" s="2">
        <v>1368</v>
      </c>
      <c r="L2735" s="2">
        <v>0</v>
      </c>
      <c r="M2735" s="2"/>
      <c r="N2735" s="8">
        <v>43280.203182870369</v>
      </c>
      <c r="O2735" s="4" t="s">
        <v>200</v>
      </c>
      <c r="P2735" s="3"/>
      <c r="Q2735" s="4"/>
      <c r="R2735" s="4"/>
      <c r="S2735" s="9" t="str">
        <f>HYPERLINK("https://pbs.twimg.com/profile_images/1028490471847485442/jBZ3D4aN.jpg","View")</f>
        <v>View</v>
      </c>
    </row>
    <row r="2736" spans="1:19" ht="40">
      <c r="A2736" s="8">
        <v>43369.86209490741</v>
      </c>
      <c r="B2736" s="11" t="str">
        <f>HYPERLINK("https://twitter.com/freemasi","@freemasi")</f>
        <v>@freemasi</v>
      </c>
      <c r="C2736" s="6" t="s">
        <v>755</v>
      </c>
      <c r="D2736" s="5" t="s">
        <v>754</v>
      </c>
      <c r="E2736" s="9" t="str">
        <f>HYPERLINK("https://twitter.com/freemasi/status/1044997884616290305","1044997884616290305")</f>
        <v>1044997884616290305</v>
      </c>
      <c r="F2736" s="4"/>
      <c r="G2736" s="10" t="s">
        <v>753</v>
      </c>
      <c r="H2736" s="4"/>
      <c r="I2736" s="10" t="str">
        <f>HYPERLINK("https://mobile.twitter.com","Twitter Lite")</f>
        <v>Twitter Lite</v>
      </c>
      <c r="J2736" s="2">
        <v>1196</v>
      </c>
      <c r="K2736" s="2">
        <v>1534</v>
      </c>
      <c r="L2736" s="2">
        <v>1</v>
      </c>
      <c r="M2736" s="2"/>
      <c r="N2736" s="8">
        <v>43201.988576388889</v>
      </c>
      <c r="O2736" s="4"/>
      <c r="P2736" s="3" t="s">
        <v>752</v>
      </c>
      <c r="Q2736" s="4"/>
      <c r="R2736" s="4"/>
      <c r="S2736" s="9" t="str">
        <f>HYPERLINK("https://pbs.twimg.com/profile_images/1040657058700451845/YxH0rCm_.jpg","View")</f>
        <v>View</v>
      </c>
    </row>
    <row r="2737" spans="1:19" ht="30">
      <c r="A2737" s="8">
        <v>43369.861886574072</v>
      </c>
      <c r="B2737" s="11" t="str">
        <f>HYPERLINK("https://twitter.com/saras27772","@saras27772")</f>
        <v>@saras27772</v>
      </c>
      <c r="C2737" s="6" t="s">
        <v>458</v>
      </c>
      <c r="D2737" s="5" t="s">
        <v>732</v>
      </c>
      <c r="E2737" s="9" t="str">
        <f>HYPERLINK("https://twitter.com/saras27772/status/1044997810641350662","1044997810641350662")</f>
        <v>1044997810641350662</v>
      </c>
      <c r="F2737" s="4"/>
      <c r="G2737" s="10" t="s">
        <v>706</v>
      </c>
      <c r="H2737" s="4"/>
      <c r="I2737" s="10" t="str">
        <f>HYPERLINK("http://twitter.com/download/android","Twitter for Android")</f>
        <v>Twitter for Android</v>
      </c>
      <c r="J2737" s="2">
        <v>818</v>
      </c>
      <c r="K2737" s="2">
        <v>474</v>
      </c>
      <c r="L2737" s="2">
        <v>3</v>
      </c>
      <c r="M2737" s="2"/>
      <c r="N2737" s="8">
        <v>43231.791319444441</v>
      </c>
      <c r="O2737" s="4" t="s">
        <v>457</v>
      </c>
      <c r="P2737" s="3" t="s">
        <v>456</v>
      </c>
      <c r="Q2737" s="10" t="s">
        <v>455</v>
      </c>
      <c r="R2737" s="4"/>
      <c r="S2737" s="9" t="str">
        <f>HYPERLINK("https://pbs.twimg.com/profile_images/1043624314485055488/uxhvAusV.jpg","View")</f>
        <v>View</v>
      </c>
    </row>
    <row r="2738" spans="1:19" ht="30">
      <c r="A2738" s="8">
        <v>43369.861863425926</v>
      </c>
      <c r="B2738" s="11" t="str">
        <f>HYPERLINK("https://twitter.com/qazaalgh","@qazaalgh")</f>
        <v>@qazaalgh</v>
      </c>
      <c r="C2738" s="6" t="s">
        <v>751</v>
      </c>
      <c r="D2738" s="5" t="s">
        <v>408</v>
      </c>
      <c r="E2738" s="9" t="str">
        <f>HYPERLINK("https://twitter.com/qazaalgh/status/1044997802810626058","1044997802810626058")</f>
        <v>1044997802810626058</v>
      </c>
      <c r="F2738" s="4"/>
      <c r="G2738" s="4"/>
      <c r="H2738" s="4"/>
      <c r="I2738" s="10" t="str">
        <f>HYPERLINK("http://twitter.com/download/android","Twitter for Android")</f>
        <v>Twitter for Android</v>
      </c>
      <c r="J2738" s="2">
        <v>345</v>
      </c>
      <c r="K2738" s="2">
        <v>380</v>
      </c>
      <c r="L2738" s="2">
        <v>0</v>
      </c>
      <c r="M2738" s="2"/>
      <c r="N2738" s="8">
        <v>42734.711238425924</v>
      </c>
      <c r="O2738" s="4" t="s">
        <v>750</v>
      </c>
      <c r="P2738" s="3" t="s">
        <v>749</v>
      </c>
      <c r="Q2738" s="10" t="s">
        <v>748</v>
      </c>
      <c r="R2738" s="4"/>
      <c r="S2738" s="9" t="str">
        <f>HYPERLINK("https://pbs.twimg.com/profile_images/1041389824266133504/vE-f1eyT.jpg","View")</f>
        <v>View</v>
      </c>
    </row>
    <row r="2739" spans="1:19" ht="40">
      <c r="A2739" s="8">
        <v>43369.861828703702</v>
      </c>
      <c r="B2739" s="11" t="str">
        <f>HYPERLINK("https://twitter.com/iranpayande2213","@iranpayande2213")</f>
        <v>@iranpayande2213</v>
      </c>
      <c r="C2739" s="6" t="s">
        <v>739</v>
      </c>
      <c r="D2739" s="5" t="s">
        <v>422</v>
      </c>
      <c r="E2739" s="9" t="str">
        <f>HYPERLINK("https://twitter.com/iranpayande2213/status/1044997788755525632","1044997788755525632")</f>
        <v>1044997788755525632</v>
      </c>
      <c r="F2739" s="4"/>
      <c r="G2739" s="10" t="s">
        <v>421</v>
      </c>
      <c r="H2739" s="4"/>
      <c r="I2739" s="10" t="str">
        <f>HYPERLINK("http://twitter.com/download/iphone","Twitter for iPhone")</f>
        <v>Twitter for iPhone</v>
      </c>
      <c r="J2739" s="2">
        <v>5139</v>
      </c>
      <c r="K2739" s="2">
        <v>4567</v>
      </c>
      <c r="L2739" s="2">
        <v>6</v>
      </c>
      <c r="M2739" s="2"/>
      <c r="N2739" s="8">
        <v>43001.501828703702</v>
      </c>
      <c r="O2739" s="4" t="s">
        <v>72</v>
      </c>
      <c r="P2739" s="3" t="s">
        <v>738</v>
      </c>
      <c r="Q2739" s="4"/>
      <c r="R2739" s="4"/>
      <c r="S2739" s="9" t="str">
        <f>HYPERLINK("https://pbs.twimg.com/profile_images/1043035224198676487/uGnsQISu.jpg","View")</f>
        <v>View</v>
      </c>
    </row>
    <row r="2740" spans="1:19" ht="40">
      <c r="A2740" s="8">
        <v>43369.861759259264</v>
      </c>
      <c r="B2740" s="11" t="str">
        <f>HYPERLINK("https://twitter.com/amir_shaah","@amir_shaah")</f>
        <v>@amir_shaah</v>
      </c>
      <c r="C2740" s="6" t="s">
        <v>747</v>
      </c>
      <c r="D2740" s="5" t="s">
        <v>746</v>
      </c>
      <c r="E2740" s="9" t="str">
        <f>HYPERLINK("https://twitter.com/amir_shaah/status/1044997764885680128","1044997764885680128")</f>
        <v>1044997764885680128</v>
      </c>
      <c r="F2740" s="4"/>
      <c r="G2740" s="4"/>
      <c r="H2740" s="4"/>
      <c r="I2740" s="10" t="str">
        <f>HYPERLINK("https://mobile.twitter.com","Twitter Lite")</f>
        <v>Twitter Lite</v>
      </c>
      <c r="J2740" s="2">
        <v>59</v>
      </c>
      <c r="K2740" s="2">
        <v>127</v>
      </c>
      <c r="L2740" s="2">
        <v>0</v>
      </c>
      <c r="M2740" s="2"/>
      <c r="N2740" s="8">
        <v>42879.12195601852</v>
      </c>
      <c r="O2740" s="4" t="s">
        <v>745</v>
      </c>
      <c r="P2740" s="3" t="s">
        <v>744</v>
      </c>
      <c r="Q2740" s="4"/>
      <c r="R2740" s="4"/>
      <c r="S2740" s="9" t="str">
        <f>HYPERLINK("https://pbs.twimg.com/profile_images/1006223193131151360/CDrlymJW.jpg","View")</f>
        <v>View</v>
      </c>
    </row>
    <row r="2741" spans="1:19" ht="40">
      <c r="A2741" s="8">
        <v>43369.861724537041</v>
      </c>
      <c r="B2741" s="11" t="str">
        <f>HYPERLINK("https://twitter.com/nimanirvana","@nimanirvana")</f>
        <v>@nimanirvana</v>
      </c>
      <c r="C2741" s="6" t="s">
        <v>743</v>
      </c>
      <c r="D2741" s="5" t="s">
        <v>742</v>
      </c>
      <c r="E2741" s="9" t="str">
        <f>HYPERLINK("https://twitter.com/nimanirvana/status/1044997750084050944","1044997750084050944")</f>
        <v>1044997750084050944</v>
      </c>
      <c r="F2741" s="4"/>
      <c r="G2741" s="4"/>
      <c r="H2741" s="4"/>
      <c r="I2741" s="10" t="str">
        <f>HYPERLINK("https://mobile.twitter.com","Twitter Lite")</f>
        <v>Twitter Lite</v>
      </c>
      <c r="J2741" s="2">
        <v>121</v>
      </c>
      <c r="K2741" s="2">
        <v>165</v>
      </c>
      <c r="L2741" s="2">
        <v>0</v>
      </c>
      <c r="M2741" s="2"/>
      <c r="N2741" s="8">
        <v>41693.945115740738</v>
      </c>
      <c r="O2741" s="4" t="s">
        <v>741</v>
      </c>
      <c r="P2741" s="3" t="s">
        <v>740</v>
      </c>
      <c r="Q2741" s="4"/>
      <c r="R2741" s="4"/>
      <c r="S2741" s="9" t="str">
        <f>HYPERLINK("https://pbs.twimg.com/profile_images/1044678840855990272/TOiJqAR0.jpg","View")</f>
        <v>View</v>
      </c>
    </row>
    <row r="2742" spans="1:19" ht="20">
      <c r="A2742" s="8">
        <v>43369.861655092594</v>
      </c>
      <c r="B2742" s="11" t="str">
        <f>HYPERLINK("https://twitter.com/iranpayande2213","@iranpayande2213")</f>
        <v>@iranpayande2213</v>
      </c>
      <c r="C2742" s="6" t="s">
        <v>739</v>
      </c>
      <c r="D2742" s="5" t="s">
        <v>727</v>
      </c>
      <c r="E2742" s="9" t="str">
        <f>HYPERLINK("https://twitter.com/iranpayande2213/status/1044997725085999111","1044997725085999111")</f>
        <v>1044997725085999111</v>
      </c>
      <c r="F2742" s="4"/>
      <c r="G2742" s="10" t="s">
        <v>722</v>
      </c>
      <c r="H2742" s="4"/>
      <c r="I2742" s="10" t="str">
        <f>HYPERLINK("http://twitter.com/download/iphone","Twitter for iPhone")</f>
        <v>Twitter for iPhone</v>
      </c>
      <c r="J2742" s="2">
        <v>5139</v>
      </c>
      <c r="K2742" s="2">
        <v>4567</v>
      </c>
      <c r="L2742" s="2">
        <v>6</v>
      </c>
      <c r="M2742" s="2"/>
      <c r="N2742" s="8">
        <v>43001.501828703702</v>
      </c>
      <c r="O2742" s="4" t="s">
        <v>72</v>
      </c>
      <c r="P2742" s="3" t="s">
        <v>738</v>
      </c>
      <c r="Q2742" s="4"/>
      <c r="R2742" s="4"/>
      <c r="S2742" s="9" t="str">
        <f>HYPERLINK("https://pbs.twimg.com/profile_images/1043035224198676487/uGnsQISu.jpg","View")</f>
        <v>View</v>
      </c>
    </row>
    <row r="2743" spans="1:19" ht="30">
      <c r="A2743" s="8">
        <v>43369.861562499995</v>
      </c>
      <c r="B2743" s="11" t="str">
        <f>HYPERLINK("https://twitter.com/VirtualPyCode","@VirtualPyCode")</f>
        <v>@VirtualPyCode</v>
      </c>
      <c r="C2743" s="6" t="s">
        <v>737</v>
      </c>
      <c r="D2743" s="5" t="s">
        <v>408</v>
      </c>
      <c r="E2743" s="9" t="str">
        <f>HYPERLINK("https://twitter.com/VirtualPyCode/status/1044997690751430664","1044997690751430664")</f>
        <v>1044997690751430664</v>
      </c>
      <c r="F2743" s="4"/>
      <c r="G2743" s="4"/>
      <c r="H2743" s="4"/>
      <c r="I2743" s="10" t="str">
        <f>HYPERLINK("http://twitter.com/download/android","Twitter for Android")</f>
        <v>Twitter for Android</v>
      </c>
      <c r="J2743" s="2">
        <v>62</v>
      </c>
      <c r="K2743" s="2">
        <v>127</v>
      </c>
      <c r="L2743" s="2">
        <v>0</v>
      </c>
      <c r="M2743" s="2"/>
      <c r="N2743" s="8">
        <v>43194.913449074069</v>
      </c>
      <c r="O2743" s="4"/>
      <c r="P2743" s="3"/>
      <c r="Q2743" s="4"/>
      <c r="R2743" s="4"/>
      <c r="S2743" s="9" t="str">
        <f>HYPERLINK("https://pbs.twimg.com/profile_images/999361240420909056/0MoDtMsK.jpg","View")</f>
        <v>View</v>
      </c>
    </row>
    <row r="2744" spans="1:19" ht="30">
      <c r="A2744" s="8">
        <v>43369.861307870371</v>
      </c>
      <c r="B2744" s="11" t="str">
        <f>HYPERLINK("https://twitter.com/ploto2546","@ploto2546")</f>
        <v>@ploto2546</v>
      </c>
      <c r="C2744" s="6" t="s">
        <v>264</v>
      </c>
      <c r="D2744" s="5" t="s">
        <v>732</v>
      </c>
      <c r="E2744" s="9" t="str">
        <f>HYPERLINK("https://twitter.com/ploto2546/status/1044997601332989952","1044997601332989952")</f>
        <v>1044997601332989952</v>
      </c>
      <c r="F2744" s="4"/>
      <c r="G2744" s="10" t="s">
        <v>706</v>
      </c>
      <c r="H2744" s="4"/>
      <c r="I2744" s="10" t="str">
        <f>HYPERLINK("http://twitter.com/download/android","Twitter for Android")</f>
        <v>Twitter for Android</v>
      </c>
      <c r="J2744" s="2">
        <v>1654</v>
      </c>
      <c r="K2744" s="2">
        <v>1863</v>
      </c>
      <c r="L2744" s="2">
        <v>5</v>
      </c>
      <c r="M2744" s="2"/>
      <c r="N2744" s="8">
        <v>43207.184918981482</v>
      </c>
      <c r="O2744" s="4" t="s">
        <v>262</v>
      </c>
      <c r="P2744" s="3" t="s">
        <v>261</v>
      </c>
      <c r="Q2744" s="4"/>
      <c r="R2744" s="4"/>
      <c r="S2744" s="9" t="str">
        <f>HYPERLINK("https://pbs.twimg.com/profile_images/1025171503271301127/S_pGLx0M.jpg","View")</f>
        <v>View</v>
      </c>
    </row>
    <row r="2745" spans="1:19" ht="20">
      <c r="A2745" s="8">
        <v>43369.86109953704</v>
      </c>
      <c r="B2745" s="11" t="str">
        <f>HYPERLINK("https://twitter.com/abo2575","@abo2575")</f>
        <v>@abo2575</v>
      </c>
      <c r="C2745" s="6" t="s">
        <v>718</v>
      </c>
      <c r="D2745" s="5" t="s">
        <v>736</v>
      </c>
      <c r="E2745" s="9" t="str">
        <f>HYPERLINK("https://twitter.com/abo2575/status/1044997524422119431","1044997524422119431")</f>
        <v>1044997524422119431</v>
      </c>
      <c r="F2745" s="4"/>
      <c r="G2745" s="4"/>
      <c r="H2745" s="4"/>
      <c r="I2745" s="10" t="str">
        <f>HYPERLINK("http://twitter.com/download/android","Twitter for Android")</f>
        <v>Twitter for Android</v>
      </c>
      <c r="J2745" s="2">
        <v>1632</v>
      </c>
      <c r="K2745" s="2">
        <v>855</v>
      </c>
      <c r="L2745" s="2">
        <v>1</v>
      </c>
      <c r="M2745" s="2"/>
      <c r="N2745" s="8">
        <v>42771.551018518519</v>
      </c>
      <c r="O2745" s="4"/>
      <c r="P2745" s="3" t="s">
        <v>717</v>
      </c>
      <c r="Q2745" s="4"/>
      <c r="R2745" s="4"/>
      <c r="S2745" s="9" t="str">
        <f>HYPERLINK("https://pbs.twimg.com/profile_images/1043947990115930112/oMnEIfaq.jpg","View")</f>
        <v>View</v>
      </c>
    </row>
    <row r="2746" spans="1:19" ht="40">
      <c r="A2746" s="8">
        <v>43369.86072916667</v>
      </c>
      <c r="B2746" s="11" t="str">
        <f>HYPERLINK("https://twitter.com/sara444468","@sara444468")</f>
        <v>@sara444468</v>
      </c>
      <c r="C2746" s="6" t="s">
        <v>735</v>
      </c>
      <c r="D2746" s="5" t="s">
        <v>734</v>
      </c>
      <c r="E2746" s="9" t="str">
        <f>HYPERLINK("https://twitter.com/sara444468/status/1044997388031729665","1044997388031729665")</f>
        <v>1044997388031729665</v>
      </c>
      <c r="F2746" s="4"/>
      <c r="G2746" s="4"/>
      <c r="H2746" s="4"/>
      <c r="I2746" s="10" t="str">
        <f>HYPERLINK("http://twitter.com/download/android","Twitter for Android")</f>
        <v>Twitter for Android</v>
      </c>
      <c r="J2746" s="2">
        <v>1593</v>
      </c>
      <c r="K2746" s="2">
        <v>977</v>
      </c>
      <c r="L2746" s="2">
        <v>6</v>
      </c>
      <c r="M2746" s="2"/>
      <c r="N2746" s="8">
        <v>43106.934259259258</v>
      </c>
      <c r="O2746" s="4"/>
      <c r="P2746" s="3" t="s">
        <v>733</v>
      </c>
      <c r="Q2746" s="4"/>
      <c r="R2746" s="4"/>
      <c r="S2746" s="9" t="str">
        <f>HYPERLINK("https://pbs.twimg.com/profile_images/1044626608483635201/6Ap7I4bq.jpg","View")</f>
        <v>View</v>
      </c>
    </row>
    <row r="2747" spans="1:19" ht="20">
      <c r="A2747" s="8">
        <v>43369.86038194444</v>
      </c>
      <c r="B2747" s="11" t="str">
        <f>HYPERLINK("https://twitter.com/saras27772","@saras27772")</f>
        <v>@saras27772</v>
      </c>
      <c r="C2747" s="6" t="s">
        <v>458</v>
      </c>
      <c r="D2747" s="5" t="s">
        <v>727</v>
      </c>
      <c r="E2747" s="9" t="str">
        <f>HYPERLINK("https://twitter.com/saras27772/status/1044997265381822465","1044997265381822465")</f>
        <v>1044997265381822465</v>
      </c>
      <c r="F2747" s="4"/>
      <c r="G2747" s="10" t="s">
        <v>722</v>
      </c>
      <c r="H2747" s="4"/>
      <c r="I2747" s="10" t="str">
        <f>HYPERLINK("http://twitter.com/download/android","Twitter for Android")</f>
        <v>Twitter for Android</v>
      </c>
      <c r="J2747" s="2">
        <v>818</v>
      </c>
      <c r="K2747" s="2">
        <v>474</v>
      </c>
      <c r="L2747" s="2">
        <v>3</v>
      </c>
      <c r="M2747" s="2"/>
      <c r="N2747" s="8">
        <v>43231.791319444441</v>
      </c>
      <c r="O2747" s="4" t="s">
        <v>457</v>
      </c>
      <c r="P2747" s="3" t="s">
        <v>456</v>
      </c>
      <c r="Q2747" s="10" t="s">
        <v>455</v>
      </c>
      <c r="R2747" s="4"/>
      <c r="S2747" s="9" t="str">
        <f>HYPERLINK("https://pbs.twimg.com/profile_images/1043624314485055488/uxhvAusV.jpg","View")</f>
        <v>View</v>
      </c>
    </row>
    <row r="2748" spans="1:19" ht="30">
      <c r="A2748" s="8">
        <v>43369.860127314816</v>
      </c>
      <c r="B2748" s="11" t="str">
        <f>HYPERLINK("https://twitter.com/k_rez1","@k_rez1")</f>
        <v>@k_rez1</v>
      </c>
      <c r="C2748" s="6" t="s">
        <v>665</v>
      </c>
      <c r="D2748" s="5" t="s">
        <v>732</v>
      </c>
      <c r="E2748" s="9" t="str">
        <f>HYPERLINK("https://twitter.com/k_rez1/status/1044997173623042048","1044997173623042048")</f>
        <v>1044997173623042048</v>
      </c>
      <c r="F2748" s="4"/>
      <c r="G2748" s="10" t="s">
        <v>706</v>
      </c>
      <c r="H2748" s="4"/>
      <c r="I2748" s="10" t="str">
        <f>HYPERLINK("http://twitter.com/download/android","Twitter for Android")</f>
        <v>Twitter for Android</v>
      </c>
      <c r="J2748" s="2">
        <v>4169</v>
      </c>
      <c r="K2748" s="2">
        <v>2427</v>
      </c>
      <c r="L2748" s="2">
        <v>11</v>
      </c>
      <c r="M2748" s="2"/>
      <c r="N2748" s="8">
        <v>43102.517060185186</v>
      </c>
      <c r="O2748" s="4"/>
      <c r="P2748" s="3" t="s">
        <v>664</v>
      </c>
      <c r="Q2748" s="4"/>
      <c r="R2748" s="4"/>
      <c r="S2748" s="9" t="str">
        <f>HYPERLINK("https://pbs.twimg.com/profile_images/1040661642097373184/kGpkn4yZ.jpg","View")</f>
        <v>View</v>
      </c>
    </row>
    <row r="2749" spans="1:19" ht="20">
      <c r="A2749" s="8">
        <v>43369.860127314816</v>
      </c>
      <c r="B2749" s="11" t="str">
        <f>HYPERLINK("https://twitter.com/fereshtevpt","@fereshtevpt")</f>
        <v>@fereshtevpt</v>
      </c>
      <c r="C2749" s="6" t="s">
        <v>331</v>
      </c>
      <c r="D2749" s="5" t="s">
        <v>727</v>
      </c>
      <c r="E2749" s="9" t="str">
        <f>HYPERLINK("https://twitter.com/fereshtevpt/status/1044997172691955713","1044997172691955713")</f>
        <v>1044997172691955713</v>
      </c>
      <c r="F2749" s="4"/>
      <c r="G2749" s="10" t="s">
        <v>722</v>
      </c>
      <c r="H2749" s="4"/>
      <c r="I2749" s="10" t="str">
        <f>HYPERLINK("http://twitter.com/download/iphone","Twitter for iPhone")</f>
        <v>Twitter for iPhone</v>
      </c>
      <c r="J2749" s="2">
        <v>2475</v>
      </c>
      <c r="K2749" s="2">
        <v>2146</v>
      </c>
      <c r="L2749" s="2">
        <v>6</v>
      </c>
      <c r="M2749" s="2"/>
      <c r="N2749" s="8">
        <v>43106.721226851849</v>
      </c>
      <c r="O2749" s="4"/>
      <c r="P2749" s="3" t="s">
        <v>329</v>
      </c>
      <c r="Q2749" s="4"/>
      <c r="R2749" s="4"/>
      <c r="S2749" s="9" t="str">
        <f>HYPERLINK("https://pbs.twimg.com/profile_images/1037751959716016135/k__ynAL7.jpg","View")</f>
        <v>View</v>
      </c>
    </row>
    <row r="2750" spans="1:19" ht="20">
      <c r="A2750" s="8">
        <v>43369.859988425931</v>
      </c>
      <c r="B2750" s="11" t="str">
        <f>HYPERLINK("https://twitter.com/B3HnaaaM","@B3HnaaaM")</f>
        <v>@B3HnaaaM</v>
      </c>
      <c r="C2750" s="6" t="s">
        <v>731</v>
      </c>
      <c r="D2750" s="5" t="s">
        <v>727</v>
      </c>
      <c r="E2750" s="9" t="str">
        <f>HYPERLINK("https://twitter.com/B3HnaaaM/status/1044997122817437697","1044997122817437697")</f>
        <v>1044997122817437697</v>
      </c>
      <c r="F2750" s="4"/>
      <c r="G2750" s="10" t="s">
        <v>722</v>
      </c>
      <c r="H2750" s="4"/>
      <c r="I2750" s="10" t="str">
        <f>HYPERLINK("http://twitter.com/download/iphone","Twitter for iPhone")</f>
        <v>Twitter for iPhone</v>
      </c>
      <c r="J2750" s="2">
        <v>1596</v>
      </c>
      <c r="K2750" s="2">
        <v>424</v>
      </c>
      <c r="L2750" s="2">
        <v>5</v>
      </c>
      <c r="M2750" s="2"/>
      <c r="N2750" s="8">
        <v>43034.65896990741</v>
      </c>
      <c r="O2750" s="4" t="s">
        <v>730</v>
      </c>
      <c r="P2750" s="3" t="s">
        <v>729</v>
      </c>
      <c r="Q2750" s="10" t="s">
        <v>728</v>
      </c>
      <c r="R2750" s="4"/>
      <c r="S2750" s="9" t="str">
        <f>HYPERLINK("https://pbs.twimg.com/profile_images/1044686769952882688/q_MpxNQJ.jpg","View")</f>
        <v>View</v>
      </c>
    </row>
    <row r="2751" spans="1:19" ht="20">
      <c r="A2751" s="8">
        <v>43369.859675925924</v>
      </c>
      <c r="B2751" s="11" t="str">
        <f>HYPERLINK("https://twitter.com/k_rez1","@k_rez1")</f>
        <v>@k_rez1</v>
      </c>
      <c r="C2751" s="6" t="s">
        <v>665</v>
      </c>
      <c r="D2751" s="5" t="s">
        <v>727</v>
      </c>
      <c r="E2751" s="9" t="str">
        <f>HYPERLINK("https://twitter.com/k_rez1/status/1044997006245203970","1044997006245203970")</f>
        <v>1044997006245203970</v>
      </c>
      <c r="F2751" s="4"/>
      <c r="G2751" s="10" t="s">
        <v>722</v>
      </c>
      <c r="H2751" s="4"/>
      <c r="I2751" s="10" t="str">
        <f>HYPERLINK("http://twitter.com/download/android","Twitter for Android")</f>
        <v>Twitter for Android</v>
      </c>
      <c r="J2751" s="2">
        <v>4169</v>
      </c>
      <c r="K2751" s="2">
        <v>2427</v>
      </c>
      <c r="L2751" s="2">
        <v>11</v>
      </c>
      <c r="M2751" s="2"/>
      <c r="N2751" s="8">
        <v>43102.517060185186</v>
      </c>
      <c r="O2751" s="4"/>
      <c r="P2751" s="3" t="s">
        <v>664</v>
      </c>
      <c r="Q2751" s="4"/>
      <c r="R2751" s="4"/>
      <c r="S2751" s="9" t="str">
        <f>HYPERLINK("https://pbs.twimg.com/profile_images/1040661642097373184/kGpkn4yZ.jpg","View")</f>
        <v>View</v>
      </c>
    </row>
    <row r="2752" spans="1:19" ht="30">
      <c r="A2752" s="8">
        <v>43369.859560185185</v>
      </c>
      <c r="B2752" s="11" t="str">
        <f>HYPERLINK("https://twitter.com/manochman","@manochman")</f>
        <v>@manochman</v>
      </c>
      <c r="C2752" s="6" t="s">
        <v>720</v>
      </c>
      <c r="D2752" s="5" t="s">
        <v>726</v>
      </c>
      <c r="E2752" s="9" t="str">
        <f>HYPERLINK("https://twitter.com/manochman/status/1044996965644337152","1044996965644337152")</f>
        <v>1044996965644337152</v>
      </c>
      <c r="F2752" s="4"/>
      <c r="G2752" s="10" t="s">
        <v>725</v>
      </c>
      <c r="H2752" s="4"/>
      <c r="I2752" s="10" t="str">
        <f>HYPERLINK("http://twitter.com/download/android","Twitter for Android")</f>
        <v>Twitter for Android</v>
      </c>
      <c r="J2752" s="2">
        <v>209</v>
      </c>
      <c r="K2752" s="2">
        <v>475</v>
      </c>
      <c r="L2752" s="2">
        <v>0</v>
      </c>
      <c r="M2752" s="2"/>
      <c r="N2752" s="8">
        <v>40834.923796296294</v>
      </c>
      <c r="O2752" s="4" t="s">
        <v>62</v>
      </c>
      <c r="P2752" s="3" t="s">
        <v>719</v>
      </c>
      <c r="Q2752" s="4"/>
      <c r="R2752" s="4"/>
      <c r="S2752" s="9" t="str">
        <f>HYPERLINK("https://pbs.twimg.com/profile_images/1044663541725376514/YrB5kUbi.jpg","View")</f>
        <v>View</v>
      </c>
    </row>
    <row r="2753" spans="1:19" ht="20">
      <c r="A2753" s="8">
        <v>43369.859039351853</v>
      </c>
      <c r="B2753" s="11" t="str">
        <f>HYPERLINK("https://twitter.com/H_ra19270","@H_ra19270")</f>
        <v>@H_ra19270</v>
      </c>
      <c r="C2753" s="6" t="s">
        <v>724</v>
      </c>
      <c r="D2753" s="5" t="s">
        <v>723</v>
      </c>
      <c r="E2753" s="9" t="str">
        <f>HYPERLINK("https://twitter.com/H_ra19270/status/1044996777349386240","1044996777349386240")</f>
        <v>1044996777349386240</v>
      </c>
      <c r="F2753" s="4"/>
      <c r="G2753" s="10" t="s">
        <v>722</v>
      </c>
      <c r="H2753" s="4"/>
      <c r="I2753" s="10" t="str">
        <f>HYPERLINK("http://twitter.com/download/android","Twitter for Android")</f>
        <v>Twitter for Android</v>
      </c>
      <c r="J2753" s="2">
        <v>2740</v>
      </c>
      <c r="K2753" s="2">
        <v>2560</v>
      </c>
      <c r="L2753" s="2">
        <v>6</v>
      </c>
      <c r="M2753" s="2"/>
      <c r="N2753" s="8">
        <v>42849.055162037039</v>
      </c>
      <c r="O2753" s="4"/>
      <c r="P2753" s="3" t="s">
        <v>721</v>
      </c>
      <c r="Q2753" s="4"/>
      <c r="R2753" s="4"/>
      <c r="S2753" s="9" t="str">
        <f>HYPERLINK("https://pbs.twimg.com/profile_images/1044258901288529920/qNZzWJtc.jpg","View")</f>
        <v>View</v>
      </c>
    </row>
    <row r="2754" spans="1:19" ht="40">
      <c r="A2754" s="8">
        <v>43369.858854166669</v>
      </c>
      <c r="B2754" s="11" t="str">
        <f>HYPERLINK("https://twitter.com/ladyblocker1","@ladyblocker1")</f>
        <v>@ladyblocker1</v>
      </c>
      <c r="C2754" s="6" t="s">
        <v>342</v>
      </c>
      <c r="D2754" s="5" t="s">
        <v>422</v>
      </c>
      <c r="E2754" s="9" t="str">
        <f>HYPERLINK("https://twitter.com/ladyblocker1/status/1044996709095546880","1044996709095546880")</f>
        <v>1044996709095546880</v>
      </c>
      <c r="F2754" s="4"/>
      <c r="G2754" s="10" t="s">
        <v>421</v>
      </c>
      <c r="H2754" s="4"/>
      <c r="I2754" s="10" t="str">
        <f>HYPERLINK("http://twitter.com/download/android","Twitter for Android")</f>
        <v>Twitter for Android</v>
      </c>
      <c r="J2754" s="2">
        <v>1086</v>
      </c>
      <c r="K2754" s="2">
        <v>650</v>
      </c>
      <c r="L2754" s="2">
        <v>5</v>
      </c>
      <c r="M2754" s="2"/>
      <c r="N2754" s="8">
        <v>41791.892696759256</v>
      </c>
      <c r="O2754" s="4" t="s">
        <v>340</v>
      </c>
      <c r="P2754" s="3" t="s">
        <v>339</v>
      </c>
      <c r="Q2754" s="10" t="s">
        <v>338</v>
      </c>
      <c r="R2754" s="4"/>
      <c r="S2754" s="9" t="str">
        <f>HYPERLINK("https://pbs.twimg.com/profile_images/1044967591222087680/0GW2vhal.jpg","View")</f>
        <v>View</v>
      </c>
    </row>
    <row r="2755" spans="1:19" ht="30">
      <c r="A2755" s="8">
        <v>43369.858599537038</v>
      </c>
      <c r="B2755" s="11" t="str">
        <f>HYPERLINK("https://twitter.com/manochman","@manochman")</f>
        <v>@manochman</v>
      </c>
      <c r="C2755" s="6" t="s">
        <v>720</v>
      </c>
      <c r="D2755" s="5" t="s">
        <v>687</v>
      </c>
      <c r="E2755" s="9" t="str">
        <f>HYPERLINK("https://twitter.com/manochman/status/1044996619798802437","1044996619798802437")</f>
        <v>1044996619798802437</v>
      </c>
      <c r="F2755" s="4"/>
      <c r="G2755" s="10" t="s">
        <v>686</v>
      </c>
      <c r="H2755" s="4"/>
      <c r="I2755" s="10" t="str">
        <f>HYPERLINK("http://twitter.com/download/android","Twitter for Android")</f>
        <v>Twitter for Android</v>
      </c>
      <c r="J2755" s="2">
        <v>209</v>
      </c>
      <c r="K2755" s="2">
        <v>475</v>
      </c>
      <c r="L2755" s="2">
        <v>0</v>
      </c>
      <c r="M2755" s="2"/>
      <c r="N2755" s="8">
        <v>40834.923796296294</v>
      </c>
      <c r="O2755" s="4" t="s">
        <v>62</v>
      </c>
      <c r="P2755" s="3" t="s">
        <v>719</v>
      </c>
      <c r="Q2755" s="4"/>
      <c r="R2755" s="4"/>
      <c r="S2755" s="9" t="str">
        <f>HYPERLINK("https://pbs.twimg.com/profile_images/1044663541725376514/YrB5kUbi.jpg","View")</f>
        <v>View</v>
      </c>
    </row>
    <row r="2756" spans="1:19" ht="30">
      <c r="A2756" s="8">
        <v>43369.85837962963</v>
      </c>
      <c r="B2756" s="11" t="str">
        <f>HYPERLINK("https://twitter.com/abo2575","@abo2575")</f>
        <v>@abo2575</v>
      </c>
      <c r="C2756" s="6" t="s">
        <v>718</v>
      </c>
      <c r="D2756" s="5" t="s">
        <v>699</v>
      </c>
      <c r="E2756" s="9" t="str">
        <f>HYPERLINK("https://twitter.com/abo2575/status/1044996539003928576","1044996539003928576")</f>
        <v>1044996539003928576</v>
      </c>
      <c r="F2756" s="4"/>
      <c r="G2756" s="10" t="s">
        <v>698</v>
      </c>
      <c r="H2756" s="4"/>
      <c r="I2756" s="10" t="str">
        <f>HYPERLINK("http://twitter.com/download/android","Twitter for Android")</f>
        <v>Twitter for Android</v>
      </c>
      <c r="J2756" s="2">
        <v>1632</v>
      </c>
      <c r="K2756" s="2">
        <v>855</v>
      </c>
      <c r="L2756" s="2">
        <v>1</v>
      </c>
      <c r="M2756" s="2"/>
      <c r="N2756" s="8">
        <v>42771.551018518519</v>
      </c>
      <c r="O2756" s="4"/>
      <c r="P2756" s="3" t="s">
        <v>717</v>
      </c>
      <c r="Q2756" s="4"/>
      <c r="R2756" s="4"/>
      <c r="S2756" s="9" t="str">
        <f>HYPERLINK("https://pbs.twimg.com/profile_images/1043947990115930112/oMnEIfaq.jpg","View")</f>
        <v>View</v>
      </c>
    </row>
    <row r="2757" spans="1:19" ht="20">
      <c r="A2757" s="8">
        <v>43369.858124999999</v>
      </c>
      <c r="B2757" s="11" t="str">
        <f>HYPERLINK("https://twitter.com/Mr30bilo","@Mr30bilo")</f>
        <v>@Mr30bilo</v>
      </c>
      <c r="C2757" s="6" t="s">
        <v>716</v>
      </c>
      <c r="D2757" s="5" t="s">
        <v>627</v>
      </c>
      <c r="E2757" s="9" t="str">
        <f>HYPERLINK("https://twitter.com/Mr30bilo/status/1044996447647748096","1044996447647748096")</f>
        <v>1044996447647748096</v>
      </c>
      <c r="F2757" s="4"/>
      <c r="G2757" s="10" t="s">
        <v>619</v>
      </c>
      <c r="H2757" s="4"/>
      <c r="I2757" s="10" t="str">
        <f>HYPERLINK("http://twitter.com/download/android","Twitter for Android")</f>
        <v>Twitter for Android</v>
      </c>
      <c r="J2757" s="2">
        <v>1674</v>
      </c>
      <c r="K2757" s="2">
        <v>1642</v>
      </c>
      <c r="L2757" s="2">
        <v>2</v>
      </c>
      <c r="M2757" s="2"/>
      <c r="N2757" s="8">
        <v>43324.043113425927</v>
      </c>
      <c r="O2757" s="4" t="s">
        <v>62</v>
      </c>
      <c r="P2757" s="3" t="s">
        <v>715</v>
      </c>
      <c r="Q2757" s="10" t="s">
        <v>714</v>
      </c>
      <c r="R2757" s="4"/>
      <c r="S2757" s="9" t="str">
        <f>HYPERLINK("https://pbs.twimg.com/profile_images/1039795587997163521/Yv-4G512.jpg","View")</f>
        <v>View</v>
      </c>
    </row>
    <row r="2758" spans="1:19" ht="20">
      <c r="A2758" s="8">
        <v>43369.857870370368</v>
      </c>
      <c r="B2758" s="11" t="str">
        <f>HYPERLINK("https://twitter.com/hanazAmini","@hanazAmini")</f>
        <v>@hanazAmini</v>
      </c>
      <c r="C2758" s="6" t="s">
        <v>713</v>
      </c>
      <c r="D2758" s="5" t="s">
        <v>712</v>
      </c>
      <c r="E2758" s="9" t="str">
        <f>HYPERLINK("https://twitter.com/hanazAmini/status/1044996355192705032","1044996355192705032")</f>
        <v>1044996355192705032</v>
      </c>
      <c r="F2758" s="4"/>
      <c r="G2758" s="4"/>
      <c r="H2758" s="4"/>
      <c r="I2758" s="10" t="str">
        <f>HYPERLINK("http://twitter.com/download/android","Twitter for Android")</f>
        <v>Twitter for Android</v>
      </c>
      <c r="J2758" s="2">
        <v>779</v>
      </c>
      <c r="K2758" s="2">
        <v>391</v>
      </c>
      <c r="L2758" s="2">
        <v>3</v>
      </c>
      <c r="M2758" s="2"/>
      <c r="N2758" s="8">
        <v>42946.992534722223</v>
      </c>
      <c r="O2758" s="4" t="s">
        <v>711</v>
      </c>
      <c r="P2758" s="3" t="s">
        <v>710</v>
      </c>
      <c r="Q2758" s="10" t="s">
        <v>709</v>
      </c>
      <c r="R2758" s="4"/>
      <c r="S2758" s="9" t="str">
        <f>HYPERLINK("https://pbs.twimg.com/profile_images/1038879762184384513/DFHlLokA.jpg","View")</f>
        <v>View</v>
      </c>
    </row>
    <row r="2759" spans="1:19" ht="30">
      <c r="A2759" s="8">
        <v>43369.857835648145</v>
      </c>
      <c r="B2759" s="11" t="str">
        <f>HYPERLINK("https://twitter.com/Javid_Iran","@Javid_Iran")</f>
        <v>@Javid_Iran</v>
      </c>
      <c r="C2759" s="6" t="s">
        <v>708</v>
      </c>
      <c r="D2759" s="5" t="s">
        <v>408</v>
      </c>
      <c r="E2759" s="9" t="str">
        <f>HYPERLINK("https://twitter.com/Javid_Iran/status/1044996340785139712","1044996340785139712")</f>
        <v>1044996340785139712</v>
      </c>
      <c r="F2759" s="4"/>
      <c r="G2759" s="4"/>
      <c r="H2759" s="4"/>
      <c r="I2759" s="10" t="str">
        <f>HYPERLINK("http://twitter.com/download/android","Twitter for Android")</f>
        <v>Twitter for Android</v>
      </c>
      <c r="J2759" s="2">
        <v>182</v>
      </c>
      <c r="K2759" s="2">
        <v>167</v>
      </c>
      <c r="L2759" s="2">
        <v>0</v>
      </c>
      <c r="M2759" s="2"/>
      <c r="N2759" s="8">
        <v>39981.311307870368</v>
      </c>
      <c r="O2759" s="4"/>
      <c r="P2759" s="3"/>
      <c r="Q2759" s="4"/>
      <c r="R2759" s="4"/>
      <c r="S2759" s="9" t="str">
        <f>HYPERLINK("https://pbs.twimg.com/profile_images/267672580/www_mihanam_com_old_20_280_29-Derafshe_Kavyani.jpg","View")</f>
        <v>View</v>
      </c>
    </row>
    <row r="2760" spans="1:19" ht="30">
      <c r="A2760" s="8">
        <v>43369.857488425929</v>
      </c>
      <c r="B2760" s="11" t="str">
        <f>HYPERLINK("https://twitter.com/Pariiia1","@Pariiia1")</f>
        <v>@Pariiia1</v>
      </c>
      <c r="C2760" s="6" t="s">
        <v>557</v>
      </c>
      <c r="D2760" s="5" t="s">
        <v>707</v>
      </c>
      <c r="E2760" s="9" t="str">
        <f>HYPERLINK("https://twitter.com/Pariiia1/status/1044996216852041729","1044996216852041729")</f>
        <v>1044996216852041729</v>
      </c>
      <c r="F2760" s="4"/>
      <c r="G2760" s="10" t="s">
        <v>706</v>
      </c>
      <c r="H2760" s="4"/>
      <c r="I2760" s="10" t="str">
        <f>HYPERLINK("http://twitter.com/download/android","Twitter for Android")</f>
        <v>Twitter for Android</v>
      </c>
      <c r="J2760" s="2">
        <v>1597</v>
      </c>
      <c r="K2760" s="2">
        <v>1541</v>
      </c>
      <c r="L2760" s="2">
        <v>7</v>
      </c>
      <c r="M2760" s="2"/>
      <c r="N2760" s="8">
        <v>42945.723449074074</v>
      </c>
      <c r="O2760" s="4" t="s">
        <v>556</v>
      </c>
      <c r="P2760" s="3" t="s">
        <v>555</v>
      </c>
      <c r="Q2760" s="10" t="s">
        <v>554</v>
      </c>
      <c r="R2760" s="4"/>
      <c r="S2760" s="9" t="str">
        <f>HYPERLINK("https://pbs.twimg.com/profile_images/1044937384335478784/roLNo0FT.jpg","View")</f>
        <v>View</v>
      </c>
    </row>
    <row r="2761" spans="1:19" ht="20">
      <c r="A2761" s="8">
        <v>43369.857314814813</v>
      </c>
      <c r="B2761" s="11" t="str">
        <f>HYPERLINK("https://twitter.com/MohsenBagheri16","@MohsenBagheri16")</f>
        <v>@MohsenBagheri16</v>
      </c>
      <c r="C2761" s="6" t="s">
        <v>705</v>
      </c>
      <c r="D2761" s="5" t="s">
        <v>498</v>
      </c>
      <c r="E2761" s="9" t="str">
        <f>HYPERLINK("https://twitter.com/MohsenBagheri16/status/1044996154348490755","1044996154348490755")</f>
        <v>1044996154348490755</v>
      </c>
      <c r="F2761" s="4"/>
      <c r="G2761" s="4"/>
      <c r="H2761" s="4"/>
      <c r="I2761" s="10" t="str">
        <f>HYPERLINK("http://twitter.com/download/iphone","Twitter for iPhone")</f>
        <v>Twitter for iPhone</v>
      </c>
      <c r="J2761" s="2">
        <v>327</v>
      </c>
      <c r="K2761" s="2">
        <v>319</v>
      </c>
      <c r="L2761" s="2">
        <v>1</v>
      </c>
      <c r="M2761" s="2"/>
      <c r="N2761" s="8">
        <v>42411.549861111111</v>
      </c>
      <c r="O2761" s="4"/>
      <c r="P2761" s="3" t="s">
        <v>704</v>
      </c>
      <c r="Q2761" s="4"/>
      <c r="R2761" s="4"/>
      <c r="S2761" s="9" t="str">
        <f>HYPERLINK("https://pbs.twimg.com/profile_images/1040916156272533504/RPYEjLR4.jpg","View")</f>
        <v>View</v>
      </c>
    </row>
    <row r="2762" spans="1:19" ht="12.5">
      <c r="A2762" s="8">
        <v>43369.857303240744</v>
      </c>
      <c r="B2762" s="11" t="str">
        <f>HYPERLINK("https://twitter.com/sajjadzandilak","@sajjadzandilak")</f>
        <v>@sajjadzandilak</v>
      </c>
      <c r="C2762" s="6" t="s">
        <v>703</v>
      </c>
      <c r="D2762" s="5" t="s">
        <v>627</v>
      </c>
      <c r="E2762" s="9" t="str">
        <f>HYPERLINK("https://twitter.com/sajjadzandilak/status/1044996148472283136","1044996148472283136")</f>
        <v>1044996148472283136</v>
      </c>
      <c r="F2762" s="4"/>
      <c r="G2762" s="10" t="s">
        <v>619</v>
      </c>
      <c r="H2762" s="4"/>
      <c r="I2762" s="10" t="str">
        <f>HYPERLINK("http://t.me/RetweetBot","HsinBot")</f>
        <v>HsinBot</v>
      </c>
      <c r="J2762" s="2">
        <v>8031</v>
      </c>
      <c r="K2762" s="2">
        <v>6252</v>
      </c>
      <c r="L2762" s="2">
        <v>17</v>
      </c>
      <c r="M2762" s="2"/>
      <c r="N2762" s="8">
        <v>42910.940162037034</v>
      </c>
      <c r="O2762" s="4" t="s">
        <v>702</v>
      </c>
      <c r="P2762" s="3" t="s">
        <v>701</v>
      </c>
      <c r="Q2762" s="4"/>
      <c r="R2762" s="4"/>
      <c r="S2762" s="9" t="str">
        <f>HYPERLINK("https://pbs.twimg.com/profile_images/1044081981905141761/JmfTZu06.jpg","View")</f>
        <v>View</v>
      </c>
    </row>
    <row r="2763" spans="1:19" ht="30">
      <c r="A2763" s="8">
        <v>43369.856817129628</v>
      </c>
      <c r="B2763" s="11" t="str">
        <f>HYPERLINK("https://twitter.com/aloneboycity","@aloneboycity")</f>
        <v>@aloneboycity</v>
      </c>
      <c r="C2763" s="6" t="s">
        <v>700</v>
      </c>
      <c r="D2763" s="5" t="s">
        <v>699</v>
      </c>
      <c r="E2763" s="9" t="str">
        <f>HYPERLINK("https://twitter.com/aloneboycity/status/1044995973934706695","1044995973934706695")</f>
        <v>1044995973934706695</v>
      </c>
      <c r="F2763" s="4"/>
      <c r="G2763" s="10" t="s">
        <v>698</v>
      </c>
      <c r="H2763" s="4"/>
      <c r="I2763" s="10" t="str">
        <f>HYPERLINK("http://twitter.com/download/android","Twitter for Android")</f>
        <v>Twitter for Android</v>
      </c>
      <c r="J2763" s="2">
        <v>792</v>
      </c>
      <c r="K2763" s="2">
        <v>895</v>
      </c>
      <c r="L2763" s="2">
        <v>0</v>
      </c>
      <c r="M2763" s="2"/>
      <c r="N2763" s="8">
        <v>43178.59547453704</v>
      </c>
      <c r="O2763" s="4" t="s">
        <v>697</v>
      </c>
      <c r="P2763" s="3" t="s">
        <v>696</v>
      </c>
      <c r="Q2763" s="4"/>
      <c r="R2763" s="4"/>
      <c r="S2763" s="9" t="str">
        <f>HYPERLINK("https://pbs.twimg.com/profile_images/1043792266299674624/vdBrQkbX.jpg","View")</f>
        <v>View</v>
      </c>
    </row>
    <row r="2764" spans="1:19" ht="30">
      <c r="A2764" s="8">
        <v>43369.856805555552</v>
      </c>
      <c r="B2764" s="11" t="str">
        <f>HYPERLINK("https://twitter.com/matthew_langfor","@matthew_langfor")</f>
        <v>@matthew_langfor</v>
      </c>
      <c r="C2764" s="6" t="s">
        <v>695</v>
      </c>
      <c r="D2764" s="5" t="s">
        <v>159</v>
      </c>
      <c r="E2764" s="9" t="str">
        <f>HYPERLINK("https://twitter.com/matthew_langfor/status/1044995966691143686","1044995966691143686")</f>
        <v>1044995966691143686</v>
      </c>
      <c r="F2764" s="4"/>
      <c r="G2764" s="4"/>
      <c r="H2764" s="4"/>
      <c r="I2764" s="10" t="str">
        <f>HYPERLINK("http://twitter.com/download/android","Twitter for Android")</f>
        <v>Twitter for Android</v>
      </c>
      <c r="J2764" s="2">
        <v>551</v>
      </c>
      <c r="K2764" s="2">
        <v>488</v>
      </c>
      <c r="L2764" s="2">
        <v>1</v>
      </c>
      <c r="M2764" s="2"/>
      <c r="N2764" s="8">
        <v>43104.426099537042</v>
      </c>
      <c r="O2764" s="4" t="s">
        <v>55</v>
      </c>
      <c r="P2764" s="3" t="s">
        <v>694</v>
      </c>
      <c r="Q2764" s="4"/>
      <c r="R2764" s="4"/>
      <c r="S2764" s="9" t="str">
        <f>HYPERLINK("https://pbs.twimg.com/profile_images/1031098977687625729/CMv0mh6M.jpg","View")</f>
        <v>View</v>
      </c>
    </row>
    <row r="2765" spans="1:19" ht="40">
      <c r="A2765" s="8">
        <v>43369.85637731482</v>
      </c>
      <c r="B2765" s="11" t="str">
        <f>HYPERLINK("https://twitter.com/reza9959","@reza9959")</f>
        <v>@reza9959</v>
      </c>
      <c r="C2765" s="6" t="s">
        <v>693</v>
      </c>
      <c r="D2765" s="5" t="s">
        <v>20</v>
      </c>
      <c r="E2765" s="9" t="str">
        <f>HYPERLINK("https://twitter.com/reza9959/status/1044995811359301633","1044995811359301633")</f>
        <v>1044995811359301633</v>
      </c>
      <c r="F2765" s="4"/>
      <c r="G2765" s="10" t="s">
        <v>19</v>
      </c>
      <c r="H2765" s="4"/>
      <c r="I2765" s="10" t="str">
        <f>HYPERLINK("http://twitter.com/download/android","Twitter for Android")</f>
        <v>Twitter for Android</v>
      </c>
      <c r="J2765" s="2">
        <v>1281</v>
      </c>
      <c r="K2765" s="2">
        <v>1371</v>
      </c>
      <c r="L2765" s="2">
        <v>1</v>
      </c>
      <c r="M2765" s="2"/>
      <c r="N2765" s="8">
        <v>43060.81894675926</v>
      </c>
      <c r="O2765" s="4" t="s">
        <v>692</v>
      </c>
      <c r="P2765" s="3" t="s">
        <v>691</v>
      </c>
      <c r="Q2765" s="10" t="s">
        <v>690</v>
      </c>
      <c r="R2765" s="4"/>
      <c r="S2765" s="9" t="str">
        <f>HYPERLINK("https://pbs.twimg.com/profile_images/1043964790971019269/yM8k3GkI.jpg","View")</f>
        <v>View</v>
      </c>
    </row>
    <row r="2766" spans="1:19" ht="12.5">
      <c r="A2766" s="8">
        <v>43369.846354166672</v>
      </c>
      <c r="B2766" s="11" t="str">
        <f>HYPERLINK("https://twitter.com/k_rez1","@k_rez1")</f>
        <v>@k_rez1</v>
      </c>
      <c r="C2766" s="6" t="s">
        <v>665</v>
      </c>
      <c r="D2766" s="5" t="s">
        <v>689</v>
      </c>
      <c r="E2766" s="9" t="str">
        <f>HYPERLINK("https://twitter.com/k_rez1/status/1044992179750522881","1044992179750522881")</f>
        <v>1044992179750522881</v>
      </c>
      <c r="F2766" s="4"/>
      <c r="G2766" s="10" t="s">
        <v>688</v>
      </c>
      <c r="H2766" s="4"/>
      <c r="I2766" s="10" t="str">
        <f>HYPERLINK("http://twitter.com/download/android","Twitter for Android")</f>
        <v>Twitter for Android</v>
      </c>
      <c r="J2766" s="2">
        <v>4167</v>
      </c>
      <c r="K2766" s="2">
        <v>2425</v>
      </c>
      <c r="L2766" s="2">
        <v>11</v>
      </c>
      <c r="M2766" s="2"/>
      <c r="N2766" s="8">
        <v>43102.517060185186</v>
      </c>
      <c r="O2766" s="4"/>
      <c r="P2766" s="3" t="s">
        <v>664</v>
      </c>
      <c r="Q2766" s="4"/>
      <c r="R2766" s="4"/>
      <c r="S2766" s="9" t="str">
        <f>HYPERLINK("https://pbs.twimg.com/profile_images/1040661642097373184/kGpkn4yZ.jpg","View")</f>
        <v>View</v>
      </c>
    </row>
    <row r="2767" spans="1:19" ht="20">
      <c r="A2767" s="8">
        <v>43369.846250000002</v>
      </c>
      <c r="B2767" s="11" t="str">
        <f>HYPERLINK("https://twitter.com/k_rez1","@k_rez1")</f>
        <v>@k_rez1</v>
      </c>
      <c r="C2767" s="6" t="s">
        <v>665</v>
      </c>
      <c r="D2767" s="5" t="s">
        <v>687</v>
      </c>
      <c r="E2767" s="9" t="str">
        <f>HYPERLINK("https://twitter.com/k_rez1/status/1044992144476442624","1044992144476442624")</f>
        <v>1044992144476442624</v>
      </c>
      <c r="F2767" s="4"/>
      <c r="G2767" s="10" t="s">
        <v>686</v>
      </c>
      <c r="H2767" s="4"/>
      <c r="I2767" s="10" t="str">
        <f>HYPERLINK("http://twitter.com/download/android","Twitter for Android")</f>
        <v>Twitter for Android</v>
      </c>
      <c r="J2767" s="2">
        <v>4167</v>
      </c>
      <c r="K2767" s="2">
        <v>2425</v>
      </c>
      <c r="L2767" s="2">
        <v>11</v>
      </c>
      <c r="M2767" s="2"/>
      <c r="N2767" s="8">
        <v>43102.517060185186</v>
      </c>
      <c r="O2767" s="4"/>
      <c r="P2767" s="3" t="s">
        <v>664</v>
      </c>
      <c r="Q2767" s="4"/>
      <c r="R2767" s="4"/>
      <c r="S2767" s="9" t="str">
        <f>HYPERLINK("https://pbs.twimg.com/profile_images/1040661642097373184/kGpkn4yZ.jpg","View")</f>
        <v>View</v>
      </c>
    </row>
    <row r="2768" spans="1:19" ht="40">
      <c r="A2768" s="8">
        <v>43369.845833333333</v>
      </c>
      <c r="B2768" s="11" t="str">
        <f>HYPERLINK("https://twitter.com/lostghost007","@lostghost007")</f>
        <v>@lostghost007</v>
      </c>
      <c r="C2768" s="6" t="s">
        <v>685</v>
      </c>
      <c r="D2768" s="5" t="s">
        <v>684</v>
      </c>
      <c r="E2768" s="9" t="str">
        <f>HYPERLINK("https://twitter.com/lostghost007/status/1044991989673062401","1044991989673062401")</f>
        <v>1044991989673062401</v>
      </c>
      <c r="F2768" s="4"/>
      <c r="G2768" s="4"/>
      <c r="H2768" s="4"/>
      <c r="I2768" s="10" t="str">
        <f>HYPERLINK("http://twitter.com/download/android","Twitter for Android")</f>
        <v>Twitter for Android</v>
      </c>
      <c r="J2768" s="2">
        <v>701</v>
      </c>
      <c r="K2768" s="2">
        <v>727</v>
      </c>
      <c r="L2768" s="2">
        <v>0</v>
      </c>
      <c r="M2768" s="2"/>
      <c r="N2768" s="8">
        <v>43134.69253472222</v>
      </c>
      <c r="O2768" s="4" t="s">
        <v>683</v>
      </c>
      <c r="P2768" s="3" t="s">
        <v>682</v>
      </c>
      <c r="Q2768" s="4"/>
      <c r="R2768" s="4"/>
      <c r="S2768" s="9" t="str">
        <f>HYPERLINK("https://pbs.twimg.com/profile_images/1035831525437190144/8dy5Mu85.jpg","View")</f>
        <v>View</v>
      </c>
    </row>
    <row r="2769" spans="1:19" ht="30">
      <c r="A2769" s="8">
        <v>43369.845821759256</v>
      </c>
      <c r="B2769" s="11" t="str">
        <f>HYPERLINK("https://twitter.com/amir758kh","@amir758kh")</f>
        <v>@amir758kh</v>
      </c>
      <c r="C2769" s="6" t="s">
        <v>681</v>
      </c>
      <c r="D2769" s="5" t="s">
        <v>680</v>
      </c>
      <c r="E2769" s="9" t="str">
        <f>HYPERLINK("https://twitter.com/amir758kh/status/1044991986615422976","1044991986615422976")</f>
        <v>1044991986615422976</v>
      </c>
      <c r="F2769" s="4"/>
      <c r="G2769" s="4"/>
      <c r="H2769" s="4"/>
      <c r="I2769" s="10" t="str">
        <f>HYPERLINK("http://twitter.com/download/android","Twitter for Android")</f>
        <v>Twitter for Android</v>
      </c>
      <c r="J2769" s="2">
        <v>187</v>
      </c>
      <c r="K2769" s="2">
        <v>320</v>
      </c>
      <c r="L2769" s="2">
        <v>0</v>
      </c>
      <c r="M2769" s="2"/>
      <c r="N2769" s="8">
        <v>41240.859444444446</v>
      </c>
      <c r="O2769" s="4" t="s">
        <v>679</v>
      </c>
      <c r="P2769" s="3" t="s">
        <v>678</v>
      </c>
      <c r="Q2769" s="4"/>
      <c r="R2769" s="4"/>
      <c r="S2769" s="9" t="str">
        <f>HYPERLINK("https://pbs.twimg.com/profile_images/1013281762850504705/RmQek73U.jpg","View")</f>
        <v>View</v>
      </c>
    </row>
    <row r="2770" spans="1:19" ht="30">
      <c r="A2770" s="8">
        <v>43369.845706018517</v>
      </c>
      <c r="B2770" s="11" t="str">
        <f>HYPERLINK("https://twitter.com/kOWeseBr1NtGDFf","@kOWeseBr1NtGDFf")</f>
        <v>@kOWeseBr1NtGDFf</v>
      </c>
      <c r="C2770" s="6" t="s">
        <v>677</v>
      </c>
      <c r="D2770" s="5" t="s">
        <v>408</v>
      </c>
      <c r="E2770" s="9" t="str">
        <f>HYPERLINK("https://twitter.com/kOWeseBr1NtGDFf/status/1044991947549679616","1044991947549679616")</f>
        <v>1044991947549679616</v>
      </c>
      <c r="F2770" s="4"/>
      <c r="G2770" s="4"/>
      <c r="H2770" s="4"/>
      <c r="I2770" s="10" t="str">
        <f>HYPERLINK("http://twitter.com/download/android","Twitter for Android")</f>
        <v>Twitter for Android</v>
      </c>
      <c r="J2770" s="2">
        <v>199</v>
      </c>
      <c r="K2770" s="2">
        <v>507</v>
      </c>
      <c r="L2770" s="2">
        <v>0</v>
      </c>
      <c r="M2770" s="2"/>
      <c r="N2770" s="8">
        <v>43236.971261574072</v>
      </c>
      <c r="O2770" s="4" t="s">
        <v>676</v>
      </c>
      <c r="P2770" s="3" t="s">
        <v>675</v>
      </c>
      <c r="Q2770" s="4"/>
      <c r="R2770" s="4"/>
      <c r="S2770" s="9" t="str">
        <f>HYPERLINK("https://pbs.twimg.com/profile_images/996848788277952512/aZJTXPsd.jpg","View")</f>
        <v>View</v>
      </c>
    </row>
    <row r="2771" spans="1:19" ht="30">
      <c r="A2771" s="8">
        <v>43369.845706018517</v>
      </c>
      <c r="B2771" s="11" t="str">
        <f>HYPERLINK("https://twitter.com/AmirFassihi","@AmirFassihi")</f>
        <v>@AmirFassihi</v>
      </c>
      <c r="C2771" s="6" t="s">
        <v>674</v>
      </c>
      <c r="D2771" s="5" t="s">
        <v>408</v>
      </c>
      <c r="E2771" s="9" t="str">
        <f>HYPERLINK("https://twitter.com/AmirFassihi/status/1044991946412814337","1044991946412814337")</f>
        <v>1044991946412814337</v>
      </c>
      <c r="F2771" s="4"/>
      <c r="G2771" s="4"/>
      <c r="H2771" s="4"/>
      <c r="I2771" s="10" t="str">
        <f>HYPERLINK("http://twitter.com/download/android","Twitter for Android")</f>
        <v>Twitter for Android</v>
      </c>
      <c r="J2771" s="2">
        <v>751</v>
      </c>
      <c r="K2771" s="2">
        <v>820</v>
      </c>
      <c r="L2771" s="2">
        <v>11</v>
      </c>
      <c r="M2771" s="2"/>
      <c r="N2771" s="8">
        <v>39949.41443287037</v>
      </c>
      <c r="O2771" s="4" t="s">
        <v>673</v>
      </c>
      <c r="P2771" s="3" t="s">
        <v>672</v>
      </c>
      <c r="Q2771" s="4"/>
      <c r="R2771" s="4"/>
      <c r="S2771" s="9" t="str">
        <f>HYPERLINK("https://pbs.twimg.com/profile_images/2845892275/55b93bb4901270874450a0d5be8d4835.jpeg","View")</f>
        <v>View</v>
      </c>
    </row>
    <row r="2772" spans="1:19" ht="30">
      <c r="A2772" s="8">
        <v>43369.843182870369</v>
      </c>
      <c r="B2772" s="11" t="str">
        <f>HYPERLINK("https://twitter.com/dsfrdrdy80","@dsfrdrdy80")</f>
        <v>@dsfrdrdy80</v>
      </c>
      <c r="C2772" s="6" t="s">
        <v>671</v>
      </c>
      <c r="D2772" s="5" t="s">
        <v>408</v>
      </c>
      <c r="E2772" s="9" t="str">
        <f>HYPERLINK("https://twitter.com/dsfrdrdy80/status/1044991032839086081","1044991032839086081")</f>
        <v>1044991032839086081</v>
      </c>
      <c r="F2772" s="4"/>
      <c r="G2772" s="4"/>
      <c r="H2772" s="4"/>
      <c r="I2772" s="10" t="str">
        <f>HYPERLINK("http://twitter.com/download/android","Twitter for Android")</f>
        <v>Twitter for Android</v>
      </c>
      <c r="J2772" s="2">
        <v>475</v>
      </c>
      <c r="K2772" s="2">
        <v>1241</v>
      </c>
      <c r="L2772" s="2">
        <v>2</v>
      </c>
      <c r="M2772" s="2"/>
      <c r="N2772" s="8">
        <v>43310.97856481481</v>
      </c>
      <c r="O2772" s="4"/>
      <c r="P2772" s="3" t="s">
        <v>670</v>
      </c>
      <c r="Q2772" s="4"/>
      <c r="R2772" s="4"/>
      <c r="S2772" s="9" t="str">
        <f>HYPERLINK("https://pbs.twimg.com/profile_images/1024674072079294466/MCTUxk8i.jpg","View")</f>
        <v>View</v>
      </c>
    </row>
    <row r="2773" spans="1:19" ht="30">
      <c r="A2773" s="8">
        <v>43369.843159722222</v>
      </c>
      <c r="B2773" s="11" t="str">
        <f>HYPERLINK("https://twitter.com/marmiiihastammm","@marmiiihastammm")</f>
        <v>@marmiiihastammm</v>
      </c>
      <c r="C2773" s="6" t="s">
        <v>669</v>
      </c>
      <c r="D2773" s="5" t="s">
        <v>408</v>
      </c>
      <c r="E2773" s="9" t="str">
        <f>HYPERLINK("https://twitter.com/marmiiihastammm/status/1044991022642712576","1044991022642712576")</f>
        <v>1044991022642712576</v>
      </c>
      <c r="F2773" s="4"/>
      <c r="G2773" s="4"/>
      <c r="H2773" s="4"/>
      <c r="I2773" s="10" t="str">
        <f>HYPERLINK("http://twitter.com/download/iphone","Twitter for iPhone")</f>
        <v>Twitter for iPhone</v>
      </c>
      <c r="J2773" s="2">
        <v>266</v>
      </c>
      <c r="K2773" s="2">
        <v>599</v>
      </c>
      <c r="L2773" s="2">
        <v>0</v>
      </c>
      <c r="M2773" s="2"/>
      <c r="N2773" s="8">
        <v>42428.000439814816</v>
      </c>
      <c r="O2773" s="4"/>
      <c r="P2773" s="3" t="s">
        <v>668</v>
      </c>
      <c r="Q2773" s="4"/>
      <c r="R2773" s="4"/>
      <c r="S2773" s="9" t="str">
        <f>HYPERLINK("https://pbs.twimg.com/profile_images/1003998124027850752/WohleLIZ.jpg","View")</f>
        <v>View</v>
      </c>
    </row>
    <row r="2774" spans="1:19" ht="30">
      <c r="A2774" s="8">
        <v>43369.841828703706</v>
      </c>
      <c r="B2774" s="11" t="str">
        <f>HYPERLINK("https://twitter.com/arash_seturban","@arash_seturban")</f>
        <v>@arash_seturban</v>
      </c>
      <c r="C2774" s="6" t="s">
        <v>667</v>
      </c>
      <c r="D2774" s="5" t="s">
        <v>408</v>
      </c>
      <c r="E2774" s="9" t="str">
        <f>HYPERLINK("https://twitter.com/arash_seturban/status/1044990541669314560","1044990541669314560")</f>
        <v>1044990541669314560</v>
      </c>
      <c r="F2774" s="4"/>
      <c r="G2774" s="4"/>
      <c r="H2774" s="4"/>
      <c r="I2774" s="10" t="str">
        <f>HYPERLINK("http://twitter.com/download/android","Twitter for Android")</f>
        <v>Twitter for Android</v>
      </c>
      <c r="J2774" s="2">
        <v>934</v>
      </c>
      <c r="K2774" s="2">
        <v>1037</v>
      </c>
      <c r="L2774" s="2">
        <v>1</v>
      </c>
      <c r="M2774" s="2"/>
      <c r="N2774" s="8">
        <v>43224.931608796294</v>
      </c>
      <c r="O2774" s="4"/>
      <c r="P2774" s="3" t="s">
        <v>666</v>
      </c>
      <c r="Q2774" s="4"/>
      <c r="R2774" s="4"/>
      <c r="S2774" s="9" t="str">
        <f>HYPERLINK("https://pbs.twimg.com/profile_images/1042436824873009152/XiHS92P5.jpg","View")</f>
        <v>View</v>
      </c>
    </row>
    <row r="2775" spans="1:19" ht="40">
      <c r="A2775" s="8">
        <v>43369.841817129629</v>
      </c>
      <c r="B2775" s="11" t="str">
        <f>HYPERLINK("https://twitter.com/k_rez1","@k_rez1")</f>
        <v>@k_rez1</v>
      </c>
      <c r="C2775" s="6" t="s">
        <v>665</v>
      </c>
      <c r="D2775" s="5" t="s">
        <v>422</v>
      </c>
      <c r="E2775" s="9" t="str">
        <f>HYPERLINK("https://twitter.com/k_rez1/status/1044990537177198592","1044990537177198592")</f>
        <v>1044990537177198592</v>
      </c>
      <c r="F2775" s="4"/>
      <c r="G2775" s="10" t="s">
        <v>421</v>
      </c>
      <c r="H2775" s="4"/>
      <c r="I2775" s="10" t="str">
        <f>HYPERLINK("http://twitter.com/download/android","Twitter for Android")</f>
        <v>Twitter for Android</v>
      </c>
      <c r="J2775" s="2">
        <v>4167</v>
      </c>
      <c r="K2775" s="2">
        <v>2425</v>
      </c>
      <c r="L2775" s="2">
        <v>11</v>
      </c>
      <c r="M2775" s="2"/>
      <c r="N2775" s="8">
        <v>43102.517060185186</v>
      </c>
      <c r="O2775" s="4"/>
      <c r="P2775" s="3" t="s">
        <v>664</v>
      </c>
      <c r="Q2775" s="4"/>
      <c r="R2775" s="4"/>
      <c r="S2775" s="9" t="str">
        <f>HYPERLINK("https://pbs.twimg.com/profile_images/1040661642097373184/kGpkn4yZ.jpg","View")</f>
        <v>View</v>
      </c>
    </row>
    <row r="2776" spans="1:19" ht="20">
      <c r="A2776" s="8">
        <v>43369.840682870374</v>
      </c>
      <c r="B2776" s="11" t="str">
        <f>HYPERLINK("https://twitter.com/TaghaviLaleh","@TaghaviLaleh")</f>
        <v>@TaghaviLaleh</v>
      </c>
      <c r="C2776" s="6" t="s">
        <v>663</v>
      </c>
      <c r="D2776" s="5" t="s">
        <v>662</v>
      </c>
      <c r="E2776" s="9" t="str">
        <f>HYPERLINK("https://twitter.com/TaghaviLaleh/status/1044990125967650820","1044990125967650820")</f>
        <v>1044990125967650820</v>
      </c>
      <c r="F2776" s="4"/>
      <c r="G2776" s="4"/>
      <c r="H2776" s="4"/>
      <c r="I2776" s="10" t="str">
        <f>HYPERLINK("http://twitter.com/download/android","Twitter for Android")</f>
        <v>Twitter for Android</v>
      </c>
      <c r="J2776" s="2">
        <v>52</v>
      </c>
      <c r="K2776" s="2">
        <v>78</v>
      </c>
      <c r="L2776" s="2">
        <v>0</v>
      </c>
      <c r="M2776" s="2"/>
      <c r="N2776" s="8">
        <v>43100.892488425925</v>
      </c>
      <c r="O2776" s="4" t="s">
        <v>55</v>
      </c>
      <c r="P2776" s="3" t="s">
        <v>661</v>
      </c>
      <c r="Q2776" s="4"/>
      <c r="R2776" s="4"/>
      <c r="S2776" s="9" t="str">
        <f>HYPERLINK("https://pbs.twimg.com/profile_images/1020431280633253890/3EIgG-Q8.jpg","View")</f>
        <v>View</v>
      </c>
    </row>
    <row r="2777" spans="1:19" ht="40">
      <c r="A2777" s="8">
        <v>43369.839733796296</v>
      </c>
      <c r="B2777" s="11" t="str">
        <f>HYPERLINK("https://twitter.com/ErfanHajbabaee","@ErfanHajbabaee")</f>
        <v>@ErfanHajbabaee</v>
      </c>
      <c r="C2777" s="6" t="s">
        <v>660</v>
      </c>
      <c r="D2777" s="5" t="s">
        <v>659</v>
      </c>
      <c r="E2777" s="9" t="str">
        <f>HYPERLINK("https://twitter.com/ErfanHajbabaee/status/1044989781556506625","1044989781556506625")</f>
        <v>1044989781556506625</v>
      </c>
      <c r="F2777" s="4"/>
      <c r="G2777" s="10" t="s">
        <v>658</v>
      </c>
      <c r="H2777" s="4"/>
      <c r="I2777" s="10" t="str">
        <f>HYPERLINK("http://twitter.com/download/android","Twitter for Android")</f>
        <v>Twitter for Android</v>
      </c>
      <c r="J2777" s="2">
        <v>112</v>
      </c>
      <c r="K2777" s="2">
        <v>73</v>
      </c>
      <c r="L2777" s="2">
        <v>0</v>
      </c>
      <c r="M2777" s="2"/>
      <c r="N2777" s="8">
        <v>43255.527858796297</v>
      </c>
      <c r="O2777" s="4" t="s">
        <v>657</v>
      </c>
      <c r="P2777" s="3" t="s">
        <v>656</v>
      </c>
      <c r="Q2777" s="4"/>
      <c r="R2777" s="4"/>
      <c r="S2777" s="9" t="str">
        <f>HYPERLINK("https://pbs.twimg.com/profile_images/1041679103177490432/gLzwxFyO.jpg","View")</f>
        <v>View</v>
      </c>
    </row>
    <row r="2778" spans="1:19" ht="30">
      <c r="A2778" s="8">
        <v>43369.839189814811</v>
      </c>
      <c r="B2778" s="11" t="str">
        <f>HYPERLINK("https://twitter.com/mraliaz","@mraliaz")</f>
        <v>@mraliaz</v>
      </c>
      <c r="C2778" s="6" t="s">
        <v>655</v>
      </c>
      <c r="D2778" s="5" t="s">
        <v>654</v>
      </c>
      <c r="E2778" s="9" t="str">
        <f>HYPERLINK("https://twitter.com/mraliaz/status/1044989583694409728","1044989583694409728")</f>
        <v>1044989583694409728</v>
      </c>
      <c r="F2778" s="4"/>
      <c r="G2778" s="10" t="s">
        <v>653</v>
      </c>
      <c r="H2778" s="4"/>
      <c r="I2778" s="10" t="str">
        <f>HYPERLINK("http://twitter.com/download/android","Twitter for Android")</f>
        <v>Twitter for Android</v>
      </c>
      <c r="J2778" s="2">
        <v>109</v>
      </c>
      <c r="K2778" s="2">
        <v>1567</v>
      </c>
      <c r="L2778" s="2">
        <v>0</v>
      </c>
      <c r="M2778" s="2"/>
      <c r="N2778" s="8">
        <v>42950.657164351855</v>
      </c>
      <c r="O2778" s="4" t="s">
        <v>10</v>
      </c>
      <c r="P2778" s="3" t="s">
        <v>652</v>
      </c>
      <c r="Q2778" s="10" t="s">
        <v>651</v>
      </c>
      <c r="R2778" s="4"/>
      <c r="S2778" s="9" t="str">
        <f>HYPERLINK("https://pbs.twimg.com/profile_images/1010042911017390080/ZGnLeaju.jpg","View")</f>
        <v>View</v>
      </c>
    </row>
    <row r="2779" spans="1:19" ht="30">
      <c r="A2779" s="8">
        <v>43369.838541666672</v>
      </c>
      <c r="B2779" s="11" t="str">
        <f>HYPERLINK("https://twitter.com/shahedbaniasadi","@shahedbaniasadi")</f>
        <v>@shahedbaniasadi</v>
      </c>
      <c r="C2779" s="6" t="s">
        <v>650</v>
      </c>
      <c r="D2779" s="5" t="s">
        <v>649</v>
      </c>
      <c r="E2779" s="9" t="str">
        <f>HYPERLINK("https://twitter.com/shahedbaniasadi/status/1044989349518094337","1044989349518094337")</f>
        <v>1044989349518094337</v>
      </c>
      <c r="F2779" s="4"/>
      <c r="G2779" s="4"/>
      <c r="H2779" s="4"/>
      <c r="I2779" s="10" t="str">
        <f>HYPERLINK("http://twitter.com/download/iphone","Twitter for iPhone")</f>
        <v>Twitter for iPhone</v>
      </c>
      <c r="J2779" s="2">
        <v>5762</v>
      </c>
      <c r="K2779" s="2">
        <v>6331</v>
      </c>
      <c r="L2779" s="2">
        <v>4</v>
      </c>
      <c r="M2779" s="2"/>
      <c r="N2779" s="8">
        <v>42278.869155092594</v>
      </c>
      <c r="O2779" s="4" t="s">
        <v>648</v>
      </c>
      <c r="P2779" s="3" t="s">
        <v>647</v>
      </c>
      <c r="Q2779" s="4"/>
      <c r="R2779" s="4"/>
      <c r="S2779" s="9" t="str">
        <f>HYPERLINK("https://pbs.twimg.com/profile_images/986554727419740160/Bjmy0xBZ.jpg","View")</f>
        <v>View</v>
      </c>
    </row>
    <row r="2780" spans="1:19" ht="30">
      <c r="A2780" s="8">
        <v>43369.838275462964</v>
      </c>
      <c r="B2780" s="11" t="str">
        <f>HYPERLINK("https://twitter.com/neda65ho","@neda65ho")</f>
        <v>@neda65ho</v>
      </c>
      <c r="C2780" s="6" t="s">
        <v>488</v>
      </c>
      <c r="D2780" s="5" t="s">
        <v>550</v>
      </c>
      <c r="E2780" s="9" t="str">
        <f>HYPERLINK("https://twitter.com/neda65ho/status/1044989252747108354","1044989252747108354")</f>
        <v>1044989252747108354</v>
      </c>
      <c r="F2780" s="4"/>
      <c r="G2780" s="10" t="s">
        <v>481</v>
      </c>
      <c r="H2780" s="4"/>
      <c r="I2780" s="10" t="str">
        <f>HYPERLINK("http://twitter.com/download/android","Twitter for Android")</f>
        <v>Twitter for Android</v>
      </c>
      <c r="J2780" s="2">
        <v>4165</v>
      </c>
      <c r="K2780" s="2">
        <v>434</v>
      </c>
      <c r="L2780" s="2">
        <v>19</v>
      </c>
      <c r="M2780" s="2"/>
      <c r="N2780" s="8">
        <v>42530.055983796294</v>
      </c>
      <c r="O2780" s="4" t="s">
        <v>485</v>
      </c>
      <c r="P2780" s="3" t="s">
        <v>484</v>
      </c>
      <c r="Q2780" s="4"/>
      <c r="R2780" s="4"/>
      <c r="S2780" s="9" t="str">
        <f>HYPERLINK("https://pbs.twimg.com/profile_images/1041441692598128640/KH1TJO2z.jpg","View")</f>
        <v>View</v>
      </c>
    </row>
    <row r="2781" spans="1:19" ht="30">
      <c r="A2781" s="8">
        <v>43369.837685185186</v>
      </c>
      <c r="B2781" s="11" t="str">
        <f>HYPERLINK("https://twitter.com/bibidibabidiii","@bibidibabidiii")</f>
        <v>@bibidibabidiii</v>
      </c>
      <c r="C2781" s="6" t="s">
        <v>646</v>
      </c>
      <c r="D2781" s="5" t="s">
        <v>408</v>
      </c>
      <c r="E2781" s="9" t="str">
        <f>HYPERLINK("https://twitter.com/bibidibabidiii/status/1044989037965201408","1044989037965201408")</f>
        <v>1044989037965201408</v>
      </c>
      <c r="F2781" s="4"/>
      <c r="G2781" s="4"/>
      <c r="H2781" s="4"/>
      <c r="I2781" s="10" t="str">
        <f>HYPERLINK("http://twitter.com/download/iphone","Twitter for iPhone")</f>
        <v>Twitter for iPhone</v>
      </c>
      <c r="J2781" s="2">
        <v>41</v>
      </c>
      <c r="K2781" s="2">
        <v>450</v>
      </c>
      <c r="L2781" s="2">
        <v>0</v>
      </c>
      <c r="M2781" s="2"/>
      <c r="N2781" s="8">
        <v>42964.04724537037</v>
      </c>
      <c r="O2781" s="4"/>
      <c r="P2781" s="3" t="s">
        <v>645</v>
      </c>
      <c r="Q2781" s="4"/>
      <c r="R2781" s="4"/>
      <c r="S2781" s="9" t="str">
        <f>HYPERLINK("https://pbs.twimg.com/profile_images/1044260464253956097/QDnyZWn_.jpg","View")</f>
        <v>View</v>
      </c>
    </row>
    <row r="2782" spans="1:19" ht="30">
      <c r="A2782" s="8">
        <v>43369.837407407409</v>
      </c>
      <c r="B2782" s="11" t="str">
        <f>HYPERLINK("https://twitter.com/sibkhandeh","@sibkhandeh")</f>
        <v>@sibkhandeh</v>
      </c>
      <c r="C2782" s="6" t="s">
        <v>644</v>
      </c>
      <c r="D2782" s="5" t="s">
        <v>643</v>
      </c>
      <c r="E2782" s="9" t="str">
        <f>HYPERLINK("https://twitter.com/sibkhandeh/status/1044988937318600706","1044988937318600706")</f>
        <v>1044988937318600706</v>
      </c>
      <c r="F2782" s="4"/>
      <c r="G2782" s="4"/>
      <c r="H2782" s="4"/>
      <c r="I2782" s="10" t="str">
        <f>HYPERLINK("http://twitter.com/download/android","Twitter for Android")</f>
        <v>Twitter for Android</v>
      </c>
      <c r="J2782" s="2">
        <v>26</v>
      </c>
      <c r="K2782" s="2">
        <v>65</v>
      </c>
      <c r="L2782" s="2">
        <v>0</v>
      </c>
      <c r="M2782" s="2"/>
      <c r="N2782" s="8">
        <v>42859.658217592594</v>
      </c>
      <c r="O2782" s="4"/>
      <c r="P2782" s="3" t="s">
        <v>642</v>
      </c>
      <c r="Q2782" s="4"/>
      <c r="R2782" s="4"/>
      <c r="S2782" s="9" t="str">
        <f>HYPERLINK("https://pbs.twimg.com/profile_images/860091473131339777/WD3sCgHI.jpg","View")</f>
        <v>View</v>
      </c>
    </row>
    <row r="2783" spans="1:19" ht="30">
      <c r="A2783" s="8">
        <v>43369.836967592593</v>
      </c>
      <c r="B2783" s="11" t="str">
        <f>HYPERLINK("https://twitter.com/Offside__Line","@Offside__Line")</f>
        <v>@Offside__Line</v>
      </c>
      <c r="C2783" s="6" t="s">
        <v>641</v>
      </c>
      <c r="D2783" s="5" t="s">
        <v>408</v>
      </c>
      <c r="E2783" s="9" t="str">
        <f>HYPERLINK("https://twitter.com/Offside__Line/status/1044988780833312770","1044988780833312770")</f>
        <v>1044988780833312770</v>
      </c>
      <c r="F2783" s="4"/>
      <c r="G2783" s="4"/>
      <c r="H2783" s="4"/>
      <c r="I2783" s="10" t="str">
        <f>HYPERLINK("http://twitter.com/download/android","Twitter for Android")</f>
        <v>Twitter for Android</v>
      </c>
      <c r="J2783" s="2">
        <v>313</v>
      </c>
      <c r="K2783" s="2">
        <v>72</v>
      </c>
      <c r="L2783" s="2">
        <v>0</v>
      </c>
      <c r="M2783" s="2"/>
      <c r="N2783" s="8">
        <v>42846.700613425928</v>
      </c>
      <c r="O2783" s="4"/>
      <c r="P2783" s="3" t="s">
        <v>640</v>
      </c>
      <c r="Q2783" s="4"/>
      <c r="R2783" s="4"/>
      <c r="S2783" s="9" t="str">
        <f>HYPERLINK("https://pbs.twimg.com/profile_images/990138903284932609/hcqeYz1S.jpg","View")</f>
        <v>View</v>
      </c>
    </row>
    <row r="2784" spans="1:19" ht="30">
      <c r="A2784" s="8">
        <v>43369.836631944447</v>
      </c>
      <c r="B2784" s="11" t="str">
        <f>HYPERLINK("https://twitter.com/Sepanta5oren","@Sepanta5oren")</f>
        <v>@Sepanta5oren</v>
      </c>
      <c r="C2784" s="6" t="s">
        <v>639</v>
      </c>
      <c r="D2784" s="5" t="s">
        <v>408</v>
      </c>
      <c r="E2784" s="9" t="str">
        <f>HYPERLINK("https://twitter.com/Sepanta5oren/status/1044988657856389120","1044988657856389120")</f>
        <v>1044988657856389120</v>
      </c>
      <c r="F2784" s="4"/>
      <c r="G2784" s="4"/>
      <c r="H2784" s="4"/>
      <c r="I2784" s="10" t="str">
        <f>HYPERLINK("http://twitter.com/download/iphone","Twitter for iPhone")</f>
        <v>Twitter for iPhone</v>
      </c>
      <c r="J2784" s="2">
        <v>59</v>
      </c>
      <c r="K2784" s="2">
        <v>142</v>
      </c>
      <c r="L2784" s="2">
        <v>0</v>
      </c>
      <c r="M2784" s="2"/>
      <c r="N2784" s="8">
        <v>43229.392129629632</v>
      </c>
      <c r="O2784" s="4"/>
      <c r="P2784" s="3" t="s">
        <v>638</v>
      </c>
      <c r="Q2784" s="4"/>
      <c r="R2784" s="4"/>
      <c r="S2784" s="9" t="str">
        <f>HYPERLINK("https://pbs.twimg.com/profile_images/1041570263249416192/7xNVfbNO.jpg","View")</f>
        <v>View</v>
      </c>
    </row>
    <row r="2785" spans="1:19" ht="30">
      <c r="A2785" s="8">
        <v>43369.836319444439</v>
      </c>
      <c r="B2785" s="11" t="str">
        <f>HYPERLINK("https://twitter.com/akbarabady","@akbarabady")</f>
        <v>@akbarabady</v>
      </c>
      <c r="C2785" s="6" t="s">
        <v>637</v>
      </c>
      <c r="D2785" s="5" t="s">
        <v>408</v>
      </c>
      <c r="E2785" s="9" t="str">
        <f>HYPERLINK("https://twitter.com/akbarabady/status/1044988545952350209","1044988545952350209")</f>
        <v>1044988545952350209</v>
      </c>
      <c r="F2785" s="4"/>
      <c r="G2785" s="4"/>
      <c r="H2785" s="4"/>
      <c r="I2785" s="10" t="str">
        <f>HYPERLINK("http://twitter.com/download/android","Twitter for Android")</f>
        <v>Twitter for Android</v>
      </c>
      <c r="J2785" s="2">
        <v>403</v>
      </c>
      <c r="K2785" s="2">
        <v>406</v>
      </c>
      <c r="L2785" s="2">
        <v>3</v>
      </c>
      <c r="M2785" s="2"/>
      <c r="N2785" s="8">
        <v>43177.657430555555</v>
      </c>
      <c r="O2785" s="4" t="s">
        <v>636</v>
      </c>
      <c r="P2785" s="3" t="s">
        <v>635</v>
      </c>
      <c r="Q2785" s="4"/>
      <c r="R2785" s="4"/>
      <c r="S2785" s="9" t="str">
        <f>HYPERLINK("https://pbs.twimg.com/profile_images/982356839697395713/pwJrdTDH.jpg","View")</f>
        <v>View</v>
      </c>
    </row>
    <row r="2786" spans="1:19" ht="30">
      <c r="A2786" s="8">
        <v>43369.836111111115</v>
      </c>
      <c r="B2786" s="11" t="str">
        <f>HYPERLINK("https://twitter.com/MehrdadPatriot","@MehrdadPatriot")</f>
        <v>@MehrdadPatriot</v>
      </c>
      <c r="C2786" s="6" t="s">
        <v>634</v>
      </c>
      <c r="D2786" s="5" t="s">
        <v>550</v>
      </c>
      <c r="E2786" s="9" t="str">
        <f>HYPERLINK("https://twitter.com/MehrdadPatriot/status/1044988468634497024","1044988468634497024")</f>
        <v>1044988468634497024</v>
      </c>
      <c r="F2786" s="4"/>
      <c r="G2786" s="10" t="s">
        <v>481</v>
      </c>
      <c r="H2786" s="4"/>
      <c r="I2786" s="10" t="str">
        <f>HYPERLINK("http://twitter.com/download/android","Twitter for Android")</f>
        <v>Twitter for Android</v>
      </c>
      <c r="J2786" s="2">
        <v>6772</v>
      </c>
      <c r="K2786" s="2">
        <v>661</v>
      </c>
      <c r="L2786" s="2">
        <v>65</v>
      </c>
      <c r="M2786" s="2"/>
      <c r="N2786" s="8">
        <v>41500.695694444446</v>
      </c>
      <c r="O2786" s="4" t="s">
        <v>633</v>
      </c>
      <c r="P2786" s="3" t="s">
        <v>632</v>
      </c>
      <c r="Q2786" s="4"/>
      <c r="R2786" s="4"/>
      <c r="S2786" s="9" t="str">
        <f>HYPERLINK("https://pbs.twimg.com/profile_images/1044543606684622848/bt-zwYFo.jpg","View")</f>
        <v>View</v>
      </c>
    </row>
    <row r="2787" spans="1:19" ht="30">
      <c r="A2787" s="8">
        <v>43369.835810185185</v>
      </c>
      <c r="B2787" s="11" t="str">
        <f>HYPERLINK("https://twitter.com/haji_malakhi","@haji_malakhi")</f>
        <v>@haji_malakhi</v>
      </c>
      <c r="C2787" s="6" t="s">
        <v>631</v>
      </c>
      <c r="D2787" s="5" t="s">
        <v>408</v>
      </c>
      <c r="E2787" s="9" t="str">
        <f>HYPERLINK("https://twitter.com/haji_malakhi/status/1044988358676680704","1044988358676680704")</f>
        <v>1044988358676680704</v>
      </c>
      <c r="F2787" s="4"/>
      <c r="G2787" s="4"/>
      <c r="H2787" s="4"/>
      <c r="I2787" s="10" t="str">
        <f>HYPERLINK("http://twitter.com/download/iphone","Twitter for iPhone")</f>
        <v>Twitter for iPhone</v>
      </c>
      <c r="J2787" s="2">
        <v>232</v>
      </c>
      <c r="K2787" s="2">
        <v>136</v>
      </c>
      <c r="L2787" s="2">
        <v>1</v>
      </c>
      <c r="M2787" s="2"/>
      <c r="N2787" s="8">
        <v>42845.097719907411</v>
      </c>
      <c r="O2787" s="4" t="s">
        <v>630</v>
      </c>
      <c r="P2787" s="3" t="s">
        <v>629</v>
      </c>
      <c r="Q2787" s="4"/>
      <c r="R2787" s="4"/>
      <c r="S2787" s="9" t="str">
        <f>HYPERLINK("https://pbs.twimg.com/profile_images/1044016122767572992/F8tr08nY.jpg","View")</f>
        <v>View</v>
      </c>
    </row>
    <row r="2788" spans="1:19" ht="12.5">
      <c r="A2788" s="8">
        <v>43369.8356712963</v>
      </c>
      <c r="B2788" s="11" t="str">
        <f>HYPERLINK("https://twitter.com/dr_samiee","@dr_samiee")</f>
        <v>@dr_samiee</v>
      </c>
      <c r="C2788" s="6" t="s">
        <v>628</v>
      </c>
      <c r="D2788" s="5" t="s">
        <v>627</v>
      </c>
      <c r="E2788" s="9" t="str">
        <f>HYPERLINK("https://twitter.com/dr_samiee/status/1044988310530273280","1044988310530273280")</f>
        <v>1044988310530273280</v>
      </c>
      <c r="F2788" s="4"/>
      <c r="G2788" s="10" t="s">
        <v>619</v>
      </c>
      <c r="H2788" s="4"/>
      <c r="I2788" s="10" t="str">
        <f>HYPERLINK("http://twitter.com/download/android","Twitter for Android")</f>
        <v>Twitter for Android</v>
      </c>
      <c r="J2788" s="2">
        <v>952</v>
      </c>
      <c r="K2788" s="2">
        <v>976</v>
      </c>
      <c r="L2788" s="2">
        <v>2</v>
      </c>
      <c r="M2788" s="2"/>
      <c r="N2788" s="8">
        <v>43000.651087962964</v>
      </c>
      <c r="O2788" s="4"/>
      <c r="P2788" s="3" t="s">
        <v>626</v>
      </c>
      <c r="Q2788" s="4"/>
      <c r="R2788" s="4"/>
      <c r="S2788" s="9" t="str">
        <f>HYPERLINK("https://pbs.twimg.com/profile_images/911202396113707009/KmsMWbVv.jpg","View")</f>
        <v>View</v>
      </c>
    </row>
    <row r="2789" spans="1:19" ht="30">
      <c r="A2789" s="8">
        <v>43369.835509259261</v>
      </c>
      <c r="B2789" s="11" t="str">
        <f>HYPERLINK("https://twitter.com/iran56257308","@iran56257308")</f>
        <v>@iran56257308</v>
      </c>
      <c r="C2789" s="6" t="s">
        <v>55</v>
      </c>
      <c r="D2789" s="5" t="s">
        <v>625</v>
      </c>
      <c r="E2789" s="9" t="str">
        <f>HYPERLINK("https://twitter.com/iran56257308/status/1044988249163395072","1044988249163395072")</f>
        <v>1044988249163395072</v>
      </c>
      <c r="F2789" s="4"/>
      <c r="G2789" s="4"/>
      <c r="H2789" s="4"/>
      <c r="I2789" s="10" t="str">
        <f>HYPERLINK("http://twitter.com/download/android","Twitter for Android")</f>
        <v>Twitter for Android</v>
      </c>
      <c r="J2789" s="2">
        <v>45</v>
      </c>
      <c r="K2789" s="2">
        <v>116</v>
      </c>
      <c r="L2789" s="2">
        <v>0</v>
      </c>
      <c r="M2789" s="2"/>
      <c r="N2789" s="8">
        <v>43328.727418981478</v>
      </c>
      <c r="O2789" s="4"/>
      <c r="P2789" s="3"/>
      <c r="Q2789" s="4"/>
      <c r="R2789" s="4"/>
      <c r="S2789" s="2" t="s">
        <v>259</v>
      </c>
    </row>
    <row r="2790" spans="1:19" ht="30">
      <c r="A2790" s="8">
        <v>43369.834537037037</v>
      </c>
      <c r="B2790" s="11" t="str">
        <f>HYPERLINK("https://twitter.com/M_A_Varga","@M_A_Varga")</f>
        <v>@M_A_Varga</v>
      </c>
      <c r="C2790" s="6" t="s">
        <v>624</v>
      </c>
      <c r="D2790" s="5" t="s">
        <v>408</v>
      </c>
      <c r="E2790" s="9" t="str">
        <f>HYPERLINK("https://twitter.com/M_A_Varga/status/1044987897554915328","1044987897554915328")</f>
        <v>1044987897554915328</v>
      </c>
      <c r="F2790" s="4"/>
      <c r="G2790" s="4"/>
      <c r="H2790" s="4"/>
      <c r="I2790" s="10" t="str">
        <f>HYPERLINK("http://twitter.com/download/android","Twitter for Android")</f>
        <v>Twitter for Android</v>
      </c>
      <c r="J2790" s="2">
        <v>489</v>
      </c>
      <c r="K2790" s="2">
        <v>1005</v>
      </c>
      <c r="L2790" s="2">
        <v>2</v>
      </c>
      <c r="M2790" s="2"/>
      <c r="N2790" s="8">
        <v>42959.067210648151</v>
      </c>
      <c r="O2790" s="4" t="s">
        <v>623</v>
      </c>
      <c r="P2790" s="3" t="s">
        <v>622</v>
      </c>
      <c r="Q2790" s="4"/>
      <c r="R2790" s="4"/>
      <c r="S2790" s="9" t="str">
        <f>HYPERLINK("https://pbs.twimg.com/profile_images/1003338328341733378/smZXBtgB.jpg","View")</f>
        <v>View</v>
      </c>
    </row>
    <row r="2791" spans="1:19" ht="12.5">
      <c r="A2791" s="8">
        <v>43369.834456018521</v>
      </c>
      <c r="B2791" s="11" t="str">
        <f>HYPERLINK("https://twitter.com/seyed_fc_barca","@seyed_fc_barca")</f>
        <v>@seyed_fc_barca</v>
      </c>
      <c r="C2791" s="6" t="s">
        <v>621</v>
      </c>
      <c r="D2791" s="5" t="s">
        <v>620</v>
      </c>
      <c r="E2791" s="9" t="str">
        <f>HYPERLINK("https://twitter.com/seyed_fc_barca/status/1044987866768707587","1044987866768707587")</f>
        <v>1044987866768707587</v>
      </c>
      <c r="F2791" s="4"/>
      <c r="G2791" s="10" t="s">
        <v>619</v>
      </c>
      <c r="H2791" s="4"/>
      <c r="I2791" s="10" t="str">
        <f>HYPERLINK("http://twitter.com/download/android","Twitter for Android")</f>
        <v>Twitter for Android</v>
      </c>
      <c r="J2791" s="2">
        <v>3590</v>
      </c>
      <c r="K2791" s="2">
        <v>931</v>
      </c>
      <c r="L2791" s="2">
        <v>21</v>
      </c>
      <c r="M2791" s="2"/>
      <c r="N2791" s="8">
        <v>42018.714884259258</v>
      </c>
      <c r="O2791" s="4" t="s">
        <v>618</v>
      </c>
      <c r="P2791" s="3" t="s">
        <v>617</v>
      </c>
      <c r="Q2791" s="4"/>
      <c r="R2791" s="4"/>
      <c r="S2791" s="9" t="str">
        <f>HYPERLINK("https://pbs.twimg.com/profile_images/947499203764264960/lPIP-fNC.jpg","View")</f>
        <v>View</v>
      </c>
    </row>
    <row r="2792" spans="1:19" ht="30">
      <c r="A2792" s="8">
        <v>43369.834340277783</v>
      </c>
      <c r="B2792" s="11" t="str">
        <f>HYPERLINK("https://twitter.com/Maryam5555522","@Maryam5555522")</f>
        <v>@Maryam5555522</v>
      </c>
      <c r="C2792" s="6" t="s">
        <v>616</v>
      </c>
      <c r="D2792" s="5" t="s">
        <v>615</v>
      </c>
      <c r="E2792" s="9" t="str">
        <f>HYPERLINK("https://twitter.com/Maryam5555522/status/1044987828130783234","1044987828130783234")</f>
        <v>1044987828130783234</v>
      </c>
      <c r="F2792" s="4"/>
      <c r="G2792" s="4"/>
      <c r="H2792" s="4"/>
      <c r="I2792" s="10" t="str">
        <f>HYPERLINK("http://twitter.com/download/android","Twitter for Android")</f>
        <v>Twitter for Android</v>
      </c>
      <c r="J2792" s="2">
        <v>454</v>
      </c>
      <c r="K2792" s="2">
        <v>534</v>
      </c>
      <c r="L2792" s="2">
        <v>2</v>
      </c>
      <c r="M2792" s="2"/>
      <c r="N2792" s="8">
        <v>43295.022060185191</v>
      </c>
      <c r="O2792" s="4"/>
      <c r="P2792" s="3" t="s">
        <v>614</v>
      </c>
      <c r="Q2792" s="4"/>
      <c r="R2792" s="4"/>
      <c r="S2792" s="9" t="str">
        <f>HYPERLINK("https://pbs.twimg.com/profile_images/1030513654939172864/Gymvs9Wf.jpg","View")</f>
        <v>View</v>
      </c>
    </row>
    <row r="2793" spans="1:19" ht="20">
      <c r="A2793" s="8">
        <v>43369.834236111114</v>
      </c>
      <c r="B2793" s="11" t="str">
        <f>HYPERLINK("https://twitter.com/Arian9423015","@Arian9423015")</f>
        <v>@Arian9423015</v>
      </c>
      <c r="C2793" s="6" t="s">
        <v>613</v>
      </c>
      <c r="D2793" s="5" t="s">
        <v>498</v>
      </c>
      <c r="E2793" s="9" t="str">
        <f>HYPERLINK("https://twitter.com/Arian9423015/status/1044987788050006017","1044987788050006017")</f>
        <v>1044987788050006017</v>
      </c>
      <c r="F2793" s="4"/>
      <c r="G2793" s="4"/>
      <c r="H2793" s="4"/>
      <c r="I2793" s="10" t="str">
        <f>HYPERLINK("http://twitter.com/download/iphone","Twitter for iPhone")</f>
        <v>Twitter for iPhone</v>
      </c>
      <c r="J2793" s="2">
        <v>67</v>
      </c>
      <c r="K2793" s="2">
        <v>214</v>
      </c>
      <c r="L2793" s="2">
        <v>0</v>
      </c>
      <c r="M2793" s="2"/>
      <c r="N2793" s="8">
        <v>43162.01835648148</v>
      </c>
      <c r="O2793" s="4" t="s">
        <v>200</v>
      </c>
      <c r="P2793" s="3" t="s">
        <v>612</v>
      </c>
      <c r="Q2793" s="4"/>
      <c r="R2793" s="4"/>
      <c r="S2793" s="9" t="str">
        <f>HYPERLINK("https://pbs.twimg.com/profile_images/998693508520132608/LUOwaPcR.jpg","View")</f>
        <v>View</v>
      </c>
    </row>
    <row r="2794" spans="1:19" ht="20">
      <c r="A2794" s="8">
        <v>43369.833831018521</v>
      </c>
      <c r="B2794" s="11" t="str">
        <f>HYPERLINK("https://twitter.com/Ye_Sadegh","@Ye_Sadegh")</f>
        <v>@Ye_Sadegh</v>
      </c>
      <c r="C2794" s="6" t="s">
        <v>611</v>
      </c>
      <c r="D2794" s="5" t="s">
        <v>610</v>
      </c>
      <c r="E2794" s="9" t="str">
        <f>HYPERLINK("https://twitter.com/Ye_Sadegh/status/1044987643656900608","1044987643656900608")</f>
        <v>1044987643656900608</v>
      </c>
      <c r="F2794" s="4"/>
      <c r="G2794" s="4"/>
      <c r="H2794" s="4"/>
      <c r="I2794" s="10" t="str">
        <f>HYPERLINK("http://twitter.com/download/android","Twitter for Android")</f>
        <v>Twitter for Android</v>
      </c>
      <c r="J2794" s="2">
        <v>1047</v>
      </c>
      <c r="K2794" s="2">
        <v>1075</v>
      </c>
      <c r="L2794" s="2">
        <v>2</v>
      </c>
      <c r="M2794" s="2"/>
      <c r="N2794" s="8">
        <v>42017.162407407406</v>
      </c>
      <c r="O2794" s="4" t="s">
        <v>609</v>
      </c>
      <c r="P2794" s="3" t="s">
        <v>608</v>
      </c>
      <c r="Q2794" s="4"/>
      <c r="R2794" s="4"/>
      <c r="S2794" s="9" t="str">
        <f>HYPERLINK("https://pbs.twimg.com/profile_images/1038942566799028227/-1cdY1bi.jpg","View")</f>
        <v>View</v>
      </c>
    </row>
    <row r="2795" spans="1:19" ht="30">
      <c r="A2795" s="8">
        <v>43369.832743055551</v>
      </c>
      <c r="B2795" s="11" t="str">
        <f>HYPERLINK("https://twitter.com/Saarraab68","@Saarraab68")</f>
        <v>@Saarraab68</v>
      </c>
      <c r="C2795" s="6" t="s">
        <v>607</v>
      </c>
      <c r="D2795" s="5" t="s">
        <v>408</v>
      </c>
      <c r="E2795" s="9" t="str">
        <f>HYPERLINK("https://twitter.com/Saarraab68/status/1044987248037515264","1044987248037515264")</f>
        <v>1044987248037515264</v>
      </c>
      <c r="F2795" s="4"/>
      <c r="G2795" s="4"/>
      <c r="H2795" s="4"/>
      <c r="I2795" s="10" t="str">
        <f>HYPERLINK("https://mobile.twitter.com","Twitter Lite")</f>
        <v>Twitter Lite</v>
      </c>
      <c r="J2795" s="2">
        <v>115</v>
      </c>
      <c r="K2795" s="2">
        <v>240</v>
      </c>
      <c r="L2795" s="2">
        <v>0</v>
      </c>
      <c r="M2795" s="2"/>
      <c r="N2795" s="8">
        <v>43315.87228009259</v>
      </c>
      <c r="O2795" s="4" t="s">
        <v>606</v>
      </c>
      <c r="P2795" s="3" t="s">
        <v>605</v>
      </c>
      <c r="Q2795" s="4"/>
      <c r="R2795" s="4"/>
      <c r="S2795" s="9" t="str">
        <f>HYPERLINK("https://pbs.twimg.com/profile_images/1042686525375488001/KpIqxseA.jpg","View")</f>
        <v>View</v>
      </c>
    </row>
    <row r="2796" spans="1:19" ht="30">
      <c r="A2796" s="8">
        <v>43369.832430555558</v>
      </c>
      <c r="B2796" s="11" t="str">
        <f>HYPERLINK("https://twitter.com/Raman98613174","@Raman98613174")</f>
        <v>@Raman98613174</v>
      </c>
      <c r="C2796" s="6" t="s">
        <v>604</v>
      </c>
      <c r="D2796" s="5" t="s">
        <v>159</v>
      </c>
      <c r="E2796" s="9" t="str">
        <f>HYPERLINK("https://twitter.com/Raman98613174/status/1044987136586461192","1044987136586461192")</f>
        <v>1044987136586461192</v>
      </c>
      <c r="F2796" s="4"/>
      <c r="G2796" s="4"/>
      <c r="H2796" s="4"/>
      <c r="I2796" s="10" t="str">
        <f>HYPERLINK("http://twitter.com/download/android","Twitter for Android")</f>
        <v>Twitter for Android</v>
      </c>
      <c r="J2796" s="2">
        <v>1931</v>
      </c>
      <c r="K2796" s="2">
        <v>1526</v>
      </c>
      <c r="L2796" s="2">
        <v>2</v>
      </c>
      <c r="M2796" s="2"/>
      <c r="N2796" s="8">
        <v>43201.823379629626</v>
      </c>
      <c r="O2796" s="4" t="s">
        <v>603</v>
      </c>
      <c r="P2796" s="3" t="s">
        <v>602</v>
      </c>
      <c r="Q2796" s="4"/>
      <c r="R2796" s="4"/>
      <c r="S2796" s="9" t="str">
        <f>HYPERLINK("https://pbs.twimg.com/profile_images/1044849418430812161/IFFUuBnx.jpg","View")</f>
        <v>View</v>
      </c>
    </row>
    <row r="2797" spans="1:19" ht="30">
      <c r="A2797" s="8">
        <v>43369.831793981481</v>
      </c>
      <c r="B2797" s="11" t="str">
        <f>HYPERLINK("https://twitter.com/Setayeshrahman3","@Setayeshrahman3")</f>
        <v>@Setayeshrahman3</v>
      </c>
      <c r="C2797" s="6" t="s">
        <v>601</v>
      </c>
      <c r="D2797" s="5" t="s">
        <v>600</v>
      </c>
      <c r="E2797" s="9" t="str">
        <f>HYPERLINK("https://twitter.com/Setayeshrahman3/status/1044986904582803456","1044986904582803456")</f>
        <v>1044986904582803456</v>
      </c>
      <c r="F2797" s="4"/>
      <c r="G2797" s="4"/>
      <c r="H2797" s="4"/>
      <c r="I2797" s="10" t="str">
        <f>HYPERLINK("http://twitter.com/download/android","Twitter for Android")</f>
        <v>Twitter for Android</v>
      </c>
      <c r="J2797" s="2">
        <v>8485</v>
      </c>
      <c r="K2797" s="2">
        <v>2981</v>
      </c>
      <c r="L2797" s="2">
        <v>21</v>
      </c>
      <c r="M2797" s="2"/>
      <c r="N2797" s="8">
        <v>42945.45475694444</v>
      </c>
      <c r="O2797" s="4"/>
      <c r="P2797" s="3" t="s">
        <v>599</v>
      </c>
      <c r="Q2797" s="4"/>
      <c r="R2797" s="4"/>
      <c r="S2797" s="9" t="str">
        <f>HYPERLINK("https://pbs.twimg.com/profile_images/1025641400375828480/d3kDRwtZ.jpg","View")</f>
        <v>View</v>
      </c>
    </row>
    <row r="2798" spans="1:19" ht="30">
      <c r="A2798" s="8">
        <v>43369.831712962958</v>
      </c>
      <c r="B2798" s="11" t="str">
        <f>HYPERLINK("https://twitter.com/Jason__Momoa","@Jason__Momoa")</f>
        <v>@Jason__Momoa</v>
      </c>
      <c r="C2798" s="6" t="s">
        <v>598</v>
      </c>
      <c r="D2798" s="5" t="s">
        <v>408</v>
      </c>
      <c r="E2798" s="9" t="str">
        <f>HYPERLINK("https://twitter.com/Jason__Momoa/status/1044986874824142850","1044986874824142850")</f>
        <v>1044986874824142850</v>
      </c>
      <c r="F2798" s="4"/>
      <c r="G2798" s="4"/>
      <c r="H2798" s="4"/>
      <c r="I2798" s="10" t="str">
        <f>HYPERLINK("http://twitter.com/download/android","Twitter for Android")</f>
        <v>Twitter for Android</v>
      </c>
      <c r="J2798" s="2">
        <v>3230</v>
      </c>
      <c r="K2798" s="2">
        <v>2779</v>
      </c>
      <c r="L2798" s="2">
        <v>3</v>
      </c>
      <c r="M2798" s="2"/>
      <c r="N2798" s="8">
        <v>42912.719097222223</v>
      </c>
      <c r="O2798" s="4" t="s">
        <v>597</v>
      </c>
      <c r="P2798" s="3" t="s">
        <v>596</v>
      </c>
      <c r="Q2798" s="4"/>
      <c r="R2798" s="4"/>
      <c r="S2798" s="9" t="str">
        <f>HYPERLINK("https://pbs.twimg.com/profile_images/1026753449789202432/5Q4S-FD2.jpg","View")</f>
        <v>View</v>
      </c>
    </row>
    <row r="2799" spans="1:19" ht="40">
      <c r="A2799" s="8">
        <v>43369.831238425926</v>
      </c>
      <c r="B2799" s="11" t="str">
        <f>HYPERLINK("https://twitter.com/_Tahere","@_Tahere")</f>
        <v>@_Tahere</v>
      </c>
      <c r="C2799" s="6" t="s">
        <v>595</v>
      </c>
      <c r="D2799" s="5" t="s">
        <v>422</v>
      </c>
      <c r="E2799" s="9" t="str">
        <f>HYPERLINK("https://twitter.com/_Tahere/status/1044986700689272833","1044986700689272833")</f>
        <v>1044986700689272833</v>
      </c>
      <c r="F2799" s="4"/>
      <c r="G2799" s="10" t="s">
        <v>421</v>
      </c>
      <c r="H2799" s="4"/>
      <c r="I2799" s="10" t="str">
        <f>HYPERLINK("http://twitter.com/download/android","Twitter for Android")</f>
        <v>Twitter for Android</v>
      </c>
      <c r="J2799" s="2">
        <v>5845</v>
      </c>
      <c r="K2799" s="2">
        <v>2569</v>
      </c>
      <c r="L2799" s="2">
        <v>17</v>
      </c>
      <c r="M2799" s="2"/>
      <c r="N2799" s="8">
        <v>42954.729351851856</v>
      </c>
      <c r="O2799" s="4" t="s">
        <v>594</v>
      </c>
      <c r="P2799" s="3" t="s">
        <v>593</v>
      </c>
      <c r="Q2799" s="10" t="s">
        <v>592</v>
      </c>
      <c r="R2799" s="4"/>
      <c r="S2799" s="9" t="str">
        <f>HYPERLINK("https://pbs.twimg.com/profile_images/1033390844836040704/heyDK5bQ.jpg","View")</f>
        <v>View</v>
      </c>
    </row>
    <row r="2800" spans="1:19" ht="20">
      <c r="A2800" s="8">
        <v>43369.83121527778</v>
      </c>
      <c r="B2800" s="11" t="str">
        <f>HYPERLINK("https://twitter.com/salehim64","@salehim64")</f>
        <v>@salehim64</v>
      </c>
      <c r="C2800" s="6" t="s">
        <v>591</v>
      </c>
      <c r="D2800" s="5" t="s">
        <v>590</v>
      </c>
      <c r="E2800" s="9" t="str">
        <f>HYPERLINK("https://twitter.com/salehim64/status/1044986696314605569","1044986696314605569")</f>
        <v>1044986696314605569</v>
      </c>
      <c r="F2800" s="4"/>
      <c r="G2800" s="4"/>
      <c r="H2800" s="4"/>
      <c r="I2800" s="10" t="str">
        <f>HYPERLINK("http://twitter.com/download/iphone","Twitter for iPhone")</f>
        <v>Twitter for iPhone</v>
      </c>
      <c r="J2800" s="2">
        <v>1038</v>
      </c>
      <c r="K2800" s="2">
        <v>1981</v>
      </c>
      <c r="L2800" s="2">
        <v>0</v>
      </c>
      <c r="M2800" s="2"/>
      <c r="N2800" s="8">
        <v>40538.498113425929</v>
      </c>
      <c r="O2800" s="4" t="s">
        <v>589</v>
      </c>
      <c r="P2800" s="3" t="s">
        <v>588</v>
      </c>
      <c r="Q2800" s="4"/>
      <c r="R2800" s="4"/>
      <c r="S2800" s="9" t="str">
        <f>HYPERLINK("https://pbs.twimg.com/profile_images/378800000528345966/3103632193aeb3ce8ae45f43386bc485.png","View")</f>
        <v>View</v>
      </c>
    </row>
    <row r="2801" spans="1:19" ht="30">
      <c r="A2801" s="8">
        <v>43369.830787037034</v>
      </c>
      <c r="B2801" s="11" t="str">
        <f>HYPERLINK("https://twitter.com/barandazambot","@barandazambot")</f>
        <v>@barandazambot</v>
      </c>
      <c r="C2801" s="6" t="s">
        <v>46</v>
      </c>
      <c r="D2801" s="5" t="s">
        <v>159</v>
      </c>
      <c r="E2801" s="9" t="str">
        <f>HYPERLINK("https://twitter.com/barandazambot/status/1044986540840165376","1044986540840165376")</f>
        <v>1044986540840165376</v>
      </c>
      <c r="F2801" s="4"/>
      <c r="G2801" s="4"/>
      <c r="H2801" s="4"/>
      <c r="I2801" s="10" t="str">
        <f>HYPERLINK("http://127.0.0.1","barandazambot")</f>
        <v>barandazambot</v>
      </c>
      <c r="J2801" s="2">
        <v>929</v>
      </c>
      <c r="K2801" s="2">
        <v>23</v>
      </c>
      <c r="L2801" s="2">
        <v>2</v>
      </c>
      <c r="M2801" s="2"/>
      <c r="N2801" s="8">
        <v>43293.668993055559</v>
      </c>
      <c r="O2801" s="4" t="s">
        <v>45</v>
      </c>
      <c r="P2801" s="3" t="s">
        <v>44</v>
      </c>
      <c r="Q2801" s="4"/>
      <c r="R2801" s="4"/>
      <c r="S2801" s="9" t="str">
        <f>HYPERLINK("https://pbs.twimg.com/profile_images/1017382724485730305/hGaBNoXG.jpg","View")</f>
        <v>View</v>
      </c>
    </row>
    <row r="2802" spans="1:19" ht="30">
      <c r="A2802" s="8">
        <v>43369.830694444448</v>
      </c>
      <c r="B2802" s="11" t="str">
        <f>HYPERLINK("https://twitter.com/evita32029930","@evita32029930")</f>
        <v>@evita32029930</v>
      </c>
      <c r="C2802" s="6" t="s">
        <v>587</v>
      </c>
      <c r="D2802" s="5" t="s">
        <v>408</v>
      </c>
      <c r="E2802" s="9" t="str">
        <f>HYPERLINK("https://twitter.com/evita32029930/status/1044986505960153090","1044986505960153090")</f>
        <v>1044986505960153090</v>
      </c>
      <c r="F2802" s="4"/>
      <c r="G2802" s="4"/>
      <c r="H2802" s="4"/>
      <c r="I2802" s="10" t="str">
        <f>HYPERLINK("http://twitter.com/download/iphone","Twitter for iPhone")</f>
        <v>Twitter for iPhone</v>
      </c>
      <c r="J2802" s="2">
        <v>90</v>
      </c>
      <c r="K2802" s="2">
        <v>95</v>
      </c>
      <c r="L2802" s="2">
        <v>0</v>
      </c>
      <c r="M2802" s="2"/>
      <c r="N2802" s="8">
        <v>43316.479027777779</v>
      </c>
      <c r="O2802" s="4"/>
      <c r="P2802" s="3" t="s">
        <v>586</v>
      </c>
      <c r="Q2802" s="4"/>
      <c r="R2802" s="4"/>
      <c r="S2802" s="9" t="str">
        <f>HYPERLINK("https://pbs.twimg.com/profile_images/1043636545675190272/x4wVcuOH.jpg","View")</f>
        <v>View</v>
      </c>
    </row>
    <row r="2803" spans="1:19" ht="30">
      <c r="A2803" s="8">
        <v>43369.830254629633</v>
      </c>
      <c r="B2803" s="11" t="str">
        <f>HYPERLINK("https://twitter.com/a_driii60","@a_driii60")</f>
        <v>@a_driii60</v>
      </c>
      <c r="C2803" s="6" t="s">
        <v>585</v>
      </c>
      <c r="D2803" s="5" t="s">
        <v>159</v>
      </c>
      <c r="E2803" s="9" t="str">
        <f>HYPERLINK("https://twitter.com/a_driii60/status/1044986347725950977","1044986347725950977")</f>
        <v>1044986347725950977</v>
      </c>
      <c r="F2803" s="4"/>
      <c r="G2803" s="4"/>
      <c r="H2803" s="4"/>
      <c r="I2803" s="10" t="str">
        <f>HYPERLINK("http://twitter.com/download/android","Twitter for Android")</f>
        <v>Twitter for Android</v>
      </c>
      <c r="J2803" s="2">
        <v>634</v>
      </c>
      <c r="K2803" s="2">
        <v>0</v>
      </c>
      <c r="L2803" s="2">
        <v>1</v>
      </c>
      <c r="M2803" s="2"/>
      <c r="N2803" s="8">
        <v>42633.441782407404</v>
      </c>
      <c r="O2803" s="4"/>
      <c r="P2803" s="3"/>
      <c r="Q2803" s="4"/>
      <c r="R2803" s="4"/>
      <c r="S2803" s="9" t="str">
        <f>HYPERLINK("https://pbs.twimg.com/profile_images/1042853229506297856/CjGRfrhB.jpg","View")</f>
        <v>View</v>
      </c>
    </row>
    <row r="2804" spans="1:19" ht="30">
      <c r="A2804" s="8">
        <v>43369.830254629633</v>
      </c>
      <c r="B2804" s="11" t="str">
        <f>HYPERLINK("https://twitter.com/Martin1983iran","@Martin1983iran")</f>
        <v>@Martin1983iran</v>
      </c>
      <c r="C2804" s="6" t="s">
        <v>584</v>
      </c>
      <c r="D2804" s="5" t="s">
        <v>408</v>
      </c>
      <c r="E2804" s="9" t="str">
        <f>HYPERLINK("https://twitter.com/Martin1983iran/status/1044986344521510912","1044986344521510912")</f>
        <v>1044986344521510912</v>
      </c>
      <c r="F2804" s="4"/>
      <c r="G2804" s="4"/>
      <c r="H2804" s="4"/>
      <c r="I2804" s="10" t="str">
        <f>HYPERLINK("http://twitter.com/download/android","Twitter for Android")</f>
        <v>Twitter for Android</v>
      </c>
      <c r="J2804" s="2">
        <v>40</v>
      </c>
      <c r="K2804" s="2">
        <v>71</v>
      </c>
      <c r="L2804" s="2">
        <v>0</v>
      </c>
      <c r="M2804" s="2"/>
      <c r="N2804" s="8">
        <v>43104.333692129629</v>
      </c>
      <c r="O2804" s="4"/>
      <c r="P2804" s="3" t="s">
        <v>583</v>
      </c>
      <c r="Q2804" s="4"/>
      <c r="R2804" s="4"/>
      <c r="S2804" s="9" t="str">
        <f>HYPERLINK("https://pbs.twimg.com/profile_images/1042299483407769600/mcv_XEKK.jpg","View")</f>
        <v>View</v>
      </c>
    </row>
    <row r="2805" spans="1:19" ht="30">
      <c r="A2805" s="8">
        <v>43369.830162037033</v>
      </c>
      <c r="B2805" s="11" t="str">
        <f>HYPERLINK("https://twitter.com/estiiven2000","@estiiven2000")</f>
        <v>@estiiven2000</v>
      </c>
      <c r="C2805" s="6" t="s">
        <v>582</v>
      </c>
      <c r="D2805" s="5" t="s">
        <v>159</v>
      </c>
      <c r="E2805" s="9" t="str">
        <f>HYPERLINK("https://twitter.com/estiiven2000/status/1044986313257177088","1044986313257177088")</f>
        <v>1044986313257177088</v>
      </c>
      <c r="F2805" s="4"/>
      <c r="G2805" s="4"/>
      <c r="H2805" s="4"/>
      <c r="I2805" s="10" t="str">
        <f>HYPERLINK("http://twitter.com/download/android","Twitter for Android")</f>
        <v>Twitter for Android</v>
      </c>
      <c r="J2805" s="2">
        <v>1341</v>
      </c>
      <c r="K2805" s="2">
        <v>179</v>
      </c>
      <c r="L2805" s="2">
        <v>1</v>
      </c>
      <c r="M2805" s="2"/>
      <c r="N2805" s="8">
        <v>42718.850972222222</v>
      </c>
      <c r="O2805" s="4" t="s">
        <v>581</v>
      </c>
      <c r="P2805" s="3" t="s">
        <v>580</v>
      </c>
      <c r="Q2805" s="4"/>
      <c r="R2805" s="4"/>
      <c r="S2805" s="9" t="str">
        <f>HYPERLINK("https://pbs.twimg.com/profile_images/1044892563545739270/JwHB-kca.jpg","View")</f>
        <v>View</v>
      </c>
    </row>
    <row r="2806" spans="1:19" ht="30">
      <c r="A2806" s="8">
        <v>43369.82947916667</v>
      </c>
      <c r="B2806" s="11" t="str">
        <f>HYPERLINK("https://twitter.com/darkooban","@darkooban")</f>
        <v>@darkooban</v>
      </c>
      <c r="C2806" s="6" t="s">
        <v>579</v>
      </c>
      <c r="D2806" s="5" t="s">
        <v>408</v>
      </c>
      <c r="E2806" s="9" t="str">
        <f>HYPERLINK("https://twitter.com/darkooban/status/1044986066690691072","1044986066690691072")</f>
        <v>1044986066690691072</v>
      </c>
      <c r="F2806" s="4"/>
      <c r="G2806" s="4"/>
      <c r="H2806" s="4"/>
      <c r="I2806" s="10" t="str">
        <f>HYPERLINK("http://twitter.com/download/android","Twitter for Android")</f>
        <v>Twitter for Android</v>
      </c>
      <c r="J2806" s="2">
        <v>304</v>
      </c>
      <c r="K2806" s="2">
        <v>375</v>
      </c>
      <c r="L2806" s="2">
        <v>1</v>
      </c>
      <c r="M2806" s="2"/>
      <c r="N2806" s="8">
        <v>43022.537372685183</v>
      </c>
      <c r="O2806" s="4" t="s">
        <v>578</v>
      </c>
      <c r="P2806" s="3"/>
      <c r="Q2806" s="4"/>
      <c r="R2806" s="4"/>
      <c r="S2806" s="9" t="str">
        <f>HYPERLINK("https://pbs.twimg.com/profile_images/1025068112604028928/JR1BPC2S.jpg","View")</f>
        <v>View</v>
      </c>
    </row>
    <row r="2807" spans="1:19" ht="20">
      <c r="A2807" s="8">
        <v>43369.829247685186</v>
      </c>
      <c r="B2807" s="11" t="str">
        <f>HYPERLINK("https://twitter.com/alibjah","@alibjah")</f>
        <v>@alibjah</v>
      </c>
      <c r="C2807" s="6" t="s">
        <v>577</v>
      </c>
      <c r="D2807" s="5" t="s">
        <v>163</v>
      </c>
      <c r="E2807" s="9" t="str">
        <f>HYPERLINK("https://twitter.com/alibjah/status/1044985980892004352","1044985980892004352")</f>
        <v>1044985980892004352</v>
      </c>
      <c r="F2807" s="4"/>
      <c r="G2807" s="4"/>
      <c r="H2807" s="4"/>
      <c r="I2807" s="10" t="str">
        <f>HYPERLINK("http://twitter.com/download/iphone","Twitter for iPhone")</f>
        <v>Twitter for iPhone</v>
      </c>
      <c r="J2807" s="2">
        <v>60</v>
      </c>
      <c r="K2807" s="2">
        <v>69</v>
      </c>
      <c r="L2807" s="2">
        <v>0</v>
      </c>
      <c r="M2807" s="2"/>
      <c r="N2807" s="8">
        <v>42741.434328703705</v>
      </c>
      <c r="O2807" s="4" t="s">
        <v>576</v>
      </c>
      <c r="P2807" s="3" t="s">
        <v>575</v>
      </c>
      <c r="Q2807" s="4"/>
      <c r="R2807" s="4"/>
      <c r="S2807" s="9" t="str">
        <f>HYPERLINK("https://pbs.twimg.com/profile_images/965718456749477889/Dl26neMU.jpg","View")</f>
        <v>View</v>
      </c>
    </row>
    <row r="2808" spans="1:19" ht="30">
      <c r="A2808" s="8">
        <v>43369.828923611116</v>
      </c>
      <c r="B2808" s="11" t="str">
        <f>HYPERLINK("https://twitter.com/Saba56717286","@Saba56717286")</f>
        <v>@Saba56717286</v>
      </c>
      <c r="C2808" s="6" t="s">
        <v>574</v>
      </c>
      <c r="D2808" s="5" t="s">
        <v>408</v>
      </c>
      <c r="E2808" s="9" t="str">
        <f>HYPERLINK("https://twitter.com/Saba56717286/status/1044985863023861767","1044985863023861767")</f>
        <v>1044985863023861767</v>
      </c>
      <c r="F2808" s="4"/>
      <c r="G2808" s="4"/>
      <c r="H2808" s="4"/>
      <c r="I2808" s="10" t="str">
        <f>HYPERLINK("http://twitter.com/download/android","Twitter for Android")</f>
        <v>Twitter for Android</v>
      </c>
      <c r="J2808" s="2">
        <v>30</v>
      </c>
      <c r="K2808" s="2">
        <v>27</v>
      </c>
      <c r="L2808" s="2">
        <v>0</v>
      </c>
      <c r="M2808" s="2"/>
      <c r="N2808" s="8">
        <v>43103.977534722224</v>
      </c>
      <c r="O2808" s="4"/>
      <c r="P2808" s="3"/>
      <c r="Q2808" s="4"/>
      <c r="R2808" s="4"/>
      <c r="S2808" s="2" t="s">
        <v>259</v>
      </c>
    </row>
    <row r="2809" spans="1:19" ht="30">
      <c r="A2809" s="8">
        <v>43369.828888888893</v>
      </c>
      <c r="B2809" s="11" t="str">
        <f>HYPERLINK("https://twitter.com/amu_zanjir_baf","@amu_zanjir_baf")</f>
        <v>@amu_zanjir_baf</v>
      </c>
      <c r="C2809" s="6" t="s">
        <v>573</v>
      </c>
      <c r="D2809" s="5" t="s">
        <v>408</v>
      </c>
      <c r="E2809" s="9" t="str">
        <f>HYPERLINK("https://twitter.com/amu_zanjir_baf/status/1044985850084433920","1044985850084433920")</f>
        <v>1044985850084433920</v>
      </c>
      <c r="F2809" s="4"/>
      <c r="G2809" s="4"/>
      <c r="H2809" s="4"/>
      <c r="I2809" s="10" t="str">
        <f>HYPERLINK("http://twitter.com/download/android","Twitter for Android")</f>
        <v>Twitter for Android</v>
      </c>
      <c r="J2809" s="2">
        <v>32</v>
      </c>
      <c r="K2809" s="2">
        <v>94</v>
      </c>
      <c r="L2809" s="2">
        <v>0</v>
      </c>
      <c r="M2809" s="2"/>
      <c r="N2809" s="8">
        <v>43127.437905092593</v>
      </c>
      <c r="O2809" s="4"/>
      <c r="P2809" s="3"/>
      <c r="Q2809" s="4"/>
      <c r="R2809" s="4"/>
      <c r="S2809" s="9" t="str">
        <f>HYPERLINK("https://pbs.twimg.com/profile_images/987251636744663040/CGt3JD2A.jpg","View")</f>
        <v>View</v>
      </c>
    </row>
    <row r="2810" spans="1:19" ht="30">
      <c r="A2810" s="8">
        <v>43369.828750000001</v>
      </c>
      <c r="B2810" s="11" t="str">
        <f>HYPERLINK("https://twitter.com/Tida26838654","@Tida26838654")</f>
        <v>@Tida26838654</v>
      </c>
      <c r="C2810" s="6" t="s">
        <v>572</v>
      </c>
      <c r="D2810" s="5" t="s">
        <v>408</v>
      </c>
      <c r="E2810" s="9" t="str">
        <f>HYPERLINK("https://twitter.com/Tida26838654/status/1044985799274647552","1044985799274647552")</f>
        <v>1044985799274647552</v>
      </c>
      <c r="F2810" s="4"/>
      <c r="G2810" s="4"/>
      <c r="H2810" s="4"/>
      <c r="I2810" s="10" t="str">
        <f>HYPERLINK("http://twitter.com/download/iphone","Twitter for iPhone")</f>
        <v>Twitter for iPhone</v>
      </c>
      <c r="J2810" s="2">
        <v>558</v>
      </c>
      <c r="K2810" s="2">
        <v>1645</v>
      </c>
      <c r="L2810" s="2">
        <v>1</v>
      </c>
      <c r="M2810" s="2"/>
      <c r="N2810" s="8">
        <v>43245.1247337963</v>
      </c>
      <c r="O2810" s="4" t="s">
        <v>571</v>
      </c>
      <c r="P2810" s="3" t="s">
        <v>570</v>
      </c>
      <c r="Q2810" s="4"/>
      <c r="R2810" s="4"/>
      <c r="S2810" s="9" t="str">
        <f>HYPERLINK("https://pbs.twimg.com/profile_images/1044961554976960515/DfhCjxcY.jpg","View")</f>
        <v>View</v>
      </c>
    </row>
    <row r="2811" spans="1:19" ht="50">
      <c r="A2811" s="8">
        <v>43369.828668981485</v>
      </c>
      <c r="B2811" s="11" t="str">
        <f>HYPERLINK("https://twitter.com/rezabehjat","@rezabehjat")</f>
        <v>@rezabehjat</v>
      </c>
      <c r="C2811" s="6" t="s">
        <v>569</v>
      </c>
      <c r="D2811" s="5" t="s">
        <v>568</v>
      </c>
      <c r="E2811" s="9" t="str">
        <f>HYPERLINK("https://twitter.com/rezabehjat/status/1044985772103921664","1044985772103921664")</f>
        <v>1044985772103921664</v>
      </c>
      <c r="F2811" s="10" t="s">
        <v>567</v>
      </c>
      <c r="G2811" s="10" t="s">
        <v>19</v>
      </c>
      <c r="H2811" s="4"/>
      <c r="I2811" s="10" t="str">
        <f>HYPERLINK("http://twitter.com/download/iphone","Twitter for iPhone")</f>
        <v>Twitter for iPhone</v>
      </c>
      <c r="J2811" s="2">
        <v>470</v>
      </c>
      <c r="K2811" s="2">
        <v>431</v>
      </c>
      <c r="L2811" s="2">
        <v>1</v>
      </c>
      <c r="M2811" s="2"/>
      <c r="N2811" s="8">
        <v>40255.78628472222</v>
      </c>
      <c r="O2811" s="4" t="s">
        <v>566</v>
      </c>
      <c r="P2811" s="3" t="s">
        <v>565</v>
      </c>
      <c r="Q2811" s="10" t="s">
        <v>564</v>
      </c>
      <c r="R2811" s="4"/>
      <c r="S2811" s="9" t="str">
        <f>HYPERLINK("https://pbs.twimg.com/profile_images/1044095576567140353/COSV_wtU.jpg","View")</f>
        <v>View</v>
      </c>
    </row>
    <row r="2812" spans="1:19" ht="20">
      <c r="A2812" s="8">
        <v>43369.828599537039</v>
      </c>
      <c r="B2812" s="11" t="str">
        <f>HYPERLINK("https://twitter.com/mohammadrt68","@mohammadrt68")</f>
        <v>@mohammadrt68</v>
      </c>
      <c r="C2812" s="6" t="s">
        <v>563</v>
      </c>
      <c r="D2812" s="5" t="s">
        <v>163</v>
      </c>
      <c r="E2812" s="9" t="str">
        <f>HYPERLINK("https://twitter.com/mohammadrt68/status/1044985746392797184","1044985746392797184")</f>
        <v>1044985746392797184</v>
      </c>
      <c r="F2812" s="4"/>
      <c r="G2812" s="4"/>
      <c r="H2812" s="4"/>
      <c r="I2812" s="10" t="str">
        <f>HYPERLINK("http://twitter.com/download/android","Twitter for Android")</f>
        <v>Twitter for Android</v>
      </c>
      <c r="J2812" s="2">
        <v>125</v>
      </c>
      <c r="K2812" s="2">
        <v>334</v>
      </c>
      <c r="L2812" s="2">
        <v>0</v>
      </c>
      <c r="M2812" s="2"/>
      <c r="N2812" s="8">
        <v>43112.521307870367</v>
      </c>
      <c r="O2812" s="4" t="s">
        <v>562</v>
      </c>
      <c r="P2812" s="3" t="s">
        <v>561</v>
      </c>
      <c r="Q2812" s="4"/>
      <c r="R2812" s="4"/>
      <c r="S2812" s="9" t="str">
        <f>HYPERLINK("https://pbs.twimg.com/profile_images/993884905665949696/P0LxjzwJ.jpg","View")</f>
        <v>View</v>
      </c>
    </row>
    <row r="2813" spans="1:19" ht="30">
      <c r="A2813" s="8">
        <v>43369.828564814816</v>
      </c>
      <c r="B2813" s="11" t="str">
        <f>HYPERLINK("https://twitter.com/Lawyer666999","@Lawyer666999")</f>
        <v>@Lawyer666999</v>
      </c>
      <c r="C2813" s="6" t="s">
        <v>560</v>
      </c>
      <c r="D2813" s="5" t="s">
        <v>408</v>
      </c>
      <c r="E2813" s="9" t="str">
        <f>HYPERLINK("https://twitter.com/Lawyer666999/status/1044985732618584064","1044985732618584064")</f>
        <v>1044985732618584064</v>
      </c>
      <c r="F2813" s="4"/>
      <c r="G2813" s="4"/>
      <c r="H2813" s="4"/>
      <c r="I2813" s="10" t="str">
        <f>HYPERLINK("http://twitter.com/download/android","Twitter for Android")</f>
        <v>Twitter for Android</v>
      </c>
      <c r="J2813" s="2">
        <v>503</v>
      </c>
      <c r="K2813" s="2">
        <v>578</v>
      </c>
      <c r="L2813" s="2">
        <v>1</v>
      </c>
      <c r="M2813" s="2"/>
      <c r="N2813" s="8">
        <v>43203.700798611113</v>
      </c>
      <c r="O2813" s="4" t="s">
        <v>559</v>
      </c>
      <c r="P2813" s="3" t="s">
        <v>558</v>
      </c>
      <c r="Q2813" s="4"/>
      <c r="R2813" s="4"/>
      <c r="S2813" s="9" t="str">
        <f>HYPERLINK("https://pbs.twimg.com/profile_images/1008820831068311555/xjo74mIL.jpg","View")</f>
        <v>View</v>
      </c>
    </row>
    <row r="2814" spans="1:19" ht="40">
      <c r="A2814" s="8">
        <v>43369.828402777777</v>
      </c>
      <c r="B2814" s="11" t="str">
        <f>HYPERLINK("https://twitter.com/Pariiia1","@Pariiia1")</f>
        <v>@Pariiia1</v>
      </c>
      <c r="C2814" s="6" t="s">
        <v>557</v>
      </c>
      <c r="D2814" s="5" t="s">
        <v>422</v>
      </c>
      <c r="E2814" s="9" t="str">
        <f>HYPERLINK("https://twitter.com/Pariiia1/status/1044985673529405446","1044985673529405446")</f>
        <v>1044985673529405446</v>
      </c>
      <c r="F2814" s="4"/>
      <c r="G2814" s="10" t="s">
        <v>421</v>
      </c>
      <c r="H2814" s="4"/>
      <c r="I2814" s="10" t="str">
        <f>HYPERLINK("http://twitter.com/download/android","Twitter for Android")</f>
        <v>Twitter for Android</v>
      </c>
      <c r="J2814" s="2">
        <v>1595</v>
      </c>
      <c r="K2814" s="2">
        <v>1541</v>
      </c>
      <c r="L2814" s="2">
        <v>7</v>
      </c>
      <c r="M2814" s="2"/>
      <c r="N2814" s="8">
        <v>42945.723449074074</v>
      </c>
      <c r="O2814" s="4" t="s">
        <v>556</v>
      </c>
      <c r="P2814" s="3" t="s">
        <v>555</v>
      </c>
      <c r="Q2814" s="10" t="s">
        <v>554</v>
      </c>
      <c r="R2814" s="4"/>
      <c r="S2814" s="9" t="str">
        <f>HYPERLINK("https://pbs.twimg.com/profile_images/1044937384335478784/roLNo0FT.jpg","View")</f>
        <v>View</v>
      </c>
    </row>
    <row r="2815" spans="1:19" ht="20">
      <c r="A2815" s="8">
        <v>43369.827893518523</v>
      </c>
      <c r="B2815" s="11" t="str">
        <f>HYPERLINK("https://twitter.com/VahiidRahmani","@VahiidRahmani")</f>
        <v>@VahiidRahmani</v>
      </c>
      <c r="C2815" s="6" t="s">
        <v>553</v>
      </c>
      <c r="D2815" s="5" t="s">
        <v>498</v>
      </c>
      <c r="E2815" s="9" t="str">
        <f>HYPERLINK("https://twitter.com/VahiidRahmani/status/1044985492511608834","1044985492511608834")</f>
        <v>1044985492511608834</v>
      </c>
      <c r="F2815" s="4"/>
      <c r="G2815" s="4"/>
      <c r="H2815" s="4"/>
      <c r="I2815" s="10" t="str">
        <f>HYPERLINK("http://twitter.com/download/iphone","Twitter for iPhone")</f>
        <v>Twitter for iPhone</v>
      </c>
      <c r="J2815" s="2">
        <v>1062</v>
      </c>
      <c r="K2815" s="2">
        <v>1344</v>
      </c>
      <c r="L2815" s="2">
        <v>1</v>
      </c>
      <c r="M2815" s="2"/>
      <c r="N2815" s="8">
        <v>42202.708726851852</v>
      </c>
      <c r="O2815" s="4"/>
      <c r="P2815" s="3" t="s">
        <v>552</v>
      </c>
      <c r="Q2815" s="4"/>
      <c r="R2815" s="4"/>
      <c r="S2815" s="9" t="str">
        <f>HYPERLINK("https://pbs.twimg.com/profile_images/1040178637071413255/cvmkA1Pg.jpg","View")</f>
        <v>View</v>
      </c>
    </row>
    <row r="2816" spans="1:19" ht="30">
      <c r="A2816" s="8">
        <v>43369.8277662037</v>
      </c>
      <c r="B2816" s="11" t="str">
        <f>HYPERLINK("https://twitter.com/Elham21081524","@Elham21081524")</f>
        <v>@Elham21081524</v>
      </c>
      <c r="C2816" s="6" t="s">
        <v>236</v>
      </c>
      <c r="D2816" s="5" t="s">
        <v>159</v>
      </c>
      <c r="E2816" s="9" t="str">
        <f>HYPERLINK("https://twitter.com/Elham21081524/status/1044985445245964288","1044985445245964288")</f>
        <v>1044985445245964288</v>
      </c>
      <c r="F2816" s="4"/>
      <c r="G2816" s="4"/>
      <c r="H2816" s="4"/>
      <c r="I2816" s="10" t="str">
        <f>HYPERLINK("http://twitter.com/download/iphone","Twitter for iPhone")</f>
        <v>Twitter for iPhone</v>
      </c>
      <c r="J2816" s="2">
        <v>934</v>
      </c>
      <c r="K2816" s="2">
        <v>880</v>
      </c>
      <c r="L2816" s="2">
        <v>0</v>
      </c>
      <c r="M2816" s="2"/>
      <c r="N2816" s="8">
        <v>43123.614421296297</v>
      </c>
      <c r="O2816" s="4"/>
      <c r="P2816" s="3" t="s">
        <v>235</v>
      </c>
      <c r="Q2816" s="4"/>
      <c r="R2816" s="4"/>
      <c r="S2816" s="9" t="str">
        <f>HYPERLINK("https://pbs.twimg.com/profile_images/1043800984986759168/6Rx-G2op.jpg","View")</f>
        <v>View</v>
      </c>
    </row>
    <row r="2817" spans="1:19" ht="30">
      <c r="A2817" s="8">
        <v>43369.82744212963</v>
      </c>
      <c r="B2817" s="11" t="str">
        <f>HYPERLINK("https://twitter.com/akaaaa1516","@akaaaa1516")</f>
        <v>@akaaaa1516</v>
      </c>
      <c r="C2817" s="6" t="s">
        <v>551</v>
      </c>
      <c r="D2817" s="5" t="s">
        <v>550</v>
      </c>
      <c r="E2817" s="9" t="str">
        <f>HYPERLINK("https://twitter.com/akaaaa1516/status/1044985326341640192","1044985326341640192")</f>
        <v>1044985326341640192</v>
      </c>
      <c r="F2817" s="4"/>
      <c r="G2817" s="10" t="s">
        <v>481</v>
      </c>
      <c r="H2817" s="4"/>
      <c r="I2817" s="10" t="str">
        <f>HYPERLINK("http://twitter.com/download/iphone","Twitter for iPhone")</f>
        <v>Twitter for iPhone</v>
      </c>
      <c r="J2817" s="2">
        <v>1213</v>
      </c>
      <c r="K2817" s="2">
        <v>123</v>
      </c>
      <c r="L2817" s="2">
        <v>7</v>
      </c>
      <c r="M2817" s="2"/>
      <c r="N2817" s="8">
        <v>42918.464270833334</v>
      </c>
      <c r="O2817" s="4"/>
      <c r="P2817" s="3" t="s">
        <v>549</v>
      </c>
      <c r="Q2817" s="4"/>
      <c r="R2817" s="4"/>
      <c r="S2817" s="9" t="str">
        <f>HYPERLINK("https://pbs.twimg.com/profile_images/1044991409873399808/ZGE4R1PX.jpg","View")</f>
        <v>View</v>
      </c>
    </row>
    <row r="2818" spans="1:19" ht="30">
      <c r="A2818" s="8">
        <v>43369.827314814815</v>
      </c>
      <c r="B2818" s="11" t="str">
        <f>HYPERLINK("https://twitter.com/kh110kh110","@kh110kh110")</f>
        <v>@kh110kh110</v>
      </c>
      <c r="C2818" s="6" t="s">
        <v>548</v>
      </c>
      <c r="D2818" s="5" t="s">
        <v>408</v>
      </c>
      <c r="E2818" s="9" t="str">
        <f>HYPERLINK("https://twitter.com/kh110kh110/status/1044985282393714688","1044985282393714688")</f>
        <v>1044985282393714688</v>
      </c>
      <c r="F2818" s="4"/>
      <c r="G2818" s="4"/>
      <c r="H2818" s="4"/>
      <c r="I2818" s="10" t="str">
        <f>HYPERLINK("http://twitter.com/download/android","Twitter for Android")</f>
        <v>Twitter for Android</v>
      </c>
      <c r="J2818" s="2">
        <v>92</v>
      </c>
      <c r="K2818" s="2">
        <v>418</v>
      </c>
      <c r="L2818" s="2">
        <v>0</v>
      </c>
      <c r="M2818" s="2"/>
      <c r="N2818" s="8">
        <v>43086.646238425921</v>
      </c>
      <c r="O2818" s="4" t="s">
        <v>547</v>
      </c>
      <c r="P2818" s="3" t="s">
        <v>546</v>
      </c>
      <c r="Q2818" s="4"/>
      <c r="R2818" s="4"/>
      <c r="S2818" s="9" t="str">
        <f>HYPERLINK("https://pbs.twimg.com/profile_images/1016886727431028741/9g7N4Dqa.jpg","View")</f>
        <v>View</v>
      </c>
    </row>
    <row r="2819" spans="1:19" ht="30">
      <c r="A2819" s="8">
        <v>43369.827187499999</v>
      </c>
      <c r="B2819" s="11" t="str">
        <f>HYPERLINK("https://twitter.com/AsadiA42","@AsadiA42")</f>
        <v>@AsadiA42</v>
      </c>
      <c r="C2819" s="6" t="s">
        <v>545</v>
      </c>
      <c r="D2819" s="5" t="s">
        <v>408</v>
      </c>
      <c r="E2819" s="9" t="str">
        <f>HYPERLINK("https://twitter.com/AsadiA42/status/1044985235627233280","1044985235627233280")</f>
        <v>1044985235627233280</v>
      </c>
      <c r="F2819" s="4"/>
      <c r="G2819" s="4"/>
      <c r="H2819" s="4"/>
      <c r="I2819" s="10" t="str">
        <f>HYPERLINK("http://twitter.com/download/android","Twitter for Android")</f>
        <v>Twitter for Android</v>
      </c>
      <c r="J2819" s="2">
        <v>58</v>
      </c>
      <c r="K2819" s="2">
        <v>174</v>
      </c>
      <c r="L2819" s="2">
        <v>0</v>
      </c>
      <c r="M2819" s="2"/>
      <c r="N2819" s="8">
        <v>42580.170983796299</v>
      </c>
      <c r="O2819" s="4" t="s">
        <v>10</v>
      </c>
      <c r="P2819" s="3" t="s">
        <v>544</v>
      </c>
      <c r="Q2819" s="4"/>
      <c r="R2819" s="4"/>
      <c r="S2819" s="9" t="str">
        <f>HYPERLINK("https://pbs.twimg.com/profile_images/1024038669588606976/G2Rrp6Cx.jpg","View")</f>
        <v>View</v>
      </c>
    </row>
    <row r="2820" spans="1:19" ht="20">
      <c r="A2820" s="8">
        <v>43369.826898148152</v>
      </c>
      <c r="B2820" s="11" t="str">
        <f>HYPERLINK("https://twitter.com/77ktbffh","@77ktbffh")</f>
        <v>@77ktbffh</v>
      </c>
      <c r="C2820" s="6" t="s">
        <v>543</v>
      </c>
      <c r="D2820" s="5" t="s">
        <v>542</v>
      </c>
      <c r="E2820" s="9" t="str">
        <f>HYPERLINK("https://twitter.com/77ktbffh/status/1044985131398819842","1044985131398819842")</f>
        <v>1044985131398819842</v>
      </c>
      <c r="F2820" s="4"/>
      <c r="G2820" s="4"/>
      <c r="H2820" s="4"/>
      <c r="I2820" s="10" t="str">
        <f>HYPERLINK("https://mobile.twitter.com","Twitter Lite")</f>
        <v>Twitter Lite</v>
      </c>
      <c r="J2820" s="2">
        <v>1898</v>
      </c>
      <c r="K2820" s="2">
        <v>598</v>
      </c>
      <c r="L2820" s="2">
        <v>1</v>
      </c>
      <c r="M2820" s="2"/>
      <c r="N2820" s="8">
        <v>42950.578310185185</v>
      </c>
      <c r="O2820" s="4" t="s">
        <v>541</v>
      </c>
      <c r="P2820" s="3" t="s">
        <v>540</v>
      </c>
      <c r="Q2820" s="10" t="s">
        <v>539</v>
      </c>
      <c r="R2820" s="4"/>
      <c r="S2820" s="9" t="str">
        <f>HYPERLINK("https://pbs.twimg.com/profile_images/1038469474872188929/lGiAuRJu.jpg","View")</f>
        <v>View</v>
      </c>
    </row>
    <row r="2821" spans="1:19" ht="30">
      <c r="A2821" s="8">
        <v>43369.826006944444</v>
      </c>
      <c r="B2821" s="11" t="str">
        <f>HYPERLINK("https://twitter.com/poria_PNB","@poria_PNB")</f>
        <v>@poria_PNB</v>
      </c>
      <c r="C2821" s="6" t="s">
        <v>538</v>
      </c>
      <c r="D2821" s="5" t="s">
        <v>408</v>
      </c>
      <c r="E2821" s="9" t="str">
        <f>HYPERLINK("https://twitter.com/poria_PNB/status/1044984806407380993","1044984806407380993")</f>
        <v>1044984806407380993</v>
      </c>
      <c r="F2821" s="4"/>
      <c r="G2821" s="4"/>
      <c r="H2821" s="4"/>
      <c r="I2821" s="10" t="str">
        <f>HYPERLINK("http://twitter.com/download/iphone","Twitter for iPhone")</f>
        <v>Twitter for iPhone</v>
      </c>
      <c r="J2821" s="2">
        <v>117</v>
      </c>
      <c r="K2821" s="2">
        <v>23</v>
      </c>
      <c r="L2821" s="2">
        <v>1</v>
      </c>
      <c r="M2821" s="2"/>
      <c r="N2821" s="8">
        <v>42834.891365740739</v>
      </c>
      <c r="O2821" s="4"/>
      <c r="P2821" s="3"/>
      <c r="Q2821" s="4"/>
      <c r="R2821" s="4"/>
      <c r="S2821" s="9" t="str">
        <f>HYPERLINK("https://pbs.twimg.com/profile_images/1038050710703759361/4JwkyLE8.jpg","View")</f>
        <v>View</v>
      </c>
    </row>
    <row r="2822" spans="1:19" ht="20">
      <c r="A2822" s="8">
        <v>43369.825844907406</v>
      </c>
      <c r="B2822" s="11" t="str">
        <f>HYPERLINK("https://twitter.com/keymorteza","@keymorteza")</f>
        <v>@keymorteza</v>
      </c>
      <c r="C2822" s="6" t="s">
        <v>537</v>
      </c>
      <c r="D2822" s="5" t="s">
        <v>498</v>
      </c>
      <c r="E2822" s="9" t="str">
        <f>HYPERLINK("https://twitter.com/keymorteza/status/1044984747695493120","1044984747695493120")</f>
        <v>1044984747695493120</v>
      </c>
      <c r="F2822" s="4"/>
      <c r="G2822" s="4"/>
      <c r="H2822" s="4"/>
      <c r="I2822" s="10" t="str">
        <f>HYPERLINK("http://twitter.com/download/android","Twitter for Android")</f>
        <v>Twitter for Android</v>
      </c>
      <c r="J2822" s="2">
        <v>4309</v>
      </c>
      <c r="K2822" s="2">
        <v>152</v>
      </c>
      <c r="L2822" s="2">
        <v>10</v>
      </c>
      <c r="M2822" s="2"/>
      <c r="N2822" s="8">
        <v>42825.735625000001</v>
      </c>
      <c r="O2822" s="4"/>
      <c r="P2822" s="3" t="s">
        <v>536</v>
      </c>
      <c r="Q2822" s="4"/>
      <c r="R2822" s="4"/>
      <c r="S2822" s="9" t="str">
        <f>HYPERLINK("https://pbs.twimg.com/profile_images/1044653526331387904/em0j29lU.jpg","View")</f>
        <v>View</v>
      </c>
    </row>
    <row r="2823" spans="1:19" ht="12.5">
      <c r="A2823" s="8">
        <v>43369.825752314813</v>
      </c>
      <c r="B2823" s="11" t="str">
        <f>HYPERLINK("https://twitter.com/azemi_ardakani","@azemi_ardakani")</f>
        <v>@azemi_ardakani</v>
      </c>
      <c r="C2823" s="6" t="s">
        <v>535</v>
      </c>
      <c r="D2823" s="5" t="s">
        <v>534</v>
      </c>
      <c r="E2823" s="9" t="str">
        <f>HYPERLINK("https://twitter.com/azemi_ardakani/status/1044984713776181248","1044984713776181248")</f>
        <v>1044984713776181248</v>
      </c>
      <c r="F2823" s="4"/>
      <c r="G2823" s="4"/>
      <c r="H2823" s="4"/>
      <c r="I2823" s="10" t="str">
        <f>HYPERLINK("http://twitter.com/download/android","Twitter for Android")</f>
        <v>Twitter for Android</v>
      </c>
      <c r="J2823" s="2">
        <v>24</v>
      </c>
      <c r="K2823" s="2">
        <v>80</v>
      </c>
      <c r="L2823" s="2">
        <v>0</v>
      </c>
      <c r="M2823" s="2"/>
      <c r="N2823" s="8">
        <v>42788.516006944439</v>
      </c>
      <c r="O2823" s="4" t="s">
        <v>533</v>
      </c>
      <c r="P2823" s="3" t="s">
        <v>532</v>
      </c>
      <c r="Q2823" s="4"/>
      <c r="R2823" s="4"/>
      <c r="S2823" s="9" t="str">
        <f>HYPERLINK("https://pbs.twimg.com/profile_images/1043456518346166272/rNdaO8ah.jpg","View")</f>
        <v>View</v>
      </c>
    </row>
    <row r="2824" spans="1:19" ht="20">
      <c r="A2824" s="8">
        <v>43369.825567129628</v>
      </c>
      <c r="B2824" s="11" t="str">
        <f>HYPERLINK("https://twitter.com/Mahdiseyd98","@Mahdiseyd98")</f>
        <v>@Mahdiseyd98</v>
      </c>
      <c r="C2824" s="6" t="s">
        <v>531</v>
      </c>
      <c r="D2824" s="5" t="s">
        <v>530</v>
      </c>
      <c r="E2824" s="9" t="str">
        <f>HYPERLINK("https://twitter.com/Mahdiseyd98/status/1044984648143638529","1044984648143638529")</f>
        <v>1044984648143638529</v>
      </c>
      <c r="F2824" s="4"/>
      <c r="G2824" s="10" t="s">
        <v>529</v>
      </c>
      <c r="H2824" s="4"/>
      <c r="I2824" s="10" t="str">
        <f>HYPERLINK("http://twitter.com/download/android","Twitter for Android")</f>
        <v>Twitter for Android</v>
      </c>
      <c r="J2824" s="2">
        <v>14</v>
      </c>
      <c r="K2824" s="2">
        <v>23</v>
      </c>
      <c r="L2824" s="2">
        <v>1</v>
      </c>
      <c r="M2824" s="2"/>
      <c r="N2824" s="8">
        <v>43209.967627314814</v>
      </c>
      <c r="O2824" s="4" t="s">
        <v>200</v>
      </c>
      <c r="P2824" s="3" t="s">
        <v>528</v>
      </c>
      <c r="Q2824" s="4"/>
      <c r="R2824" s="4"/>
      <c r="S2824" s="9" t="str">
        <f>HYPERLINK("https://pbs.twimg.com/profile_images/987043340603527168/4P32HDTK.jpg","View")</f>
        <v>View</v>
      </c>
    </row>
    <row r="2825" spans="1:19" ht="30">
      <c r="A2825" s="8">
        <v>43369.825520833328</v>
      </c>
      <c r="B2825" s="11" t="str">
        <f>HYPERLINK("https://twitter.com/MitralofaHeart","@MitralofaHeart")</f>
        <v>@MitralofaHeart</v>
      </c>
      <c r="C2825" s="6" t="s">
        <v>527</v>
      </c>
      <c r="D2825" s="5" t="s">
        <v>408</v>
      </c>
      <c r="E2825" s="9" t="str">
        <f>HYPERLINK("https://twitter.com/MitralofaHeart/status/1044984629600473088","1044984629600473088")</f>
        <v>1044984629600473088</v>
      </c>
      <c r="F2825" s="4"/>
      <c r="G2825" s="4"/>
      <c r="H2825" s="4"/>
      <c r="I2825" s="10" t="str">
        <f>HYPERLINK("http://twitter.com/download/android","Twitter for Android")</f>
        <v>Twitter for Android</v>
      </c>
      <c r="J2825" s="2">
        <v>428</v>
      </c>
      <c r="K2825" s="2">
        <v>568</v>
      </c>
      <c r="L2825" s="2">
        <v>0</v>
      </c>
      <c r="M2825" s="2"/>
      <c r="N2825" s="8">
        <v>43197.906527777777</v>
      </c>
      <c r="O2825" s="4" t="s">
        <v>72</v>
      </c>
      <c r="P2825" s="3" t="s">
        <v>526</v>
      </c>
      <c r="Q2825" s="4"/>
      <c r="R2825" s="4"/>
      <c r="S2825" s="9" t="str">
        <f>HYPERLINK("https://pbs.twimg.com/profile_images/985846790799941635/zjFVB9vc.jpg","View")</f>
        <v>View</v>
      </c>
    </row>
    <row r="2826" spans="1:19" ht="30">
      <c r="A2826" s="8">
        <v>43369.825289351851</v>
      </c>
      <c r="B2826" s="11" t="str">
        <f>HYPERLINK("https://twitter.com/mehrdadsoufi","@mehrdadsoufi")</f>
        <v>@mehrdadsoufi</v>
      </c>
      <c r="C2826" s="6" t="s">
        <v>525</v>
      </c>
      <c r="D2826" s="5" t="s">
        <v>408</v>
      </c>
      <c r="E2826" s="9" t="str">
        <f>HYPERLINK("https://twitter.com/mehrdadsoufi/status/1044984548822519809","1044984548822519809")</f>
        <v>1044984548822519809</v>
      </c>
      <c r="F2826" s="4"/>
      <c r="G2826" s="4"/>
      <c r="H2826" s="4"/>
      <c r="I2826" s="10" t="str">
        <f>HYPERLINK("http://twitter.com/download/android","Twitter for Android")</f>
        <v>Twitter for Android</v>
      </c>
      <c r="J2826" s="2">
        <v>35</v>
      </c>
      <c r="K2826" s="2">
        <v>95</v>
      </c>
      <c r="L2826" s="2">
        <v>0</v>
      </c>
      <c r="M2826" s="2"/>
      <c r="N2826" s="8">
        <v>41507.534618055557</v>
      </c>
      <c r="O2826" s="4" t="s">
        <v>524</v>
      </c>
      <c r="P2826" s="3" t="s">
        <v>523</v>
      </c>
      <c r="Q2826" s="4"/>
      <c r="R2826" s="4"/>
      <c r="S2826" s="9" t="str">
        <f>HYPERLINK("https://pbs.twimg.com/profile_images/1031953184300908550/RWFfVl39.jpg","View")</f>
        <v>View</v>
      </c>
    </row>
    <row r="2827" spans="1:19" ht="20">
      <c r="A2827" s="8">
        <v>43369.825104166666</v>
      </c>
      <c r="B2827" s="11" t="str">
        <f>HYPERLINK("https://twitter.com/hoshang9697","@hoshang9697")</f>
        <v>@hoshang9697</v>
      </c>
      <c r="C2827" s="6" t="s">
        <v>522</v>
      </c>
      <c r="D2827" s="5" t="s">
        <v>163</v>
      </c>
      <c r="E2827" s="9" t="str">
        <f>HYPERLINK("https://twitter.com/hoshang9697/status/1044984479851401216","1044984479851401216")</f>
        <v>1044984479851401216</v>
      </c>
      <c r="F2827" s="4"/>
      <c r="G2827" s="4"/>
      <c r="H2827" s="4"/>
      <c r="I2827" s="10" t="str">
        <f>HYPERLINK("http://twitter.com/download/android","Twitter for Android")</f>
        <v>Twitter for Android</v>
      </c>
      <c r="J2827" s="2">
        <v>129</v>
      </c>
      <c r="K2827" s="2">
        <v>214</v>
      </c>
      <c r="L2827" s="2">
        <v>0</v>
      </c>
      <c r="M2827" s="2"/>
      <c r="N2827" s="8">
        <v>43118.430995370371</v>
      </c>
      <c r="O2827" s="4"/>
      <c r="P2827" s="3" t="s">
        <v>521</v>
      </c>
      <c r="Q2827" s="4"/>
      <c r="R2827" s="4"/>
      <c r="S2827" s="9" t="str">
        <f>HYPERLINK("https://pbs.twimg.com/profile_images/991061371986042881/2BgHKwyD.jpg","View")</f>
        <v>View</v>
      </c>
    </row>
    <row r="2828" spans="1:19" ht="40">
      <c r="A2828" s="8">
        <v>43369.824247685188</v>
      </c>
      <c r="B2828" s="11" t="str">
        <f>HYPERLINK("https://twitter.com/HMirghasemi","@HMirghasemi")</f>
        <v>@HMirghasemi</v>
      </c>
      <c r="C2828" s="6" t="s">
        <v>520</v>
      </c>
      <c r="D2828" s="5" t="s">
        <v>519</v>
      </c>
      <c r="E2828" s="9" t="str">
        <f>HYPERLINK("https://twitter.com/HMirghasemi/status/1044984170739625984","1044984170739625984")</f>
        <v>1044984170739625984</v>
      </c>
      <c r="F2828" s="4"/>
      <c r="G2828" s="4"/>
      <c r="H2828" s="4"/>
      <c r="I2828" s="10" t="str">
        <f>HYPERLINK("http://twitter.com/download/iphone","Twitter for iPhone")</f>
        <v>Twitter for iPhone</v>
      </c>
      <c r="J2828" s="2">
        <v>14</v>
      </c>
      <c r="K2828" s="2">
        <v>115</v>
      </c>
      <c r="L2828" s="2">
        <v>0</v>
      </c>
      <c r="M2828" s="2"/>
      <c r="N2828" s="8">
        <v>43064.736840277779</v>
      </c>
      <c r="O2828" s="4"/>
      <c r="P2828" s="3" t="s">
        <v>518</v>
      </c>
      <c r="Q2828" s="10" t="s">
        <v>517</v>
      </c>
      <c r="R2828" s="4"/>
      <c r="S2828" s="9" t="str">
        <f>HYPERLINK("https://pbs.twimg.com/profile_images/985604059850838016/XkfT_10B.jpg","View")</f>
        <v>View</v>
      </c>
    </row>
    <row r="2829" spans="1:19" ht="20">
      <c r="A2829" s="8">
        <v>43369.823981481481</v>
      </c>
      <c r="B2829" s="11" t="str">
        <f>HYPERLINK("https://twitter.com/Reza_Gh1990","@Reza_Gh1990")</f>
        <v>@Reza_Gh1990</v>
      </c>
      <c r="C2829" s="6" t="s">
        <v>326</v>
      </c>
      <c r="D2829" s="5" t="s">
        <v>498</v>
      </c>
      <c r="E2829" s="9" t="str">
        <f>HYPERLINK("https://twitter.com/Reza_Gh1990/status/1044984073033330688","1044984073033330688")</f>
        <v>1044984073033330688</v>
      </c>
      <c r="F2829" s="4"/>
      <c r="G2829" s="4"/>
      <c r="H2829" s="4"/>
      <c r="I2829" s="10" t="str">
        <f>HYPERLINK("http://twitter.com","Twitter Web Client")</f>
        <v>Twitter Web Client</v>
      </c>
      <c r="J2829" s="2">
        <v>2628</v>
      </c>
      <c r="K2829" s="2">
        <v>1140</v>
      </c>
      <c r="L2829" s="2">
        <v>10</v>
      </c>
      <c r="M2829" s="2"/>
      <c r="N2829" s="8">
        <v>42034.77043981482</v>
      </c>
      <c r="O2829" s="4" t="s">
        <v>323</v>
      </c>
      <c r="P2829" s="3" t="s">
        <v>322</v>
      </c>
      <c r="Q2829" s="4"/>
      <c r="R2829" s="4"/>
      <c r="S2829" s="9" t="str">
        <f>HYPERLINK("https://pbs.twimg.com/profile_images/1044632756221890562/Kn6N1eml.jpg","View")</f>
        <v>View</v>
      </c>
    </row>
    <row r="2830" spans="1:19" ht="20">
      <c r="A2830" s="8">
        <v>43369.823819444442</v>
      </c>
      <c r="B2830" s="11" t="str">
        <f>HYPERLINK("https://twitter.com/mahpalang","@mahpalang")</f>
        <v>@mahpalang</v>
      </c>
      <c r="C2830" s="6" t="s">
        <v>516</v>
      </c>
      <c r="D2830" s="5" t="s">
        <v>428</v>
      </c>
      <c r="E2830" s="9" t="str">
        <f>HYPERLINK("https://twitter.com/mahpalang/status/1044984016062042119","1044984016062042119")</f>
        <v>1044984016062042119</v>
      </c>
      <c r="F2830" s="10" t="s">
        <v>427</v>
      </c>
      <c r="G2830" s="4"/>
      <c r="H2830" s="4"/>
      <c r="I2830" s="10" t="str">
        <f>HYPERLINK("http://twitter.com/download/android","Twitter for Android")</f>
        <v>Twitter for Android</v>
      </c>
      <c r="J2830" s="2">
        <v>1374</v>
      </c>
      <c r="K2830" s="2">
        <v>352</v>
      </c>
      <c r="L2830" s="2">
        <v>12</v>
      </c>
      <c r="M2830" s="2"/>
      <c r="N2830" s="8">
        <v>42957.058425925927</v>
      </c>
      <c r="O2830" s="4"/>
      <c r="P2830" s="3" t="s">
        <v>515</v>
      </c>
      <c r="Q2830" s="4"/>
      <c r="R2830" s="4"/>
      <c r="S2830" s="9" t="str">
        <f>HYPERLINK("https://pbs.twimg.com/profile_images/986151343038623744/Zaik56ts.jpg","View")</f>
        <v>View</v>
      </c>
    </row>
    <row r="2831" spans="1:19" ht="40">
      <c r="A2831" s="8">
        <v>43369.823657407411</v>
      </c>
      <c r="B2831" s="11" t="str">
        <f>HYPERLINK("https://twitter.com/mirheli_emad","@mirheli_emad")</f>
        <v>@mirheli_emad</v>
      </c>
      <c r="C2831" s="6" t="s">
        <v>514</v>
      </c>
      <c r="D2831" s="5" t="s">
        <v>124</v>
      </c>
      <c r="E2831" s="9" t="str">
        <f>HYPERLINK("https://twitter.com/mirheli_emad/status/1044983955366334466","1044983955366334466")</f>
        <v>1044983955366334466</v>
      </c>
      <c r="F2831" s="4"/>
      <c r="G2831" s="4"/>
      <c r="H2831" s="4"/>
      <c r="I2831" s="10" t="str">
        <f>HYPERLINK("http://twitter.com/download/android","Twitter for Android")</f>
        <v>Twitter for Android</v>
      </c>
      <c r="J2831" s="2">
        <v>1664</v>
      </c>
      <c r="K2831" s="2">
        <v>1942</v>
      </c>
      <c r="L2831" s="2">
        <v>1</v>
      </c>
      <c r="M2831" s="2"/>
      <c r="N2831" s="8">
        <v>43180.497847222221</v>
      </c>
      <c r="O2831" s="4" t="s">
        <v>513</v>
      </c>
      <c r="P2831" s="3" t="s">
        <v>512</v>
      </c>
      <c r="Q2831" s="10" t="s">
        <v>511</v>
      </c>
      <c r="R2831" s="4"/>
      <c r="S2831" s="9" t="str">
        <f>HYPERLINK("https://pbs.twimg.com/profile_images/1041375035238359041/GA63qu8R.jpg","View")</f>
        <v>View</v>
      </c>
    </row>
    <row r="2832" spans="1:19" ht="30">
      <c r="A2832" s="8">
        <v>43369.823645833334</v>
      </c>
      <c r="B2832" s="11" t="str">
        <f>HYPERLINK("https://twitter.com/bidahanebadasab","@bidahanebadasab")</f>
        <v>@bidahanebadasab</v>
      </c>
      <c r="C2832" s="6" t="s">
        <v>510</v>
      </c>
      <c r="D2832" s="5" t="s">
        <v>509</v>
      </c>
      <c r="E2832" s="9" t="str">
        <f>HYPERLINK("https://twitter.com/bidahanebadasab/status/1044983951838892033","1044983951838892033")</f>
        <v>1044983951838892033</v>
      </c>
      <c r="F2832" s="4"/>
      <c r="G2832" s="4"/>
      <c r="H2832" s="4"/>
      <c r="I2832" s="10" t="str">
        <f>HYPERLINK("http://twitter.com","Twitter Web Client")</f>
        <v>Twitter Web Client</v>
      </c>
      <c r="J2832" s="2">
        <v>214</v>
      </c>
      <c r="K2832" s="2">
        <v>327</v>
      </c>
      <c r="L2832" s="2">
        <v>2</v>
      </c>
      <c r="M2832" s="2"/>
      <c r="N2832" s="8">
        <v>41948.974652777775</v>
      </c>
      <c r="O2832" s="4"/>
      <c r="P2832" s="3" t="s">
        <v>508</v>
      </c>
      <c r="Q2832" s="4"/>
      <c r="R2832" s="4"/>
      <c r="S2832" s="9" t="str">
        <f>HYPERLINK("https://pbs.twimg.com/profile_images/903423409920540672/j53NQ8VB.jpg","View")</f>
        <v>View</v>
      </c>
    </row>
    <row r="2833" spans="1:19" ht="20">
      <c r="A2833" s="8">
        <v>43369.823483796295</v>
      </c>
      <c r="B2833" s="11" t="str">
        <f>HYPERLINK("https://twitter.com/saras27772","@saras27772")</f>
        <v>@saras27772</v>
      </c>
      <c r="C2833" s="6" t="s">
        <v>458</v>
      </c>
      <c r="D2833" s="5" t="s">
        <v>507</v>
      </c>
      <c r="E2833" s="9" t="str">
        <f>HYPERLINK("https://twitter.com/saras27772/status/1044983892099371009","1044983892099371009")</f>
        <v>1044983892099371009</v>
      </c>
      <c r="F2833" s="4"/>
      <c r="G2833" s="10" t="s">
        <v>506</v>
      </c>
      <c r="H2833" s="4"/>
      <c r="I2833" s="10" t="str">
        <f>HYPERLINK("http://twitter.com/download/android","Twitter for Android")</f>
        <v>Twitter for Android</v>
      </c>
      <c r="J2833" s="2">
        <v>821</v>
      </c>
      <c r="K2833" s="2">
        <v>474</v>
      </c>
      <c r="L2833" s="2">
        <v>3</v>
      </c>
      <c r="M2833" s="2"/>
      <c r="N2833" s="8">
        <v>43231.791319444441</v>
      </c>
      <c r="O2833" s="4" t="s">
        <v>457</v>
      </c>
      <c r="P2833" s="3" t="s">
        <v>456</v>
      </c>
      <c r="Q2833" s="10" t="s">
        <v>455</v>
      </c>
      <c r="R2833" s="4"/>
      <c r="S2833" s="9" t="str">
        <f>HYPERLINK("https://pbs.twimg.com/profile_images/1043624314485055488/uxhvAusV.jpg","View")</f>
        <v>View</v>
      </c>
    </row>
    <row r="2834" spans="1:19" ht="30">
      <c r="A2834" s="8">
        <v>43369.823449074072</v>
      </c>
      <c r="B2834" s="11" t="str">
        <f>HYPERLINK("https://twitter.com/1348_ava","@1348_ava")</f>
        <v>@1348_ava</v>
      </c>
      <c r="C2834" s="6" t="s">
        <v>505</v>
      </c>
      <c r="D2834" s="5" t="s">
        <v>408</v>
      </c>
      <c r="E2834" s="9" t="str">
        <f>HYPERLINK("https://twitter.com/1348_ava/status/1044983879059337216","1044983879059337216")</f>
        <v>1044983879059337216</v>
      </c>
      <c r="F2834" s="4"/>
      <c r="G2834" s="4"/>
      <c r="H2834" s="4"/>
      <c r="I2834" s="10" t="str">
        <f>HYPERLINK("http://twitter.com/download/iphone","Twitter for iPhone")</f>
        <v>Twitter for iPhone</v>
      </c>
      <c r="J2834" s="2">
        <v>176</v>
      </c>
      <c r="K2834" s="2">
        <v>204</v>
      </c>
      <c r="L2834" s="2">
        <v>1</v>
      </c>
      <c r="M2834" s="2"/>
      <c r="N2834" s="8">
        <v>41041.419016203705</v>
      </c>
      <c r="O2834" s="4"/>
      <c r="P2834" s="3" t="s">
        <v>504</v>
      </c>
      <c r="Q2834" s="4"/>
      <c r="R2834" s="4"/>
      <c r="S2834" s="9" t="str">
        <f>HYPERLINK("https://pbs.twimg.com/profile_images/949158269041414144/QWdxTy8d.jpg","View")</f>
        <v>View</v>
      </c>
    </row>
    <row r="2835" spans="1:19" ht="30">
      <c r="A2835" s="8">
        <v>43369.822962962964</v>
      </c>
      <c r="B2835" s="11" t="str">
        <f>HYPERLINK("https://twitter.com/1977_2536","@1977_2536")</f>
        <v>@1977_2536</v>
      </c>
      <c r="C2835" s="6" t="s">
        <v>503</v>
      </c>
      <c r="D2835" s="5" t="s">
        <v>408</v>
      </c>
      <c r="E2835" s="9" t="str">
        <f>HYPERLINK("https://twitter.com/1977_2536/status/1044983702000992256","1044983702000992256")</f>
        <v>1044983702000992256</v>
      </c>
      <c r="F2835" s="4"/>
      <c r="G2835" s="4"/>
      <c r="H2835" s="4"/>
      <c r="I2835" s="10" t="str">
        <f>HYPERLINK("http://twitter.com/download/android","Twitter for Android")</f>
        <v>Twitter for Android</v>
      </c>
      <c r="J2835" s="2">
        <v>175</v>
      </c>
      <c r="K2835" s="2">
        <v>182</v>
      </c>
      <c r="L2835" s="2">
        <v>0</v>
      </c>
      <c r="M2835" s="2"/>
      <c r="N2835" s="8">
        <v>42095.703993055555</v>
      </c>
      <c r="O2835" s="4"/>
      <c r="P2835" s="3" t="s">
        <v>502</v>
      </c>
      <c r="Q2835" s="4"/>
      <c r="R2835" s="4"/>
      <c r="S2835" s="9" t="str">
        <f>HYPERLINK("https://pbs.twimg.com/profile_images/1005035346445430784/PHmDJLcq.jpg","View")</f>
        <v>View</v>
      </c>
    </row>
    <row r="2836" spans="1:19" ht="40">
      <c r="A2836" s="8">
        <v>43369.822939814811</v>
      </c>
      <c r="B2836" s="11" t="str">
        <f>HYPERLINK("https://twitter.com/Feris5889","@Feris5889")</f>
        <v>@Feris5889</v>
      </c>
      <c r="C2836" s="6" t="s">
        <v>501</v>
      </c>
      <c r="D2836" s="5" t="s">
        <v>231</v>
      </c>
      <c r="E2836" s="9" t="str">
        <f>HYPERLINK("https://twitter.com/Feris5889/status/1044983695973765120","1044983695973765120")</f>
        <v>1044983695973765120</v>
      </c>
      <c r="F2836" s="4"/>
      <c r="G2836" s="4"/>
      <c r="H2836" s="4"/>
      <c r="I2836" s="10" t="str">
        <f>HYPERLINK("http://twitter.com/download/android","Twitter for Android")</f>
        <v>Twitter for Android</v>
      </c>
      <c r="J2836" s="2">
        <v>524</v>
      </c>
      <c r="K2836" s="2">
        <v>451</v>
      </c>
      <c r="L2836" s="2">
        <v>0</v>
      </c>
      <c r="M2836" s="2"/>
      <c r="N2836" s="8">
        <v>43112.865208333329</v>
      </c>
      <c r="O2836" s="4" t="s">
        <v>10</v>
      </c>
      <c r="P2836" s="3" t="s">
        <v>500</v>
      </c>
      <c r="Q2836" s="4"/>
      <c r="R2836" s="4"/>
      <c r="S2836" s="9" t="str">
        <f>HYPERLINK("https://pbs.twimg.com/profile_images/951881240730357766/_5n8un_n.jpg","View")</f>
        <v>View</v>
      </c>
    </row>
    <row r="2837" spans="1:19" ht="20">
      <c r="A2837" s="8">
        <v>43369.822719907403</v>
      </c>
      <c r="B2837" s="11" t="str">
        <f>HYPERLINK("https://twitter.com/Mohammadrezzz","@Mohammadrezzz")</f>
        <v>@Mohammadrezzz</v>
      </c>
      <c r="C2837" s="6" t="s">
        <v>499</v>
      </c>
      <c r="D2837" s="5" t="s">
        <v>498</v>
      </c>
      <c r="E2837" s="9" t="str">
        <f>HYPERLINK("https://twitter.com/Mohammadrezzz/status/1044983615204077568","1044983615204077568")</f>
        <v>1044983615204077568</v>
      </c>
      <c r="F2837" s="4"/>
      <c r="G2837" s="4"/>
      <c r="H2837" s="4"/>
      <c r="I2837" s="10" t="str">
        <f>HYPERLINK("http://twitter.com/download/android","Twitter for Android")</f>
        <v>Twitter for Android</v>
      </c>
      <c r="J2837" s="2">
        <v>2338</v>
      </c>
      <c r="K2837" s="2">
        <v>1115</v>
      </c>
      <c r="L2837" s="2">
        <v>11</v>
      </c>
      <c r="M2837" s="2"/>
      <c r="N2837" s="8">
        <v>43117.787754629629</v>
      </c>
      <c r="O2837" s="4" t="s">
        <v>497</v>
      </c>
      <c r="P2837" s="3" t="s">
        <v>496</v>
      </c>
      <c r="Q2837" s="4"/>
      <c r="R2837" s="4"/>
      <c r="S2837" s="9" t="str">
        <f>HYPERLINK("https://pbs.twimg.com/profile_images/1043972889463193601/6JEGMQc_.jpg","View")</f>
        <v>View</v>
      </c>
    </row>
    <row r="2838" spans="1:19" ht="30">
      <c r="A2838" s="8">
        <v>43369.822222222225</v>
      </c>
      <c r="B2838" s="11" t="str">
        <f>HYPERLINK("https://twitter.com/ToofanMc","@ToofanMc")</f>
        <v>@ToofanMc</v>
      </c>
      <c r="C2838" s="6" t="s">
        <v>495</v>
      </c>
      <c r="D2838" s="5" t="s">
        <v>408</v>
      </c>
      <c r="E2838" s="9" t="str">
        <f>HYPERLINK("https://twitter.com/ToofanMc/status/1044983433271873536","1044983433271873536")</f>
        <v>1044983433271873536</v>
      </c>
      <c r="F2838" s="4"/>
      <c r="G2838" s="4"/>
      <c r="H2838" s="4"/>
      <c r="I2838" s="10" t="str">
        <f>HYPERLINK("http://twitter.com/download/iphone","Twitter for iPhone")</f>
        <v>Twitter for iPhone</v>
      </c>
      <c r="J2838" s="2">
        <v>291</v>
      </c>
      <c r="K2838" s="2">
        <v>201</v>
      </c>
      <c r="L2838" s="2">
        <v>2</v>
      </c>
      <c r="M2838" s="2"/>
      <c r="N2838" s="8">
        <v>41539.994467592594</v>
      </c>
      <c r="O2838" s="4" t="s">
        <v>494</v>
      </c>
      <c r="P2838" s="3" t="s">
        <v>493</v>
      </c>
      <c r="Q2838" s="4"/>
      <c r="R2838" s="4"/>
      <c r="S2838" s="9" t="str">
        <f>HYPERLINK("https://pbs.twimg.com/profile_images/1029285626791772160/-tjOO4P4.jpg","View")</f>
        <v>View</v>
      </c>
    </row>
    <row r="2839" spans="1:19" ht="40">
      <c r="A2839" s="8">
        <v>43369.822106481486</v>
      </c>
      <c r="B2839" s="11" t="str">
        <f>HYPERLINK("https://twitter.com/Gorgsam_","@Gorgsam_")</f>
        <v>@Gorgsam_</v>
      </c>
      <c r="C2839" s="6" t="s">
        <v>492</v>
      </c>
      <c r="D2839" s="5" t="s">
        <v>422</v>
      </c>
      <c r="E2839" s="9" t="str">
        <f>HYPERLINK("https://twitter.com/Gorgsam_/status/1044983393795141633","1044983393795141633")</f>
        <v>1044983393795141633</v>
      </c>
      <c r="F2839" s="4"/>
      <c r="G2839" s="10" t="s">
        <v>421</v>
      </c>
      <c r="H2839" s="4"/>
      <c r="I2839" s="10" t="str">
        <f>HYPERLINK("http://twitter.com/download/android","Twitter for Android")</f>
        <v>Twitter for Android</v>
      </c>
      <c r="J2839" s="2">
        <v>557</v>
      </c>
      <c r="K2839" s="2">
        <v>138</v>
      </c>
      <c r="L2839" s="2">
        <v>5</v>
      </c>
      <c r="M2839" s="2"/>
      <c r="N2839" s="8">
        <v>43075.879537037035</v>
      </c>
      <c r="O2839" s="4" t="s">
        <v>491</v>
      </c>
      <c r="P2839" s="3" t="s">
        <v>490</v>
      </c>
      <c r="Q2839" s="4"/>
      <c r="R2839" s="4"/>
      <c r="S2839" s="9" t="str">
        <f>HYPERLINK("https://pbs.twimg.com/profile_images/1040341017147396096/6wBVeGs-.jpg","View")</f>
        <v>View</v>
      </c>
    </row>
    <row r="2840" spans="1:19" ht="20">
      <c r="A2840" s="8">
        <v>43369.821875000001</v>
      </c>
      <c r="B2840" s="11" t="str">
        <f>HYPERLINK("https://twitter.com/PerspolisFCIran","@PerspolisFCIran")</f>
        <v>@PerspolisFCIran</v>
      </c>
      <c r="C2840" s="6" t="s">
        <v>314</v>
      </c>
      <c r="D2840" s="5" t="s">
        <v>489</v>
      </c>
      <c r="E2840" s="9" t="str">
        <f>HYPERLINK("https://twitter.com/PerspolisFCIran/status/1044983310508679168","1044983310508679168")</f>
        <v>1044983310508679168</v>
      </c>
      <c r="F2840" s="4"/>
      <c r="G2840" s="4"/>
      <c r="H2840" s="4"/>
      <c r="I2840" s="10" t="str">
        <f>HYPERLINK("http://twitter.com/download/iphone","Twitter for iPhone")</f>
        <v>Twitter for iPhone</v>
      </c>
      <c r="J2840" s="2">
        <v>55244</v>
      </c>
      <c r="K2840" s="2">
        <v>17</v>
      </c>
      <c r="L2840" s="2">
        <v>86</v>
      </c>
      <c r="M2840" s="2"/>
      <c r="N2840" s="8">
        <v>41046.775138888886</v>
      </c>
      <c r="O2840" s="4" t="s">
        <v>311</v>
      </c>
      <c r="P2840" s="3" t="s">
        <v>310</v>
      </c>
      <c r="Q2840" s="10" t="s">
        <v>309</v>
      </c>
      <c r="R2840" s="4"/>
      <c r="S2840" s="9" t="str">
        <f>HYPERLINK("https://pbs.twimg.com/profile_images/857246758069567488/yDozVZti.jpg","View")</f>
        <v>View</v>
      </c>
    </row>
    <row r="2841" spans="1:19" ht="20">
      <c r="A2841" s="8">
        <v>43369.821655092594</v>
      </c>
      <c r="B2841" s="11" t="str">
        <f>HYPERLINK("https://twitter.com/neda65ho","@neda65ho")</f>
        <v>@neda65ho</v>
      </c>
      <c r="C2841" s="6" t="s">
        <v>488</v>
      </c>
      <c r="D2841" s="5" t="s">
        <v>487</v>
      </c>
      <c r="E2841" s="9" t="str">
        <f>HYPERLINK("https://twitter.com/neda65ho/status/1044983228636049410","1044983228636049410")</f>
        <v>1044983228636049410</v>
      </c>
      <c r="F2841" s="4"/>
      <c r="G2841" s="10" t="s">
        <v>486</v>
      </c>
      <c r="H2841" s="4"/>
      <c r="I2841" s="10" t="str">
        <f>HYPERLINK("http://twitter.com/download/android","Twitter for Android")</f>
        <v>Twitter for Android</v>
      </c>
      <c r="J2841" s="2">
        <v>4165</v>
      </c>
      <c r="K2841" s="2">
        <v>434</v>
      </c>
      <c r="L2841" s="2">
        <v>19</v>
      </c>
      <c r="M2841" s="2"/>
      <c r="N2841" s="8">
        <v>42530.055983796294</v>
      </c>
      <c r="O2841" s="4" t="s">
        <v>485</v>
      </c>
      <c r="P2841" s="3" t="s">
        <v>484</v>
      </c>
      <c r="Q2841" s="4"/>
      <c r="R2841" s="4"/>
      <c r="S2841" s="9" t="str">
        <f>HYPERLINK("https://pbs.twimg.com/profile_images/1041441692598128640/KH1TJO2z.jpg","View")</f>
        <v>View</v>
      </c>
    </row>
    <row r="2842" spans="1:19" ht="20">
      <c r="A2842" s="8">
        <v>43369.821377314816</v>
      </c>
      <c r="B2842" s="11" t="str">
        <f>HYPERLINK("https://twitter.com/Virgin_Wolf","@Virgin_Wolf")</f>
        <v>@Virgin_Wolf</v>
      </c>
      <c r="C2842" s="6" t="s">
        <v>483</v>
      </c>
      <c r="D2842" s="5" t="s">
        <v>482</v>
      </c>
      <c r="E2842" s="9" t="str">
        <f>HYPERLINK("https://twitter.com/Virgin_Wolf/status/1044983130124357633","1044983130124357633")</f>
        <v>1044983130124357633</v>
      </c>
      <c r="F2842" s="4"/>
      <c r="G2842" s="10" t="s">
        <v>481</v>
      </c>
      <c r="H2842" s="4"/>
      <c r="I2842" s="10" t="str">
        <f>HYPERLINK("http://twitter.com/download/android","Twitter for Android")</f>
        <v>Twitter for Android</v>
      </c>
      <c r="J2842" s="2">
        <v>2955</v>
      </c>
      <c r="K2842" s="2">
        <v>578</v>
      </c>
      <c r="L2842" s="2">
        <v>30</v>
      </c>
      <c r="M2842" s="2"/>
      <c r="N2842" s="8">
        <v>40893.835358796292</v>
      </c>
      <c r="O2842" s="4"/>
      <c r="P2842" s="3" t="s">
        <v>480</v>
      </c>
      <c r="Q2842" s="4"/>
      <c r="R2842" s="4"/>
      <c r="S2842" s="9" t="str">
        <f>HYPERLINK("https://pbs.twimg.com/profile_images/1043637418228940801/TP2sMWoT.jpg","View")</f>
        <v>View</v>
      </c>
    </row>
    <row r="2843" spans="1:19" ht="20">
      <c r="A2843" s="8">
        <v>43369.820752314816</v>
      </c>
      <c r="B2843" s="11" t="str">
        <f>HYPERLINK("https://twitter.com/haristo_stchv","@haristo_stchv")</f>
        <v>@haristo_stchv</v>
      </c>
      <c r="C2843" s="6" t="s">
        <v>479</v>
      </c>
      <c r="D2843" s="5" t="s">
        <v>478</v>
      </c>
      <c r="E2843" s="9" t="str">
        <f>HYPERLINK("https://twitter.com/haristo_stchv/status/1044982901220265984","1044982901220265984")</f>
        <v>1044982901220265984</v>
      </c>
      <c r="F2843" s="4"/>
      <c r="G2843" s="4"/>
      <c r="H2843" s="4"/>
      <c r="I2843" s="10" t="str">
        <f>HYPERLINK("http://twitter.com/download/iphone","Twitter for iPhone")</f>
        <v>Twitter for iPhone</v>
      </c>
      <c r="J2843" s="2">
        <v>1223</v>
      </c>
      <c r="K2843" s="2">
        <v>1081</v>
      </c>
      <c r="L2843" s="2">
        <v>3</v>
      </c>
      <c r="M2843" s="2"/>
      <c r="N2843" s="8">
        <v>42950.472129629634</v>
      </c>
      <c r="O2843" s="4" t="s">
        <v>200</v>
      </c>
      <c r="P2843" s="3" t="s">
        <v>477</v>
      </c>
      <c r="Q2843" s="4"/>
      <c r="R2843" s="4"/>
      <c r="S2843" s="9" t="str">
        <f>HYPERLINK("https://pbs.twimg.com/profile_images/1041626242112528384/wCOP_idg.jpg","View")</f>
        <v>View</v>
      </c>
    </row>
    <row r="2844" spans="1:19" ht="30">
      <c r="A2844" s="8">
        <v>43369.8206712963</v>
      </c>
      <c r="B2844" s="11" t="str">
        <f>HYPERLINK("https://twitter.com/DIDEHBAN_REZA","@DIDEHBAN_REZA")</f>
        <v>@DIDEHBAN_REZA</v>
      </c>
      <c r="C2844" s="6" t="s">
        <v>476</v>
      </c>
      <c r="D2844" s="5" t="s">
        <v>475</v>
      </c>
      <c r="E2844" s="9" t="str">
        <f>HYPERLINK("https://twitter.com/DIDEHBAN_REZA/status/1044982872476708864","1044982872476708864")</f>
        <v>1044982872476708864</v>
      </c>
      <c r="F2844" s="4"/>
      <c r="G2844" s="4"/>
      <c r="H2844" s="4"/>
      <c r="I2844" s="10" t="str">
        <f>HYPERLINK("http://twitter.com/download/android","Twitter for Android")</f>
        <v>Twitter for Android</v>
      </c>
      <c r="J2844" s="2">
        <v>16</v>
      </c>
      <c r="K2844" s="2">
        <v>29</v>
      </c>
      <c r="L2844" s="2">
        <v>0</v>
      </c>
      <c r="M2844" s="2"/>
      <c r="N2844" s="8">
        <v>42800.549432870372</v>
      </c>
      <c r="O2844" s="4" t="s">
        <v>200</v>
      </c>
      <c r="P2844" s="3" t="s">
        <v>474</v>
      </c>
      <c r="Q2844" s="10" t="s">
        <v>473</v>
      </c>
      <c r="R2844" s="4"/>
      <c r="S2844" s="9" t="str">
        <f>HYPERLINK("https://pbs.twimg.com/profile_images/1033779395637465090/XGaXVAU8.jpg","View")</f>
        <v>View</v>
      </c>
    </row>
    <row r="2845" spans="1:19" ht="40">
      <c r="A2845" s="8">
        <v>43369.820381944446</v>
      </c>
      <c r="B2845" s="11" t="str">
        <f>HYPERLINK("https://twitter.com/ManMeysam","@ManMeysam")</f>
        <v>@ManMeysam</v>
      </c>
      <c r="C2845" s="6" t="s">
        <v>472</v>
      </c>
      <c r="D2845" s="5" t="s">
        <v>471</v>
      </c>
      <c r="E2845" s="9" t="str">
        <f>HYPERLINK("https://twitter.com/ManMeysam/status/1044982767539367936","1044982767539367936")</f>
        <v>1044982767539367936</v>
      </c>
      <c r="F2845" s="4"/>
      <c r="G2845" s="4"/>
      <c r="H2845" s="4"/>
      <c r="I2845" s="10" t="str">
        <f>HYPERLINK("http://twitter.com/download/android","Twitter for Android")</f>
        <v>Twitter for Android</v>
      </c>
      <c r="J2845" s="2">
        <v>736</v>
      </c>
      <c r="K2845" s="2">
        <v>97</v>
      </c>
      <c r="L2845" s="2">
        <v>2</v>
      </c>
      <c r="M2845" s="2"/>
      <c r="N2845" s="8">
        <v>43080.934756944444</v>
      </c>
      <c r="O2845" s="4"/>
      <c r="P2845" s="3" t="s">
        <v>470</v>
      </c>
      <c r="Q2845" s="4"/>
      <c r="R2845" s="4"/>
      <c r="S2845" s="9" t="str">
        <f>HYPERLINK("https://pbs.twimg.com/profile_images/990240817024589824/h1PmTrjf.jpg","View")</f>
        <v>View</v>
      </c>
    </row>
    <row r="2846" spans="1:19" ht="40">
      <c r="A2846" s="8">
        <v>43369.820243055554</v>
      </c>
      <c r="B2846" s="11" t="str">
        <f>HYPERLINK("https://twitter.com/shahrza54781667","@shahrza54781667")</f>
        <v>@shahrza54781667</v>
      </c>
      <c r="C2846" s="6" t="s">
        <v>469</v>
      </c>
      <c r="D2846" s="5" t="s">
        <v>224</v>
      </c>
      <c r="E2846" s="9" t="str">
        <f>HYPERLINK("https://twitter.com/shahrza54781667/status/1044982718315008000","1044982718315008000")</f>
        <v>1044982718315008000</v>
      </c>
      <c r="F2846" s="4"/>
      <c r="G2846" s="10" t="s">
        <v>223</v>
      </c>
      <c r="H2846" s="4"/>
      <c r="I2846" s="10" t="str">
        <f>HYPERLINK("http://twitter.com/download/iphone","Twitter for iPhone")</f>
        <v>Twitter for iPhone</v>
      </c>
      <c r="J2846" s="2">
        <v>116</v>
      </c>
      <c r="K2846" s="2">
        <v>74</v>
      </c>
      <c r="L2846" s="2">
        <v>0</v>
      </c>
      <c r="M2846" s="2"/>
      <c r="N2846" s="8">
        <v>43169.797129629631</v>
      </c>
      <c r="O2846" s="4" t="s">
        <v>200</v>
      </c>
      <c r="P2846" s="3" t="s">
        <v>468</v>
      </c>
      <c r="Q2846" s="4"/>
      <c r="R2846" s="4"/>
      <c r="S2846" s="9" t="str">
        <f>HYPERLINK("https://pbs.twimg.com/profile_images/1021376657679093760/l3_n-y6v.jpg","View")</f>
        <v>View</v>
      </c>
    </row>
    <row r="2847" spans="1:19" ht="30">
      <c r="A2847" s="8">
        <v>43369.820057870369</v>
      </c>
      <c r="B2847" s="11" t="str">
        <f>HYPERLINK("https://twitter.com/pi3141592653599","@pi3141592653599")</f>
        <v>@pi3141592653599</v>
      </c>
      <c r="C2847" s="6" t="s">
        <v>467</v>
      </c>
      <c r="D2847" s="5" t="s">
        <v>408</v>
      </c>
      <c r="E2847" s="9" t="str">
        <f>HYPERLINK("https://twitter.com/pi3141592653599/status/1044982649205510144","1044982649205510144")</f>
        <v>1044982649205510144</v>
      </c>
      <c r="F2847" s="4"/>
      <c r="G2847" s="4"/>
      <c r="H2847" s="4"/>
      <c r="I2847" s="10" t="str">
        <f>HYPERLINK("http://twitter.com/download/android","Twitter for Android")</f>
        <v>Twitter for Android</v>
      </c>
      <c r="J2847" s="2">
        <v>333</v>
      </c>
      <c r="K2847" s="2">
        <v>408</v>
      </c>
      <c r="L2847" s="2">
        <v>0</v>
      </c>
      <c r="M2847" s="2"/>
      <c r="N2847" s="8">
        <v>41502.070289351854</v>
      </c>
      <c r="O2847" s="4"/>
      <c r="P2847" s="3" t="s">
        <v>466</v>
      </c>
      <c r="Q2847" s="4"/>
      <c r="R2847" s="4"/>
      <c r="S2847" s="9" t="str">
        <f>HYPERLINK("https://pbs.twimg.com/profile_images/1044361983498358784/qMdHIlm2.jpg","View")</f>
        <v>View</v>
      </c>
    </row>
    <row r="2848" spans="1:19" ht="20">
      <c r="A2848" s="8">
        <v>43369.819918981477</v>
      </c>
      <c r="B2848" s="11" t="str">
        <f>HYPERLINK("https://twitter.com/sp_hos","@sp_hos")</f>
        <v>@sp_hos</v>
      </c>
      <c r="C2848" s="6" t="s">
        <v>465</v>
      </c>
      <c r="D2848" s="5" t="s">
        <v>163</v>
      </c>
      <c r="E2848" s="9" t="str">
        <f>HYPERLINK("https://twitter.com/sp_hos/status/1044982600723517440","1044982600723517440")</f>
        <v>1044982600723517440</v>
      </c>
      <c r="F2848" s="4"/>
      <c r="G2848" s="4"/>
      <c r="H2848" s="4"/>
      <c r="I2848" s="10" t="str">
        <f>HYPERLINK("http://twitter.com/download/android","Twitter for Android")</f>
        <v>Twitter for Android</v>
      </c>
      <c r="J2848" s="2">
        <v>32632</v>
      </c>
      <c r="K2848" s="2">
        <v>3234</v>
      </c>
      <c r="L2848" s="2">
        <v>254</v>
      </c>
      <c r="M2848" s="2"/>
      <c r="N2848" s="8">
        <v>42462.757210648153</v>
      </c>
      <c r="O2848" s="4" t="s">
        <v>464</v>
      </c>
      <c r="P2848" s="3" t="s">
        <v>463</v>
      </c>
      <c r="Q2848" s="4"/>
      <c r="R2848" s="4"/>
      <c r="S2848" s="9" t="str">
        <f>HYPERLINK("https://pbs.twimg.com/profile_images/1023988851633741824/KptgKT6O.jpg","View")</f>
        <v>View</v>
      </c>
    </row>
    <row r="2849" spans="1:19" ht="20">
      <c r="A2849" s="8">
        <v>43369.819363425922</v>
      </c>
      <c r="B2849" s="11" t="str">
        <f>HYPERLINK("https://twitter.com/Amirrrajabi","@Amirrrajabi")</f>
        <v>@Amirrrajabi</v>
      </c>
      <c r="C2849" s="6" t="s">
        <v>462</v>
      </c>
      <c r="D2849" s="5" t="s">
        <v>163</v>
      </c>
      <c r="E2849" s="9" t="str">
        <f>HYPERLINK("https://twitter.com/Amirrrajabi/status/1044982398998523905","1044982398998523905")</f>
        <v>1044982398998523905</v>
      </c>
      <c r="F2849" s="4"/>
      <c r="G2849" s="4"/>
      <c r="H2849" s="4"/>
      <c r="I2849" s="10" t="str">
        <f>HYPERLINK("http://twitter.com/download/android","Twitter for Android")</f>
        <v>Twitter for Android</v>
      </c>
      <c r="J2849" s="2">
        <v>1425</v>
      </c>
      <c r="K2849" s="2">
        <v>1233</v>
      </c>
      <c r="L2849" s="2">
        <v>0</v>
      </c>
      <c r="M2849" s="2"/>
      <c r="N2849" s="8">
        <v>42373.500520833331</v>
      </c>
      <c r="O2849" s="4" t="s">
        <v>461</v>
      </c>
      <c r="P2849" s="3" t="s">
        <v>460</v>
      </c>
      <c r="Q2849" s="10" t="s">
        <v>459</v>
      </c>
      <c r="R2849" s="4"/>
      <c r="S2849" s="9" t="str">
        <f>HYPERLINK("https://pbs.twimg.com/profile_images/1043343610278764545/-4N3POpP.jpg","View")</f>
        <v>View</v>
      </c>
    </row>
    <row r="2850" spans="1:19" ht="20">
      <c r="A2850" s="8">
        <v>43369.81931712963</v>
      </c>
      <c r="B2850" s="11" t="str">
        <f>HYPERLINK("https://twitter.com/saras27772","@saras27772")</f>
        <v>@saras27772</v>
      </c>
      <c r="C2850" s="6" t="s">
        <v>458</v>
      </c>
      <c r="D2850" s="5" t="s">
        <v>429</v>
      </c>
      <c r="E2850" s="9" t="str">
        <f>HYPERLINK("https://twitter.com/saras27772/status/1044982381818589184","1044982381818589184")</f>
        <v>1044982381818589184</v>
      </c>
      <c r="F2850" s="4"/>
      <c r="G2850" s="4"/>
      <c r="H2850" s="4"/>
      <c r="I2850" s="10" t="str">
        <f>HYPERLINK("http://twitter.com/download/android","Twitter for Android")</f>
        <v>Twitter for Android</v>
      </c>
      <c r="J2850" s="2">
        <v>821</v>
      </c>
      <c r="K2850" s="2">
        <v>474</v>
      </c>
      <c r="L2850" s="2">
        <v>3</v>
      </c>
      <c r="M2850" s="2"/>
      <c r="N2850" s="8">
        <v>43231.791319444441</v>
      </c>
      <c r="O2850" s="4" t="s">
        <v>457</v>
      </c>
      <c r="P2850" s="3" t="s">
        <v>456</v>
      </c>
      <c r="Q2850" s="10" t="s">
        <v>455</v>
      </c>
      <c r="R2850" s="4"/>
      <c r="S2850" s="9" t="str">
        <f>HYPERLINK("https://pbs.twimg.com/profile_images/1043624314485055488/uxhvAusV.jpg","View")</f>
        <v>View</v>
      </c>
    </row>
    <row r="2851" spans="1:19" ht="20">
      <c r="A2851" s="8">
        <v>43369.818726851852</v>
      </c>
      <c r="B2851" s="11" t="str">
        <f>HYPERLINK("https://twitter.com/sourena_ir","@sourena_ir")</f>
        <v>@sourena_ir</v>
      </c>
      <c r="C2851" s="6" t="s">
        <v>454</v>
      </c>
      <c r="D2851" s="5" t="s">
        <v>453</v>
      </c>
      <c r="E2851" s="9" t="str">
        <f>HYPERLINK("https://twitter.com/sourena_ir/status/1044982168496336896","1044982168496336896")</f>
        <v>1044982168496336896</v>
      </c>
      <c r="F2851" s="4"/>
      <c r="G2851" s="10" t="s">
        <v>452</v>
      </c>
      <c r="H2851" s="4"/>
      <c r="I2851" s="10" t="str">
        <f>HYPERLINK("http://twitter.com/download/android","Twitter for Android")</f>
        <v>Twitter for Android</v>
      </c>
      <c r="J2851" s="2">
        <v>4055</v>
      </c>
      <c r="K2851" s="2">
        <v>3796</v>
      </c>
      <c r="L2851" s="2">
        <v>6</v>
      </c>
      <c r="M2851" s="2"/>
      <c r="N2851" s="8">
        <v>43277.531990740739</v>
      </c>
      <c r="O2851" s="4" t="s">
        <v>451</v>
      </c>
      <c r="P2851" s="3" t="s">
        <v>450</v>
      </c>
      <c r="Q2851" s="10" t="s">
        <v>449</v>
      </c>
      <c r="R2851" s="4"/>
      <c r="S2851" s="9" t="str">
        <f>HYPERLINK("https://pbs.twimg.com/profile_images/1041369008644280320/7dtHgWAN.jpg","View")</f>
        <v>View</v>
      </c>
    </row>
    <row r="2852" spans="1:19" ht="30">
      <c r="A2852" s="8">
        <v>43369.818506944444</v>
      </c>
      <c r="B2852" s="11" t="str">
        <f>HYPERLINK("https://twitter.com/meftah","@meftah")</f>
        <v>@meftah</v>
      </c>
      <c r="C2852" s="6" t="s">
        <v>448</v>
      </c>
      <c r="D2852" s="5" t="s">
        <v>163</v>
      </c>
      <c r="E2852" s="9" t="str">
        <f>HYPERLINK("https://twitter.com/meftah/status/1044982089383374849","1044982089383374849")</f>
        <v>1044982089383374849</v>
      </c>
      <c r="F2852" s="4"/>
      <c r="G2852" s="4"/>
      <c r="H2852" s="4"/>
      <c r="I2852" s="10" t="str">
        <f>HYPERLINK("http://twitter.com/download/iphone","Twitter for iPhone")</f>
        <v>Twitter for iPhone</v>
      </c>
      <c r="J2852" s="2">
        <v>15282</v>
      </c>
      <c r="K2852" s="2">
        <v>1126</v>
      </c>
      <c r="L2852" s="2">
        <v>164</v>
      </c>
      <c r="M2852" s="2"/>
      <c r="N2852" s="8">
        <v>39733.161550925928</v>
      </c>
      <c r="O2852" s="4" t="s">
        <v>414</v>
      </c>
      <c r="P2852" s="3" t="s">
        <v>447</v>
      </c>
      <c r="Q2852" s="10" t="s">
        <v>446</v>
      </c>
      <c r="R2852" s="4"/>
      <c r="S2852" s="9" t="str">
        <f>HYPERLINK("https://pbs.twimg.com/profile_images/1044180352384872448/jhgXOZaT.jpg","View")</f>
        <v>View</v>
      </c>
    </row>
    <row r="2853" spans="1:19" ht="30">
      <c r="A2853" s="8">
        <v>43369.818287037036</v>
      </c>
      <c r="B2853" s="11" t="str">
        <f>HYPERLINK("https://twitter.com/seculariraniran","@seculariraniran")</f>
        <v>@seculariraniran</v>
      </c>
      <c r="C2853" s="6" t="s">
        <v>445</v>
      </c>
      <c r="D2853" s="5" t="s">
        <v>159</v>
      </c>
      <c r="E2853" s="9" t="str">
        <f>HYPERLINK("https://twitter.com/seculariraniran/status/1044982009083441152","1044982009083441152")</f>
        <v>1044982009083441152</v>
      </c>
      <c r="F2853" s="4"/>
      <c r="G2853" s="4"/>
      <c r="H2853" s="4"/>
      <c r="I2853" s="10" t="str">
        <f>HYPERLINK("http://twitter.com/download/android","Twitter for Android")</f>
        <v>Twitter for Android</v>
      </c>
      <c r="J2853" s="2">
        <v>30</v>
      </c>
      <c r="K2853" s="2">
        <v>105</v>
      </c>
      <c r="L2853" s="2">
        <v>0</v>
      </c>
      <c r="M2853" s="2"/>
      <c r="N2853" s="8">
        <v>43365.322743055556</v>
      </c>
      <c r="O2853" s="4"/>
      <c r="P2853" s="3"/>
      <c r="Q2853" s="4"/>
      <c r="R2853" s="4"/>
      <c r="S2853" s="9" t="str">
        <f>HYPERLINK("https://pbs.twimg.com/profile_images/1044941217799254017/Miq570w-.jpg","View")</f>
        <v>View</v>
      </c>
    </row>
    <row r="2854" spans="1:19" ht="20">
      <c r="A2854" s="8">
        <v>43369.817164351851</v>
      </c>
      <c r="B2854" s="11" t="str">
        <f>HYPERLINK("https://twitter.com/kharabaat_org","@kharabaat_org")</f>
        <v>@kharabaat_org</v>
      </c>
      <c r="C2854" s="6" t="s">
        <v>444</v>
      </c>
      <c r="D2854" s="5" t="s">
        <v>443</v>
      </c>
      <c r="E2854" s="9" t="str">
        <f>HYPERLINK("https://twitter.com/kharabaat_org/status/1044981603276148743","1044981603276148743")</f>
        <v>1044981603276148743</v>
      </c>
      <c r="F2854" s="4"/>
      <c r="G2854" s="4"/>
      <c r="H2854" s="4"/>
      <c r="I2854" s="10" t="str">
        <f>HYPERLINK("http://twitter.com/download/android","Twitter for Android")</f>
        <v>Twitter for Android</v>
      </c>
      <c r="J2854" s="2">
        <v>889</v>
      </c>
      <c r="K2854" s="2">
        <v>913</v>
      </c>
      <c r="L2854" s="2">
        <v>1</v>
      </c>
      <c r="M2854" s="2"/>
      <c r="N2854" s="8">
        <v>43097.929039351853</v>
      </c>
      <c r="O2854" s="4" t="s">
        <v>442</v>
      </c>
      <c r="P2854" s="3" t="s">
        <v>441</v>
      </c>
      <c r="Q2854" s="4"/>
      <c r="R2854" s="4"/>
      <c r="S2854" s="9" t="str">
        <f>HYPERLINK("https://pbs.twimg.com/profile_images/1001938047997489152/msWdHMla.jpg","View")</f>
        <v>View</v>
      </c>
    </row>
    <row r="2855" spans="1:19" ht="30">
      <c r="A2855" s="8">
        <v>43369.817118055551</v>
      </c>
      <c r="B2855" s="11" t="str">
        <f>HYPERLINK("https://twitter.com/raajiim","@raajiim")</f>
        <v>@raajiim</v>
      </c>
      <c r="C2855" s="6" t="s">
        <v>440</v>
      </c>
      <c r="D2855" s="5" t="s">
        <v>408</v>
      </c>
      <c r="E2855" s="9" t="str">
        <f>HYPERLINK("https://twitter.com/raajiim/status/1044981586691846145","1044981586691846145")</f>
        <v>1044981586691846145</v>
      </c>
      <c r="F2855" s="4"/>
      <c r="G2855" s="4"/>
      <c r="H2855" s="4"/>
      <c r="I2855" s="10" t="str">
        <f>HYPERLINK("http://twitter.com/download/iphone","Twitter for iPhone")</f>
        <v>Twitter for iPhone</v>
      </c>
      <c r="J2855" s="2">
        <v>381</v>
      </c>
      <c r="K2855" s="2">
        <v>375</v>
      </c>
      <c r="L2855" s="2">
        <v>0</v>
      </c>
      <c r="M2855" s="2"/>
      <c r="N2855" s="8">
        <v>42894.530347222222</v>
      </c>
      <c r="O2855" s="4" t="s">
        <v>439</v>
      </c>
      <c r="P2855" s="3" t="s">
        <v>438</v>
      </c>
      <c r="Q2855" s="4"/>
      <c r="R2855" s="4"/>
      <c r="S2855" s="9" t="str">
        <f>HYPERLINK("https://pbs.twimg.com/profile_images/981825214853079041/9l0A7AOf.jpg","View")</f>
        <v>View</v>
      </c>
    </row>
    <row r="2856" spans="1:19" ht="30">
      <c r="A2856" s="8">
        <v>43369.817025462966</v>
      </c>
      <c r="B2856" s="11" t="str">
        <f>HYPERLINK("https://twitter.com/osskazem","@osskazem")</f>
        <v>@osskazem</v>
      </c>
      <c r="C2856" s="6" t="s">
        <v>437</v>
      </c>
      <c r="D2856" s="5" t="s">
        <v>408</v>
      </c>
      <c r="E2856" s="9" t="str">
        <f>HYPERLINK("https://twitter.com/osskazem/status/1044981553716178945","1044981553716178945")</f>
        <v>1044981553716178945</v>
      </c>
      <c r="F2856" s="4"/>
      <c r="G2856" s="4"/>
      <c r="H2856" s="4"/>
      <c r="I2856" s="10" t="str">
        <f>HYPERLINK("http://twitter.com/download/iphone","Twitter for iPhone")</f>
        <v>Twitter for iPhone</v>
      </c>
      <c r="J2856" s="2">
        <v>692</v>
      </c>
      <c r="K2856" s="2">
        <v>818</v>
      </c>
      <c r="L2856" s="2">
        <v>1</v>
      </c>
      <c r="M2856" s="2"/>
      <c r="N2856" s="8">
        <v>43305.182499999995</v>
      </c>
      <c r="O2856" s="4"/>
      <c r="P2856" s="3" t="s">
        <v>436</v>
      </c>
      <c r="Q2856" s="4"/>
      <c r="R2856" s="4"/>
      <c r="S2856" s="9" t="str">
        <f>HYPERLINK("https://pbs.twimg.com/profile_images/1032415199876317184/GiI2OAx0.jpg","View")</f>
        <v>View</v>
      </c>
    </row>
    <row r="2857" spans="1:19" ht="30">
      <c r="A2857" s="8">
        <v>43369.816458333335</v>
      </c>
      <c r="B2857" s="11" t="str">
        <f>HYPERLINK("https://twitter.com/Minoo32521105","@Minoo32521105")</f>
        <v>@Minoo32521105</v>
      </c>
      <c r="C2857" s="6" t="s">
        <v>435</v>
      </c>
      <c r="D2857" s="5" t="s">
        <v>37</v>
      </c>
      <c r="E2857" s="9" t="str">
        <f>HYPERLINK("https://twitter.com/Minoo32521105/status/1044981344604999681","1044981344604999681")</f>
        <v>1044981344604999681</v>
      </c>
      <c r="F2857" s="4"/>
      <c r="G2857" s="4"/>
      <c r="H2857" s="4"/>
      <c r="I2857" s="10" t="str">
        <f>HYPERLINK("http://twitter.com/download/android","Twitter for Android")</f>
        <v>Twitter for Android</v>
      </c>
      <c r="J2857" s="2">
        <v>40</v>
      </c>
      <c r="K2857" s="2">
        <v>65</v>
      </c>
      <c r="L2857" s="2">
        <v>0</v>
      </c>
      <c r="M2857" s="2"/>
      <c r="N2857" s="8">
        <v>43367.019803240742</v>
      </c>
      <c r="O2857" s="4"/>
      <c r="P2857" s="3"/>
      <c r="Q2857" s="4"/>
      <c r="R2857" s="4"/>
      <c r="S2857" s="9" t="str">
        <f>HYPERLINK("https://pbs.twimg.com/profile_images/1043970636413108224/nhXjhMQl.jpg","View")</f>
        <v>View</v>
      </c>
    </row>
    <row r="2858" spans="1:19" ht="30">
      <c r="A2858" s="8">
        <v>43369.816180555557</v>
      </c>
      <c r="B2858" s="11" t="str">
        <f>HYPERLINK("https://twitter.com/ar_spiro","@ar_spiro")</f>
        <v>@ar_spiro</v>
      </c>
      <c r="C2858" s="6" t="s">
        <v>434</v>
      </c>
      <c r="D2858" s="5" t="s">
        <v>408</v>
      </c>
      <c r="E2858" s="9" t="str">
        <f>HYPERLINK("https://twitter.com/ar_spiro/status/1044981247397826560","1044981247397826560")</f>
        <v>1044981247397826560</v>
      </c>
      <c r="F2858" s="4"/>
      <c r="G2858" s="4"/>
      <c r="H2858" s="4"/>
      <c r="I2858" s="10" t="str">
        <f>HYPERLINK("http://twitter.com/#!/download/ipad","Twitter for iPad")</f>
        <v>Twitter for iPad</v>
      </c>
      <c r="J2858" s="2">
        <v>33</v>
      </c>
      <c r="K2858" s="2">
        <v>79</v>
      </c>
      <c r="L2858" s="2">
        <v>0</v>
      </c>
      <c r="M2858" s="2"/>
      <c r="N2858" s="8">
        <v>43357.781840277778</v>
      </c>
      <c r="O2858" s="4" t="s">
        <v>45</v>
      </c>
      <c r="P2858" s="3" t="s">
        <v>433</v>
      </c>
      <c r="Q2858" s="4"/>
      <c r="R2858" s="4"/>
      <c r="S2858" s="9" t="str">
        <f>HYPERLINK("https://pbs.twimg.com/profile_images/1040628323523678208/q4t4yBJR.jpg","View")</f>
        <v>View</v>
      </c>
    </row>
    <row r="2859" spans="1:19" ht="12.5">
      <c r="A2859" s="8">
        <v>43369.815972222219</v>
      </c>
      <c r="B2859" s="11" t="str">
        <f>HYPERLINK("https://twitter.com/nazer1972","@nazer1972")</f>
        <v>@nazer1972</v>
      </c>
      <c r="C2859" s="6" t="s">
        <v>432</v>
      </c>
      <c r="D2859" s="5" t="s">
        <v>431</v>
      </c>
      <c r="E2859" s="9" t="str">
        <f>HYPERLINK("https://twitter.com/nazer1972/status/1044981171212484608","1044981171212484608")</f>
        <v>1044981171212484608</v>
      </c>
      <c r="F2859" s="4"/>
      <c r="G2859" s="4"/>
      <c r="H2859" s="4"/>
      <c r="I2859" s="10" t="str">
        <f>HYPERLINK("http://twitter.com/download/iphone","Twitter for iPhone")</f>
        <v>Twitter for iPhone</v>
      </c>
      <c r="J2859" s="2">
        <v>1153</v>
      </c>
      <c r="K2859" s="2">
        <v>1398</v>
      </c>
      <c r="L2859" s="2">
        <v>1</v>
      </c>
      <c r="M2859" s="2"/>
      <c r="N2859" s="8">
        <v>41389.846319444448</v>
      </c>
      <c r="O2859" s="4"/>
      <c r="P2859" s="3" t="s">
        <v>430</v>
      </c>
      <c r="Q2859" s="4"/>
      <c r="R2859" s="4"/>
      <c r="S2859" s="9" t="str">
        <f>HYPERLINK("https://pbs.twimg.com/profile_images/1002416968060882944/HuiubaCa.jpg","View")</f>
        <v>View</v>
      </c>
    </row>
    <row r="2860" spans="1:19" ht="20">
      <c r="A2860" s="8">
        <v>43369.815891203703</v>
      </c>
      <c r="B2860" s="11" t="str">
        <f>HYPERLINK("https://twitter.com/Reza_Gh1990","@Reza_Gh1990")</f>
        <v>@Reza_Gh1990</v>
      </c>
      <c r="C2860" s="6" t="s">
        <v>326</v>
      </c>
      <c r="D2860" s="5" t="s">
        <v>429</v>
      </c>
      <c r="E2860" s="9" t="str">
        <f>HYPERLINK("https://twitter.com/Reza_Gh1990/status/1044981139717468160","1044981139717468160")</f>
        <v>1044981139717468160</v>
      </c>
      <c r="F2860" s="4"/>
      <c r="G2860" s="4"/>
      <c r="H2860" s="4"/>
      <c r="I2860" s="10" t="str">
        <f>HYPERLINK("http://twitter.com","Twitter Web Client")</f>
        <v>Twitter Web Client</v>
      </c>
      <c r="J2860" s="2">
        <v>2628</v>
      </c>
      <c r="K2860" s="2">
        <v>1140</v>
      </c>
      <c r="L2860" s="2">
        <v>10</v>
      </c>
      <c r="M2860" s="2"/>
      <c r="N2860" s="8">
        <v>42034.77043981482</v>
      </c>
      <c r="O2860" s="4" t="s">
        <v>323</v>
      </c>
      <c r="P2860" s="3" t="s">
        <v>322</v>
      </c>
      <c r="Q2860" s="4"/>
      <c r="R2860" s="4"/>
      <c r="S2860" s="9" t="str">
        <f>HYPERLINK("https://pbs.twimg.com/profile_images/1044632756221890562/Kn6N1eml.jpg","View")</f>
        <v>View</v>
      </c>
    </row>
    <row r="2861" spans="1:19" ht="40">
      <c r="A2861" s="8">
        <v>43369.815474537041</v>
      </c>
      <c r="B2861" s="11" t="str">
        <f>HYPERLINK("https://twitter.com/oVFzpDTiiJuK6Vb","@oVFzpDTiiJuK6Vb")</f>
        <v>@oVFzpDTiiJuK6Vb</v>
      </c>
      <c r="C2861" s="6" t="s">
        <v>176</v>
      </c>
      <c r="D2861" s="5" t="s">
        <v>231</v>
      </c>
      <c r="E2861" s="9" t="str">
        <f>HYPERLINK("https://twitter.com/oVFzpDTiiJuK6Vb/status/1044980991725641728","1044980991725641728")</f>
        <v>1044980991725641728</v>
      </c>
      <c r="F2861" s="4"/>
      <c r="G2861" s="4"/>
      <c r="H2861" s="4"/>
      <c r="I2861" s="10" t="str">
        <f>HYPERLINK("http://twitter.com/download/android","Twitter for Android")</f>
        <v>Twitter for Android</v>
      </c>
      <c r="J2861" s="2">
        <v>520</v>
      </c>
      <c r="K2861" s="2">
        <v>528</v>
      </c>
      <c r="L2861" s="2">
        <v>0</v>
      </c>
      <c r="M2861" s="2"/>
      <c r="N2861" s="8">
        <v>43223.486238425925</v>
      </c>
      <c r="O2861" s="4" t="s">
        <v>175</v>
      </c>
      <c r="P2861" s="3" t="s">
        <v>174</v>
      </c>
      <c r="Q2861" s="4"/>
      <c r="R2861" s="4"/>
      <c r="S2861" s="9" t="str">
        <f>HYPERLINK("https://pbs.twimg.com/profile_images/1030715357798051840/Pptbzt1T.jpg","View")</f>
        <v>View</v>
      </c>
    </row>
    <row r="2862" spans="1:19" ht="20">
      <c r="A2862" s="8">
        <v>43369.815439814818</v>
      </c>
      <c r="B2862" s="11" t="str">
        <f>HYPERLINK("https://twitter.com/Reza_Gh1990","@Reza_Gh1990")</f>
        <v>@Reza_Gh1990</v>
      </c>
      <c r="C2862" s="6" t="s">
        <v>326</v>
      </c>
      <c r="D2862" s="5" t="s">
        <v>428</v>
      </c>
      <c r="E2862" s="9" t="str">
        <f>HYPERLINK("https://twitter.com/Reza_Gh1990/status/1044980979012706309","1044980979012706309")</f>
        <v>1044980979012706309</v>
      </c>
      <c r="F2862" s="10" t="s">
        <v>427</v>
      </c>
      <c r="G2862" s="4"/>
      <c r="H2862" s="4"/>
      <c r="I2862" s="10" t="str">
        <f>HYPERLINK("http://twitter.com","Twitter Web Client")</f>
        <v>Twitter Web Client</v>
      </c>
      <c r="J2862" s="2">
        <v>2628</v>
      </c>
      <c r="K2862" s="2">
        <v>1140</v>
      </c>
      <c r="L2862" s="2">
        <v>10</v>
      </c>
      <c r="M2862" s="2"/>
      <c r="N2862" s="8">
        <v>42034.77043981482</v>
      </c>
      <c r="O2862" s="4" t="s">
        <v>323</v>
      </c>
      <c r="P2862" s="3" t="s">
        <v>322</v>
      </c>
      <c r="Q2862" s="4"/>
      <c r="R2862" s="4"/>
      <c r="S2862" s="9" t="str">
        <f>HYPERLINK("https://pbs.twimg.com/profile_images/1044632756221890562/Kn6N1eml.jpg","View")</f>
        <v>View</v>
      </c>
    </row>
    <row r="2863" spans="1:19" ht="30">
      <c r="A2863" s="8">
        <v>43369.815243055556</v>
      </c>
      <c r="B2863" s="11" t="str">
        <f>HYPERLINK("https://twitter.com/ariana5472","@ariana5472")</f>
        <v>@ariana5472</v>
      </c>
      <c r="C2863" s="6" t="s">
        <v>426</v>
      </c>
      <c r="D2863" s="5" t="s">
        <v>408</v>
      </c>
      <c r="E2863" s="9" t="str">
        <f>HYPERLINK("https://twitter.com/ariana5472/status/1044980906157592577","1044980906157592577")</f>
        <v>1044980906157592577</v>
      </c>
      <c r="F2863" s="4"/>
      <c r="G2863" s="4"/>
      <c r="H2863" s="4"/>
      <c r="I2863" s="10" t="str">
        <f>HYPERLINK("http://twitter.com/download/iphone","Twitter for iPhone")</f>
        <v>Twitter for iPhone</v>
      </c>
      <c r="J2863" s="2">
        <v>2625</v>
      </c>
      <c r="K2863" s="2">
        <v>4558</v>
      </c>
      <c r="L2863" s="2">
        <v>1</v>
      </c>
      <c r="M2863" s="2"/>
      <c r="N2863" s="8">
        <v>43272.076469907406</v>
      </c>
      <c r="O2863" s="4" t="s">
        <v>425</v>
      </c>
      <c r="P2863" s="3" t="s">
        <v>424</v>
      </c>
      <c r="Q2863" s="4"/>
      <c r="R2863" s="4"/>
      <c r="S2863" s="9" t="str">
        <f>HYPERLINK("https://pbs.twimg.com/profile_images/1029530710040895490/OUVXDjxD.jpg","View")</f>
        <v>View</v>
      </c>
    </row>
    <row r="2864" spans="1:19" ht="40">
      <c r="A2864" s="8">
        <v>43369.814687499995</v>
      </c>
      <c r="B2864" s="11" t="str">
        <f>HYPERLINK("https://twitter.com/PMR0731","@PMR0731")</f>
        <v>@PMR0731</v>
      </c>
      <c r="C2864" s="6" t="s">
        <v>423</v>
      </c>
      <c r="D2864" s="5" t="s">
        <v>422</v>
      </c>
      <c r="E2864" s="9" t="str">
        <f>HYPERLINK("https://twitter.com/PMR0731/status/1044980706303037440","1044980706303037440")</f>
        <v>1044980706303037440</v>
      </c>
      <c r="F2864" s="4"/>
      <c r="G2864" s="10" t="s">
        <v>421</v>
      </c>
      <c r="H2864" s="4"/>
      <c r="I2864" s="10" t="str">
        <f>HYPERLINK("http://twitter.com","Twitter Web Client")</f>
        <v>Twitter Web Client</v>
      </c>
      <c r="J2864" s="2">
        <v>798</v>
      </c>
      <c r="K2864" s="2">
        <v>189</v>
      </c>
      <c r="L2864" s="2">
        <v>6</v>
      </c>
      <c r="M2864" s="2"/>
      <c r="N2864" s="8">
        <v>42590.050578703704</v>
      </c>
      <c r="O2864" s="4" t="s">
        <v>420</v>
      </c>
      <c r="P2864" s="3" t="s">
        <v>419</v>
      </c>
      <c r="Q2864" s="4"/>
      <c r="R2864" s="4"/>
      <c r="S2864" s="9" t="str">
        <f>HYPERLINK("https://pbs.twimg.com/profile_images/1030356397630926848/x8SmplII.jpg","View")</f>
        <v>View</v>
      </c>
    </row>
    <row r="2865" spans="1:19" ht="20">
      <c r="A2865" s="8">
        <v>43369.814421296294</v>
      </c>
      <c r="B2865" s="11" t="str">
        <f>HYPERLINK("https://twitter.com/shepelutca","@shepelutca")</f>
        <v>@shepelutca</v>
      </c>
      <c r="C2865" s="6" t="s">
        <v>418</v>
      </c>
      <c r="D2865" s="5" t="s">
        <v>417</v>
      </c>
      <c r="E2865" s="9" t="str">
        <f>HYPERLINK("https://twitter.com/shepelutca/status/1044980607057612800","1044980607057612800")</f>
        <v>1044980607057612800</v>
      </c>
      <c r="F2865" s="4"/>
      <c r="G2865" s="4"/>
      <c r="H2865" s="4"/>
      <c r="I2865" s="10" t="str">
        <f>HYPERLINK("http://twitter.com","Twitter Web Client")</f>
        <v>Twitter Web Client</v>
      </c>
      <c r="J2865" s="2">
        <v>335</v>
      </c>
      <c r="K2865" s="2">
        <v>550</v>
      </c>
      <c r="L2865" s="2">
        <v>2</v>
      </c>
      <c r="M2865" s="2"/>
      <c r="N2865" s="8">
        <v>39994.676608796297</v>
      </c>
      <c r="O2865" s="4" t="s">
        <v>31</v>
      </c>
      <c r="P2865" s="3" t="s">
        <v>416</v>
      </c>
      <c r="Q2865" s="4"/>
      <c r="R2865" s="4"/>
      <c r="S2865" s="9" t="str">
        <f>HYPERLINK("https://pbs.twimg.com/profile_images/965997577001893893/g8aVDpX3.jpg","View")</f>
        <v>View</v>
      </c>
    </row>
    <row r="2866" spans="1:19" ht="12.5">
      <c r="A2866" s="8">
        <v>43369.804814814815</v>
      </c>
      <c r="B2866" s="11" t="str">
        <f>HYPERLINK("https://twitter.com/sm_1361","@sm_1361")</f>
        <v>@sm_1361</v>
      </c>
      <c r="C2866" s="6" t="s">
        <v>415</v>
      </c>
      <c r="D2866" s="5" t="s">
        <v>247</v>
      </c>
      <c r="E2866" s="9" t="str">
        <f>HYPERLINK("https://twitter.com/sm_1361/status/1044977127773409280","1044977127773409280")</f>
        <v>1044977127773409280</v>
      </c>
      <c r="F2866" s="4"/>
      <c r="G2866" s="4"/>
      <c r="H2866" s="4"/>
      <c r="I2866" s="10" t="str">
        <f>HYPERLINK("http://twitter.com/download/android","Twitter for Android")</f>
        <v>Twitter for Android</v>
      </c>
      <c r="J2866" s="2">
        <v>8487</v>
      </c>
      <c r="K2866" s="2">
        <v>1560</v>
      </c>
      <c r="L2866" s="2">
        <v>19</v>
      </c>
      <c r="M2866" s="2"/>
      <c r="N2866" s="8">
        <v>43083.490000000005</v>
      </c>
      <c r="O2866" s="4" t="s">
        <v>414</v>
      </c>
      <c r="P2866" s="3" t="s">
        <v>413</v>
      </c>
      <c r="Q2866" s="4"/>
      <c r="R2866" s="4"/>
      <c r="S2866" s="9" t="str">
        <f>HYPERLINK("https://pbs.twimg.com/profile_images/1033715858298871808/uaIK4NA4.jpg","View")</f>
        <v>View</v>
      </c>
    </row>
    <row r="2867" spans="1:19" ht="30">
      <c r="A2867" s="8">
        <v>43369.804768518516</v>
      </c>
      <c r="B2867" s="11" t="str">
        <f>HYPERLINK("https://twitter.com/moji7s","@moji7s")</f>
        <v>@moji7s</v>
      </c>
      <c r="C2867" s="6" t="s">
        <v>412</v>
      </c>
      <c r="D2867" s="5" t="s">
        <v>408</v>
      </c>
      <c r="E2867" s="9" t="str">
        <f>HYPERLINK("https://twitter.com/moji7s/status/1044977111784718336","1044977111784718336")</f>
        <v>1044977111784718336</v>
      </c>
      <c r="F2867" s="4"/>
      <c r="G2867" s="4"/>
      <c r="H2867" s="4"/>
      <c r="I2867" s="10" t="str">
        <f>HYPERLINK("http://twitter.com/download/android","Twitter for Android")</f>
        <v>Twitter for Android</v>
      </c>
      <c r="J2867" s="2">
        <v>538</v>
      </c>
      <c r="K2867" s="2">
        <v>1755</v>
      </c>
      <c r="L2867" s="2">
        <v>1</v>
      </c>
      <c r="M2867" s="2"/>
      <c r="N2867" s="8">
        <v>41514.289004629631</v>
      </c>
      <c r="O2867" s="4" t="s">
        <v>411</v>
      </c>
      <c r="P2867" s="3" t="s">
        <v>410</v>
      </c>
      <c r="Q2867" s="4"/>
      <c r="R2867" s="4"/>
      <c r="S2867" s="9" t="str">
        <f>HYPERLINK("https://pbs.twimg.com/profile_images/990427305917992961/tjh9ayV2.jpg","View")</f>
        <v>View</v>
      </c>
    </row>
    <row r="2868" spans="1:19" ht="30">
      <c r="A2868" s="8">
        <v>43369.804606481484</v>
      </c>
      <c r="B2868" s="11" t="str">
        <f>HYPERLINK("https://twitter.com/mrgump7","@mrgump7")</f>
        <v>@mrgump7</v>
      </c>
      <c r="C2868" s="6" t="s">
        <v>409</v>
      </c>
      <c r="D2868" s="5" t="s">
        <v>408</v>
      </c>
      <c r="E2868" s="9" t="str">
        <f>HYPERLINK("https://twitter.com/mrgump7/status/1044977052217200641","1044977052217200641")</f>
        <v>1044977052217200641</v>
      </c>
      <c r="F2868" s="4"/>
      <c r="G2868" s="4"/>
      <c r="H2868" s="4"/>
      <c r="I2868" s="10" t="str">
        <f>HYPERLINK("http://twitter.com/download/android","Twitter for Android")</f>
        <v>Twitter for Android</v>
      </c>
      <c r="J2868" s="2">
        <v>387</v>
      </c>
      <c r="K2868" s="2">
        <v>234</v>
      </c>
      <c r="L2868" s="2">
        <v>6</v>
      </c>
      <c r="M2868" s="2"/>
      <c r="N2868" s="8">
        <v>42111.092870370368</v>
      </c>
      <c r="O2868" s="4" t="s">
        <v>407</v>
      </c>
      <c r="P2868" s="3" t="s">
        <v>406</v>
      </c>
      <c r="Q2868" s="4"/>
      <c r="R2868" s="4"/>
      <c r="S2868" s="9" t="str">
        <f>HYPERLINK("https://pbs.twimg.com/profile_images/1043522675887493125/_TDQ1NlI.jpg","View")</f>
        <v>View</v>
      </c>
    </row>
    <row r="2869" spans="1:19" ht="30">
      <c r="A2869" s="8">
        <v>43369.804375</v>
      </c>
      <c r="B2869" s="11" t="str">
        <f>HYPERLINK("https://twitter.com/tanasoli","@tanasoli")</f>
        <v>@tanasoli</v>
      </c>
      <c r="C2869" s="6" t="s">
        <v>405</v>
      </c>
      <c r="D2869" s="5" t="s">
        <v>404</v>
      </c>
      <c r="E2869" s="9" t="str">
        <f>HYPERLINK("https://twitter.com/tanasoli/status/1044976966049222656","1044976966049222656")</f>
        <v>1044976966049222656</v>
      </c>
      <c r="F2869" s="4"/>
      <c r="G2869" s="4"/>
      <c r="H2869" s="4"/>
      <c r="I2869" s="10" t="str">
        <f>HYPERLINK("http://twitter.com/download/android","Twitter for Android")</f>
        <v>Twitter for Android</v>
      </c>
      <c r="J2869" s="2">
        <v>106573</v>
      </c>
      <c r="K2869" s="2">
        <v>1370</v>
      </c>
      <c r="L2869" s="2">
        <v>341</v>
      </c>
      <c r="M2869" s="2"/>
      <c r="N2869" s="8">
        <v>41569.076238425929</v>
      </c>
      <c r="O2869" s="4" t="s">
        <v>403</v>
      </c>
      <c r="P2869" s="3" t="s">
        <v>402</v>
      </c>
      <c r="Q2869" s="10" t="s">
        <v>401</v>
      </c>
      <c r="R2869" s="4"/>
      <c r="S2869" s="9" t="str">
        <f>HYPERLINK("https://pbs.twimg.com/profile_images/915655890698506240/ApSdFavU.jpg","View")</f>
        <v>View</v>
      </c>
    </row>
    <row r="2870" spans="1:19" ht="20">
      <c r="A2870" s="8">
        <v>43369.804016203707</v>
      </c>
      <c r="B2870" s="11" t="str">
        <f>HYPERLINK("https://twitter.com/fereshtevpt","@fereshtevpt")</f>
        <v>@fereshtevpt</v>
      </c>
      <c r="C2870" s="6" t="s">
        <v>331</v>
      </c>
      <c r="D2870" s="5" t="s">
        <v>400</v>
      </c>
      <c r="E2870" s="9" t="str">
        <f>HYPERLINK("https://twitter.com/fereshtevpt/status/1044976837527515136","1044976837527515136")</f>
        <v>1044976837527515136</v>
      </c>
      <c r="F2870" s="4"/>
      <c r="G2870" s="4"/>
      <c r="H2870" s="4"/>
      <c r="I2870" s="10" t="str">
        <f>HYPERLINK("http://twitter.com/download/iphone","Twitter for iPhone")</f>
        <v>Twitter for iPhone</v>
      </c>
      <c r="J2870" s="2">
        <v>2472</v>
      </c>
      <c r="K2870" s="2">
        <v>2146</v>
      </c>
      <c r="L2870" s="2">
        <v>6</v>
      </c>
      <c r="M2870" s="2"/>
      <c r="N2870" s="8">
        <v>43106.721226851849</v>
      </c>
      <c r="O2870" s="4"/>
      <c r="P2870" s="3" t="s">
        <v>329</v>
      </c>
      <c r="Q2870" s="4"/>
      <c r="R2870" s="4"/>
      <c r="S2870" s="9" t="str">
        <f>HYPERLINK("https://pbs.twimg.com/profile_images/1037751959716016135/k__ynAL7.jpg","View")</f>
        <v>View</v>
      </c>
    </row>
    <row r="2871" spans="1:19" ht="40">
      <c r="A2871" s="8">
        <v>43369.803819444445</v>
      </c>
      <c r="B2871" s="11" t="str">
        <f>HYPERLINK("https://twitter.com/__hiiiiiich","@__hiiiiiich")</f>
        <v>@__hiiiiiich</v>
      </c>
      <c r="C2871" s="6" t="s">
        <v>399</v>
      </c>
      <c r="D2871" s="5" t="s">
        <v>224</v>
      </c>
      <c r="E2871" s="9" t="str">
        <f>HYPERLINK("https://twitter.com/__hiiiiiich/status/1044976767163924480","1044976767163924480")</f>
        <v>1044976767163924480</v>
      </c>
      <c r="F2871" s="4"/>
      <c r="G2871" s="10" t="s">
        <v>223</v>
      </c>
      <c r="H2871" s="4"/>
      <c r="I2871" s="10" t="str">
        <f>HYPERLINK("http://twitter.com/download/android","Twitter for Android")</f>
        <v>Twitter for Android</v>
      </c>
      <c r="J2871" s="2">
        <v>278</v>
      </c>
      <c r="K2871" s="2">
        <v>130</v>
      </c>
      <c r="L2871" s="2">
        <v>1</v>
      </c>
      <c r="M2871" s="2"/>
      <c r="N2871" s="8">
        <v>42941.558668981481</v>
      </c>
      <c r="O2871" s="4"/>
      <c r="P2871" s="3" t="s">
        <v>398</v>
      </c>
      <c r="Q2871" s="4"/>
      <c r="R2871" s="4"/>
      <c r="S2871" s="9" t="str">
        <f>HYPERLINK("https://pbs.twimg.com/profile_images/1037001198887415813/5IW7A0eW.jpg","View")</f>
        <v>View</v>
      </c>
    </row>
    <row r="2872" spans="1:19" ht="30">
      <c r="A2872" s="8">
        <v>43369.803668981476</v>
      </c>
      <c r="B2872" s="11" t="str">
        <f>HYPERLINK("https://twitter.com/tahamajidii","@tahamajidii")</f>
        <v>@tahamajidii</v>
      </c>
      <c r="C2872" s="6" t="s">
        <v>397</v>
      </c>
      <c r="D2872" s="5" t="s">
        <v>163</v>
      </c>
      <c r="E2872" s="9" t="str">
        <f>HYPERLINK("https://twitter.com/tahamajidii/status/1044976710888968192","1044976710888968192")</f>
        <v>1044976710888968192</v>
      </c>
      <c r="F2872" s="4"/>
      <c r="G2872" s="4"/>
      <c r="H2872" s="4"/>
      <c r="I2872" s="10" t="str">
        <f>HYPERLINK("http://twitter.com/download/android","Twitter for Android")</f>
        <v>Twitter for Android</v>
      </c>
      <c r="J2872" s="2">
        <v>3222</v>
      </c>
      <c r="K2872" s="2">
        <v>264</v>
      </c>
      <c r="L2872" s="2">
        <v>13</v>
      </c>
      <c r="M2872" s="2"/>
      <c r="N2872" s="8">
        <v>42574.380729166667</v>
      </c>
      <c r="O2872" s="4"/>
      <c r="P2872" s="3" t="s">
        <v>396</v>
      </c>
      <c r="Q2872" s="10" t="s">
        <v>395</v>
      </c>
      <c r="R2872" s="4"/>
      <c r="S2872" s="9" t="str">
        <f>HYPERLINK("https://pbs.twimg.com/profile_images/1038941570928705537/y4_t8GMr.jpg","View")</f>
        <v>View</v>
      </c>
    </row>
    <row r="2873" spans="1:19" ht="20">
      <c r="A2873" s="8">
        <v>43369.803356481483</v>
      </c>
      <c r="B2873" s="11" t="str">
        <f>HYPERLINK("https://twitter.com/kaveh_kiana","@kaveh_kiana")</f>
        <v>@kaveh_kiana</v>
      </c>
      <c r="C2873" s="6" t="s">
        <v>153</v>
      </c>
      <c r="D2873" s="5" t="s">
        <v>394</v>
      </c>
      <c r="E2873" s="9" t="str">
        <f>HYPERLINK("https://twitter.com/kaveh_kiana/status/1044976597365903362","1044976597365903362")</f>
        <v>1044976597365903362</v>
      </c>
      <c r="F2873" s="4"/>
      <c r="G2873" s="10" t="s">
        <v>393</v>
      </c>
      <c r="H2873" s="4"/>
      <c r="I2873" s="10" t="str">
        <f>HYPERLINK("http://twitter.com/download/android","Twitter for Android")</f>
        <v>Twitter for Android</v>
      </c>
      <c r="J2873" s="2">
        <v>13</v>
      </c>
      <c r="K2873" s="2">
        <v>34</v>
      </c>
      <c r="L2873" s="2">
        <v>0</v>
      </c>
      <c r="M2873" s="2"/>
      <c r="N2873" s="8">
        <v>43321.02548611111</v>
      </c>
      <c r="O2873" s="4"/>
      <c r="P2873" s="3"/>
      <c r="Q2873" s="4"/>
      <c r="R2873" s="4"/>
      <c r="S2873" s="9" t="str">
        <f>HYPERLINK("https://pbs.twimg.com/profile_images/1027287042580013056/HH6j01Lp.jpg","View")</f>
        <v>View</v>
      </c>
    </row>
    <row r="2874" spans="1:19" ht="12.5">
      <c r="A2874" s="8">
        <v>43369.80332175926</v>
      </c>
      <c r="B2874" s="11" t="str">
        <f>HYPERLINK("https://twitter.com/hameds1986","@hameds1986")</f>
        <v>@hameds1986</v>
      </c>
      <c r="C2874" s="6" t="s">
        <v>392</v>
      </c>
      <c r="D2874" s="5" t="s">
        <v>391</v>
      </c>
      <c r="E2874" s="9" t="str">
        <f>HYPERLINK("https://twitter.com/hameds1986/status/1044976586280366080","1044976586280366080")</f>
        <v>1044976586280366080</v>
      </c>
      <c r="F2874" s="4"/>
      <c r="G2874" s="4"/>
      <c r="H2874" s="4"/>
      <c r="I2874" s="10" t="str">
        <f>HYPERLINK("http://twitter.com/download/iphone","Twitter for iPhone")</f>
        <v>Twitter for iPhone</v>
      </c>
      <c r="J2874" s="2">
        <v>147</v>
      </c>
      <c r="K2874" s="2">
        <v>173</v>
      </c>
      <c r="L2874" s="2">
        <v>0</v>
      </c>
      <c r="M2874" s="2"/>
      <c r="N2874" s="8">
        <v>43331.867939814816</v>
      </c>
      <c r="O2874" s="4" t="s">
        <v>10</v>
      </c>
      <c r="P2874" s="3" t="s">
        <v>390</v>
      </c>
      <c r="Q2874" s="4"/>
      <c r="R2874" s="4"/>
      <c r="S2874" s="9" t="str">
        <f>HYPERLINK("https://pbs.twimg.com/profile_images/1044450924884840448/7erquepv.jpg","View")</f>
        <v>View</v>
      </c>
    </row>
    <row r="2875" spans="1:19" ht="40">
      <c r="A2875" s="8">
        <v>43369.802905092598</v>
      </c>
      <c r="B2875" s="11" t="str">
        <f>HYPERLINK("https://twitter.com/Reza_30vil","@Reza_30vil")</f>
        <v>@Reza_30vil</v>
      </c>
      <c r="C2875" s="6" t="s">
        <v>389</v>
      </c>
      <c r="D2875" s="5" t="s">
        <v>81</v>
      </c>
      <c r="E2875" s="9" t="str">
        <f>HYPERLINK("https://twitter.com/Reza_30vil/status/1044976434207490048","1044976434207490048")</f>
        <v>1044976434207490048</v>
      </c>
      <c r="F2875" s="4"/>
      <c r="G2875" s="10" t="s">
        <v>80</v>
      </c>
      <c r="H2875" s="4"/>
      <c r="I2875" s="10" t="str">
        <f>HYPERLINK("http://twitter.com/download/android","Twitter for Android")</f>
        <v>Twitter for Android</v>
      </c>
      <c r="J2875" s="2">
        <v>6438</v>
      </c>
      <c r="K2875" s="2">
        <v>480</v>
      </c>
      <c r="L2875" s="2">
        <v>30</v>
      </c>
      <c r="M2875" s="2"/>
      <c r="N2875" s="8">
        <v>42672.765601851846</v>
      </c>
      <c r="O2875" s="4" t="s">
        <v>388</v>
      </c>
      <c r="P2875" s="3" t="s">
        <v>387</v>
      </c>
      <c r="Q2875" s="4"/>
      <c r="R2875" s="4"/>
      <c r="S2875" s="9" t="str">
        <f>HYPERLINK("https://pbs.twimg.com/profile_images/1044239391089201153/qbjgSbZy.jpg","View")</f>
        <v>View</v>
      </c>
    </row>
    <row r="2876" spans="1:19" ht="12.5">
      <c r="A2876" s="8">
        <v>43369.802708333329</v>
      </c>
      <c r="B2876" s="11" t="str">
        <f>HYPERLINK("https://twitter.com/MostafaieRamin","@MostafaieRamin")</f>
        <v>@MostafaieRamin</v>
      </c>
      <c r="C2876" s="6" t="s">
        <v>386</v>
      </c>
      <c r="D2876" s="5" t="s">
        <v>385</v>
      </c>
      <c r="E2876" s="9" t="str">
        <f>HYPERLINK("https://twitter.com/MostafaieRamin/status/1044976365785812992","1044976365785812992")</f>
        <v>1044976365785812992</v>
      </c>
      <c r="F2876" s="4"/>
      <c r="G2876" s="10" t="s">
        <v>384</v>
      </c>
      <c r="H2876" s="4"/>
      <c r="I2876" s="10" t="str">
        <f>HYPERLINK("http://twitter.com/download/android","Twitter for Android")</f>
        <v>Twitter for Android</v>
      </c>
      <c r="J2876" s="2">
        <v>5</v>
      </c>
      <c r="K2876" s="2">
        <v>23</v>
      </c>
      <c r="L2876" s="2">
        <v>0</v>
      </c>
      <c r="M2876" s="2"/>
      <c r="N2876" s="8">
        <v>43361.408391203702</v>
      </c>
      <c r="O2876" s="4" t="s">
        <v>383</v>
      </c>
      <c r="P2876" s="3" t="s">
        <v>382</v>
      </c>
      <c r="Q2876" s="4"/>
      <c r="R2876" s="4"/>
      <c r="S2876" s="9" t="str">
        <f>HYPERLINK("https://pbs.twimg.com/profile_images/1041932485549015040/l4nCW1vF.jpg","View")</f>
        <v>View</v>
      </c>
    </row>
    <row r="2877" spans="1:19" ht="40">
      <c r="A2877" s="8">
        <v>43369.801898148144</v>
      </c>
      <c r="B2877" s="11" t="str">
        <f>HYPERLINK("https://twitter.com/amirhosein_taa","@amirhosein_taa")</f>
        <v>@amirhosein_taa</v>
      </c>
      <c r="C2877" s="6" t="s">
        <v>381</v>
      </c>
      <c r="D2877" s="5" t="s">
        <v>365</v>
      </c>
      <c r="E2877" s="9" t="str">
        <f>HYPERLINK("https://twitter.com/amirhosein_taa/status/1044976068665507841","1044976068665507841")</f>
        <v>1044976068665507841</v>
      </c>
      <c r="F2877" s="4"/>
      <c r="G2877" s="4"/>
      <c r="H2877" s="4"/>
      <c r="I2877" s="10" t="str">
        <f>HYPERLINK("http://twitter.com/download/android","Twitter for Android")</f>
        <v>Twitter for Android</v>
      </c>
      <c r="J2877" s="2">
        <v>2098</v>
      </c>
      <c r="K2877" s="2">
        <v>1896</v>
      </c>
      <c r="L2877" s="2">
        <v>6</v>
      </c>
      <c r="M2877" s="2"/>
      <c r="N2877" s="8">
        <v>43104.604317129633</v>
      </c>
      <c r="O2877" s="4" t="s">
        <v>380</v>
      </c>
      <c r="P2877" s="3" t="s">
        <v>379</v>
      </c>
      <c r="Q2877" s="4"/>
      <c r="R2877" s="4"/>
      <c r="S2877" s="9" t="str">
        <f>HYPERLINK("https://pbs.twimg.com/profile_images/1027210481315004416/wP4c3IIm.jpg","View")</f>
        <v>View</v>
      </c>
    </row>
    <row r="2878" spans="1:19" ht="40">
      <c r="A2878" s="8">
        <v>43369.801319444443</v>
      </c>
      <c r="B2878" s="11" t="str">
        <f>HYPERLINK("https://twitter.com/Reza_Gh1990","@Reza_Gh1990")</f>
        <v>@Reza_Gh1990</v>
      </c>
      <c r="C2878" s="6" t="s">
        <v>326</v>
      </c>
      <c r="D2878" s="5" t="s">
        <v>365</v>
      </c>
      <c r="E2878" s="9" t="str">
        <f>HYPERLINK("https://twitter.com/Reza_Gh1990/status/1044975861060063237","1044975861060063237")</f>
        <v>1044975861060063237</v>
      </c>
      <c r="F2878" s="4"/>
      <c r="G2878" s="4"/>
      <c r="H2878" s="4"/>
      <c r="I2878" s="10" t="str">
        <f>HYPERLINK("http://twitter.com","Twitter Web Client")</f>
        <v>Twitter Web Client</v>
      </c>
      <c r="J2878" s="2">
        <v>2625</v>
      </c>
      <c r="K2878" s="2">
        <v>1139</v>
      </c>
      <c r="L2878" s="2">
        <v>10</v>
      </c>
      <c r="M2878" s="2"/>
      <c r="N2878" s="8">
        <v>42034.77043981482</v>
      </c>
      <c r="O2878" s="4" t="s">
        <v>323</v>
      </c>
      <c r="P2878" s="3" t="s">
        <v>322</v>
      </c>
      <c r="Q2878" s="4"/>
      <c r="R2878" s="4"/>
      <c r="S2878" s="9" t="str">
        <f>HYPERLINK("https://pbs.twimg.com/profile_images/1044632756221890562/Kn6N1eml.jpg","View")</f>
        <v>View</v>
      </c>
    </row>
    <row r="2879" spans="1:19" ht="20">
      <c r="A2879" s="8">
        <v>43369.799849537041</v>
      </c>
      <c r="B2879" s="11" t="str">
        <f>HYPERLINK("https://twitter.com/diyare_habiib","@diyare_habiib")</f>
        <v>@diyare_habiib</v>
      </c>
      <c r="C2879" s="6" t="s">
        <v>378</v>
      </c>
      <c r="D2879" s="5" t="s">
        <v>354</v>
      </c>
      <c r="E2879" s="9" t="str">
        <f>HYPERLINK("https://twitter.com/diyare_habiib/status/1044975329763299330","1044975329763299330")</f>
        <v>1044975329763299330</v>
      </c>
      <c r="F2879" s="4"/>
      <c r="G2879" s="4"/>
      <c r="H2879" s="4"/>
      <c r="I2879" s="10" t="str">
        <f>HYPERLINK("http://twitter.com/download/android","Twitter for Android")</f>
        <v>Twitter for Android</v>
      </c>
      <c r="J2879" s="2">
        <v>9733</v>
      </c>
      <c r="K2879" s="2">
        <v>4375</v>
      </c>
      <c r="L2879" s="2">
        <v>37</v>
      </c>
      <c r="M2879" s="2"/>
      <c r="N2879" s="8">
        <v>43105.837430555555</v>
      </c>
      <c r="O2879" s="4" t="s">
        <v>62</v>
      </c>
      <c r="P2879" s="3" t="s">
        <v>377</v>
      </c>
      <c r="Q2879" s="4"/>
      <c r="R2879" s="4"/>
      <c r="S2879" s="9" t="str">
        <f>HYPERLINK("https://pbs.twimg.com/profile_images/1011731194424197120/Z1P4bU5d.jpg","View")</f>
        <v>View</v>
      </c>
    </row>
    <row r="2880" spans="1:19" ht="12.5">
      <c r="A2880" s="8">
        <v>43369.799733796295</v>
      </c>
      <c r="B2880" s="11" t="str">
        <f>HYPERLINK("https://twitter.com/liaalia39871919","@liaalia39871919")</f>
        <v>@liaalia39871919</v>
      </c>
      <c r="C2880" s="6" t="s">
        <v>134</v>
      </c>
      <c r="D2880" s="5" t="s">
        <v>376</v>
      </c>
      <c r="E2880" s="9" t="str">
        <f>HYPERLINK("https://twitter.com/liaalia39871919/status/1044975285169475585","1044975285169475585")</f>
        <v>1044975285169475585</v>
      </c>
      <c r="F2880" s="4"/>
      <c r="G2880" s="4"/>
      <c r="H2880" s="4"/>
      <c r="I2880" s="10" t="str">
        <f>HYPERLINK("http://twitter.com/download/android","Twitter for Android")</f>
        <v>Twitter for Android</v>
      </c>
      <c r="J2880" s="2">
        <v>323</v>
      </c>
      <c r="K2880" s="2">
        <v>335</v>
      </c>
      <c r="L2880" s="2">
        <v>1</v>
      </c>
      <c r="M2880" s="2"/>
      <c r="N2880" s="8">
        <v>43362.478148148148</v>
      </c>
      <c r="O2880" s="4"/>
      <c r="P2880" s="3" t="s">
        <v>132</v>
      </c>
      <c r="Q2880" s="4"/>
      <c r="R2880" s="4"/>
      <c r="S2880" s="9" t="str">
        <f>HYPERLINK("https://pbs.twimg.com/profile_images/1044436435120640001/P4It1o5F.jpg","View")</f>
        <v>View</v>
      </c>
    </row>
    <row r="2881" spans="1:19" ht="20">
      <c r="A2881" s="8">
        <v>43369.799305555556</v>
      </c>
      <c r="B2881" s="11" t="str">
        <f>HYPERLINK("https://twitter.com/mohsen__gc","@mohsen__gc")</f>
        <v>@mohsen__gc</v>
      </c>
      <c r="C2881" s="6" t="s">
        <v>375</v>
      </c>
      <c r="D2881" s="5" t="s">
        <v>354</v>
      </c>
      <c r="E2881" s="9" t="str">
        <f>HYPERLINK("https://twitter.com/mohsen__gc/status/1044975129879597056","1044975129879597056")</f>
        <v>1044975129879597056</v>
      </c>
      <c r="F2881" s="4"/>
      <c r="G2881" s="4"/>
      <c r="H2881" s="4"/>
      <c r="I2881" s="10" t="str">
        <f>HYPERLINK("http://t.me/RetweetBot","HsinBot")</f>
        <v>HsinBot</v>
      </c>
      <c r="J2881" s="2">
        <v>751</v>
      </c>
      <c r="K2881" s="2">
        <v>940</v>
      </c>
      <c r="L2881" s="2">
        <v>0</v>
      </c>
      <c r="M2881" s="2"/>
      <c r="N2881" s="8">
        <v>43246.496921296297</v>
      </c>
      <c r="O2881" s="4" t="s">
        <v>200</v>
      </c>
      <c r="P2881" s="3" t="s">
        <v>374</v>
      </c>
      <c r="Q2881" s="4"/>
      <c r="R2881" s="4"/>
      <c r="S2881" s="9" t="str">
        <f>HYPERLINK("https://pbs.twimg.com/profile_images/1033069336280346624/snZxn4U2.jpg","View")</f>
        <v>View</v>
      </c>
    </row>
    <row r="2882" spans="1:19" ht="40">
      <c r="A2882" s="8">
        <v>43369.798541666663</v>
      </c>
      <c r="B2882" s="11" t="str">
        <f>HYPERLINK("https://twitter.com/MamedAqooo","@MamedAqooo")</f>
        <v>@MamedAqooo</v>
      </c>
      <c r="C2882" s="6" t="s">
        <v>373</v>
      </c>
      <c r="D2882" s="5" t="s">
        <v>372</v>
      </c>
      <c r="E2882" s="9" t="str">
        <f>HYPERLINK("https://twitter.com/MamedAqooo/status/1044974855278481409","1044974855278481409")</f>
        <v>1044974855278481409</v>
      </c>
      <c r="F2882" s="4"/>
      <c r="G2882" s="4"/>
      <c r="H2882" s="4"/>
      <c r="I2882" s="10" t="str">
        <f>HYPERLINK("http://twitter.com","Twitter Web Client")</f>
        <v>Twitter Web Client</v>
      </c>
      <c r="J2882" s="2">
        <v>303</v>
      </c>
      <c r="K2882" s="2">
        <v>216</v>
      </c>
      <c r="L2882" s="2">
        <v>3</v>
      </c>
      <c r="M2882" s="2"/>
      <c r="N2882" s="8">
        <v>42898.052245370374</v>
      </c>
      <c r="O2882" s="4" t="s">
        <v>371</v>
      </c>
      <c r="P2882" s="3" t="s">
        <v>370</v>
      </c>
      <c r="Q2882" s="4"/>
      <c r="R2882" s="4"/>
      <c r="S2882" s="9" t="str">
        <f>HYPERLINK("https://pbs.twimg.com/profile_images/1044186769107943425/zcxcV_D6.jpg","View")</f>
        <v>View</v>
      </c>
    </row>
    <row r="2883" spans="1:19" ht="20">
      <c r="A2883" s="8">
        <v>43369.798263888893</v>
      </c>
      <c r="B2883" s="11" t="str">
        <f>HYPERLINK("https://twitter.com/Frozanafshar","@Frozanafshar")</f>
        <v>@Frozanafshar</v>
      </c>
      <c r="C2883" s="6" t="s">
        <v>369</v>
      </c>
      <c r="D2883" s="5" t="s">
        <v>368</v>
      </c>
      <c r="E2883" s="9" t="str">
        <f>HYPERLINK("https://twitter.com/Frozanafshar/status/1044974751331094528","1044974751331094528")</f>
        <v>1044974751331094528</v>
      </c>
      <c r="F2883" s="4"/>
      <c r="G2883" s="4"/>
      <c r="H2883" s="4"/>
      <c r="I2883" s="10" t="str">
        <f>HYPERLINK("http://twitter.com/download/iphone","Twitter for iPhone")</f>
        <v>Twitter for iPhone</v>
      </c>
      <c r="J2883" s="2">
        <v>7</v>
      </c>
      <c r="K2883" s="2">
        <v>19</v>
      </c>
      <c r="L2883" s="2">
        <v>0</v>
      </c>
      <c r="M2883" s="2"/>
      <c r="N2883" s="8">
        <v>42927.031585648147</v>
      </c>
      <c r="O2883" s="4"/>
      <c r="P2883" s="3"/>
      <c r="Q2883" s="4"/>
      <c r="R2883" s="4"/>
      <c r="S2883" s="9" t="str">
        <f>HYPERLINK("https://pbs.twimg.com/profile_images/999057670467272705/6306q604.jpg","View")</f>
        <v>View</v>
      </c>
    </row>
    <row r="2884" spans="1:19" ht="12.5">
      <c r="A2884" s="8">
        <v>43369.798252314809</v>
      </c>
      <c r="B2884" s="11" t="str">
        <f>HYPERLINK("https://twitter.com/MMostafasalehi","@MMostafasalehi")</f>
        <v>@MMostafasalehi</v>
      </c>
      <c r="C2884" s="6" t="s">
        <v>367</v>
      </c>
      <c r="D2884" s="5" t="s">
        <v>140</v>
      </c>
      <c r="E2884" s="9" t="str">
        <f>HYPERLINK("https://twitter.com/MMostafasalehi/status/1044974750492020737","1044974750492020737")</f>
        <v>1044974750492020737</v>
      </c>
      <c r="F2884" s="4"/>
      <c r="G2884" s="10" t="s">
        <v>139</v>
      </c>
      <c r="H2884" s="4"/>
      <c r="I2884" s="10" t="str">
        <f>HYPERLINK("http://twitter.com/download/android","Twitter for Android")</f>
        <v>Twitter for Android</v>
      </c>
      <c r="J2884" s="2">
        <v>48</v>
      </c>
      <c r="K2884" s="2">
        <v>163</v>
      </c>
      <c r="L2884" s="2">
        <v>0</v>
      </c>
      <c r="M2884" s="2"/>
      <c r="N2884" s="8">
        <v>43363.98332175926</v>
      </c>
      <c r="O2884" s="4" t="s">
        <v>366</v>
      </c>
      <c r="P2884" s="3"/>
      <c r="Q2884" s="4"/>
      <c r="R2884" s="4"/>
      <c r="S2884" s="9" t="str">
        <f>HYPERLINK("https://pbs.twimg.com/profile_images/1043932606851624961/MFm1iGbE.jpg","View")</f>
        <v>View</v>
      </c>
    </row>
    <row r="2885" spans="1:19" ht="40">
      <c r="A2885" s="8">
        <v>43369.796805555554</v>
      </c>
      <c r="B2885" s="11" t="str">
        <f>HYPERLINK("https://twitter.com/ladyblocker1","@ladyblocker1")</f>
        <v>@ladyblocker1</v>
      </c>
      <c r="C2885" s="6" t="s">
        <v>342</v>
      </c>
      <c r="D2885" s="5" t="s">
        <v>365</v>
      </c>
      <c r="E2885" s="9" t="str">
        <f>HYPERLINK("https://twitter.com/ladyblocker1/status/1044974224610402305","1044974224610402305")</f>
        <v>1044974224610402305</v>
      </c>
      <c r="F2885" s="4"/>
      <c r="G2885" s="4"/>
      <c r="H2885" s="4"/>
      <c r="I2885" s="10" t="str">
        <f>HYPERLINK("http://twitter.com/download/android","Twitter for Android")</f>
        <v>Twitter for Android</v>
      </c>
      <c r="J2885" s="2">
        <v>1085</v>
      </c>
      <c r="K2885" s="2">
        <v>654</v>
      </c>
      <c r="L2885" s="2">
        <v>5</v>
      </c>
      <c r="M2885" s="2"/>
      <c r="N2885" s="8">
        <v>41791.892696759256</v>
      </c>
      <c r="O2885" s="4" t="s">
        <v>340</v>
      </c>
      <c r="P2885" s="3" t="s">
        <v>339</v>
      </c>
      <c r="Q2885" s="10" t="s">
        <v>338</v>
      </c>
      <c r="R2885" s="4"/>
      <c r="S2885" s="9" t="str">
        <f>HYPERLINK("https://pbs.twimg.com/profile_images/1044967591222087680/0GW2vhal.jpg","View")</f>
        <v>View</v>
      </c>
    </row>
    <row r="2886" spans="1:19" ht="40">
      <c r="A2886" s="8">
        <v>43369.796782407408</v>
      </c>
      <c r="B2886" s="11" t="str">
        <f>HYPERLINK("https://twitter.com/oldensan","@oldensan")</f>
        <v>@oldensan</v>
      </c>
      <c r="C2886" s="6" t="s">
        <v>364</v>
      </c>
      <c r="D2886" s="5" t="s">
        <v>363</v>
      </c>
      <c r="E2886" s="9" t="str">
        <f>HYPERLINK("https://twitter.com/oldensan/status/1044974217270370304","1044974217270370304")</f>
        <v>1044974217270370304</v>
      </c>
      <c r="F2886" s="4"/>
      <c r="G2886" s="4"/>
      <c r="H2886" s="4"/>
      <c r="I2886" s="10" t="str">
        <f>HYPERLINK("http://twitter.com/download/android","Twitter for Android")</f>
        <v>Twitter for Android</v>
      </c>
      <c r="J2886" s="2">
        <v>3097</v>
      </c>
      <c r="K2886" s="2">
        <v>867</v>
      </c>
      <c r="L2886" s="2">
        <v>19</v>
      </c>
      <c r="M2886" s="2"/>
      <c r="N2886" s="8">
        <v>43062.099039351851</v>
      </c>
      <c r="O2886" s="4"/>
      <c r="P2886" s="3" t="s">
        <v>362</v>
      </c>
      <c r="Q2886" s="4"/>
      <c r="R2886" s="4"/>
      <c r="S2886" s="9" t="str">
        <f>HYPERLINK("https://pbs.twimg.com/profile_images/1011779504245755905/jTTz7n0H.jpg","View")</f>
        <v>View</v>
      </c>
    </row>
    <row r="2887" spans="1:19" ht="20">
      <c r="A2887" s="8">
        <v>43369.796782407408</v>
      </c>
      <c r="B2887" s="11" t="str">
        <f>HYPERLINK("https://twitter.com/MizanPhoto","@MizanPhoto")</f>
        <v>@MizanPhoto</v>
      </c>
      <c r="C2887" s="6" t="s">
        <v>287</v>
      </c>
      <c r="D2887" s="5" t="s">
        <v>361</v>
      </c>
      <c r="E2887" s="9" t="str">
        <f>HYPERLINK("https://twitter.com/MizanPhoto/status/1044974215261237248","1044974215261237248")</f>
        <v>1044974215261237248</v>
      </c>
      <c r="F2887" s="10" t="s">
        <v>360</v>
      </c>
      <c r="G2887" s="10" t="s">
        <v>359</v>
      </c>
      <c r="H2887" s="4"/>
      <c r="I2887" s="10" t="str">
        <f>HYPERLINK("http://twitter.com/download/iphone","Twitter for iPhone")</f>
        <v>Twitter for iPhone</v>
      </c>
      <c r="J2887" s="2">
        <v>526</v>
      </c>
      <c r="K2887" s="2">
        <v>29</v>
      </c>
      <c r="L2887" s="2">
        <v>4</v>
      </c>
      <c r="M2887" s="2"/>
      <c r="N2887" s="8">
        <v>43235.8044212963</v>
      </c>
      <c r="O2887" s="4" t="s">
        <v>200</v>
      </c>
      <c r="P2887" s="3" t="s">
        <v>283</v>
      </c>
      <c r="Q2887" s="10" t="s">
        <v>282</v>
      </c>
      <c r="R2887" s="4"/>
      <c r="S2887" s="9" t="str">
        <f>HYPERLINK("https://pbs.twimg.com/profile_images/996413934839230467/xy1Ku2x3.jpg","View")</f>
        <v>View</v>
      </c>
    </row>
    <row r="2888" spans="1:19" ht="20">
      <c r="A2888" s="8">
        <v>43369.796527777777</v>
      </c>
      <c r="B2888" s="11" t="str">
        <f>HYPERLINK("https://twitter.com/mr1000bear","@mr1000bear")</f>
        <v>@mr1000bear</v>
      </c>
      <c r="C2888" s="6" t="s">
        <v>358</v>
      </c>
      <c r="D2888" s="5" t="s">
        <v>357</v>
      </c>
      <c r="E2888" s="9" t="str">
        <f>HYPERLINK("https://twitter.com/mr1000bear/status/1044974122051227648","1044974122051227648")</f>
        <v>1044974122051227648</v>
      </c>
      <c r="F2888" s="4"/>
      <c r="G2888" s="4"/>
      <c r="H2888" s="4"/>
      <c r="I2888" s="10" t="str">
        <f>HYPERLINK("http://twitter.com/download/android","Twitter for Android")</f>
        <v>Twitter for Android</v>
      </c>
      <c r="J2888" s="2">
        <v>1</v>
      </c>
      <c r="K2888" s="2">
        <v>9</v>
      </c>
      <c r="L2888" s="2">
        <v>0</v>
      </c>
      <c r="M2888" s="2"/>
      <c r="N2888" s="8">
        <v>42985.445879629631</v>
      </c>
      <c r="O2888" s="4"/>
      <c r="P2888" s="3" t="s">
        <v>356</v>
      </c>
      <c r="Q2888" s="4"/>
      <c r="R2888" s="4"/>
      <c r="S2888" s="9" t="str">
        <f>HYPERLINK("https://pbs.twimg.com/profile_images/906844196258111490/Qbi-o5Yo.jpg","View")</f>
        <v>View</v>
      </c>
    </row>
    <row r="2889" spans="1:19" ht="20">
      <c r="A2889" s="8">
        <v>43369.796493055561</v>
      </c>
      <c r="B2889" s="11" t="str">
        <f>HYPERLINK("https://twitter.com/senoghteee","@senoghteee")</f>
        <v>@senoghteee</v>
      </c>
      <c r="C2889" s="6" t="s">
        <v>355</v>
      </c>
      <c r="D2889" s="5" t="s">
        <v>354</v>
      </c>
      <c r="E2889" s="9" t="str">
        <f>HYPERLINK("https://twitter.com/senoghteee/status/1044974112886706177","1044974112886706177")</f>
        <v>1044974112886706177</v>
      </c>
      <c r="F2889" s="4"/>
      <c r="G2889" s="4"/>
      <c r="H2889" s="4"/>
      <c r="I2889" s="10" t="str">
        <f>HYPERLINK("http://twitter.com/download/iphone","Twitter for iPhone")</f>
        <v>Twitter for iPhone</v>
      </c>
      <c r="J2889" s="2">
        <v>892</v>
      </c>
      <c r="K2889" s="2">
        <v>1134</v>
      </c>
      <c r="L2889" s="2">
        <v>2</v>
      </c>
      <c r="M2889" s="2"/>
      <c r="N2889" s="8">
        <v>43263.70815972222</v>
      </c>
      <c r="O2889" s="4" t="s">
        <v>62</v>
      </c>
      <c r="P2889" s="3" t="s">
        <v>353</v>
      </c>
      <c r="Q2889" s="4"/>
      <c r="R2889" s="4"/>
      <c r="S2889" s="9" t="str">
        <f>HYPERLINK("https://pbs.twimg.com/profile_images/1044513084365246466/UuOvmz8g.jpg","View")</f>
        <v>View</v>
      </c>
    </row>
    <row r="2890" spans="1:19" ht="20">
      <c r="A2890" s="8">
        <v>43369.795543981483</v>
      </c>
      <c r="B2890" s="11" t="str">
        <f>HYPERLINK("https://twitter.com/Fm_torabi","@Fm_torabi")</f>
        <v>@Fm_torabi</v>
      </c>
      <c r="C2890" s="6" t="s">
        <v>352</v>
      </c>
      <c r="D2890" s="5" t="s">
        <v>351</v>
      </c>
      <c r="E2890" s="9" t="str">
        <f>HYPERLINK("https://twitter.com/Fm_torabi/status/1044973766667730944","1044973766667730944")</f>
        <v>1044973766667730944</v>
      </c>
      <c r="F2890" s="4"/>
      <c r="G2890" s="4"/>
      <c r="H2890" s="4"/>
      <c r="I2890" s="10" t="str">
        <f>HYPERLINK("http://twitter.com/download/android","Twitter for Android")</f>
        <v>Twitter for Android</v>
      </c>
      <c r="J2890" s="2">
        <v>1316</v>
      </c>
      <c r="K2890" s="2">
        <v>509</v>
      </c>
      <c r="L2890" s="2">
        <v>4</v>
      </c>
      <c r="M2890" s="2"/>
      <c r="N2890" s="8">
        <v>42970.053993055553</v>
      </c>
      <c r="O2890" s="4" t="s">
        <v>350</v>
      </c>
      <c r="P2890" s="3" t="s">
        <v>349</v>
      </c>
      <c r="Q2890" s="4"/>
      <c r="R2890" s="4"/>
      <c r="S2890" s="9" t="str">
        <f>HYPERLINK("https://pbs.twimg.com/profile_images/1038543624399675392/CjPk8w35.jpg","View")</f>
        <v>View</v>
      </c>
    </row>
    <row r="2891" spans="1:19" ht="40">
      <c r="A2891" s="8">
        <v>43369.795393518521</v>
      </c>
      <c r="B2891" s="11" t="str">
        <f>HYPERLINK("https://twitter.com/majidhamun","@majidhamun")</f>
        <v>@majidhamun</v>
      </c>
      <c r="C2891" s="6" t="s">
        <v>348</v>
      </c>
      <c r="D2891" s="5" t="s">
        <v>20</v>
      </c>
      <c r="E2891" s="9" t="str">
        <f>HYPERLINK("https://twitter.com/majidhamun/status/1044973714817908736","1044973714817908736")</f>
        <v>1044973714817908736</v>
      </c>
      <c r="F2891" s="4"/>
      <c r="G2891" s="10" t="s">
        <v>19</v>
      </c>
      <c r="H2891" s="4"/>
      <c r="I2891" s="10" t="str">
        <f>HYPERLINK("http://twitter.com/download/android","Twitter for Android")</f>
        <v>Twitter for Android</v>
      </c>
      <c r="J2891" s="2">
        <v>6026</v>
      </c>
      <c r="K2891" s="2">
        <v>4487</v>
      </c>
      <c r="L2891" s="2">
        <v>18</v>
      </c>
      <c r="M2891" s="2"/>
      <c r="N2891" s="8">
        <v>41589.707118055558</v>
      </c>
      <c r="O2891" s="4" t="s">
        <v>347</v>
      </c>
      <c r="P2891" s="3" t="s">
        <v>346</v>
      </c>
      <c r="Q2891" s="4"/>
      <c r="R2891" s="4"/>
      <c r="S2891" s="9" t="str">
        <f>HYPERLINK("https://pbs.twimg.com/profile_images/1036619034375147520/EXPDaJ7K.jpg","View")</f>
        <v>View</v>
      </c>
    </row>
    <row r="2892" spans="1:19" ht="30">
      <c r="A2892" s="8">
        <v>43369.795347222222</v>
      </c>
      <c r="B2892" s="11" t="str">
        <f>HYPERLINK("https://twitter.com/fereshtevpt","@fereshtevpt")</f>
        <v>@fereshtevpt</v>
      </c>
      <c r="C2892" s="6" t="s">
        <v>331</v>
      </c>
      <c r="D2892" s="5" t="s">
        <v>345</v>
      </c>
      <c r="E2892" s="9" t="str">
        <f>HYPERLINK("https://twitter.com/fereshtevpt/status/1044973695645732865","1044973695645732865")</f>
        <v>1044973695645732865</v>
      </c>
      <c r="F2892" s="4"/>
      <c r="G2892" s="4"/>
      <c r="H2892" s="4"/>
      <c r="I2892" s="10" t="str">
        <f>HYPERLINK("http://twitter.com/download/iphone","Twitter for iPhone")</f>
        <v>Twitter for iPhone</v>
      </c>
      <c r="J2892" s="2">
        <v>2472</v>
      </c>
      <c r="K2892" s="2">
        <v>2146</v>
      </c>
      <c r="L2892" s="2">
        <v>6</v>
      </c>
      <c r="M2892" s="2"/>
      <c r="N2892" s="8">
        <v>43106.721226851849</v>
      </c>
      <c r="O2892" s="4"/>
      <c r="P2892" s="3" t="s">
        <v>329</v>
      </c>
      <c r="Q2892" s="4"/>
      <c r="R2892" s="4"/>
      <c r="S2892" s="9" t="str">
        <f>HYPERLINK("https://pbs.twimg.com/profile_images/1037751959716016135/k__ynAL7.jpg","View")</f>
        <v>View</v>
      </c>
    </row>
    <row r="2893" spans="1:19" ht="30">
      <c r="A2893" s="8">
        <v>43369.795092592598</v>
      </c>
      <c r="B2893" s="11" t="str">
        <f>HYPERLINK("https://twitter.com/aghaei42","@aghaei42")</f>
        <v>@aghaei42</v>
      </c>
      <c r="C2893" s="6" t="s">
        <v>344</v>
      </c>
      <c r="D2893" s="5" t="s">
        <v>343</v>
      </c>
      <c r="E2893" s="9" t="str">
        <f>HYPERLINK("https://twitter.com/aghaei42/status/1044973604335640576","1044973604335640576")</f>
        <v>1044973604335640576</v>
      </c>
      <c r="F2893" s="4"/>
      <c r="G2893" s="4"/>
      <c r="H2893" s="4"/>
      <c r="I2893" s="10" t="str">
        <f>HYPERLINK("http://twitter.com/download/android","Twitter for Android")</f>
        <v>Twitter for Android</v>
      </c>
      <c r="J2893" s="2">
        <v>99</v>
      </c>
      <c r="K2893" s="2">
        <v>376</v>
      </c>
      <c r="L2893" s="2">
        <v>0</v>
      </c>
      <c r="M2893" s="2"/>
      <c r="N2893" s="8">
        <v>41963.864363425921</v>
      </c>
      <c r="O2893" s="4"/>
      <c r="P2893" s="3"/>
      <c r="Q2893" s="4"/>
      <c r="R2893" s="4"/>
      <c r="S2893" s="9" t="str">
        <f>HYPERLINK("https://pbs.twimg.com/profile_images/779396255017492481/aLCEzVxT.jpg","View")</f>
        <v>View</v>
      </c>
    </row>
    <row r="2894" spans="1:19" ht="30">
      <c r="A2894" s="8">
        <v>43369.793449074074</v>
      </c>
      <c r="B2894" s="11" t="str">
        <f>HYPERLINK("https://twitter.com/ladyblocker1","@ladyblocker1")</f>
        <v>@ladyblocker1</v>
      </c>
      <c r="C2894" s="6" t="s">
        <v>342</v>
      </c>
      <c r="D2894" s="5" t="s">
        <v>341</v>
      </c>
      <c r="E2894" s="9" t="str">
        <f>HYPERLINK("https://twitter.com/ladyblocker1/status/1044973009629564934","1044973009629564934")</f>
        <v>1044973009629564934</v>
      </c>
      <c r="F2894" s="4"/>
      <c r="G2894" s="4"/>
      <c r="H2894" s="4"/>
      <c r="I2894" s="10" t="str">
        <f>HYPERLINK("http://twitter.com/download/android","Twitter for Android")</f>
        <v>Twitter for Android</v>
      </c>
      <c r="J2894" s="2">
        <v>1085</v>
      </c>
      <c r="K2894" s="2">
        <v>654</v>
      </c>
      <c r="L2894" s="2">
        <v>5</v>
      </c>
      <c r="M2894" s="2"/>
      <c r="N2894" s="8">
        <v>41791.892696759256</v>
      </c>
      <c r="O2894" s="4" t="s">
        <v>340</v>
      </c>
      <c r="P2894" s="3" t="s">
        <v>339</v>
      </c>
      <c r="Q2894" s="10" t="s">
        <v>338</v>
      </c>
      <c r="R2894" s="4"/>
      <c r="S2894" s="9" t="str">
        <f>HYPERLINK("https://pbs.twimg.com/profile_images/1044967591222087680/0GW2vhal.jpg","View")</f>
        <v>View</v>
      </c>
    </row>
    <row r="2895" spans="1:19" ht="20">
      <c r="A2895" s="8">
        <v>43369.793298611112</v>
      </c>
      <c r="B2895" s="11" t="str">
        <f>HYPERLINK("https://twitter.com/Chandler_Bing98","@Chandler_Bing98")</f>
        <v>@Chandler_Bing98</v>
      </c>
      <c r="C2895" s="6" t="s">
        <v>337</v>
      </c>
      <c r="D2895" s="5" t="s">
        <v>336</v>
      </c>
      <c r="E2895" s="9" t="str">
        <f>HYPERLINK("https://twitter.com/Chandler_Bing98/status/1044972952645767168","1044972952645767168")</f>
        <v>1044972952645767168</v>
      </c>
      <c r="F2895" s="4"/>
      <c r="G2895" s="4"/>
      <c r="H2895" s="4"/>
      <c r="I2895" s="10" t="str">
        <f>HYPERLINK("http://twitter.com","Twitter Web Client")</f>
        <v>Twitter Web Client</v>
      </c>
      <c r="J2895" s="2">
        <v>853</v>
      </c>
      <c r="K2895" s="2">
        <v>798</v>
      </c>
      <c r="L2895" s="2">
        <v>1</v>
      </c>
      <c r="M2895" s="2"/>
      <c r="N2895" s="8">
        <v>42556.110925925925</v>
      </c>
      <c r="O2895" s="4" t="s">
        <v>200</v>
      </c>
      <c r="P2895" s="3" t="s">
        <v>335</v>
      </c>
      <c r="Q2895" s="4"/>
      <c r="R2895" s="4"/>
      <c r="S2895" s="9" t="str">
        <f>HYPERLINK("https://pbs.twimg.com/profile_images/750091822815334401/CqTIaVBM.jpg","View")</f>
        <v>View</v>
      </c>
    </row>
    <row r="2896" spans="1:19" ht="40">
      <c r="A2896" s="8">
        <v>43369.791365740741</v>
      </c>
      <c r="B2896" s="11" t="str">
        <f>HYPERLINK("https://twitter.com/SajjadImanian","@SajjadImanian")</f>
        <v>@SajjadImanian</v>
      </c>
      <c r="C2896" s="6" t="s">
        <v>334</v>
      </c>
      <c r="D2896" s="5" t="s">
        <v>333</v>
      </c>
      <c r="E2896" s="9" t="str">
        <f>HYPERLINK("https://twitter.com/SajjadImanian/status/1044972252616429569","1044972252616429569")</f>
        <v>1044972252616429569</v>
      </c>
      <c r="F2896" s="4"/>
      <c r="G2896" s="4"/>
      <c r="H2896" s="4"/>
      <c r="I2896" s="10" t="str">
        <f>HYPERLINK("http://twitter.com/download/iphone","Twitter for iPhone")</f>
        <v>Twitter for iPhone</v>
      </c>
      <c r="J2896" s="2">
        <v>200</v>
      </c>
      <c r="K2896" s="2">
        <v>84</v>
      </c>
      <c r="L2896" s="2">
        <v>0</v>
      </c>
      <c r="M2896" s="2"/>
      <c r="N2896" s="8">
        <v>41559.868750000001</v>
      </c>
      <c r="O2896" s="4" t="s">
        <v>62</v>
      </c>
      <c r="P2896" s="3" t="s">
        <v>332</v>
      </c>
      <c r="Q2896" s="4"/>
      <c r="R2896" s="4"/>
      <c r="S2896" s="9" t="str">
        <f>HYPERLINK("https://pbs.twimg.com/profile_images/762994888506048513/D0Zd_v8I.jpg","View")</f>
        <v>View</v>
      </c>
    </row>
    <row r="2897" spans="1:19" ht="20">
      <c r="A2897" s="8">
        <v>43369.79069444444</v>
      </c>
      <c r="B2897" s="11" t="str">
        <f>HYPERLINK("https://twitter.com/fereshtevpt","@fereshtevpt")</f>
        <v>@fereshtevpt</v>
      </c>
      <c r="C2897" s="6" t="s">
        <v>331</v>
      </c>
      <c r="D2897" s="5" t="s">
        <v>330</v>
      </c>
      <c r="E2897" s="9" t="str">
        <f>HYPERLINK("https://twitter.com/fereshtevpt/status/1044972010433126400","1044972010433126400")</f>
        <v>1044972010433126400</v>
      </c>
      <c r="F2897" s="4"/>
      <c r="G2897" s="4"/>
      <c r="H2897" s="4"/>
      <c r="I2897" s="10" t="str">
        <f>HYPERLINK("http://twitter.com/download/iphone","Twitter for iPhone")</f>
        <v>Twitter for iPhone</v>
      </c>
      <c r="J2897" s="2">
        <v>2472</v>
      </c>
      <c r="K2897" s="2">
        <v>2146</v>
      </c>
      <c r="L2897" s="2">
        <v>6</v>
      </c>
      <c r="M2897" s="2"/>
      <c r="N2897" s="8">
        <v>43106.721226851849</v>
      </c>
      <c r="O2897" s="4"/>
      <c r="P2897" s="3" t="s">
        <v>329</v>
      </c>
      <c r="Q2897" s="4"/>
      <c r="R2897" s="4"/>
      <c r="S2897" s="9" t="str">
        <f>HYPERLINK("https://pbs.twimg.com/profile_images/1037751959716016135/k__ynAL7.jpg","View")</f>
        <v>View</v>
      </c>
    </row>
    <row r="2898" spans="1:19" ht="40">
      <c r="A2898" s="8">
        <v>43369.790231481486</v>
      </c>
      <c r="B2898" s="11" t="str">
        <f>HYPERLINK("https://twitter.com/zeynabkarimian","@zeynabkarimian")</f>
        <v>@zeynabkarimian</v>
      </c>
      <c r="C2898" s="6" t="s">
        <v>328</v>
      </c>
      <c r="D2898" s="5" t="s">
        <v>20</v>
      </c>
      <c r="E2898" s="9" t="str">
        <f>HYPERLINK("https://twitter.com/zeynabkarimian/status/1044971841809395714","1044971841809395714")</f>
        <v>1044971841809395714</v>
      </c>
      <c r="F2898" s="4"/>
      <c r="G2898" s="10" t="s">
        <v>19</v>
      </c>
      <c r="H2898" s="4"/>
      <c r="I2898" s="10" t="str">
        <f>HYPERLINK("http://twitter.com/download/android","Twitter for Android")</f>
        <v>Twitter for Android</v>
      </c>
      <c r="J2898" s="2">
        <v>344</v>
      </c>
      <c r="K2898" s="2">
        <v>99</v>
      </c>
      <c r="L2898" s="2">
        <v>1</v>
      </c>
      <c r="M2898" s="2"/>
      <c r="N2898" s="8">
        <v>41193.877233796295</v>
      </c>
      <c r="O2898" s="4"/>
      <c r="P2898" s="3" t="s">
        <v>327</v>
      </c>
      <c r="Q2898" s="4"/>
      <c r="R2898" s="4"/>
      <c r="S2898" s="9" t="str">
        <f>HYPERLINK("https://pbs.twimg.com/profile_images/1042864350573281280/JQc4WRNd.jpg","View")</f>
        <v>View</v>
      </c>
    </row>
    <row r="2899" spans="1:19" ht="20">
      <c r="A2899" s="8">
        <v>43369.789884259255</v>
      </c>
      <c r="B2899" s="11" t="str">
        <f>HYPERLINK("https://twitter.com/Reza_Gh1990","@Reza_Gh1990")</f>
        <v>@Reza_Gh1990</v>
      </c>
      <c r="C2899" s="6" t="s">
        <v>326</v>
      </c>
      <c r="D2899" s="5" t="s">
        <v>325</v>
      </c>
      <c r="E2899" s="9" t="str">
        <f>HYPERLINK("https://twitter.com/Reza_Gh1990/status/1044971715460255744","1044971715460255744")</f>
        <v>1044971715460255744</v>
      </c>
      <c r="F2899" s="4"/>
      <c r="G2899" s="10" t="s">
        <v>324</v>
      </c>
      <c r="H2899" s="4"/>
      <c r="I2899" s="10" t="str">
        <f>HYPERLINK("http://twitter.com","Twitter Web Client")</f>
        <v>Twitter Web Client</v>
      </c>
      <c r="J2899" s="2">
        <v>2625</v>
      </c>
      <c r="K2899" s="2">
        <v>1139</v>
      </c>
      <c r="L2899" s="2">
        <v>10</v>
      </c>
      <c r="M2899" s="2"/>
      <c r="N2899" s="8">
        <v>42034.77043981482</v>
      </c>
      <c r="O2899" s="4" t="s">
        <v>323</v>
      </c>
      <c r="P2899" s="3" t="s">
        <v>322</v>
      </c>
      <c r="Q2899" s="4"/>
      <c r="R2899" s="4"/>
      <c r="S2899" s="9" t="str">
        <f>HYPERLINK("https://pbs.twimg.com/profile_images/1044632756221890562/Kn6N1eml.jpg","View")</f>
        <v>View</v>
      </c>
    </row>
    <row r="2900" spans="1:19" ht="20">
      <c r="A2900" s="8">
        <v>43369.789490740739</v>
      </c>
      <c r="B2900" s="11" t="str">
        <f>HYPERLINK("https://twitter.com/redgirl_samira","@redgirl_samira")</f>
        <v>@redgirl_samira</v>
      </c>
      <c r="C2900" s="6" t="s">
        <v>321</v>
      </c>
      <c r="D2900" s="5" t="s">
        <v>320</v>
      </c>
      <c r="E2900" s="9" t="str">
        <f>HYPERLINK("https://twitter.com/redgirl_samira/status/1044971573504028672","1044971573504028672")</f>
        <v>1044971573504028672</v>
      </c>
      <c r="F2900" s="4"/>
      <c r="G2900" s="10" t="s">
        <v>319</v>
      </c>
      <c r="H2900" s="4"/>
      <c r="I2900" s="10" t="str">
        <f>HYPERLINK("http://twitter.com/download/android","Twitter for Android")</f>
        <v>Twitter for Android</v>
      </c>
      <c r="J2900" s="2">
        <v>29</v>
      </c>
      <c r="K2900" s="2">
        <v>50</v>
      </c>
      <c r="L2900" s="2">
        <v>0</v>
      </c>
      <c r="M2900" s="2"/>
      <c r="N2900" s="8">
        <v>43080.140219907407</v>
      </c>
      <c r="O2900" s="4" t="s">
        <v>318</v>
      </c>
      <c r="P2900" s="3" t="s">
        <v>317</v>
      </c>
      <c r="Q2900" s="4"/>
      <c r="R2900" s="4"/>
      <c r="S2900" s="9" t="str">
        <f>HYPERLINK("https://pbs.twimg.com/profile_images/1041269033524449280/N2p9S43i.jpg","View")</f>
        <v>View</v>
      </c>
    </row>
    <row r="2901" spans="1:19" ht="30">
      <c r="A2901" s="8">
        <v>43369.788506944446</v>
      </c>
      <c r="B2901" s="11" t="str">
        <f>HYPERLINK("https://twitter.com/paradox2071","@paradox2071")</f>
        <v>@paradox2071</v>
      </c>
      <c r="C2901" s="6" t="s">
        <v>316</v>
      </c>
      <c r="D2901" s="5" t="s">
        <v>37</v>
      </c>
      <c r="E2901" s="9" t="str">
        <f>HYPERLINK("https://twitter.com/paradox2071/status/1044971218145824768","1044971218145824768")</f>
        <v>1044971218145824768</v>
      </c>
      <c r="F2901" s="4"/>
      <c r="G2901" s="4"/>
      <c r="H2901" s="4"/>
      <c r="I2901" s="10" t="str">
        <f>HYPERLINK("http://twitter.com/download/android","Twitter for Android")</f>
        <v>Twitter for Android</v>
      </c>
      <c r="J2901" s="2">
        <v>1137</v>
      </c>
      <c r="K2901" s="2">
        <v>1122</v>
      </c>
      <c r="L2901" s="2">
        <v>1</v>
      </c>
      <c r="M2901" s="2"/>
      <c r="N2901" s="8">
        <v>43103.333877314813</v>
      </c>
      <c r="O2901" s="4" t="s">
        <v>315</v>
      </c>
      <c r="P2901" s="3"/>
      <c r="Q2901" s="4"/>
      <c r="R2901" s="4"/>
      <c r="S2901" s="9" t="str">
        <f>HYPERLINK("https://pbs.twimg.com/profile_images/1011158472279220225/aKPM8F0D.jpg","View")</f>
        <v>View</v>
      </c>
    </row>
    <row r="2902" spans="1:19" ht="20">
      <c r="A2902" s="8">
        <v>43369.788483796292</v>
      </c>
      <c r="B2902" s="11" t="str">
        <f>HYPERLINK("https://twitter.com/PerspolisFCIran","@PerspolisFCIran")</f>
        <v>@PerspolisFCIran</v>
      </c>
      <c r="C2902" s="6" t="s">
        <v>314</v>
      </c>
      <c r="D2902" s="5" t="s">
        <v>313</v>
      </c>
      <c r="E2902" s="9" t="str">
        <f>HYPERLINK("https://twitter.com/PerspolisFCIran/status/1044971209383849985","1044971209383849985")</f>
        <v>1044971209383849985</v>
      </c>
      <c r="F2902" s="4"/>
      <c r="G2902" s="10" t="s">
        <v>312</v>
      </c>
      <c r="H2902" s="4"/>
      <c r="I2902" s="10" t="str">
        <f>HYPERLINK("http://twitter.com/download/iphone","Twitter for iPhone")</f>
        <v>Twitter for iPhone</v>
      </c>
      <c r="J2902" s="2">
        <v>55244</v>
      </c>
      <c r="K2902" s="2">
        <v>17</v>
      </c>
      <c r="L2902" s="2">
        <v>86</v>
      </c>
      <c r="M2902" s="2"/>
      <c r="N2902" s="8">
        <v>41046.775138888886</v>
      </c>
      <c r="O2902" s="4" t="s">
        <v>311</v>
      </c>
      <c r="P2902" s="3" t="s">
        <v>310</v>
      </c>
      <c r="Q2902" s="10" t="s">
        <v>309</v>
      </c>
      <c r="R2902" s="4"/>
      <c r="S2902" s="9" t="str">
        <f>HYPERLINK("https://pbs.twimg.com/profile_images/857246758069567488/yDozVZti.jpg","View")</f>
        <v>View</v>
      </c>
    </row>
    <row r="2903" spans="1:19" ht="20">
      <c r="A2903" s="8">
        <v>43369.787824074076</v>
      </c>
      <c r="B2903" s="11" t="str">
        <f>HYPERLINK("https://twitter.com/fakesh_","@fakesh_")</f>
        <v>@fakesh_</v>
      </c>
      <c r="C2903" s="6" t="s">
        <v>308</v>
      </c>
      <c r="D2903" s="5" t="s">
        <v>276</v>
      </c>
      <c r="E2903" s="9" t="str">
        <f>HYPERLINK("https://twitter.com/fakesh_/status/1044970970304458753","1044970970304458753")</f>
        <v>1044970970304458753</v>
      </c>
      <c r="F2903" s="4"/>
      <c r="G2903" s="4"/>
      <c r="H2903" s="4"/>
      <c r="I2903" s="10" t="str">
        <f>HYPERLINK("http://twitter.com/download/android","Twitter for Android")</f>
        <v>Twitter for Android</v>
      </c>
      <c r="J2903" s="2">
        <v>1439</v>
      </c>
      <c r="K2903" s="2">
        <v>1118</v>
      </c>
      <c r="L2903" s="2">
        <v>4</v>
      </c>
      <c r="M2903" s="2"/>
      <c r="N2903" s="8">
        <v>43097.015381944446</v>
      </c>
      <c r="O2903" s="4" t="s">
        <v>307</v>
      </c>
      <c r="P2903" s="3" t="s">
        <v>306</v>
      </c>
      <c r="Q2903" s="4"/>
      <c r="R2903" s="4"/>
      <c r="S2903" s="9" t="str">
        <f>HYPERLINK("https://pbs.twimg.com/profile_images/1043759813732302848/swxpMuyR.jpg","View")</f>
        <v>View</v>
      </c>
    </row>
    <row r="2904" spans="1:19" ht="40">
      <c r="A2904" s="8">
        <v>43369.787743055553</v>
      </c>
      <c r="B2904" s="11" t="str">
        <f>HYPERLINK("https://twitter.com/ashanemaara","@ashanemaara")</f>
        <v>@ashanemaara</v>
      </c>
      <c r="C2904" s="6" t="s">
        <v>305</v>
      </c>
      <c r="D2904" s="5" t="s">
        <v>231</v>
      </c>
      <c r="E2904" s="9" t="str">
        <f>HYPERLINK("https://twitter.com/ashanemaara/status/1044970939908329472","1044970939908329472")</f>
        <v>1044970939908329472</v>
      </c>
      <c r="F2904" s="4"/>
      <c r="G2904" s="4"/>
      <c r="H2904" s="4"/>
      <c r="I2904" s="10" t="str">
        <f>HYPERLINK("http://twitter.com/download/android","Twitter for Android")</f>
        <v>Twitter for Android</v>
      </c>
      <c r="J2904" s="2">
        <v>818</v>
      </c>
      <c r="K2904" s="2">
        <v>916</v>
      </c>
      <c r="L2904" s="2">
        <v>0</v>
      </c>
      <c r="M2904" s="2"/>
      <c r="N2904" s="8">
        <v>43103.061643518522</v>
      </c>
      <c r="O2904" s="4" t="s">
        <v>304</v>
      </c>
      <c r="P2904" s="3" t="s">
        <v>303</v>
      </c>
      <c r="Q2904" s="4"/>
      <c r="R2904" s="4"/>
      <c r="S2904" s="9" t="str">
        <f>HYPERLINK("https://pbs.twimg.com/profile_images/991575283810684929/a37_w56u.jpg","View")</f>
        <v>View</v>
      </c>
    </row>
    <row r="2905" spans="1:19" ht="20">
      <c r="A2905" s="8">
        <v>43369.787210648152</v>
      </c>
      <c r="B2905" s="11" t="str">
        <f>HYPERLINK("https://twitter.com/moeinmoltafet","@moeinmoltafet")</f>
        <v>@moeinmoltafet</v>
      </c>
      <c r="C2905" s="6" t="s">
        <v>302</v>
      </c>
      <c r="D2905" s="5" t="s">
        <v>301</v>
      </c>
      <c r="E2905" s="9" t="str">
        <f>HYPERLINK("https://twitter.com/moeinmoltafet/status/1044970747662348290","1044970747662348290")</f>
        <v>1044970747662348290</v>
      </c>
      <c r="F2905" s="4"/>
      <c r="G2905" s="10" t="s">
        <v>300</v>
      </c>
      <c r="H2905" s="4"/>
      <c r="I2905" s="10" t="str">
        <f>HYPERLINK("http://twitter.com/download/android","Twitter for Android")</f>
        <v>Twitter for Android</v>
      </c>
      <c r="J2905" s="2">
        <v>620</v>
      </c>
      <c r="K2905" s="2">
        <v>295</v>
      </c>
      <c r="L2905" s="2">
        <v>6</v>
      </c>
      <c r="M2905" s="2"/>
      <c r="N2905" s="8">
        <v>41942.503171296295</v>
      </c>
      <c r="O2905" s="4" t="s">
        <v>299</v>
      </c>
      <c r="P2905" s="3" t="s">
        <v>298</v>
      </c>
      <c r="Q2905" s="4"/>
      <c r="R2905" s="4"/>
      <c r="S2905" s="9" t="str">
        <f>HYPERLINK("https://pbs.twimg.com/profile_images/1018434499405860866/Kw-YYkGf.jpg","View")</f>
        <v>View</v>
      </c>
    </row>
    <row r="2906" spans="1:19" ht="40">
      <c r="A2906" s="8">
        <v>43369.787175925929</v>
      </c>
      <c r="B2906" s="11" t="str">
        <f>HYPERLINK("https://twitter.com/javad_2017","@javad_2017")</f>
        <v>@javad_2017</v>
      </c>
      <c r="C2906" s="6" t="s">
        <v>297</v>
      </c>
      <c r="D2906" s="5" t="s">
        <v>296</v>
      </c>
      <c r="E2906" s="9" t="str">
        <f>HYPERLINK("https://twitter.com/javad_2017/status/1044970735385673728","1044970735385673728")</f>
        <v>1044970735385673728</v>
      </c>
      <c r="F2906" s="4"/>
      <c r="G2906" s="10" t="s">
        <v>295</v>
      </c>
      <c r="H2906" s="4"/>
      <c r="I2906" s="10" t="str">
        <f>HYPERLINK("http://twitter.com/download/android","Twitter for Android")</f>
        <v>Twitter for Android</v>
      </c>
      <c r="J2906" s="2">
        <v>100</v>
      </c>
      <c r="K2906" s="2">
        <v>197</v>
      </c>
      <c r="L2906" s="2">
        <v>0</v>
      </c>
      <c r="M2906" s="2"/>
      <c r="N2906" s="8">
        <v>42891.455104166671</v>
      </c>
      <c r="O2906" s="4" t="s">
        <v>294</v>
      </c>
      <c r="P2906" s="3"/>
      <c r="Q2906" s="4"/>
      <c r="R2906" s="4"/>
      <c r="S2906" s="9" t="str">
        <f>HYPERLINK("https://pbs.twimg.com/profile_images/980338448056897537/hljAqVEJ.jpg","View")</f>
        <v>View</v>
      </c>
    </row>
    <row r="2907" spans="1:19" ht="30">
      <c r="A2907" s="8">
        <v>43369.786643518513</v>
      </c>
      <c r="B2907" s="11" t="str">
        <f>HYPERLINK("https://twitter.com/sepehrlm","@sepehrlm")</f>
        <v>@sepehrlm</v>
      </c>
      <c r="C2907" s="6" t="s">
        <v>107</v>
      </c>
      <c r="D2907" s="5" t="s">
        <v>293</v>
      </c>
      <c r="E2907" s="9" t="str">
        <f>HYPERLINK("https://twitter.com/sepehrlm/status/1044970541499777024","1044970541499777024")</f>
        <v>1044970541499777024</v>
      </c>
      <c r="F2907" s="10" t="s">
        <v>292</v>
      </c>
      <c r="G2907" s="4"/>
      <c r="H2907" s="4"/>
      <c r="I2907" s="10" t="str">
        <f>HYPERLINK("http://twitter.com/download/iphone","Twitter for iPhone")</f>
        <v>Twitter for iPhone</v>
      </c>
      <c r="J2907" s="2">
        <v>181</v>
      </c>
      <c r="K2907" s="2">
        <v>365</v>
      </c>
      <c r="L2907" s="2">
        <v>1</v>
      </c>
      <c r="M2907" s="2"/>
      <c r="N2907" s="8">
        <v>42616.911122685182</v>
      </c>
      <c r="O2907" s="4" t="s">
        <v>104</v>
      </c>
      <c r="P2907" s="3" t="s">
        <v>103</v>
      </c>
      <c r="Q2907" s="10" t="s">
        <v>102</v>
      </c>
      <c r="R2907" s="4"/>
      <c r="S2907" s="9" t="str">
        <f>HYPERLINK("https://pbs.twimg.com/profile_images/1037594766765170689/Khn8u_pC.jpg","View")</f>
        <v>View</v>
      </c>
    </row>
    <row r="2908" spans="1:19" ht="30">
      <c r="A2908" s="8">
        <v>43369.785127314812</v>
      </c>
      <c r="B2908" s="11" t="str">
        <f>HYPERLINK("https://twitter.com/MahmoudAfshar7","@MahmoudAfshar7")</f>
        <v>@MahmoudAfshar7</v>
      </c>
      <c r="C2908" s="6" t="s">
        <v>291</v>
      </c>
      <c r="D2908" s="5" t="s">
        <v>290</v>
      </c>
      <c r="E2908" s="9" t="str">
        <f>HYPERLINK("https://twitter.com/MahmoudAfshar7/status/1044969993279066113","1044969993279066113")</f>
        <v>1044969993279066113</v>
      </c>
      <c r="F2908" s="4"/>
      <c r="G2908" s="4"/>
      <c r="H2908" s="4"/>
      <c r="I2908" s="10" t="str">
        <f>HYPERLINK("http://twitter.com/download/android","Twitter for Android")</f>
        <v>Twitter for Android</v>
      </c>
      <c r="J2908" s="2">
        <v>1</v>
      </c>
      <c r="K2908" s="2">
        <v>7</v>
      </c>
      <c r="L2908" s="2">
        <v>0</v>
      </c>
      <c r="M2908" s="2"/>
      <c r="N2908" s="8">
        <v>43369.733159722222</v>
      </c>
      <c r="O2908" s="4" t="s">
        <v>289</v>
      </c>
      <c r="P2908" s="3" t="s">
        <v>288</v>
      </c>
      <c r="Q2908" s="4"/>
      <c r="R2908" s="4"/>
      <c r="S2908" s="9" t="str">
        <f>HYPERLINK("https://pbs.twimg.com/profile_images/1044952896511578114/VRgssxgL.jpg","View")</f>
        <v>View</v>
      </c>
    </row>
    <row r="2909" spans="1:19" ht="20">
      <c r="A2909" s="8">
        <v>43369.784537037034</v>
      </c>
      <c r="B2909" s="11" t="str">
        <f>HYPERLINK("https://twitter.com/MizanPhoto","@MizanPhoto")</f>
        <v>@MizanPhoto</v>
      </c>
      <c r="C2909" s="6" t="s">
        <v>287</v>
      </c>
      <c r="D2909" s="5" t="s">
        <v>286</v>
      </c>
      <c r="E2909" s="9" t="str">
        <f>HYPERLINK("https://twitter.com/MizanPhoto/status/1044969779054989313","1044969779054989313")</f>
        <v>1044969779054989313</v>
      </c>
      <c r="F2909" s="10" t="s">
        <v>285</v>
      </c>
      <c r="G2909" s="10" t="s">
        <v>284</v>
      </c>
      <c r="H2909" s="4"/>
      <c r="I2909" s="10" t="str">
        <f>HYPERLINK("http://twitter.com/download/iphone","Twitter for iPhone")</f>
        <v>Twitter for iPhone</v>
      </c>
      <c r="J2909" s="2">
        <v>526</v>
      </c>
      <c r="K2909" s="2">
        <v>29</v>
      </c>
      <c r="L2909" s="2">
        <v>4</v>
      </c>
      <c r="M2909" s="2"/>
      <c r="N2909" s="8">
        <v>43235.8044212963</v>
      </c>
      <c r="O2909" s="4" t="s">
        <v>200</v>
      </c>
      <c r="P2909" s="3" t="s">
        <v>283</v>
      </c>
      <c r="Q2909" s="10" t="s">
        <v>282</v>
      </c>
      <c r="R2909" s="4"/>
      <c r="S2909" s="9" t="str">
        <f>HYPERLINK("https://pbs.twimg.com/profile_images/996413934839230467/xy1Ku2x3.jpg","View")</f>
        <v>View</v>
      </c>
    </row>
    <row r="2910" spans="1:19" ht="12.5">
      <c r="A2910" s="8">
        <v>43369.783993055556</v>
      </c>
      <c r="B2910" s="11" t="str">
        <f>HYPERLINK("https://twitter.com/LAmour27135734","@LAmour27135734")</f>
        <v>@LAmour27135734</v>
      </c>
      <c r="C2910" s="6" t="s">
        <v>281</v>
      </c>
      <c r="D2910" s="5" t="s">
        <v>280</v>
      </c>
      <c r="E2910" s="9" t="str">
        <f>HYPERLINK("https://twitter.com/LAmour27135734/status/1044969582195171329","1044969582195171329")</f>
        <v>1044969582195171329</v>
      </c>
      <c r="F2910" s="4"/>
      <c r="G2910" s="4"/>
      <c r="H2910" s="4"/>
      <c r="I2910" s="10" t="str">
        <f>HYPERLINK("http://twitter.com/download/android","Twitter for Android")</f>
        <v>Twitter for Android</v>
      </c>
      <c r="J2910" s="2">
        <v>50</v>
      </c>
      <c r="K2910" s="2">
        <v>117</v>
      </c>
      <c r="L2910" s="2">
        <v>0</v>
      </c>
      <c r="M2910" s="2"/>
      <c r="N2910" s="8">
        <v>43267.804629629631</v>
      </c>
      <c r="O2910" s="4" t="s">
        <v>279</v>
      </c>
      <c r="P2910" s="3" t="s">
        <v>278</v>
      </c>
      <c r="Q2910" s="4"/>
      <c r="R2910" s="4"/>
      <c r="S2910" s="9" t="str">
        <f>HYPERLINK("https://pbs.twimg.com/profile_images/1008013036601380865/MhN85zIc.jpg","View")</f>
        <v>View</v>
      </c>
    </row>
    <row r="2911" spans="1:19" ht="20">
      <c r="A2911" s="8">
        <v>43369.783483796295</v>
      </c>
      <c r="B2911" s="11" t="str">
        <f>HYPERLINK("https://twitter.com/danial_jonsnow","@danial_jonsnow")</f>
        <v>@danial_jonsnow</v>
      </c>
      <c r="C2911" s="6" t="s">
        <v>277</v>
      </c>
      <c r="D2911" s="5" t="s">
        <v>276</v>
      </c>
      <c r="E2911" s="9" t="str">
        <f>HYPERLINK("https://twitter.com/danial_jonsnow/status/1044969397683671040","1044969397683671040")</f>
        <v>1044969397683671040</v>
      </c>
      <c r="F2911" s="4"/>
      <c r="G2911" s="4"/>
      <c r="H2911" s="4"/>
      <c r="I2911" s="10" t="str">
        <f>HYPERLINK("http://twitter.com/download/android","Twitter for Android")</f>
        <v>Twitter for Android</v>
      </c>
      <c r="J2911" s="2">
        <v>740</v>
      </c>
      <c r="K2911" s="2">
        <v>796</v>
      </c>
      <c r="L2911" s="2">
        <v>0</v>
      </c>
      <c r="M2911" s="2"/>
      <c r="N2911" s="8">
        <v>42776.017025462963</v>
      </c>
      <c r="O2911" s="4" t="s">
        <v>36</v>
      </c>
      <c r="P2911" s="3" t="s">
        <v>275</v>
      </c>
      <c r="Q2911" s="10" t="s">
        <v>274</v>
      </c>
      <c r="R2911" s="4"/>
      <c r="S2911" s="9" t="str">
        <f>HYPERLINK("https://pbs.twimg.com/profile_images/1044218860218580994/vxKpXDnb.jpg","View")</f>
        <v>View</v>
      </c>
    </row>
    <row r="2912" spans="1:19" ht="40">
      <c r="A2912" s="8">
        <v>43369.783414351856</v>
      </c>
      <c r="B2912" s="11" t="str">
        <f>HYPERLINK("https://twitter.com/barandazei","@barandazei")</f>
        <v>@barandazei</v>
      </c>
      <c r="C2912" s="6" t="s">
        <v>273</v>
      </c>
      <c r="D2912" s="5" t="s">
        <v>231</v>
      </c>
      <c r="E2912" s="9" t="str">
        <f>HYPERLINK("https://twitter.com/barandazei/status/1044969372564049920","1044969372564049920")</f>
        <v>1044969372564049920</v>
      </c>
      <c r="F2912" s="4"/>
      <c r="G2912" s="4"/>
      <c r="H2912" s="4"/>
      <c r="I2912" s="10" t="str">
        <f>HYPERLINK("http://twitter.com/download/android","Twitter for Android")</f>
        <v>Twitter for Android</v>
      </c>
      <c r="J2912" s="2">
        <v>165</v>
      </c>
      <c r="K2912" s="2">
        <v>130</v>
      </c>
      <c r="L2912" s="2">
        <v>0</v>
      </c>
      <c r="M2912" s="2"/>
      <c r="N2912" s="8">
        <v>41416.956087962964</v>
      </c>
      <c r="O2912" s="4" t="s">
        <v>272</v>
      </c>
      <c r="P2912" s="3" t="s">
        <v>271</v>
      </c>
      <c r="Q2912" s="4"/>
      <c r="R2912" s="4"/>
      <c r="S2912" s="9" t="str">
        <f>HYPERLINK("https://pbs.twimg.com/profile_images/1044908773280747521/1QT8PRpH.jpg","View")</f>
        <v>View</v>
      </c>
    </row>
    <row r="2913" spans="1:19" ht="30">
      <c r="A2913" s="8">
        <v>43369.783287037033</v>
      </c>
      <c r="B2913" s="11" t="str">
        <f>HYPERLINK("https://twitter.com/capitanecond","@capitanecond")</f>
        <v>@capitanecond</v>
      </c>
      <c r="C2913" s="6" t="s">
        <v>270</v>
      </c>
      <c r="D2913" s="5" t="s">
        <v>159</v>
      </c>
      <c r="E2913" s="9" t="str">
        <f>HYPERLINK("https://twitter.com/capitanecond/status/1044969323717173248","1044969323717173248")</f>
        <v>1044969323717173248</v>
      </c>
      <c r="F2913" s="4"/>
      <c r="G2913" s="4"/>
      <c r="H2913" s="4"/>
      <c r="I2913" s="10" t="str">
        <f>HYPERLINK("http://twitter.com/download/android","Twitter for Android")</f>
        <v>Twitter for Android</v>
      </c>
      <c r="J2913" s="2">
        <v>184</v>
      </c>
      <c r="K2913" s="2">
        <v>163</v>
      </c>
      <c r="L2913" s="2">
        <v>0</v>
      </c>
      <c r="M2913" s="2"/>
      <c r="N2913" s="8">
        <v>42734.48269675926</v>
      </c>
      <c r="O2913" s="4" t="s">
        <v>72</v>
      </c>
      <c r="P2913" s="3" t="s">
        <v>269</v>
      </c>
      <c r="Q2913" s="4"/>
      <c r="R2913" s="4"/>
      <c r="S2913" s="9" t="str">
        <f>HYPERLINK("https://pbs.twimg.com/profile_images/947953605742436352/qWuiiFgS.jpg","View")</f>
        <v>View</v>
      </c>
    </row>
    <row r="2914" spans="1:19" ht="30">
      <c r="A2914" s="8">
        <v>43369.783229166671</v>
      </c>
      <c r="B2914" s="11" t="str">
        <f>HYPERLINK("https://twitter.com/MehdiTAJi3","@MehdiTAJi3")</f>
        <v>@MehdiTAJi3</v>
      </c>
      <c r="C2914" s="6" t="s">
        <v>268</v>
      </c>
      <c r="D2914" s="5" t="s">
        <v>267</v>
      </c>
      <c r="E2914" s="9" t="str">
        <f>HYPERLINK("https://twitter.com/MehdiTAJi3/status/1044969304209444867","1044969304209444867")</f>
        <v>1044969304209444867</v>
      </c>
      <c r="F2914" s="4"/>
      <c r="G2914" s="10" t="s">
        <v>266</v>
      </c>
      <c r="H2914" s="4"/>
      <c r="I2914" s="10" t="str">
        <f>HYPERLINK("http://twitter.com/download/android","Twitter for Android")</f>
        <v>Twitter for Android</v>
      </c>
      <c r="J2914" s="2">
        <v>45</v>
      </c>
      <c r="K2914" s="2">
        <v>250</v>
      </c>
      <c r="L2914" s="2">
        <v>0</v>
      </c>
      <c r="M2914" s="2"/>
      <c r="N2914" s="8">
        <v>43363.874201388884</v>
      </c>
      <c r="O2914" s="4" t="s">
        <v>72</v>
      </c>
      <c r="P2914" s="3" t="s">
        <v>265</v>
      </c>
      <c r="Q2914" s="4"/>
      <c r="R2914" s="4"/>
      <c r="S2914" s="9" t="str">
        <f>HYPERLINK("https://pbs.twimg.com/profile_images/1042815379570081792/esgaQdka.jpg","View")</f>
        <v>View</v>
      </c>
    </row>
    <row r="2915" spans="1:19" ht="40">
      <c r="A2915" s="8">
        <v>43369.782743055555</v>
      </c>
      <c r="B2915" s="11" t="str">
        <f>HYPERLINK("https://twitter.com/ploto2546","@ploto2546")</f>
        <v>@ploto2546</v>
      </c>
      <c r="C2915" s="6" t="s">
        <v>264</v>
      </c>
      <c r="D2915" s="5" t="s">
        <v>263</v>
      </c>
      <c r="E2915" s="9" t="str">
        <f>HYPERLINK("https://twitter.com/ploto2546/status/1044969128342237186","1044969128342237186")</f>
        <v>1044969128342237186</v>
      </c>
      <c r="F2915" s="4"/>
      <c r="G2915" s="4"/>
      <c r="H2915" s="4"/>
      <c r="I2915" s="10" t="str">
        <f>HYPERLINK("http://twitter.com/download/android","Twitter for Android")</f>
        <v>Twitter for Android</v>
      </c>
      <c r="J2915" s="2">
        <v>1660</v>
      </c>
      <c r="K2915" s="2">
        <v>1861</v>
      </c>
      <c r="L2915" s="2">
        <v>5</v>
      </c>
      <c r="M2915" s="2"/>
      <c r="N2915" s="8">
        <v>43207.184918981482</v>
      </c>
      <c r="O2915" s="4" t="s">
        <v>262</v>
      </c>
      <c r="P2915" s="3" t="s">
        <v>261</v>
      </c>
      <c r="Q2915" s="4"/>
      <c r="R2915" s="4"/>
      <c r="S2915" s="9" t="str">
        <f>HYPERLINK("https://pbs.twimg.com/profile_images/1025171503271301127/S_pGLx0M.jpg","View")</f>
        <v>View</v>
      </c>
    </row>
    <row r="2916" spans="1:19" ht="40">
      <c r="A2916" s="8">
        <v>43369.782268518524</v>
      </c>
      <c r="B2916" s="11" t="str">
        <f>HYPERLINK("https://twitter.com/SO_HA_FREE","@SO_HA_FREE")</f>
        <v>@SO_HA_FREE</v>
      </c>
      <c r="C2916" s="6" t="s">
        <v>260</v>
      </c>
      <c r="D2916" s="5" t="s">
        <v>231</v>
      </c>
      <c r="E2916" s="9" t="str">
        <f>HYPERLINK("https://twitter.com/SO_HA_FREE/status/1044968958263201792","1044968958263201792")</f>
        <v>1044968958263201792</v>
      </c>
      <c r="F2916" s="4"/>
      <c r="G2916" s="4"/>
      <c r="H2916" s="4"/>
      <c r="I2916" s="10" t="str">
        <f>HYPERLINK("http://twitter.com","Twitter Web Client")</f>
        <v>Twitter Web Client</v>
      </c>
      <c r="J2916" s="2">
        <v>500</v>
      </c>
      <c r="K2916" s="2">
        <v>766</v>
      </c>
      <c r="L2916" s="2">
        <v>0</v>
      </c>
      <c r="M2916" s="2"/>
      <c r="N2916" s="8">
        <v>43219.67086805556</v>
      </c>
      <c r="O2916" s="4"/>
      <c r="P2916" s="3"/>
      <c r="Q2916" s="4"/>
      <c r="R2916" s="4"/>
      <c r="S2916" s="2" t="s">
        <v>259</v>
      </c>
    </row>
    <row r="2917" spans="1:19" ht="40">
      <c r="A2917" s="8">
        <v>43369.78193287037</v>
      </c>
      <c r="B2917" s="11" t="str">
        <f>HYPERLINK("https://twitter.com/tekila_te","@tekila_te")</f>
        <v>@tekila_te</v>
      </c>
      <c r="C2917" s="6" t="s">
        <v>258</v>
      </c>
      <c r="D2917" s="5" t="s">
        <v>231</v>
      </c>
      <c r="E2917" s="9" t="str">
        <f>HYPERLINK("https://twitter.com/tekila_te/status/1044968835420483584","1044968835420483584")</f>
        <v>1044968835420483584</v>
      </c>
      <c r="F2917" s="4"/>
      <c r="G2917" s="4"/>
      <c r="H2917" s="4"/>
      <c r="I2917" s="10" t="str">
        <f>HYPERLINK("http://twitter.com/download/android","Twitter for Android")</f>
        <v>Twitter for Android</v>
      </c>
      <c r="J2917" s="2">
        <v>770</v>
      </c>
      <c r="K2917" s="2">
        <v>763</v>
      </c>
      <c r="L2917" s="2">
        <v>0</v>
      </c>
      <c r="M2917" s="2"/>
      <c r="N2917" s="8">
        <v>42100.877685185187</v>
      </c>
      <c r="O2917" s="4" t="s">
        <v>257</v>
      </c>
      <c r="P2917" s="3" t="s">
        <v>256</v>
      </c>
      <c r="Q2917" s="4"/>
      <c r="R2917" s="4"/>
      <c r="S2917" s="9" t="str">
        <f>HYPERLINK("https://pbs.twimg.com/profile_images/1039043569959489537/zpXJMuVK.jpg","View")</f>
        <v>View</v>
      </c>
    </row>
    <row r="2918" spans="1:19" ht="40">
      <c r="A2918" s="8">
        <v>43369.781504629631</v>
      </c>
      <c r="B2918" s="11" t="str">
        <f>HYPERLINK("https://twitter.com/Deadman6ss","@Deadman6ss")</f>
        <v>@Deadman6ss</v>
      </c>
      <c r="C2918" s="6" t="s">
        <v>255</v>
      </c>
      <c r="D2918" s="5" t="s">
        <v>231</v>
      </c>
      <c r="E2918" s="9" t="str">
        <f>HYPERLINK("https://twitter.com/Deadman6ss/status/1044968681527226368","1044968681527226368")</f>
        <v>1044968681527226368</v>
      </c>
      <c r="F2918" s="4"/>
      <c r="G2918" s="4"/>
      <c r="H2918" s="4"/>
      <c r="I2918" s="10" t="str">
        <f>HYPERLINK("http://twitter.com/download/iphone","Twitter for iPhone")</f>
        <v>Twitter for iPhone</v>
      </c>
      <c r="J2918" s="2">
        <v>397</v>
      </c>
      <c r="K2918" s="2">
        <v>411</v>
      </c>
      <c r="L2918" s="2">
        <v>0</v>
      </c>
      <c r="M2918" s="2"/>
      <c r="N2918" s="8">
        <v>42437.659317129626</v>
      </c>
      <c r="O2918" s="4" t="s">
        <v>254</v>
      </c>
      <c r="P2918" s="3" t="s">
        <v>253</v>
      </c>
      <c r="Q2918" s="4"/>
      <c r="R2918" s="4"/>
      <c r="S2918" s="9" t="str">
        <f>HYPERLINK("https://pbs.twimg.com/profile_images/999019104055902208/rnUChHJ3.jpg","View")</f>
        <v>View</v>
      </c>
    </row>
    <row r="2919" spans="1:19" ht="12.5">
      <c r="A2919" s="8">
        <v>43369.781192129631</v>
      </c>
      <c r="B2919" s="11" t="str">
        <f>HYPERLINK("https://twitter.com/zadmehr","@zadmehr")</f>
        <v>@zadmehr</v>
      </c>
      <c r="C2919" s="6" t="s">
        <v>252</v>
      </c>
      <c r="D2919" s="5" t="s">
        <v>251</v>
      </c>
      <c r="E2919" s="9" t="str">
        <f>HYPERLINK("https://twitter.com/zadmehr/status/1044968567706439680","1044968567706439680")</f>
        <v>1044968567706439680</v>
      </c>
      <c r="F2919" s="4"/>
      <c r="G2919" s="4"/>
      <c r="H2919" s="4"/>
      <c r="I2919" s="10" t="str">
        <f>HYPERLINK("http://twitter.com/download/iphone","Twitter for iPhone")</f>
        <v>Twitter for iPhone</v>
      </c>
      <c r="J2919" s="2">
        <v>123</v>
      </c>
      <c r="K2919" s="2">
        <v>914</v>
      </c>
      <c r="L2919" s="2">
        <v>1</v>
      </c>
      <c r="M2919" s="2"/>
      <c r="N2919" s="8">
        <v>43355.780497685184</v>
      </c>
      <c r="O2919" s="4" t="s">
        <v>62</v>
      </c>
      <c r="P2919" s="3" t="s">
        <v>250</v>
      </c>
      <c r="Q2919" s="10" t="s">
        <v>249</v>
      </c>
      <c r="R2919" s="4"/>
      <c r="S2919" s="9" t="str">
        <f>HYPERLINK("https://pbs.twimg.com/profile_images/1042079932900405248/1qktGiQy.jpg","View")</f>
        <v>View</v>
      </c>
    </row>
    <row r="2920" spans="1:19" ht="20">
      <c r="A2920" s="8">
        <v>43369.781157407408</v>
      </c>
      <c r="B2920" s="11" t="str">
        <f>HYPERLINK("https://twitter.com/ZahraKazemi1365","@ZahraKazemi1365")</f>
        <v>@ZahraKazemi1365</v>
      </c>
      <c r="C2920" s="6" t="s">
        <v>248</v>
      </c>
      <c r="D2920" s="5" t="s">
        <v>247</v>
      </c>
      <c r="E2920" s="9" t="str">
        <f>HYPERLINK("https://twitter.com/ZahraKazemi1365/status/1044968553118617600","1044968553118617600")</f>
        <v>1044968553118617600</v>
      </c>
      <c r="F2920" s="4"/>
      <c r="G2920" s="4"/>
      <c r="H2920" s="4"/>
      <c r="I2920" s="10" t="str">
        <f>HYPERLINK("http://twitter.com/download/android","Twitter for Android")</f>
        <v>Twitter for Android</v>
      </c>
      <c r="J2920" s="2">
        <v>3601</v>
      </c>
      <c r="K2920" s="2">
        <v>406</v>
      </c>
      <c r="L2920" s="2">
        <v>18</v>
      </c>
      <c r="M2920" s="2"/>
      <c r="N2920" s="8">
        <v>42913.791145833333</v>
      </c>
      <c r="O2920" s="4" t="s">
        <v>246</v>
      </c>
      <c r="P2920" s="3" t="s">
        <v>245</v>
      </c>
      <c r="Q2920" s="4"/>
      <c r="R2920" s="4"/>
      <c r="S2920" s="9" t="str">
        <f>HYPERLINK("https://pbs.twimg.com/profile_images/900065453527138304/gyq_soA_.jpg","View")</f>
        <v>View</v>
      </c>
    </row>
    <row r="2921" spans="1:19" ht="30">
      <c r="A2921" s="8">
        <v>43369.781134259261</v>
      </c>
      <c r="B2921" s="11" t="str">
        <f>HYPERLINK("https://twitter.com/SiavoshNL","@SiavoshNL")</f>
        <v>@SiavoshNL</v>
      </c>
      <c r="C2921" s="6" t="s">
        <v>244</v>
      </c>
      <c r="D2921" s="5" t="s">
        <v>37</v>
      </c>
      <c r="E2921" s="9" t="str">
        <f>HYPERLINK("https://twitter.com/SiavoshNL/status/1044968543786348548","1044968543786348548")</f>
        <v>1044968543786348548</v>
      </c>
      <c r="F2921" s="4"/>
      <c r="G2921" s="4"/>
      <c r="H2921" s="4"/>
      <c r="I2921" s="10" t="str">
        <f>HYPERLINK("http://twitter.com/download/iphone","Twitter for iPhone")</f>
        <v>Twitter for iPhone</v>
      </c>
      <c r="J2921" s="2">
        <v>267</v>
      </c>
      <c r="K2921" s="2">
        <v>884</v>
      </c>
      <c r="L2921" s="2">
        <v>0</v>
      </c>
      <c r="M2921" s="2"/>
      <c r="N2921" s="8">
        <v>40391.652766203704</v>
      </c>
      <c r="O2921" s="4"/>
      <c r="P2921" s="3" t="s">
        <v>243</v>
      </c>
      <c r="Q2921" s="4"/>
      <c r="R2921" s="4"/>
      <c r="S2921" s="9" t="str">
        <f>HYPERLINK("https://pbs.twimg.com/profile_images/1036923649952018432/bPSirESy.jpg","View")</f>
        <v>View</v>
      </c>
    </row>
    <row r="2922" spans="1:19" ht="40">
      <c r="A2922" s="8">
        <v>43369.780150462961</v>
      </c>
      <c r="B2922" s="11" t="str">
        <f>HYPERLINK("https://twitter.com/Aflatoon197","@Aflatoon197")</f>
        <v>@Aflatoon197</v>
      </c>
      <c r="C2922" s="6" t="s">
        <v>242</v>
      </c>
      <c r="D2922" s="5" t="s">
        <v>231</v>
      </c>
      <c r="E2922" s="9" t="str">
        <f>HYPERLINK("https://twitter.com/Aflatoon197/status/1044968188482662400","1044968188482662400")</f>
        <v>1044968188482662400</v>
      </c>
      <c r="F2922" s="4"/>
      <c r="G2922" s="4"/>
      <c r="H2922" s="4"/>
      <c r="I2922" s="10" t="str">
        <f>HYPERLINK("http://twitter.com/download/android","Twitter for Android")</f>
        <v>Twitter for Android</v>
      </c>
      <c r="J2922" s="2">
        <v>43</v>
      </c>
      <c r="K2922" s="2">
        <v>73</v>
      </c>
      <c r="L2922" s="2">
        <v>0</v>
      </c>
      <c r="M2922" s="2"/>
      <c r="N2922" s="8">
        <v>43356.993125000001</v>
      </c>
      <c r="O2922" s="4"/>
      <c r="P2922" s="3" t="s">
        <v>241</v>
      </c>
      <c r="Q2922" s="4"/>
      <c r="R2922" s="4"/>
      <c r="S2922" s="9" t="str">
        <f>HYPERLINK("https://pbs.twimg.com/profile_images/1042774673229074433/NyxCiS5-.jpg","View")</f>
        <v>View</v>
      </c>
    </row>
    <row r="2923" spans="1:19" ht="30">
      <c r="A2923" s="8">
        <v>43369.779745370368</v>
      </c>
      <c r="B2923" s="11" t="str">
        <f>HYPERLINK("https://twitter.com/linda_haraf","@linda_haraf")</f>
        <v>@linda_haraf</v>
      </c>
      <c r="C2923" s="6" t="s">
        <v>238</v>
      </c>
      <c r="D2923" s="5" t="s">
        <v>159</v>
      </c>
      <c r="E2923" s="9" t="str">
        <f>HYPERLINK("https://twitter.com/linda_haraf/status/1044968042327928832","1044968042327928832")</f>
        <v>1044968042327928832</v>
      </c>
      <c r="F2923" s="4"/>
      <c r="G2923" s="4"/>
      <c r="H2923" s="4"/>
      <c r="I2923" s="10" t="str">
        <f>HYPERLINK("http://twitter.com/download/android","Twitter for Android")</f>
        <v>Twitter for Android</v>
      </c>
      <c r="J2923" s="2">
        <v>2645</v>
      </c>
      <c r="K2923" s="2">
        <v>2856</v>
      </c>
      <c r="L2923" s="2">
        <v>1</v>
      </c>
      <c r="M2923" s="2"/>
      <c r="N2923" s="8">
        <v>41905.444988425923</v>
      </c>
      <c r="O2923" s="4"/>
      <c r="P2923" s="3" t="s">
        <v>237</v>
      </c>
      <c r="Q2923" s="4"/>
      <c r="R2923" s="4"/>
      <c r="S2923" s="9" t="str">
        <f>HYPERLINK("https://pbs.twimg.com/profile_images/1032174550182752261/mmgaVU9c.jpg","View")</f>
        <v>View</v>
      </c>
    </row>
    <row r="2924" spans="1:19" ht="40">
      <c r="A2924" s="8">
        <v>43369.779016203705</v>
      </c>
      <c r="B2924" s="11" t="str">
        <f>HYPERLINK("https://twitter.com/Arash72872909","@Arash72872909")</f>
        <v>@Arash72872909</v>
      </c>
      <c r="C2924" s="6" t="s">
        <v>101</v>
      </c>
      <c r="D2924" s="5" t="s">
        <v>231</v>
      </c>
      <c r="E2924" s="9" t="str">
        <f>HYPERLINK("https://twitter.com/Arash72872909/status/1044967776224522241","1044967776224522241")</f>
        <v>1044967776224522241</v>
      </c>
      <c r="F2924" s="4"/>
      <c r="G2924" s="4"/>
      <c r="H2924" s="4"/>
      <c r="I2924" s="10" t="str">
        <f>HYPERLINK("http://twitter.com/download/iphone","Twitter for iPhone")</f>
        <v>Twitter for iPhone</v>
      </c>
      <c r="J2924" s="2">
        <v>336</v>
      </c>
      <c r="K2924" s="2">
        <v>430</v>
      </c>
      <c r="L2924" s="2">
        <v>2</v>
      </c>
      <c r="M2924" s="2"/>
      <c r="N2924" s="8">
        <v>43227.119641203702</v>
      </c>
      <c r="O2924" s="4" t="s">
        <v>100</v>
      </c>
      <c r="P2924" s="3" t="s">
        <v>99</v>
      </c>
      <c r="Q2924" s="4"/>
      <c r="R2924" s="4"/>
      <c r="S2924" s="9" t="str">
        <f>HYPERLINK("https://pbs.twimg.com/profile_images/998706584749359104/C4mzgLSn.jpg","View")</f>
        <v>View</v>
      </c>
    </row>
    <row r="2925" spans="1:19" ht="40">
      <c r="A2925" s="8">
        <v>43369.778877314813</v>
      </c>
      <c r="B2925" s="11" t="str">
        <f>HYPERLINK("https://twitter.com/zenDEgieSHadd","@zenDEgieSHadd")</f>
        <v>@zenDEgieSHadd</v>
      </c>
      <c r="C2925" s="6" t="s">
        <v>240</v>
      </c>
      <c r="D2925" s="5" t="s">
        <v>231</v>
      </c>
      <c r="E2925" s="9" t="str">
        <f>HYPERLINK("https://twitter.com/zenDEgieSHadd/status/1044967728921157633","1044967728921157633")</f>
        <v>1044967728921157633</v>
      </c>
      <c r="F2925" s="4"/>
      <c r="G2925" s="4"/>
      <c r="H2925" s="4"/>
      <c r="I2925" s="10" t="str">
        <f>HYPERLINK("http://twitter.com/download/android","Twitter for Android")</f>
        <v>Twitter for Android</v>
      </c>
      <c r="J2925" s="2">
        <v>1566</v>
      </c>
      <c r="K2925" s="2">
        <v>1304</v>
      </c>
      <c r="L2925" s="2">
        <v>2</v>
      </c>
      <c r="M2925" s="2"/>
      <c r="N2925" s="8">
        <v>43282.983113425929</v>
      </c>
      <c r="O2925" s="4"/>
      <c r="P2925" s="3" t="s">
        <v>239</v>
      </c>
      <c r="Q2925" s="4"/>
      <c r="R2925" s="4"/>
      <c r="S2925" s="9" t="str">
        <f>HYPERLINK("https://pbs.twimg.com/profile_images/1038857469152436224/Q3q7IhWj.jpg","View")</f>
        <v>View</v>
      </c>
    </row>
    <row r="2926" spans="1:19" ht="40">
      <c r="A2926" s="8">
        <v>43369.778275462959</v>
      </c>
      <c r="B2926" s="11" t="str">
        <f>HYPERLINK("https://twitter.com/linda_haraf","@linda_haraf")</f>
        <v>@linda_haraf</v>
      </c>
      <c r="C2926" s="6" t="s">
        <v>238</v>
      </c>
      <c r="D2926" s="5" t="s">
        <v>231</v>
      </c>
      <c r="E2926" s="9" t="str">
        <f>HYPERLINK("https://twitter.com/linda_haraf/status/1044967509974306816","1044967509974306816")</f>
        <v>1044967509974306816</v>
      </c>
      <c r="F2926" s="4"/>
      <c r="G2926" s="4"/>
      <c r="H2926" s="4"/>
      <c r="I2926" s="10" t="str">
        <f>HYPERLINK("http://twitter.com/download/android","Twitter for Android")</f>
        <v>Twitter for Android</v>
      </c>
      <c r="J2926" s="2">
        <v>2645</v>
      </c>
      <c r="K2926" s="2">
        <v>2856</v>
      </c>
      <c r="L2926" s="2">
        <v>1</v>
      </c>
      <c r="M2926" s="2"/>
      <c r="N2926" s="8">
        <v>41905.444988425923</v>
      </c>
      <c r="O2926" s="4"/>
      <c r="P2926" s="3" t="s">
        <v>237</v>
      </c>
      <c r="Q2926" s="4"/>
      <c r="R2926" s="4"/>
      <c r="S2926" s="9" t="str">
        <f>HYPERLINK("https://pbs.twimg.com/profile_images/1032174550182752261/mmgaVU9c.jpg","View")</f>
        <v>View</v>
      </c>
    </row>
    <row r="2927" spans="1:19" ht="40">
      <c r="A2927" s="8">
        <v>43369.77815972222</v>
      </c>
      <c r="B2927" s="11" t="str">
        <f>HYPERLINK("https://twitter.com/Elham21081524","@Elham21081524")</f>
        <v>@Elham21081524</v>
      </c>
      <c r="C2927" s="6" t="s">
        <v>236</v>
      </c>
      <c r="D2927" s="5" t="s">
        <v>231</v>
      </c>
      <c r="E2927" s="9" t="str">
        <f>HYPERLINK("https://twitter.com/Elham21081524/status/1044967469155315713","1044967469155315713")</f>
        <v>1044967469155315713</v>
      </c>
      <c r="F2927" s="4"/>
      <c r="G2927" s="4"/>
      <c r="H2927" s="4"/>
      <c r="I2927" s="10" t="str">
        <f>HYPERLINK("http://twitter.com/download/iphone","Twitter for iPhone")</f>
        <v>Twitter for iPhone</v>
      </c>
      <c r="J2927" s="2">
        <v>931</v>
      </c>
      <c r="K2927" s="2">
        <v>880</v>
      </c>
      <c r="L2927" s="2">
        <v>0</v>
      </c>
      <c r="M2927" s="2"/>
      <c r="N2927" s="8">
        <v>43123.614421296297</v>
      </c>
      <c r="O2927" s="4"/>
      <c r="P2927" s="3" t="s">
        <v>235</v>
      </c>
      <c r="Q2927" s="4"/>
      <c r="R2927" s="4"/>
      <c r="S2927" s="9" t="str">
        <f>HYPERLINK("https://pbs.twimg.com/profile_images/1043800984986759168/6Rx-G2op.jpg","View")</f>
        <v>View</v>
      </c>
    </row>
    <row r="2928" spans="1:19" ht="40">
      <c r="A2928" s="8">
        <v>43369.778055555551</v>
      </c>
      <c r="B2928" s="11" t="str">
        <f>HYPERLINK("https://twitter.com/mosaferi_az_ga","@mosaferi_az_ga")</f>
        <v>@mosaferi_az_ga</v>
      </c>
      <c r="C2928" s="6" t="s">
        <v>234</v>
      </c>
      <c r="D2928" s="5" t="s">
        <v>231</v>
      </c>
      <c r="E2928" s="9" t="str">
        <f>HYPERLINK("https://twitter.com/mosaferi_az_ga/status/1044967429456236545","1044967429456236545")</f>
        <v>1044967429456236545</v>
      </c>
      <c r="F2928" s="4"/>
      <c r="G2928" s="4"/>
      <c r="H2928" s="4"/>
      <c r="I2928" s="10" t="str">
        <f>HYPERLINK("http://twitter.com/download/iphone","Twitter for iPhone")</f>
        <v>Twitter for iPhone</v>
      </c>
      <c r="J2928" s="2">
        <v>576</v>
      </c>
      <c r="K2928" s="2">
        <v>241</v>
      </c>
      <c r="L2928" s="2">
        <v>5</v>
      </c>
      <c r="M2928" s="2"/>
      <c r="N2928" s="8">
        <v>41530.55678240741</v>
      </c>
      <c r="O2928" s="4"/>
      <c r="P2928" s="3" t="s">
        <v>233</v>
      </c>
      <c r="Q2928" s="4"/>
      <c r="R2928" s="4"/>
      <c r="S2928" s="9" t="str">
        <f>HYPERLINK("https://pbs.twimg.com/profile_images/1044593326727606272/g4pqgW1l.jpg","View")</f>
        <v>View</v>
      </c>
    </row>
    <row r="2929" spans="1:19" ht="40">
      <c r="A2929" s="8">
        <v>43369.776655092588</v>
      </c>
      <c r="B2929" s="11" t="str">
        <f>HYPERLINK("https://twitter.com/Asie81572845","@Asie81572845")</f>
        <v>@Asie81572845</v>
      </c>
      <c r="C2929" s="6" t="s">
        <v>160</v>
      </c>
      <c r="D2929" s="5" t="s">
        <v>231</v>
      </c>
      <c r="E2929" s="9" t="str">
        <f>HYPERLINK("https://twitter.com/Asie81572845/status/1044966920850673665","1044966920850673665")</f>
        <v>1044966920850673665</v>
      </c>
      <c r="F2929" s="4"/>
      <c r="G2929" s="4"/>
      <c r="H2929" s="4"/>
      <c r="I2929" s="10" t="str">
        <f>HYPERLINK("http://twitter.com/download/android","Twitter for Android")</f>
        <v>Twitter for Android</v>
      </c>
      <c r="J2929" s="2">
        <v>66</v>
      </c>
      <c r="K2929" s="2">
        <v>303</v>
      </c>
      <c r="L2929" s="2">
        <v>0</v>
      </c>
      <c r="M2929" s="2"/>
      <c r="N2929" s="8">
        <v>43368.837094907409</v>
      </c>
      <c r="O2929" s="4"/>
      <c r="P2929" s="3"/>
      <c r="Q2929" s="4"/>
      <c r="R2929" s="4"/>
      <c r="S2929" s="9" t="str">
        <f>HYPERLINK("https://pbs.twimg.com/profile_images/1044627313500069889/owzJ1n3_.jpg","View")</f>
        <v>View</v>
      </c>
    </row>
    <row r="2930" spans="1:19" ht="40">
      <c r="A2930" s="8">
        <v>43369.77643518518</v>
      </c>
      <c r="B2930" s="11" t="str">
        <f>HYPERLINK("https://twitter.com/hhmj_hhhhhh","@hhmj_hhhhhh")</f>
        <v>@hhmj_hhhhhh</v>
      </c>
      <c r="C2930" s="6" t="s">
        <v>232</v>
      </c>
      <c r="D2930" s="5" t="s">
        <v>231</v>
      </c>
      <c r="E2930" s="9" t="str">
        <f>HYPERLINK("https://twitter.com/hhmj_hhhhhh/status/1044966841007968258","1044966841007968258")</f>
        <v>1044966841007968258</v>
      </c>
      <c r="F2930" s="4"/>
      <c r="G2930" s="4"/>
      <c r="H2930" s="4"/>
      <c r="I2930" s="10" t="str">
        <f>HYPERLINK("https://mobile.twitter.com","Twitter Lite")</f>
        <v>Twitter Lite</v>
      </c>
      <c r="J2930" s="2">
        <v>503</v>
      </c>
      <c r="K2930" s="2">
        <v>490</v>
      </c>
      <c r="L2930" s="2">
        <v>0</v>
      </c>
      <c r="M2930" s="2"/>
      <c r="N2930" s="8">
        <v>43113.771261574075</v>
      </c>
      <c r="O2930" s="4"/>
      <c r="P2930" s="3" t="s">
        <v>230</v>
      </c>
      <c r="Q2930" s="4"/>
      <c r="R2930" s="4"/>
      <c r="S2930" s="9" t="str">
        <f>HYPERLINK("https://pbs.twimg.com/profile_images/1018225853765947393/z4TKrOkw.jpg","View")</f>
        <v>View</v>
      </c>
    </row>
    <row r="2931" spans="1:19" ht="20">
      <c r="A2931" s="8">
        <v>43369.776284722218</v>
      </c>
      <c r="B2931" s="11" t="str">
        <f>HYPERLINK("https://twitter.com/rasooljj1372","@rasooljj1372")</f>
        <v>@rasooljj1372</v>
      </c>
      <c r="C2931" s="6" t="s">
        <v>229</v>
      </c>
      <c r="D2931" s="5" t="s">
        <v>163</v>
      </c>
      <c r="E2931" s="9" t="str">
        <f>HYPERLINK("https://twitter.com/rasooljj1372/status/1044966786507165696","1044966786507165696")</f>
        <v>1044966786507165696</v>
      </c>
      <c r="F2931" s="4"/>
      <c r="G2931" s="4"/>
      <c r="H2931" s="4"/>
      <c r="I2931" s="10" t="str">
        <f>HYPERLINK("http://twitter.com/download/iphone","Twitter for iPhone")</f>
        <v>Twitter for iPhone</v>
      </c>
      <c r="J2931" s="2">
        <v>6246</v>
      </c>
      <c r="K2931" s="2">
        <v>23</v>
      </c>
      <c r="L2931" s="2">
        <v>3</v>
      </c>
      <c r="M2931" s="2"/>
      <c r="N2931" s="8">
        <v>42927.525289351848</v>
      </c>
      <c r="O2931" s="4" t="s">
        <v>10</v>
      </c>
      <c r="P2931" s="3" t="s">
        <v>228</v>
      </c>
      <c r="Q2931" s="4"/>
      <c r="R2931" s="4"/>
      <c r="S2931" s="9" t="str">
        <f>HYPERLINK("https://pbs.twimg.com/profile_images/1024560872755224576/MXo29Rtc.jpg","View")</f>
        <v>View</v>
      </c>
    </row>
    <row r="2932" spans="1:19" ht="40">
      <c r="A2932" s="8">
        <v>43369.774641203709</v>
      </c>
      <c r="B2932" s="11" t="str">
        <f>HYPERLINK("https://twitter.com/jire_pamaran","@jire_pamaran")</f>
        <v>@jire_pamaran</v>
      </c>
      <c r="C2932" s="6" t="s">
        <v>155</v>
      </c>
      <c r="D2932" s="5" t="s">
        <v>227</v>
      </c>
      <c r="E2932" s="9" t="str">
        <f>HYPERLINK("https://twitter.com/jire_pamaran/status/1044966194028138502","1044966194028138502")</f>
        <v>1044966194028138502</v>
      </c>
      <c r="F2932" s="4"/>
      <c r="G2932" s="4"/>
      <c r="H2932" s="4"/>
      <c r="I2932" s="10" t="str">
        <f>HYPERLINK("http://twitter.com/download/iphone","Twitter for iPhone")</f>
        <v>Twitter for iPhone</v>
      </c>
      <c r="J2932" s="2">
        <v>742</v>
      </c>
      <c r="K2932" s="2">
        <v>680</v>
      </c>
      <c r="L2932" s="2">
        <v>0</v>
      </c>
      <c r="M2932" s="2"/>
      <c r="N2932" s="8">
        <v>43224.596041666664</v>
      </c>
      <c r="O2932" s="4"/>
      <c r="P2932" s="3"/>
      <c r="Q2932" s="4"/>
      <c r="R2932" s="4"/>
      <c r="S2932" s="9" t="str">
        <f>HYPERLINK("https://pbs.twimg.com/profile_images/1026131290804969472/jbzHpbhC.jpg","View")</f>
        <v>View</v>
      </c>
    </row>
    <row r="2933" spans="1:19" ht="40">
      <c r="A2933" s="8">
        <v>43369.773969907408</v>
      </c>
      <c r="B2933" s="11" t="str">
        <f>HYPERLINK("https://twitter.com/samanehzkb","@samanehzkb")</f>
        <v>@samanehzkb</v>
      </c>
      <c r="C2933" s="6" t="s">
        <v>226</v>
      </c>
      <c r="D2933" s="5" t="s">
        <v>224</v>
      </c>
      <c r="E2933" s="9" t="str">
        <f>HYPERLINK("https://twitter.com/samanehzkb/status/1044965950959898627","1044965950959898627")</f>
        <v>1044965950959898627</v>
      </c>
      <c r="F2933" s="4"/>
      <c r="G2933" s="10" t="s">
        <v>223</v>
      </c>
      <c r="H2933" s="4"/>
      <c r="I2933" s="10" t="str">
        <f>HYPERLINK("http://twitter.com/download/iphone","Twitter for iPhone")</f>
        <v>Twitter for iPhone</v>
      </c>
      <c r="J2933" s="2">
        <v>3127</v>
      </c>
      <c r="K2933" s="2">
        <v>285</v>
      </c>
      <c r="L2933" s="2">
        <v>12</v>
      </c>
      <c r="M2933" s="2"/>
      <c r="N2933" s="8">
        <v>42878.701701388884</v>
      </c>
      <c r="O2933" s="4"/>
      <c r="P2933" s="3" t="s">
        <v>225</v>
      </c>
      <c r="Q2933" s="4"/>
      <c r="R2933" s="4"/>
      <c r="S2933" s="9" t="str">
        <f>HYPERLINK("https://pbs.twimg.com/profile_images/866997085954080769/Pb_VHCV9.jpg","View")</f>
        <v>View</v>
      </c>
    </row>
    <row r="2934" spans="1:19" ht="20">
      <c r="A2934" s="8">
        <v>43369.773888888885</v>
      </c>
      <c r="B2934" s="11" t="str">
        <f>HYPERLINK("https://twitter.com/iamLeciel","@iamLeciel")</f>
        <v>@iamLeciel</v>
      </c>
      <c r="C2934" s="6" t="s">
        <v>38</v>
      </c>
      <c r="D2934" s="5" t="s">
        <v>52</v>
      </c>
      <c r="E2934" s="9" t="str">
        <f>HYPERLINK("https://twitter.com/iamLeciel/status/1044965918709862400","1044965918709862400")</f>
        <v>1044965918709862400</v>
      </c>
      <c r="F2934" s="4"/>
      <c r="G2934" s="4"/>
      <c r="H2934" s="4"/>
      <c r="I2934" s="10" t="str">
        <f>HYPERLINK("http://twitter.com/download/iphone","Twitter for iPhone")</f>
        <v>Twitter for iPhone</v>
      </c>
      <c r="J2934" s="2">
        <v>26</v>
      </c>
      <c r="K2934" s="2">
        <v>136</v>
      </c>
      <c r="L2934" s="2">
        <v>0</v>
      </c>
      <c r="M2934" s="2"/>
      <c r="N2934" s="8">
        <v>43368.367106481484</v>
      </c>
      <c r="O2934" s="4" t="s">
        <v>36</v>
      </c>
      <c r="P2934" s="3" t="s">
        <v>35</v>
      </c>
      <c r="Q2934" s="4"/>
      <c r="R2934" s="4"/>
      <c r="S2934" s="9" t="str">
        <f>HYPERLINK("https://pbs.twimg.com/profile_images/1044456768053669888/Nv_e5Fb3.jpg","View")</f>
        <v>View</v>
      </c>
    </row>
    <row r="2935" spans="1:19" ht="40">
      <c r="A2935" s="8">
        <v>43369.773761574077</v>
      </c>
      <c r="B2935" s="11" t="str">
        <f>HYPERLINK("https://twitter.com/iamLeciel","@iamLeciel")</f>
        <v>@iamLeciel</v>
      </c>
      <c r="C2935" s="6" t="s">
        <v>38</v>
      </c>
      <c r="D2935" s="5" t="s">
        <v>224</v>
      </c>
      <c r="E2935" s="9" t="str">
        <f>HYPERLINK("https://twitter.com/iamLeciel/status/1044965873457516545","1044965873457516545")</f>
        <v>1044965873457516545</v>
      </c>
      <c r="F2935" s="4"/>
      <c r="G2935" s="10" t="s">
        <v>223</v>
      </c>
      <c r="H2935" s="4"/>
      <c r="I2935" s="10" t="str">
        <f>HYPERLINK("http://twitter.com/download/iphone","Twitter for iPhone")</f>
        <v>Twitter for iPhone</v>
      </c>
      <c r="J2935" s="2">
        <v>26</v>
      </c>
      <c r="K2935" s="2">
        <v>136</v>
      </c>
      <c r="L2935" s="2">
        <v>0</v>
      </c>
      <c r="M2935" s="2"/>
      <c r="N2935" s="8">
        <v>43368.367106481484</v>
      </c>
      <c r="O2935" s="4" t="s">
        <v>36</v>
      </c>
      <c r="P2935" s="3" t="s">
        <v>35</v>
      </c>
      <c r="Q2935" s="4"/>
      <c r="R2935" s="4"/>
      <c r="S2935" s="9" t="str">
        <f>HYPERLINK("https://pbs.twimg.com/profile_images/1044456768053669888/Nv_e5Fb3.jpg","View")</f>
        <v>View</v>
      </c>
    </row>
    <row r="2936" spans="1:19" ht="30">
      <c r="A2936" s="8">
        <v>43369.773182870369</v>
      </c>
      <c r="B2936" s="11" t="str">
        <f>HYPERLINK("https://twitter.com/huckelebery","@huckelebery")</f>
        <v>@huckelebery</v>
      </c>
      <c r="C2936" s="6" t="s">
        <v>222</v>
      </c>
      <c r="D2936" s="5" t="s">
        <v>95</v>
      </c>
      <c r="E2936" s="9" t="str">
        <f>HYPERLINK("https://twitter.com/huckelebery/status/1044965664539254784","1044965664539254784")</f>
        <v>1044965664539254784</v>
      </c>
      <c r="F2936" s="4"/>
      <c r="G2936" s="10" t="s">
        <v>86</v>
      </c>
      <c r="H2936" s="4"/>
      <c r="I2936" s="10" t="str">
        <f>HYPERLINK("http://twitter.com/download/android","Twitter for Android")</f>
        <v>Twitter for Android</v>
      </c>
      <c r="J2936" s="2">
        <v>1536</v>
      </c>
      <c r="K2936" s="2">
        <v>4601</v>
      </c>
      <c r="L2936" s="2">
        <v>1</v>
      </c>
      <c r="M2936" s="2"/>
      <c r="N2936" s="8">
        <v>42907.68372685185</v>
      </c>
      <c r="O2936" s="4" t="s">
        <v>200</v>
      </c>
      <c r="P2936" s="3" t="s">
        <v>221</v>
      </c>
      <c r="Q2936" s="4"/>
      <c r="R2936" s="4"/>
      <c r="S2936" s="9" t="str">
        <f>HYPERLINK("https://pbs.twimg.com/profile_images/877498518595829760/8oQ05vKz.jpg","View")</f>
        <v>View</v>
      </c>
    </row>
    <row r="2937" spans="1:19" ht="20">
      <c r="A2937" s="8">
        <v>43369.773101851853</v>
      </c>
      <c r="B2937" s="11" t="str">
        <f>HYPERLINK("https://twitter.com/Aarash24","@Aarash24")</f>
        <v>@Aarash24</v>
      </c>
      <c r="C2937" s="6" t="s">
        <v>220</v>
      </c>
      <c r="D2937" s="5" t="s">
        <v>219</v>
      </c>
      <c r="E2937" s="9" t="str">
        <f>HYPERLINK("https://twitter.com/Aarash24/status/1044965633807581185","1044965633807581185")</f>
        <v>1044965633807581185</v>
      </c>
      <c r="F2937" s="4"/>
      <c r="G2937" s="4"/>
      <c r="H2937" s="4"/>
      <c r="I2937" s="10" t="str">
        <f>HYPERLINK("http://twitter.com/download/android","Twitter for Android")</f>
        <v>Twitter for Android</v>
      </c>
      <c r="J2937" s="2">
        <v>353</v>
      </c>
      <c r="K2937" s="2">
        <v>496</v>
      </c>
      <c r="L2937" s="2">
        <v>0</v>
      </c>
      <c r="M2937" s="2"/>
      <c r="N2937" s="8">
        <v>42866.45957175926</v>
      </c>
      <c r="O2937" s="4" t="s">
        <v>10</v>
      </c>
      <c r="P2937" s="3" t="s">
        <v>218</v>
      </c>
      <c r="Q2937" s="4"/>
      <c r="R2937" s="4"/>
      <c r="S2937" s="9" t="str">
        <f>HYPERLINK("https://pbs.twimg.com/profile_images/973917524071993345/dLScUKvD.jpg","View")</f>
        <v>View</v>
      </c>
    </row>
    <row r="2938" spans="1:19" ht="20">
      <c r="A2938" s="8">
        <v>43369.77275462963</v>
      </c>
      <c r="B2938" s="11" t="str">
        <f>HYPERLINK("https://twitter.com/RezaeianRamin","@RezaeianRamin")</f>
        <v>@RezaeianRamin</v>
      </c>
      <c r="C2938" s="6" t="s">
        <v>217</v>
      </c>
      <c r="D2938" s="5" t="s">
        <v>216</v>
      </c>
      <c r="E2938" s="9" t="str">
        <f>HYPERLINK("https://twitter.com/RezaeianRamin/status/1044965507085094912","1044965507085094912")</f>
        <v>1044965507085094912</v>
      </c>
      <c r="F2938" s="4"/>
      <c r="G2938" s="10" t="s">
        <v>215</v>
      </c>
      <c r="H2938" s="4"/>
      <c r="I2938" s="10" t="str">
        <f>HYPERLINK("http://twitter.com/download/android","Twitter for Android")</f>
        <v>Twitter for Android</v>
      </c>
      <c r="J2938" s="2">
        <v>1638</v>
      </c>
      <c r="K2938" s="2">
        <v>5</v>
      </c>
      <c r="L2938" s="2">
        <v>13</v>
      </c>
      <c r="M2938" s="2"/>
      <c r="N2938" s="8">
        <v>42621.878194444449</v>
      </c>
      <c r="O2938" s="4" t="s">
        <v>214</v>
      </c>
      <c r="P2938" s="3" t="s">
        <v>213</v>
      </c>
      <c r="Q2938" s="4"/>
      <c r="R2938" s="4"/>
      <c r="S2938" s="9" t="str">
        <f>HYPERLINK("https://pbs.twimg.com/profile_images/1011317707487305728/a3EX8bf2.jpg","View")</f>
        <v>View</v>
      </c>
    </row>
    <row r="2939" spans="1:19" ht="30">
      <c r="A2939" s="8">
        <v>43369.772326388891</v>
      </c>
      <c r="B2939" s="11" t="str">
        <f>HYPERLINK("https://twitter.com/IranVarzeshi","@IranVarzeshi")</f>
        <v>@IranVarzeshi</v>
      </c>
      <c r="C2939" s="6" t="s">
        <v>212</v>
      </c>
      <c r="D2939" s="5" t="s">
        <v>211</v>
      </c>
      <c r="E2939" s="9" t="str">
        <f>HYPERLINK("https://twitter.com/IranVarzeshi/status/1044965353586135040","1044965353586135040")</f>
        <v>1044965353586135040</v>
      </c>
      <c r="F2939" s="4"/>
      <c r="G2939" s="4"/>
      <c r="H2939" s="4"/>
      <c r="I2939" s="10" t="str">
        <f>HYPERLINK("http://twitter.com/download/iphone","Twitter for iPhone")</f>
        <v>Twitter for iPhone</v>
      </c>
      <c r="J2939" s="2">
        <v>665</v>
      </c>
      <c r="K2939" s="2">
        <v>20</v>
      </c>
      <c r="L2939" s="2">
        <v>9</v>
      </c>
      <c r="M2939" s="2"/>
      <c r="N2939" s="8">
        <v>43233.76258101852</v>
      </c>
      <c r="O2939" s="4"/>
      <c r="P2939" s="3" t="s">
        <v>210</v>
      </c>
      <c r="Q2939" s="10" t="s">
        <v>209</v>
      </c>
      <c r="R2939" s="4"/>
      <c r="S2939" s="9" t="str">
        <f>HYPERLINK("https://pbs.twimg.com/profile_images/1001132674306670593/nV9S7juu.jpg","View")</f>
        <v>View</v>
      </c>
    </row>
    <row r="2940" spans="1:19" ht="20">
      <c r="A2940" s="8">
        <v>43369.771504629629</v>
      </c>
      <c r="B2940" s="11" t="str">
        <f>HYPERLINK("https://twitter.com/iamamiiir","@iamamiiir")</f>
        <v>@iamamiiir</v>
      </c>
      <c r="C2940" s="6" t="s">
        <v>208</v>
      </c>
      <c r="D2940" s="5" t="s">
        <v>207</v>
      </c>
      <c r="E2940" s="9" t="str">
        <f>HYPERLINK("https://twitter.com/iamamiiir/status/1044965054435733504","1044965054435733504")</f>
        <v>1044965054435733504</v>
      </c>
      <c r="F2940" s="4"/>
      <c r="G2940" s="4"/>
      <c r="H2940" s="4"/>
      <c r="I2940" s="10" t="str">
        <f>HYPERLINK("http://twitter.com/download/android","Twitter for Android")</f>
        <v>Twitter for Android</v>
      </c>
      <c r="J2940" s="2">
        <v>2</v>
      </c>
      <c r="K2940" s="2">
        <v>9</v>
      </c>
      <c r="L2940" s="2">
        <v>0</v>
      </c>
      <c r="M2940" s="2"/>
      <c r="N2940" s="8">
        <v>43077.7893287037</v>
      </c>
      <c r="O2940" s="4" t="s">
        <v>200</v>
      </c>
      <c r="P2940" s="3" t="s">
        <v>206</v>
      </c>
      <c r="Q2940" s="4"/>
      <c r="R2940" s="4"/>
      <c r="S2940" s="9" t="str">
        <f>HYPERLINK("https://pbs.twimg.com/profile_images/952911899682852864/bGSAYZKL.jpg","View")</f>
        <v>View</v>
      </c>
    </row>
    <row r="2941" spans="1:19" ht="30">
      <c r="A2941" s="8">
        <v>43369.770972222221</v>
      </c>
      <c r="B2941" s="11" t="str">
        <f>HYPERLINK("https://twitter.com/BehroozDwazza","@BehroozDwazza")</f>
        <v>@BehroozDwazza</v>
      </c>
      <c r="C2941" s="6" t="s">
        <v>205</v>
      </c>
      <c r="D2941" s="5" t="s">
        <v>204</v>
      </c>
      <c r="E2941" s="9" t="str">
        <f>HYPERLINK("https://twitter.com/BehroozDwazza/status/1044964861602660352","1044964861602660352")</f>
        <v>1044964861602660352</v>
      </c>
      <c r="F2941" s="4"/>
      <c r="G2941" s="4"/>
      <c r="H2941" s="4"/>
      <c r="I2941" s="10" t="str">
        <f>HYPERLINK("http://twitter.com/download/android","Twitter for Android")</f>
        <v>Twitter for Android</v>
      </c>
      <c r="J2941" s="2">
        <v>818</v>
      </c>
      <c r="K2941" s="2">
        <v>425</v>
      </c>
      <c r="L2941" s="2">
        <v>7</v>
      </c>
      <c r="M2941" s="2"/>
      <c r="N2941" s="8">
        <v>41545.4</v>
      </c>
      <c r="O2941" s="4" t="s">
        <v>203</v>
      </c>
      <c r="P2941" s="3" t="s">
        <v>202</v>
      </c>
      <c r="Q2941" s="4"/>
      <c r="R2941" s="4"/>
      <c r="S2941" s="9" t="str">
        <f>HYPERLINK("https://pbs.twimg.com/profile_images/1041604164684574720/HgboxFrx.jpg","View")</f>
        <v>View</v>
      </c>
    </row>
    <row r="2942" spans="1:19" ht="40">
      <c r="A2942" s="8">
        <v>43369.769548611112</v>
      </c>
      <c r="B2942" s="11" t="str">
        <f>HYPERLINK("https://twitter.com/aminkhss","@aminkhss")</f>
        <v>@aminkhss</v>
      </c>
      <c r="C2942" s="6" t="s">
        <v>201</v>
      </c>
      <c r="D2942" s="5" t="s">
        <v>20</v>
      </c>
      <c r="E2942" s="9" t="str">
        <f>HYPERLINK("https://twitter.com/aminkhss/status/1044964349159321601","1044964349159321601")</f>
        <v>1044964349159321601</v>
      </c>
      <c r="F2942" s="4"/>
      <c r="G2942" s="10" t="s">
        <v>19</v>
      </c>
      <c r="H2942" s="4"/>
      <c r="I2942" s="10" t="str">
        <f>HYPERLINK("http://twitter.com","Twitter Web Client")</f>
        <v>Twitter Web Client</v>
      </c>
      <c r="J2942" s="2">
        <v>2978</v>
      </c>
      <c r="K2942" s="2">
        <v>905</v>
      </c>
      <c r="L2942" s="2">
        <v>169</v>
      </c>
      <c r="M2942" s="2"/>
      <c r="N2942" s="8">
        <v>41580.707256944443</v>
      </c>
      <c r="O2942" s="4" t="s">
        <v>200</v>
      </c>
      <c r="P2942" s="3" t="s">
        <v>199</v>
      </c>
      <c r="Q2942" s="10" t="s">
        <v>198</v>
      </c>
      <c r="R2942" s="4"/>
      <c r="S2942" s="9" t="str">
        <f>HYPERLINK("https://pbs.twimg.com/profile_images/1008678295490179072/YQFN-d3k.jpg","View")</f>
        <v>View</v>
      </c>
    </row>
    <row r="2943" spans="1:19" ht="40">
      <c r="A2943" s="8">
        <v>43369.769259259258</v>
      </c>
      <c r="B2943" s="11" t="str">
        <f>HYPERLINK("https://twitter.com/Perspolis6_0","@Perspolis6_0")</f>
        <v>@Perspolis6_0</v>
      </c>
      <c r="C2943" s="6" t="s">
        <v>197</v>
      </c>
      <c r="D2943" s="5" t="s">
        <v>196</v>
      </c>
      <c r="E2943" s="9" t="str">
        <f>HYPERLINK("https://twitter.com/Perspolis6_0/status/1044964240996675585","1044964240996675585")</f>
        <v>1044964240996675585</v>
      </c>
      <c r="F2943" s="4"/>
      <c r="G2943" s="10" t="s">
        <v>195</v>
      </c>
      <c r="H2943" s="4"/>
      <c r="I2943" s="10" t="str">
        <f>HYPERLINK("http://twitter.com/download/android","Twitter for Android")</f>
        <v>Twitter for Android</v>
      </c>
      <c r="J2943" s="2">
        <v>314</v>
      </c>
      <c r="K2943" s="2">
        <v>347</v>
      </c>
      <c r="L2943" s="2">
        <v>12</v>
      </c>
      <c r="M2943" s="2"/>
      <c r="N2943" s="8">
        <v>42450.975451388891</v>
      </c>
      <c r="O2943" s="4" t="s">
        <v>194</v>
      </c>
      <c r="P2943" s="3" t="s">
        <v>193</v>
      </c>
      <c r="Q2943" s="4"/>
      <c r="R2943" s="4"/>
      <c r="S2943" s="9" t="str">
        <f>HYPERLINK("https://pbs.twimg.com/profile_images/1044270545569816581/KqyeAtBB.jpg","View")</f>
        <v>View</v>
      </c>
    </row>
    <row r="2944" spans="1:19" ht="20">
      <c r="A2944" s="8">
        <v>43369.769247685181</v>
      </c>
      <c r="B2944" s="11" t="str">
        <f>HYPERLINK("https://twitter.com/Nasser13MB","@Nasser13MB")</f>
        <v>@Nasser13MB</v>
      </c>
      <c r="C2944" s="6" t="s">
        <v>192</v>
      </c>
      <c r="D2944" s="5" t="s">
        <v>191</v>
      </c>
      <c r="E2944" s="9" t="str">
        <f>HYPERLINK("https://twitter.com/Nasser13MB/status/1044964239704825856","1044964239704825856")</f>
        <v>1044964239704825856</v>
      </c>
      <c r="F2944" s="4"/>
      <c r="G2944" s="10" t="s">
        <v>190</v>
      </c>
      <c r="H2944" s="4"/>
      <c r="I2944" s="10" t="str">
        <f>HYPERLINK("http://twitter.com/download/iphone","Twitter for iPhone")</f>
        <v>Twitter for iPhone</v>
      </c>
      <c r="J2944" s="2">
        <v>1393</v>
      </c>
      <c r="K2944" s="2">
        <v>613</v>
      </c>
      <c r="L2944" s="2">
        <v>6</v>
      </c>
      <c r="M2944" s="2"/>
      <c r="N2944" s="8">
        <v>41684.039039351854</v>
      </c>
      <c r="O2944" s="4" t="s">
        <v>189</v>
      </c>
      <c r="P2944" s="3" t="s">
        <v>188</v>
      </c>
      <c r="Q2944" s="4"/>
      <c r="R2944" s="4"/>
      <c r="S2944" s="9" t="str">
        <f>HYPERLINK("https://pbs.twimg.com/profile_images/919546252244766720/X2VmslBZ.jpg","View")</f>
        <v>View</v>
      </c>
    </row>
    <row r="2945" spans="1:19" ht="12.5">
      <c r="A2945" s="8">
        <v>43369.769039351857</v>
      </c>
      <c r="B2945" s="11" t="str">
        <f>HYPERLINK("https://twitter.com/behrooz_Ac","@behrooz_Ac")</f>
        <v>@behrooz_Ac</v>
      </c>
      <c r="C2945" s="6" t="s">
        <v>187</v>
      </c>
      <c r="D2945" s="5" t="s">
        <v>186</v>
      </c>
      <c r="E2945" s="9" t="str">
        <f>HYPERLINK("https://twitter.com/behrooz_Ac/status/1044964162810597381","1044964162810597381")</f>
        <v>1044964162810597381</v>
      </c>
      <c r="F2945" s="4"/>
      <c r="G2945" s="4"/>
      <c r="H2945" s="4"/>
      <c r="I2945" s="10" t="str">
        <f>HYPERLINK("http://twitter.com/download/android","Twitter for Android")</f>
        <v>Twitter for Android</v>
      </c>
      <c r="J2945" s="2">
        <v>586</v>
      </c>
      <c r="K2945" s="2">
        <v>218</v>
      </c>
      <c r="L2945" s="2">
        <v>3</v>
      </c>
      <c r="M2945" s="2"/>
      <c r="N2945" s="8">
        <v>42016.718506944446</v>
      </c>
      <c r="O2945" s="4" t="s">
        <v>185</v>
      </c>
      <c r="P2945" s="3" t="s">
        <v>184</v>
      </c>
      <c r="Q2945" s="10" t="s">
        <v>183</v>
      </c>
      <c r="R2945" s="4"/>
      <c r="S2945" s="9" t="str">
        <f>HYPERLINK("https://pbs.twimg.com/profile_images/1043127120942252033/MOt2Eo2Y.jpg","View")</f>
        <v>View</v>
      </c>
    </row>
    <row r="2946" spans="1:19" ht="30">
      <c r="A2946" s="8">
        <v>43369.768703703703</v>
      </c>
      <c r="B2946" s="11" t="str">
        <f>HYPERLINK("https://twitter.com/MahlaSajede","@MahlaSajede")</f>
        <v>@MahlaSajede</v>
      </c>
      <c r="C2946" s="6" t="s">
        <v>182</v>
      </c>
      <c r="D2946" s="5" t="s">
        <v>159</v>
      </c>
      <c r="E2946" s="9" t="str">
        <f>HYPERLINK("https://twitter.com/MahlaSajede/status/1044964039506501633","1044964039506501633")</f>
        <v>1044964039506501633</v>
      </c>
      <c r="F2946" s="4"/>
      <c r="G2946" s="4"/>
      <c r="H2946" s="4"/>
      <c r="I2946" s="10" t="str">
        <f>HYPERLINK("http://twitter.com/download/android","Twitter for Android")</f>
        <v>Twitter for Android</v>
      </c>
      <c r="J2946" s="2">
        <v>152</v>
      </c>
      <c r="K2946" s="2">
        <v>43</v>
      </c>
      <c r="L2946" s="2">
        <v>0</v>
      </c>
      <c r="M2946" s="2"/>
      <c r="N2946" s="8">
        <v>43270.366111111114</v>
      </c>
      <c r="O2946" s="4" t="s">
        <v>181</v>
      </c>
      <c r="P2946" s="3" t="s">
        <v>180</v>
      </c>
      <c r="Q2946" s="4"/>
      <c r="R2946" s="4"/>
      <c r="S2946" s="9" t="str">
        <f>HYPERLINK("https://pbs.twimg.com/profile_images/1010554218485354497/wnT7kBiF.jpg","View")</f>
        <v>View</v>
      </c>
    </row>
    <row r="2947" spans="1:19" ht="20">
      <c r="A2947" s="8">
        <v>43369.76840277778</v>
      </c>
      <c r="B2947" s="11" t="str">
        <f>HYPERLINK("https://twitter.com/hosein_dadbin","@hosein_dadbin")</f>
        <v>@hosein_dadbin</v>
      </c>
      <c r="C2947" s="6" t="s">
        <v>179</v>
      </c>
      <c r="D2947" s="5" t="s">
        <v>163</v>
      </c>
      <c r="E2947" s="9" t="str">
        <f>HYPERLINK("https://twitter.com/hosein_dadbin/status/1044963932337840128","1044963932337840128")</f>
        <v>1044963932337840128</v>
      </c>
      <c r="F2947" s="4"/>
      <c r="G2947" s="4"/>
      <c r="H2947" s="4"/>
      <c r="I2947" s="10" t="str">
        <f>HYPERLINK("http://twitter.com/download/android","Twitter for Android")</f>
        <v>Twitter for Android</v>
      </c>
      <c r="J2947" s="2">
        <v>453</v>
      </c>
      <c r="K2947" s="2">
        <v>519</v>
      </c>
      <c r="L2947" s="2">
        <v>1</v>
      </c>
      <c r="M2947" s="2"/>
      <c r="N2947" s="8">
        <v>42802.796099537038</v>
      </c>
      <c r="O2947" s="4" t="s">
        <v>178</v>
      </c>
      <c r="P2947" s="3" t="s">
        <v>177</v>
      </c>
      <c r="Q2947" s="4"/>
      <c r="R2947" s="4"/>
      <c r="S2947" s="9" t="str">
        <f>HYPERLINK("https://pbs.twimg.com/profile_images/1044670014488489985/aGxxRfom.jpg","View")</f>
        <v>View</v>
      </c>
    </row>
    <row r="2948" spans="1:19" ht="30">
      <c r="A2948" s="8">
        <v>43369.76840277778</v>
      </c>
      <c r="B2948" s="11" t="str">
        <f>HYPERLINK("https://twitter.com/oVFzpDTiiJuK6Vb","@oVFzpDTiiJuK6Vb")</f>
        <v>@oVFzpDTiiJuK6Vb</v>
      </c>
      <c r="C2948" s="6" t="s">
        <v>176</v>
      </c>
      <c r="D2948" s="5" t="s">
        <v>159</v>
      </c>
      <c r="E2948" s="9" t="str">
        <f>HYPERLINK("https://twitter.com/oVFzpDTiiJuK6Vb/status/1044963931259850752","1044963931259850752")</f>
        <v>1044963931259850752</v>
      </c>
      <c r="F2948" s="4"/>
      <c r="G2948" s="4"/>
      <c r="H2948" s="4"/>
      <c r="I2948" s="10" t="str">
        <f>HYPERLINK("http://twitter.com/download/android","Twitter for Android")</f>
        <v>Twitter for Android</v>
      </c>
      <c r="J2948" s="2">
        <v>519</v>
      </c>
      <c r="K2948" s="2">
        <v>528</v>
      </c>
      <c r="L2948" s="2">
        <v>0</v>
      </c>
      <c r="M2948" s="2"/>
      <c r="N2948" s="8">
        <v>43223.486238425925</v>
      </c>
      <c r="O2948" s="4" t="s">
        <v>175</v>
      </c>
      <c r="P2948" s="3" t="s">
        <v>174</v>
      </c>
      <c r="Q2948" s="4"/>
      <c r="R2948" s="4"/>
      <c r="S2948" s="9" t="str">
        <f>HYPERLINK("https://pbs.twimg.com/profile_images/1030715357798051840/Pptbzt1T.jpg","View")</f>
        <v>View</v>
      </c>
    </row>
    <row r="2949" spans="1:19" ht="20">
      <c r="A2949" s="8">
        <v>43369.768078703702</v>
      </c>
      <c r="B2949" s="11" t="str">
        <f>HYPERLINK("https://twitter.com/AMIR8MAJD","@AMIR8MAJD")</f>
        <v>@AMIR8MAJD</v>
      </c>
      <c r="C2949" s="6" t="s">
        <v>173</v>
      </c>
      <c r="D2949" s="5" t="s">
        <v>172</v>
      </c>
      <c r="E2949" s="9" t="str">
        <f>HYPERLINK("https://twitter.com/AMIR8MAJD/status/1044963813362212870","1044963813362212870")</f>
        <v>1044963813362212870</v>
      </c>
      <c r="F2949" s="4"/>
      <c r="G2949" s="10" t="s">
        <v>171</v>
      </c>
      <c r="H2949" s="4"/>
      <c r="I2949" s="10" t="str">
        <f>HYPERLINK("http://twitter.com/download/android","Twitter for Android")</f>
        <v>Twitter for Android</v>
      </c>
      <c r="J2949" s="2">
        <v>18</v>
      </c>
      <c r="K2949" s="2">
        <v>18</v>
      </c>
      <c r="L2949" s="2">
        <v>0</v>
      </c>
      <c r="M2949" s="2"/>
      <c r="N2949" s="8">
        <v>42678.993009259255</v>
      </c>
      <c r="O2949" s="4" t="s">
        <v>170</v>
      </c>
      <c r="P2949" s="3" t="s">
        <v>169</v>
      </c>
      <c r="Q2949" s="4"/>
      <c r="R2949" s="4"/>
      <c r="S2949" s="9" t="str">
        <f>HYPERLINK("https://pbs.twimg.com/profile_images/1044289871748067328/u8hs3Eoc.jpg","View")</f>
        <v>View</v>
      </c>
    </row>
    <row r="2950" spans="1:19" ht="20">
      <c r="A2950" s="8">
        <v>43369.767974537041</v>
      </c>
      <c r="B2950" s="11" t="str">
        <f>HYPERLINK("https://twitter.com/AvivDiba","@AvivDiba")</f>
        <v>@AvivDiba</v>
      </c>
      <c r="C2950" s="6" t="s">
        <v>168</v>
      </c>
      <c r="D2950" s="5" t="s">
        <v>167</v>
      </c>
      <c r="E2950" s="9" t="str">
        <f>HYPERLINK("https://twitter.com/AvivDiba/status/1044963777857433600","1044963777857433600")</f>
        <v>1044963777857433600</v>
      </c>
      <c r="F2950" s="4"/>
      <c r="G2950" s="4"/>
      <c r="H2950" s="4"/>
      <c r="I2950" s="10" t="str">
        <f>HYPERLINK("https://mobile.twitter.com","Twitter Lite")</f>
        <v>Twitter Lite</v>
      </c>
      <c r="J2950" s="2">
        <v>572</v>
      </c>
      <c r="K2950" s="2">
        <v>399</v>
      </c>
      <c r="L2950" s="2">
        <v>9</v>
      </c>
      <c r="M2950" s="2"/>
      <c r="N2950" s="8">
        <v>39958.581157407403</v>
      </c>
      <c r="O2950" s="4"/>
      <c r="P2950" s="3" t="s">
        <v>166</v>
      </c>
      <c r="Q2950" s="10" t="s">
        <v>165</v>
      </c>
      <c r="R2950" s="4"/>
      <c r="S2950" s="9" t="str">
        <f>HYPERLINK("https://pbs.twimg.com/profile_images/758879143450685440/uEg6XZe5.jpg","View")</f>
        <v>View</v>
      </c>
    </row>
    <row r="2951" spans="1:19" ht="20">
      <c r="A2951" s="8">
        <v>43369.767905092594</v>
      </c>
      <c r="B2951" s="11" t="str">
        <f>HYPERLINK("https://twitter.com/moe19901","@moe19901")</f>
        <v>@moe19901</v>
      </c>
      <c r="C2951" s="6" t="s">
        <v>141</v>
      </c>
      <c r="D2951" s="5" t="s">
        <v>114</v>
      </c>
      <c r="E2951" s="9" t="str">
        <f>HYPERLINK("https://twitter.com/moe19901/status/1044963752112721921","1044963752112721921")</f>
        <v>1044963752112721921</v>
      </c>
      <c r="F2951" s="4"/>
      <c r="G2951" s="10" t="s">
        <v>113</v>
      </c>
      <c r="H2951" s="4"/>
      <c r="I2951" s="10" t="str">
        <f>HYPERLINK("http://twitter.com/download/android","Twitter for Android")</f>
        <v>Twitter for Android</v>
      </c>
      <c r="J2951" s="2">
        <v>67</v>
      </c>
      <c r="K2951" s="2">
        <v>144</v>
      </c>
      <c r="L2951" s="2">
        <v>0</v>
      </c>
      <c r="M2951" s="2"/>
      <c r="N2951" s="8">
        <v>43028.655868055561</v>
      </c>
      <c r="O2951" s="4"/>
      <c r="P2951" s="3" t="s">
        <v>138</v>
      </c>
      <c r="Q2951" s="4"/>
      <c r="R2951" s="4"/>
      <c r="S2951" s="9" t="str">
        <f>HYPERLINK("https://pbs.twimg.com/profile_images/1006997034090582016/JswMWOQz.jpg","View")</f>
        <v>View</v>
      </c>
    </row>
    <row r="2952" spans="1:19" ht="30">
      <c r="A2952" s="8">
        <v>43369.767650462964</v>
      </c>
      <c r="B2952" s="11" t="str">
        <f>HYPERLINK("https://twitter.com/AliBazgosha2","@AliBazgosha2")</f>
        <v>@AliBazgosha2</v>
      </c>
      <c r="C2952" s="6" t="s">
        <v>164</v>
      </c>
      <c r="D2952" s="5" t="s">
        <v>163</v>
      </c>
      <c r="E2952" s="9" t="str">
        <f>HYPERLINK("https://twitter.com/AliBazgosha2/status/1044963661264171010","1044963661264171010")</f>
        <v>1044963661264171010</v>
      </c>
      <c r="F2952" s="4"/>
      <c r="G2952" s="4"/>
      <c r="H2952" s="4"/>
      <c r="I2952" s="10" t="str">
        <f>HYPERLINK("http://twitter.com/download/iphone","Twitter for iPhone")</f>
        <v>Twitter for iPhone</v>
      </c>
      <c r="J2952" s="2">
        <v>4618</v>
      </c>
      <c r="K2952" s="2">
        <v>479</v>
      </c>
      <c r="L2952" s="2">
        <v>11</v>
      </c>
      <c r="M2952" s="2"/>
      <c r="N2952" s="8">
        <v>42597.534224537041</v>
      </c>
      <c r="O2952" s="4" t="s">
        <v>162</v>
      </c>
      <c r="P2952" s="3" t="s">
        <v>161</v>
      </c>
      <c r="Q2952" s="4"/>
      <c r="R2952" s="4"/>
      <c r="S2952" s="9" t="str">
        <f>HYPERLINK("https://pbs.twimg.com/profile_images/1002173034688647168/DDTAV-9J.jpg","View")</f>
        <v>View</v>
      </c>
    </row>
    <row r="2953" spans="1:19" ht="30">
      <c r="A2953" s="8">
        <v>43369.76762731481</v>
      </c>
      <c r="B2953" s="11" t="str">
        <f>HYPERLINK("https://twitter.com/Asie81572845","@Asie81572845")</f>
        <v>@Asie81572845</v>
      </c>
      <c r="C2953" s="6" t="s">
        <v>160</v>
      </c>
      <c r="D2953" s="5" t="s">
        <v>159</v>
      </c>
      <c r="E2953" s="9" t="str">
        <f>HYPERLINK("https://twitter.com/Asie81572845/status/1044963651072020480","1044963651072020480")</f>
        <v>1044963651072020480</v>
      </c>
      <c r="F2953" s="4"/>
      <c r="G2953" s="4"/>
      <c r="H2953" s="4"/>
      <c r="I2953" s="10" t="str">
        <f>HYPERLINK("http://twitter.com/download/android","Twitter for Android")</f>
        <v>Twitter for Android</v>
      </c>
      <c r="J2953" s="2">
        <v>66</v>
      </c>
      <c r="K2953" s="2">
        <v>303</v>
      </c>
      <c r="L2953" s="2">
        <v>0</v>
      </c>
      <c r="M2953" s="2"/>
      <c r="N2953" s="8">
        <v>43368.837094907409</v>
      </c>
      <c r="O2953" s="4"/>
      <c r="P2953" s="3"/>
      <c r="Q2953" s="4"/>
      <c r="R2953" s="4"/>
      <c r="S2953" s="9" t="str">
        <f>HYPERLINK("https://pbs.twimg.com/profile_images/1044627313500069889/owzJ1n3_.jpg","View")</f>
        <v>View</v>
      </c>
    </row>
    <row r="2954" spans="1:19" ht="30">
      <c r="A2954" s="8">
        <v>43369.767453703702</v>
      </c>
      <c r="B2954" s="11" t="str">
        <f>HYPERLINK("https://twitter.com/Arash72872909","@Arash72872909")</f>
        <v>@Arash72872909</v>
      </c>
      <c r="C2954" s="6" t="s">
        <v>101</v>
      </c>
      <c r="D2954" s="5" t="s">
        <v>159</v>
      </c>
      <c r="E2954" s="9" t="str">
        <f>HYPERLINK("https://twitter.com/Arash72872909/status/1044963589927448576","1044963589927448576")</f>
        <v>1044963589927448576</v>
      </c>
      <c r="F2954" s="4"/>
      <c r="G2954" s="4"/>
      <c r="H2954" s="4"/>
      <c r="I2954" s="10" t="str">
        <f>HYPERLINK("http://twitter.com/download/iphone","Twitter for iPhone")</f>
        <v>Twitter for iPhone</v>
      </c>
      <c r="J2954" s="2">
        <v>336</v>
      </c>
      <c r="K2954" s="2">
        <v>430</v>
      </c>
      <c r="L2954" s="2">
        <v>2</v>
      </c>
      <c r="M2954" s="2"/>
      <c r="N2954" s="8">
        <v>43227.119641203702</v>
      </c>
      <c r="O2954" s="4" t="s">
        <v>100</v>
      </c>
      <c r="P2954" s="3" t="s">
        <v>99</v>
      </c>
      <c r="Q2954" s="4"/>
      <c r="R2954" s="4"/>
      <c r="S2954" s="9" t="str">
        <f>HYPERLINK("https://pbs.twimg.com/profile_images/998706584749359104/C4mzgLSn.jpg","View")</f>
        <v>View</v>
      </c>
    </row>
    <row r="2955" spans="1:19" ht="20">
      <c r="A2955" s="8">
        <v>43369.766898148147</v>
      </c>
      <c r="B2955" s="11" t="str">
        <f>HYPERLINK("https://twitter.com/mersadnews_ir","@mersadnews_ir")</f>
        <v>@mersadnews_ir</v>
      </c>
      <c r="C2955" s="6" t="s">
        <v>158</v>
      </c>
      <c r="D2955" s="5" t="s">
        <v>87</v>
      </c>
      <c r="E2955" s="9" t="str">
        <f>HYPERLINK("https://twitter.com/mersadnews_ir/status/1044963388194004993","1044963388194004993")</f>
        <v>1044963388194004993</v>
      </c>
      <c r="F2955" s="4"/>
      <c r="G2955" s="10" t="s">
        <v>157</v>
      </c>
      <c r="H2955" s="4"/>
      <c r="I2955" s="10" t="str">
        <f>HYPERLINK("http://twitter.com/download/android","Twitter for Android")</f>
        <v>Twitter for Android</v>
      </c>
      <c r="J2955" s="2">
        <v>1610</v>
      </c>
      <c r="K2955" s="2">
        <v>842</v>
      </c>
      <c r="L2955" s="2">
        <v>12</v>
      </c>
      <c r="M2955" s="2"/>
      <c r="N2955" s="8">
        <v>42248.572592592594</v>
      </c>
      <c r="O2955" s="4"/>
      <c r="P2955" s="3" t="s">
        <v>156</v>
      </c>
      <c r="Q2955" s="4"/>
      <c r="R2955" s="4"/>
      <c r="S2955" s="9" t="str">
        <f>HYPERLINK("https://pbs.twimg.com/profile_images/951372057123741696/1KwF8zUA.jpg","View")</f>
        <v>View</v>
      </c>
    </row>
    <row r="2956" spans="1:19" ht="20">
      <c r="A2956" s="8">
        <v>43369.766585648147</v>
      </c>
      <c r="B2956" s="11" t="str">
        <f>HYPERLINK("https://twitter.com/jire_pamaran","@jire_pamaran")</f>
        <v>@jire_pamaran</v>
      </c>
      <c r="C2956" s="6" t="s">
        <v>155</v>
      </c>
      <c r="D2956" s="5" t="s">
        <v>154</v>
      </c>
      <c r="E2956" s="9" t="str">
        <f>HYPERLINK("https://twitter.com/jire_pamaran/status/1044963273861476352","1044963273861476352")</f>
        <v>1044963273861476352</v>
      </c>
      <c r="F2956" s="4"/>
      <c r="G2956" s="4"/>
      <c r="H2956" s="4"/>
      <c r="I2956" s="10" t="str">
        <f>HYPERLINK("http://twitter.com/download/iphone","Twitter for iPhone")</f>
        <v>Twitter for iPhone</v>
      </c>
      <c r="J2956" s="2">
        <v>742</v>
      </c>
      <c r="K2956" s="2">
        <v>680</v>
      </c>
      <c r="L2956" s="2">
        <v>0</v>
      </c>
      <c r="M2956" s="2"/>
      <c r="N2956" s="8">
        <v>43224.596041666664</v>
      </c>
      <c r="O2956" s="4"/>
      <c r="P2956" s="3"/>
      <c r="Q2956" s="4"/>
      <c r="R2956" s="4"/>
      <c r="S2956" s="9" t="str">
        <f>HYPERLINK("https://pbs.twimg.com/profile_images/1026131290804969472/jbzHpbhC.jpg","View")</f>
        <v>View</v>
      </c>
    </row>
    <row r="2957" spans="1:19" ht="40">
      <c r="A2957" s="8">
        <v>43369.766053240739</v>
      </c>
      <c r="B2957" s="11" t="str">
        <f>HYPERLINK("https://twitter.com/kaveh_kiana","@kaveh_kiana")</f>
        <v>@kaveh_kiana</v>
      </c>
      <c r="C2957" s="6" t="s">
        <v>153</v>
      </c>
      <c r="D2957" s="5" t="s">
        <v>152</v>
      </c>
      <c r="E2957" s="9" t="str">
        <f>HYPERLINK("https://twitter.com/kaveh_kiana/status/1044963081712013314","1044963081712013314")</f>
        <v>1044963081712013314</v>
      </c>
      <c r="F2957" s="10" t="s">
        <v>151</v>
      </c>
      <c r="G2957" s="10" t="s">
        <v>150</v>
      </c>
      <c r="H2957" s="4"/>
      <c r="I2957" s="10" t="str">
        <f>HYPERLINK("http://twitter.com/download/android","Twitter for Android")</f>
        <v>Twitter for Android</v>
      </c>
      <c r="J2957" s="2">
        <v>13</v>
      </c>
      <c r="K2957" s="2">
        <v>34</v>
      </c>
      <c r="L2957" s="2">
        <v>0</v>
      </c>
      <c r="M2957" s="2"/>
      <c r="N2957" s="8">
        <v>43321.02548611111</v>
      </c>
      <c r="O2957" s="4"/>
      <c r="P2957" s="3"/>
      <c r="Q2957" s="4"/>
      <c r="R2957" s="4"/>
      <c r="S2957" s="9" t="str">
        <f>HYPERLINK("https://pbs.twimg.com/profile_images/1027287042580013056/HH6j01Lp.jpg","View")</f>
        <v>View</v>
      </c>
    </row>
    <row r="2958" spans="1:19" ht="20">
      <c r="A2958" s="8">
        <v>43369.765775462962</v>
      </c>
      <c r="B2958" s="11" t="str">
        <f>HYPERLINK("https://twitter.com/amir56732","@amir56732")</f>
        <v>@amir56732</v>
      </c>
      <c r="C2958" s="6" t="s">
        <v>149</v>
      </c>
      <c r="D2958" s="5" t="s">
        <v>148</v>
      </c>
      <c r="E2958" s="9" t="str">
        <f>HYPERLINK("https://twitter.com/amir56732/status/1044962980474105858","1044962980474105858")</f>
        <v>1044962980474105858</v>
      </c>
      <c r="F2958" s="4"/>
      <c r="G2958" s="4"/>
      <c r="H2958" s="4"/>
      <c r="I2958" s="10" t="str">
        <f>HYPERLINK("http://twitter.com/download/android","Twitter for Android")</f>
        <v>Twitter for Android</v>
      </c>
      <c r="J2958" s="2">
        <v>558</v>
      </c>
      <c r="K2958" s="2">
        <v>590</v>
      </c>
      <c r="L2958" s="2">
        <v>3</v>
      </c>
      <c r="M2958" s="2"/>
      <c r="N2958" s="8">
        <v>43108.104398148149</v>
      </c>
      <c r="O2958" s="4"/>
      <c r="P2958" s="3"/>
      <c r="Q2958" s="4"/>
      <c r="R2958" s="4"/>
      <c r="S2958" s="9" t="str">
        <f>HYPERLINK("https://pbs.twimg.com/profile_images/1040246449844445185/jRSXJQ4Z.jpg","View")</f>
        <v>View</v>
      </c>
    </row>
    <row r="2959" spans="1:19" ht="30">
      <c r="A2959" s="8">
        <v>43369.765509259261</v>
      </c>
      <c r="B2959" s="11" t="str">
        <f>HYPERLINK("https://twitter.com/mehdii_malek","@mehdii_malek")</f>
        <v>@mehdii_malek</v>
      </c>
      <c r="C2959" s="6" t="s">
        <v>147</v>
      </c>
      <c r="D2959" s="5" t="s">
        <v>146</v>
      </c>
      <c r="E2959" s="9" t="str">
        <f>HYPERLINK("https://twitter.com/mehdii_malek/status/1044962885171126272","1044962885171126272")</f>
        <v>1044962885171126272</v>
      </c>
      <c r="F2959" s="4"/>
      <c r="G2959" s="10" t="s">
        <v>145</v>
      </c>
      <c r="H2959" s="4"/>
      <c r="I2959" s="10" t="str">
        <f>HYPERLINK("http://twitter.com/download/iphone","Twitter for iPhone")</f>
        <v>Twitter for iPhone</v>
      </c>
      <c r="J2959" s="2">
        <v>3153</v>
      </c>
      <c r="K2959" s="2">
        <v>2537</v>
      </c>
      <c r="L2959" s="2">
        <v>6</v>
      </c>
      <c r="M2959" s="2"/>
      <c r="N2959" s="8">
        <v>39985.854502314818</v>
      </c>
      <c r="O2959" s="4" t="s">
        <v>144</v>
      </c>
      <c r="P2959" s="3" t="s">
        <v>143</v>
      </c>
      <c r="Q2959" s="10" t="s">
        <v>142</v>
      </c>
      <c r="R2959" s="4"/>
      <c r="S2959" s="9" t="str">
        <f>HYPERLINK("https://pbs.twimg.com/profile_images/1043213968242880512/voOZW9yT.jpg","View")</f>
        <v>View</v>
      </c>
    </row>
    <row r="2960" spans="1:19" ht="20">
      <c r="A2960" s="8">
        <v>43369.765474537038</v>
      </c>
      <c r="B2960" s="11" t="str">
        <f>HYPERLINK("https://twitter.com/moe19901","@moe19901")</f>
        <v>@moe19901</v>
      </c>
      <c r="C2960" s="6" t="s">
        <v>141</v>
      </c>
      <c r="D2960" s="5" t="s">
        <v>140</v>
      </c>
      <c r="E2960" s="9" t="str">
        <f>HYPERLINK("https://twitter.com/moe19901/status/1044962868775604224","1044962868775604224")</f>
        <v>1044962868775604224</v>
      </c>
      <c r="F2960" s="4"/>
      <c r="G2960" s="10" t="s">
        <v>139</v>
      </c>
      <c r="H2960" s="4"/>
      <c r="I2960" s="10" t="str">
        <f>HYPERLINK("http://twitter.com/download/android","Twitter for Android")</f>
        <v>Twitter for Android</v>
      </c>
      <c r="J2960" s="2">
        <v>67</v>
      </c>
      <c r="K2960" s="2">
        <v>144</v>
      </c>
      <c r="L2960" s="2">
        <v>0</v>
      </c>
      <c r="M2960" s="2"/>
      <c r="N2960" s="8">
        <v>43028.655868055561</v>
      </c>
      <c r="O2960" s="4"/>
      <c r="P2960" s="3" t="s">
        <v>138</v>
      </c>
      <c r="Q2960" s="4"/>
      <c r="R2960" s="4"/>
      <c r="S2960" s="9" t="str">
        <f>HYPERLINK("https://pbs.twimg.com/profile_images/1006997034090582016/JswMWOQz.jpg","View")</f>
        <v>View</v>
      </c>
    </row>
    <row r="2961" spans="1:19" ht="20">
      <c r="A2961" s="8">
        <v>43369.765347222223</v>
      </c>
      <c r="B2961" s="11" t="str">
        <f>HYPERLINK("https://twitter.com/Salmanjahdari_","@Salmanjahdari_")</f>
        <v>@Salmanjahdari_</v>
      </c>
      <c r="C2961" s="6" t="s">
        <v>137</v>
      </c>
      <c r="D2961" s="5" t="s">
        <v>136</v>
      </c>
      <c r="E2961" s="9" t="str">
        <f>HYPERLINK("https://twitter.com/Salmanjahdari_/status/1044962824844398593","1044962824844398593")</f>
        <v>1044962824844398593</v>
      </c>
      <c r="F2961" s="4"/>
      <c r="G2961" s="4"/>
      <c r="H2961" s="4"/>
      <c r="I2961" s="10" t="str">
        <f>HYPERLINK("http://twitter.com/download/android","Twitter for Android")</f>
        <v>Twitter for Android</v>
      </c>
      <c r="J2961" s="2">
        <v>87</v>
      </c>
      <c r="K2961" s="2">
        <v>133</v>
      </c>
      <c r="L2961" s="2">
        <v>0</v>
      </c>
      <c r="M2961" s="2"/>
      <c r="N2961" s="8">
        <v>43305.823715277773</v>
      </c>
      <c r="O2961" s="4"/>
      <c r="P2961" s="3" t="s">
        <v>135</v>
      </c>
      <c r="Q2961" s="4"/>
      <c r="R2961" s="4"/>
      <c r="S2961" s="9" t="str">
        <f>HYPERLINK("https://pbs.twimg.com/profile_images/1021792128798793729/rFS6gxpD.jpg","View")</f>
        <v>View</v>
      </c>
    </row>
    <row r="2962" spans="1:19" ht="12.5">
      <c r="A2962" s="8">
        <v>43369.765208333338</v>
      </c>
      <c r="B2962" s="11" t="str">
        <f>HYPERLINK("https://twitter.com/liaalia39871919","@liaalia39871919")</f>
        <v>@liaalia39871919</v>
      </c>
      <c r="C2962" s="6" t="s">
        <v>134</v>
      </c>
      <c r="D2962" s="5" t="s">
        <v>133</v>
      </c>
      <c r="E2962" s="9" t="str">
        <f>HYPERLINK("https://twitter.com/liaalia39871919/status/1044962774877655040","1044962774877655040")</f>
        <v>1044962774877655040</v>
      </c>
      <c r="F2962" s="4"/>
      <c r="G2962" s="4"/>
      <c r="H2962" s="4"/>
      <c r="I2962" s="10" t="str">
        <f>HYPERLINK("http://twitter.com/download/android","Twitter for Android")</f>
        <v>Twitter for Android</v>
      </c>
      <c r="J2962" s="2">
        <v>309</v>
      </c>
      <c r="K2962" s="2">
        <v>320</v>
      </c>
      <c r="L2962" s="2">
        <v>1</v>
      </c>
      <c r="M2962" s="2"/>
      <c r="N2962" s="8">
        <v>43362.478148148148</v>
      </c>
      <c r="O2962" s="4"/>
      <c r="P2962" s="3" t="s">
        <v>132</v>
      </c>
      <c r="Q2962" s="4"/>
      <c r="R2962" s="4"/>
      <c r="S2962" s="9" t="str">
        <f>HYPERLINK("https://pbs.twimg.com/profile_images/1044436435120640001/P4It1o5F.jpg","View")</f>
        <v>View</v>
      </c>
    </row>
    <row r="2963" spans="1:19" ht="20">
      <c r="A2963" s="8">
        <v>43369.765115740738</v>
      </c>
      <c r="B2963" s="11" t="str">
        <f>HYPERLINK("https://twitter.com/kajkolakhan_17","@kajkolakhan_17")</f>
        <v>@kajkolakhan_17</v>
      </c>
      <c r="C2963" s="6" t="s">
        <v>131</v>
      </c>
      <c r="D2963" s="5" t="s">
        <v>130</v>
      </c>
      <c r="E2963" s="9" t="str">
        <f>HYPERLINK("https://twitter.com/kajkolakhan_17/status/1044962739154759680","1044962739154759680")</f>
        <v>1044962739154759680</v>
      </c>
      <c r="F2963" s="4"/>
      <c r="G2963" s="10" t="s">
        <v>129</v>
      </c>
      <c r="H2963" s="4"/>
      <c r="I2963" s="10" t="str">
        <f>HYPERLINK("http://twitter.com/download/android","Twitter for Android")</f>
        <v>Twitter for Android</v>
      </c>
      <c r="J2963" s="2">
        <v>153</v>
      </c>
      <c r="K2963" s="2">
        <v>157</v>
      </c>
      <c r="L2963" s="2">
        <v>0</v>
      </c>
      <c r="M2963" s="2"/>
      <c r="N2963" s="8">
        <v>42989.38380787037</v>
      </c>
      <c r="O2963" s="4" t="s">
        <v>128</v>
      </c>
      <c r="P2963" s="3" t="s">
        <v>127</v>
      </c>
      <c r="Q2963" s="10" t="s">
        <v>126</v>
      </c>
      <c r="R2963" s="4"/>
      <c r="S2963" s="9" t="str">
        <f>HYPERLINK("https://pbs.twimg.com/profile_images/969515155162910721/oeR-AU5_.jpg","View")</f>
        <v>View</v>
      </c>
    </row>
    <row r="2964" spans="1:19" ht="40">
      <c r="A2964" s="8">
        <v>43369.763495370367</v>
      </c>
      <c r="B2964" s="11" t="str">
        <f>HYPERLINK("https://twitter.com/amrab62","@amrab62")</f>
        <v>@amrab62</v>
      </c>
      <c r="C2964" s="6" t="s">
        <v>125</v>
      </c>
      <c r="D2964" s="5" t="s">
        <v>124</v>
      </c>
      <c r="E2964" s="9" t="str">
        <f>HYPERLINK("https://twitter.com/amrab62/status/1044962154447872003","1044962154447872003")</f>
        <v>1044962154447872003</v>
      </c>
      <c r="F2964" s="4"/>
      <c r="G2964" s="4"/>
      <c r="H2964" s="4"/>
      <c r="I2964" s="10" t="str">
        <f>HYPERLINK("http://twitter.com/download/android","Twitter for Android")</f>
        <v>Twitter for Android</v>
      </c>
      <c r="J2964" s="2">
        <v>16195</v>
      </c>
      <c r="K2964" s="2">
        <v>15674</v>
      </c>
      <c r="L2964" s="2">
        <v>19</v>
      </c>
      <c r="M2964" s="2"/>
      <c r="N2964" s="8">
        <v>43046.903854166667</v>
      </c>
      <c r="O2964" s="4"/>
      <c r="P2964" s="3" t="s">
        <v>123</v>
      </c>
      <c r="Q2964" s="4"/>
      <c r="R2964" s="4"/>
      <c r="S2964" s="9" t="str">
        <f>HYPERLINK("https://pbs.twimg.com/profile_images/1040592004214870016/Hd9n0zV-.jpg","View")</f>
        <v>View</v>
      </c>
    </row>
    <row r="2965" spans="1:19" ht="20">
      <c r="A2965" s="8">
        <v>43369.763298611113</v>
      </c>
      <c r="B2965" s="11" t="str">
        <f>HYPERLINK("https://twitter.com/manobasi","@manobasi")</f>
        <v>@manobasi</v>
      </c>
      <c r="C2965" s="6" t="s">
        <v>122</v>
      </c>
      <c r="D2965" s="5" t="s">
        <v>121</v>
      </c>
      <c r="E2965" s="9" t="str">
        <f>HYPERLINK("https://twitter.com/manobasi/status/1044962082301661185","1044962082301661185")</f>
        <v>1044962082301661185</v>
      </c>
      <c r="F2965" s="4"/>
      <c r="G2965" s="4"/>
      <c r="H2965" s="4"/>
      <c r="I2965" s="10" t="str">
        <f>HYPERLINK("http://twitter.com/download/android","Twitter for Android")</f>
        <v>Twitter for Android</v>
      </c>
      <c r="J2965" s="2">
        <v>212</v>
      </c>
      <c r="K2965" s="2">
        <v>379</v>
      </c>
      <c r="L2965" s="2">
        <v>0</v>
      </c>
      <c r="M2965" s="2"/>
      <c r="N2965" s="8">
        <v>42878.453645833331</v>
      </c>
      <c r="O2965" s="4"/>
      <c r="P2965" s="3" t="s">
        <v>120</v>
      </c>
      <c r="Q2965" s="4"/>
      <c r="R2965" s="4"/>
      <c r="S2965" s="9" t="str">
        <f>HYPERLINK("https://pbs.twimg.com/profile_images/1018088753011855360/7j_OgGhF.jpg","View")</f>
        <v>View</v>
      </c>
    </row>
    <row r="2966" spans="1:19" ht="20">
      <c r="A2966" s="8">
        <v>43369.76326388889</v>
      </c>
      <c r="B2966" s="11" t="str">
        <f>HYPERLINK("https://twitter.com/Im_alik","@Im_alik")</f>
        <v>@Im_alik</v>
      </c>
      <c r="C2966" s="6" t="s">
        <v>119</v>
      </c>
      <c r="D2966" s="5" t="s">
        <v>118</v>
      </c>
      <c r="E2966" s="9" t="str">
        <f>HYPERLINK("https://twitter.com/Im_alik/status/1044962068389089281","1044962068389089281")</f>
        <v>1044962068389089281</v>
      </c>
      <c r="F2966" s="4"/>
      <c r="G2966" s="4"/>
      <c r="H2966" s="4"/>
      <c r="I2966" s="10" t="str">
        <f>HYPERLINK("http://twitter.com/download/android","Twitter for Android")</f>
        <v>Twitter for Android</v>
      </c>
      <c r="J2966" s="2">
        <v>773</v>
      </c>
      <c r="K2966" s="2">
        <v>503</v>
      </c>
      <c r="L2966" s="2">
        <v>4</v>
      </c>
      <c r="M2966" s="2"/>
      <c r="N2966" s="8">
        <v>42844.685277777782</v>
      </c>
      <c r="O2966" s="4" t="s">
        <v>117</v>
      </c>
      <c r="P2966" s="3" t="s">
        <v>116</v>
      </c>
      <c r="Q2966" s="10" t="s">
        <v>115</v>
      </c>
      <c r="R2966" s="4"/>
      <c r="S2966" s="9" t="str">
        <f>HYPERLINK("https://pbs.twimg.com/profile_images/1042797478586851329/2-hQQ6uZ.jpg","View")</f>
        <v>View</v>
      </c>
    </row>
    <row r="2967" spans="1:19" ht="12.5">
      <c r="A2967" s="8">
        <v>43369.76262731482</v>
      </c>
      <c r="B2967" s="11" t="str">
        <f>HYPERLINK("https://twitter.com/sepehrlm","@sepehrlm")</f>
        <v>@sepehrlm</v>
      </c>
      <c r="C2967" s="6" t="s">
        <v>107</v>
      </c>
      <c r="D2967" s="5" t="s">
        <v>114</v>
      </c>
      <c r="E2967" s="9" t="str">
        <f>HYPERLINK("https://twitter.com/sepehrlm/status/1044961840860721152","1044961840860721152")</f>
        <v>1044961840860721152</v>
      </c>
      <c r="F2967" s="4"/>
      <c r="G2967" s="10" t="s">
        <v>113</v>
      </c>
      <c r="H2967" s="4"/>
      <c r="I2967" s="10" t="str">
        <f>HYPERLINK("http://twitter.com/download/iphone","Twitter for iPhone")</f>
        <v>Twitter for iPhone</v>
      </c>
      <c r="J2967" s="2">
        <v>181</v>
      </c>
      <c r="K2967" s="2">
        <v>365</v>
      </c>
      <c r="L2967" s="2">
        <v>1</v>
      </c>
      <c r="M2967" s="2"/>
      <c r="N2967" s="8">
        <v>42616.911122685182</v>
      </c>
      <c r="O2967" s="4" t="s">
        <v>104</v>
      </c>
      <c r="P2967" s="3" t="s">
        <v>103</v>
      </c>
      <c r="Q2967" s="10" t="s">
        <v>102</v>
      </c>
      <c r="R2967" s="4"/>
      <c r="S2967" s="9" t="str">
        <f>HYPERLINK("https://pbs.twimg.com/profile_images/1037594766765170689/Khn8u_pC.jpg","View")</f>
        <v>View</v>
      </c>
    </row>
    <row r="2968" spans="1:19" ht="20">
      <c r="A2968" s="8">
        <v>43369.762013888889</v>
      </c>
      <c r="B2968" s="11" t="str">
        <f>HYPERLINK("https://twitter.com/iranshafaqna","@iranshafaqna")</f>
        <v>@iranshafaqna</v>
      </c>
      <c r="C2968" s="6" t="s">
        <v>112</v>
      </c>
      <c r="D2968" s="5" t="s">
        <v>111</v>
      </c>
      <c r="E2968" s="9" t="str">
        <f>HYPERLINK("https://twitter.com/iranshafaqna/status/1044961618520608769","1044961618520608769")</f>
        <v>1044961618520608769</v>
      </c>
      <c r="F2968" s="10" t="s">
        <v>110</v>
      </c>
      <c r="G2968" s="10" t="s">
        <v>109</v>
      </c>
      <c r="H2968" s="4"/>
      <c r="I2968" s="10" t="str">
        <f>HYPERLINK("http://fa.shafaqna.com/","Shafaqna")</f>
        <v>Shafaqna</v>
      </c>
      <c r="J2968" s="2">
        <v>21</v>
      </c>
      <c r="K2968" s="2">
        <v>43</v>
      </c>
      <c r="L2968" s="2">
        <v>1</v>
      </c>
      <c r="M2968" s="2"/>
      <c r="N2968" s="8">
        <v>43234.974131944444</v>
      </c>
      <c r="O2968" s="4" t="s">
        <v>62</v>
      </c>
      <c r="P2968" s="3" t="s">
        <v>108</v>
      </c>
      <c r="Q2968" s="4"/>
      <c r="R2968" s="4"/>
      <c r="S2968" s="9" t="str">
        <f>HYPERLINK("https://pbs.twimg.com/profile_images/996103781715730437/Lj7-UX3-.jpg","View")</f>
        <v>View</v>
      </c>
    </row>
    <row r="2969" spans="1:19" ht="40">
      <c r="A2969" s="8">
        <v>43369.761400462958</v>
      </c>
      <c r="B2969" s="11" t="str">
        <f>HYPERLINK("https://twitter.com/sepehrlm","@sepehrlm")</f>
        <v>@sepehrlm</v>
      </c>
      <c r="C2969" s="6" t="s">
        <v>107</v>
      </c>
      <c r="D2969" s="5" t="s">
        <v>106</v>
      </c>
      <c r="E2969" s="9" t="str">
        <f>HYPERLINK("https://twitter.com/sepehrlm/status/1044961393865371648","1044961393865371648")</f>
        <v>1044961393865371648</v>
      </c>
      <c r="F2969" s="4"/>
      <c r="G2969" s="10" t="s">
        <v>105</v>
      </c>
      <c r="H2969" s="4"/>
      <c r="I2969" s="10" t="str">
        <f>HYPERLINK("http://twitter.com/download/iphone","Twitter for iPhone")</f>
        <v>Twitter for iPhone</v>
      </c>
      <c r="J2969" s="2">
        <v>181</v>
      </c>
      <c r="K2969" s="2">
        <v>365</v>
      </c>
      <c r="L2969" s="2">
        <v>1</v>
      </c>
      <c r="M2969" s="2"/>
      <c r="N2969" s="8">
        <v>42616.911122685182</v>
      </c>
      <c r="O2969" s="4" t="s">
        <v>104</v>
      </c>
      <c r="P2969" s="3" t="s">
        <v>103</v>
      </c>
      <c r="Q2969" s="10" t="s">
        <v>102</v>
      </c>
      <c r="R2969" s="4"/>
      <c r="S2969" s="9" t="str">
        <f>HYPERLINK("https://pbs.twimg.com/profile_images/1037594766765170689/Khn8u_pC.jpg","View")</f>
        <v>View</v>
      </c>
    </row>
    <row r="2970" spans="1:19" ht="30">
      <c r="A2970" s="8">
        <v>43369.761064814811</v>
      </c>
      <c r="B2970" s="11" t="str">
        <f>HYPERLINK("https://twitter.com/Arash72872909","@Arash72872909")</f>
        <v>@Arash72872909</v>
      </c>
      <c r="C2970" s="6" t="s">
        <v>101</v>
      </c>
      <c r="D2970" s="5" t="s">
        <v>37</v>
      </c>
      <c r="E2970" s="9" t="str">
        <f>HYPERLINK("https://twitter.com/Arash72872909/status/1044961271156797441","1044961271156797441")</f>
        <v>1044961271156797441</v>
      </c>
      <c r="F2970" s="4"/>
      <c r="G2970" s="4"/>
      <c r="H2970" s="4"/>
      <c r="I2970" s="10" t="str">
        <f>HYPERLINK("http://twitter.com/download/iphone","Twitter for iPhone")</f>
        <v>Twitter for iPhone</v>
      </c>
      <c r="J2970" s="2">
        <v>336</v>
      </c>
      <c r="K2970" s="2">
        <v>430</v>
      </c>
      <c r="L2970" s="2">
        <v>2</v>
      </c>
      <c r="M2970" s="2"/>
      <c r="N2970" s="8">
        <v>43227.119641203702</v>
      </c>
      <c r="O2970" s="4" t="s">
        <v>100</v>
      </c>
      <c r="P2970" s="3" t="s">
        <v>99</v>
      </c>
      <c r="Q2970" s="4"/>
      <c r="R2970" s="4"/>
      <c r="S2970" s="9" t="str">
        <f>HYPERLINK("https://pbs.twimg.com/profile_images/998706584749359104/C4mzgLSn.jpg","View")</f>
        <v>View</v>
      </c>
    </row>
    <row r="2971" spans="1:19" ht="30">
      <c r="A2971" s="8">
        <v>43369.760393518518</v>
      </c>
      <c r="B2971" s="11" t="str">
        <f>HYPERLINK("https://twitter.com/mehdi6104","@mehdi6104")</f>
        <v>@mehdi6104</v>
      </c>
      <c r="C2971" s="6" t="s">
        <v>98</v>
      </c>
      <c r="D2971" s="5" t="s">
        <v>37</v>
      </c>
      <c r="E2971" s="9" t="str">
        <f>HYPERLINK("https://twitter.com/mehdi6104/status/1044961028155592704","1044961028155592704")</f>
        <v>1044961028155592704</v>
      </c>
      <c r="F2971" s="4"/>
      <c r="G2971" s="4"/>
      <c r="H2971" s="4"/>
      <c r="I2971" s="10" t="str">
        <f>HYPERLINK("http://twitter.com/download/android","Twitter for Android")</f>
        <v>Twitter for Android</v>
      </c>
      <c r="J2971" s="2">
        <v>423</v>
      </c>
      <c r="K2971" s="2">
        <v>641</v>
      </c>
      <c r="L2971" s="2">
        <v>0</v>
      </c>
      <c r="M2971" s="2"/>
      <c r="N2971" s="8">
        <v>42954.824062500003</v>
      </c>
      <c r="O2971" s="4"/>
      <c r="P2971" s="3" t="s">
        <v>97</v>
      </c>
      <c r="Q2971" s="4"/>
      <c r="R2971" s="4"/>
      <c r="S2971" s="9" t="str">
        <f>HYPERLINK("https://pbs.twimg.com/profile_images/1034407504376156161/wbNZ6Gqi.jpg","View")</f>
        <v>View</v>
      </c>
    </row>
    <row r="2972" spans="1:19" ht="20">
      <c r="A2972" s="8">
        <v>43369.760162037041</v>
      </c>
      <c r="B2972" s="11" t="str">
        <f>HYPERLINK("https://twitter.com/Tahmineh_6","@Tahmineh_6")</f>
        <v>@Tahmineh_6</v>
      </c>
      <c r="C2972" s="6" t="s">
        <v>96</v>
      </c>
      <c r="D2972" s="5" t="s">
        <v>95</v>
      </c>
      <c r="E2972" s="9" t="str">
        <f>HYPERLINK("https://twitter.com/Tahmineh_6/status/1044960944881913856","1044960944881913856")</f>
        <v>1044960944881913856</v>
      </c>
      <c r="F2972" s="4"/>
      <c r="G2972" s="10" t="s">
        <v>86</v>
      </c>
      <c r="H2972" s="4"/>
      <c r="I2972" s="10" t="str">
        <f>HYPERLINK("http://twitter.com/download/android","Twitter for Android")</f>
        <v>Twitter for Android</v>
      </c>
      <c r="J2972" s="2">
        <v>7133</v>
      </c>
      <c r="K2972" s="2">
        <v>6669</v>
      </c>
      <c r="L2972" s="2">
        <v>5</v>
      </c>
      <c r="M2972" s="2"/>
      <c r="N2972" s="8">
        <v>43008.625925925924</v>
      </c>
      <c r="O2972" s="4" t="s">
        <v>94</v>
      </c>
      <c r="P2972" s="3" t="s">
        <v>93</v>
      </c>
      <c r="Q2972" s="4"/>
      <c r="R2972" s="4"/>
      <c r="S2972" s="9" t="str">
        <f>HYPERLINK("https://pbs.twimg.com/profile_images/1038869552568983558/284xNb8H.jpg","View")</f>
        <v>View</v>
      </c>
    </row>
    <row r="2973" spans="1:19" ht="30">
      <c r="A2973" s="8">
        <v>43369.759629629625</v>
      </c>
      <c r="B2973" s="11" t="str">
        <f>HYPERLINK("https://twitter.com/felafeltalab","@felafeltalab")</f>
        <v>@felafeltalab</v>
      </c>
      <c r="C2973" s="6" t="s">
        <v>92</v>
      </c>
      <c r="D2973" s="5" t="s">
        <v>74</v>
      </c>
      <c r="E2973" s="9" t="str">
        <f>HYPERLINK("https://twitter.com/felafeltalab/status/1044960753902596096","1044960753902596096")</f>
        <v>1044960753902596096</v>
      </c>
      <c r="F2973" s="4"/>
      <c r="G2973" s="4"/>
      <c r="H2973" s="4"/>
      <c r="I2973" s="10" t="str">
        <f>HYPERLINK("http://twitter.com/download/iphone","Twitter for iPhone")</f>
        <v>Twitter for iPhone</v>
      </c>
      <c r="J2973" s="2">
        <v>387</v>
      </c>
      <c r="K2973" s="2">
        <v>231</v>
      </c>
      <c r="L2973" s="2">
        <v>4</v>
      </c>
      <c r="M2973" s="2"/>
      <c r="N2973" s="8">
        <v>42784.662476851852</v>
      </c>
      <c r="O2973" s="4" t="s">
        <v>91</v>
      </c>
      <c r="P2973" s="3" t="s">
        <v>90</v>
      </c>
      <c r="Q2973" s="10" t="s">
        <v>89</v>
      </c>
      <c r="R2973" s="4"/>
      <c r="S2973" s="9" t="str">
        <f>HYPERLINK("https://pbs.twimg.com/profile_images/1042525778322358272/uK3MgyoM.jpg","View")</f>
        <v>View</v>
      </c>
    </row>
    <row r="2974" spans="1:19" ht="12.5">
      <c r="A2974" s="8">
        <v>43369.759421296301</v>
      </c>
      <c r="B2974" s="11" t="str">
        <f>HYPERLINK("https://twitter.com/yjcagency","@yjcagency")</f>
        <v>@yjcagency</v>
      </c>
      <c r="C2974" s="6" t="s">
        <v>88</v>
      </c>
      <c r="D2974" s="5" t="s">
        <v>87</v>
      </c>
      <c r="E2974" s="9" t="str">
        <f>HYPERLINK("https://twitter.com/yjcagency/status/1044960676865806336","1044960676865806336")</f>
        <v>1044960676865806336</v>
      </c>
      <c r="F2974" s="4"/>
      <c r="G2974" s="10" t="s">
        <v>86</v>
      </c>
      <c r="H2974" s="4"/>
      <c r="I2974" s="10" t="str">
        <f>HYPERLINK("http://twitter.com/download/iphone","Twitter for iPhone")</f>
        <v>Twitter for iPhone</v>
      </c>
      <c r="J2974" s="2">
        <v>11346</v>
      </c>
      <c r="K2974" s="2">
        <v>3</v>
      </c>
      <c r="L2974" s="2">
        <v>63</v>
      </c>
      <c r="M2974" s="2"/>
      <c r="N2974" s="8">
        <v>42691.645821759259</v>
      </c>
      <c r="O2974" s="4" t="s">
        <v>85</v>
      </c>
      <c r="P2974" s="3" t="s">
        <v>84</v>
      </c>
      <c r="Q2974" s="10" t="s">
        <v>83</v>
      </c>
      <c r="R2974" s="4"/>
      <c r="S2974" s="9" t="str">
        <f>HYPERLINK("https://pbs.twimg.com/profile_images/1039447384940531714/s7Ntm7-U.jpg","View")</f>
        <v>View</v>
      </c>
    </row>
    <row r="2975" spans="1:19" ht="40">
      <c r="A2975" s="8">
        <v>43369.758657407408</v>
      </c>
      <c r="B2975" s="11" t="str">
        <f>HYPERLINK("https://twitter.com/m_p_movaqat","@m_p_movaqat")</f>
        <v>@m_p_movaqat</v>
      </c>
      <c r="C2975" s="6" t="s">
        <v>82</v>
      </c>
      <c r="D2975" s="5" t="s">
        <v>81</v>
      </c>
      <c r="E2975" s="9" t="str">
        <f>HYPERLINK("https://twitter.com/m_p_movaqat/status/1044960401170083841","1044960401170083841")</f>
        <v>1044960401170083841</v>
      </c>
      <c r="F2975" s="4"/>
      <c r="G2975" s="10" t="s">
        <v>80</v>
      </c>
      <c r="H2975" s="4"/>
      <c r="I2975" s="10" t="str">
        <f>HYPERLINK("http://twitter.com/download/iphone","Twitter for iPhone")</f>
        <v>Twitter for iPhone</v>
      </c>
      <c r="J2975" s="2">
        <v>115</v>
      </c>
      <c r="K2975" s="2">
        <v>174</v>
      </c>
      <c r="L2975" s="2">
        <v>0</v>
      </c>
      <c r="M2975" s="2"/>
      <c r="N2975" s="8">
        <v>42875.109594907408</v>
      </c>
      <c r="O2975" s="4"/>
      <c r="P2975" s="3" t="s">
        <v>79</v>
      </c>
      <c r="Q2975" s="4"/>
      <c r="R2975" s="4"/>
      <c r="S2975" s="9" t="str">
        <f>HYPERLINK("https://pbs.twimg.com/profile_images/1044353703266869249/tyLgKk55.jpg","View")</f>
        <v>View</v>
      </c>
    </row>
    <row r="2976" spans="1:19" ht="30">
      <c r="A2976" s="8">
        <v>43369.758136574077</v>
      </c>
      <c r="B2976" s="11" t="str">
        <f>HYPERLINK("https://twitter.com/Free_Persian97","@Free_Persian97")</f>
        <v>@Free_Persian97</v>
      </c>
      <c r="C2976" s="6" t="s">
        <v>78</v>
      </c>
      <c r="D2976" s="5" t="s">
        <v>37</v>
      </c>
      <c r="E2976" s="9" t="str">
        <f>HYPERLINK("https://twitter.com/Free_Persian97/status/1044960211629412352","1044960211629412352")</f>
        <v>1044960211629412352</v>
      </c>
      <c r="F2976" s="4"/>
      <c r="G2976" s="4"/>
      <c r="H2976" s="4"/>
      <c r="I2976" s="10" t="str">
        <f>HYPERLINK("http://twitter.com/download/android","Twitter for Android")</f>
        <v>Twitter for Android</v>
      </c>
      <c r="J2976" s="2">
        <v>25</v>
      </c>
      <c r="K2976" s="2">
        <v>42</v>
      </c>
      <c r="L2976" s="2">
        <v>0</v>
      </c>
      <c r="M2976" s="2"/>
      <c r="N2976" s="8">
        <v>43249.829976851848</v>
      </c>
      <c r="O2976" s="4"/>
      <c r="P2976" s="3"/>
      <c r="Q2976" s="4"/>
      <c r="R2976" s="4"/>
      <c r="S2976" s="9" t="str">
        <f>HYPERLINK("https://pbs.twimg.com/profile_images/1032204435026595840/iA6ePGby.jpg","View")</f>
        <v>View</v>
      </c>
    </row>
    <row r="2977" spans="1:19" ht="30">
      <c r="A2977" s="8">
        <v>43369.757118055553</v>
      </c>
      <c r="B2977" s="11" t="str">
        <f>HYPERLINK("https://twitter.com/BridgeUniversal","@BridgeUniversal")</f>
        <v>@BridgeUniversal</v>
      </c>
      <c r="C2977" s="6" t="s">
        <v>77</v>
      </c>
      <c r="D2977" s="5" t="s">
        <v>37</v>
      </c>
      <c r="E2977" s="9" t="str">
        <f>HYPERLINK("https://twitter.com/BridgeUniversal/status/1044959842975199235","1044959842975199235")</f>
        <v>1044959842975199235</v>
      </c>
      <c r="F2977" s="4"/>
      <c r="G2977" s="4"/>
      <c r="H2977" s="4"/>
      <c r="I2977" s="10" t="str">
        <f>HYPERLINK("http://twitter.com","Twitter Web Client")</f>
        <v>Twitter Web Client</v>
      </c>
      <c r="J2977" s="2">
        <v>444</v>
      </c>
      <c r="K2977" s="2">
        <v>1097</v>
      </c>
      <c r="L2977" s="2">
        <v>0</v>
      </c>
      <c r="M2977" s="2"/>
      <c r="N2977" s="8">
        <v>43225.71166666667</v>
      </c>
      <c r="O2977" s="4" t="s">
        <v>76</v>
      </c>
      <c r="P2977" s="3" t="s">
        <v>75</v>
      </c>
      <c r="Q2977" s="4"/>
      <c r="R2977" s="4"/>
      <c r="S2977" s="9" t="str">
        <f>HYPERLINK("https://pbs.twimg.com/profile_images/1014108466531561472/lC3OtOt0.jpg","View")</f>
        <v>View</v>
      </c>
    </row>
    <row r="2978" spans="1:19" ht="30">
      <c r="A2978" s="8">
        <v>43369.757025462968</v>
      </c>
      <c r="B2978" s="11" t="str">
        <f>HYPERLINK("https://twitter.com/foottwitte","@foottwitte")</f>
        <v>@foottwitte</v>
      </c>
      <c r="C2978" s="6" t="s">
        <v>66</v>
      </c>
      <c r="D2978" s="5" t="s">
        <v>74</v>
      </c>
      <c r="E2978" s="9" t="str">
        <f>HYPERLINK("https://twitter.com/foottwitte/status/1044959807910957056","1044959807910957056")</f>
        <v>1044959807910957056</v>
      </c>
      <c r="F2978" s="4"/>
      <c r="G2978" s="4"/>
      <c r="H2978" s="4"/>
      <c r="I2978" s="10" t="str">
        <f>HYPERLINK("http://twitter.com/download/android","Twitter for Android")</f>
        <v>Twitter for Android</v>
      </c>
      <c r="J2978" s="2">
        <v>534</v>
      </c>
      <c r="K2978" s="2">
        <v>452</v>
      </c>
      <c r="L2978" s="2">
        <v>4</v>
      </c>
      <c r="M2978" s="2"/>
      <c r="N2978" s="8">
        <v>43250.83594907407</v>
      </c>
      <c r="O2978" s="4" t="s">
        <v>65</v>
      </c>
      <c r="P2978" s="12" t="s">
        <v>64</v>
      </c>
      <c r="Q2978" s="4"/>
      <c r="R2978" s="4"/>
      <c r="S2978" s="9" t="str">
        <f>HYPERLINK("https://pbs.twimg.com/profile_images/1026241000396730368/VXPGgwfk.jpg","View")</f>
        <v>View</v>
      </c>
    </row>
    <row r="2979" spans="1:19" ht="30">
      <c r="A2979" s="8">
        <v>43369.756412037037</v>
      </c>
      <c r="B2979" s="11" t="str">
        <f>HYPERLINK("https://twitter.com/sapiens373","@sapiens373")</f>
        <v>@sapiens373</v>
      </c>
      <c r="C2979" s="6" t="s">
        <v>73</v>
      </c>
      <c r="D2979" s="5" t="s">
        <v>37</v>
      </c>
      <c r="E2979" s="9" t="str">
        <f>HYPERLINK("https://twitter.com/sapiens373/status/1044959585419898882","1044959585419898882")</f>
        <v>1044959585419898882</v>
      </c>
      <c r="F2979" s="4"/>
      <c r="G2979" s="4"/>
      <c r="H2979" s="4"/>
      <c r="I2979" s="10" t="str">
        <f>HYPERLINK("http://twitter.com/download/android","Twitter for Android")</f>
        <v>Twitter for Android</v>
      </c>
      <c r="J2979" s="2">
        <v>43</v>
      </c>
      <c r="K2979" s="2">
        <v>87</v>
      </c>
      <c r="L2979" s="2">
        <v>0</v>
      </c>
      <c r="M2979" s="2"/>
      <c r="N2979" s="8">
        <v>42941.763391203705</v>
      </c>
      <c r="O2979" s="4" t="s">
        <v>72</v>
      </c>
      <c r="P2979" s="3" t="s">
        <v>71</v>
      </c>
      <c r="Q2979" s="4"/>
      <c r="R2979" s="4"/>
      <c r="S2979" s="9" t="str">
        <f>HYPERLINK("https://pbs.twimg.com/profile_images/1016598620332703746/K0Ba5KZ_.jpg","View")</f>
        <v>View</v>
      </c>
    </row>
    <row r="2980" spans="1:19" ht="40">
      <c r="A2980" s="8">
        <v>43369.756030092598</v>
      </c>
      <c r="B2980" s="11" t="str">
        <f>HYPERLINK("https://twitter.com/hkia2001","@hkia2001")</f>
        <v>@hkia2001</v>
      </c>
      <c r="C2980" s="6" t="s">
        <v>70</v>
      </c>
      <c r="D2980" s="5" t="s">
        <v>29</v>
      </c>
      <c r="E2980" s="9" t="str">
        <f>HYPERLINK("https://twitter.com/hkia2001/status/1044959448060628993","1044959448060628993")</f>
        <v>1044959448060628993</v>
      </c>
      <c r="F2980" s="4"/>
      <c r="G2980" s="10" t="s">
        <v>28</v>
      </c>
      <c r="H2980" s="4"/>
      <c r="I2980" s="10" t="str">
        <f>HYPERLINK("http://twitter.com/download/android","Twitter for Android")</f>
        <v>Twitter for Android</v>
      </c>
      <c r="J2980" s="2">
        <v>884</v>
      </c>
      <c r="K2980" s="2">
        <v>732</v>
      </c>
      <c r="L2980" s="2">
        <v>3</v>
      </c>
      <c r="M2980" s="2"/>
      <c r="N2980" s="8">
        <v>42516.767546296294</v>
      </c>
      <c r="O2980" s="4" t="s">
        <v>69</v>
      </c>
      <c r="P2980" s="3" t="s">
        <v>68</v>
      </c>
      <c r="Q2980" s="4"/>
      <c r="R2980" s="4"/>
      <c r="S2980" s="9" t="str">
        <f>HYPERLINK("https://pbs.twimg.com/profile_images/990481124915900416/3ros8GlV.jpg","View")</f>
        <v>View</v>
      </c>
    </row>
    <row r="2981" spans="1:19" ht="40">
      <c r="A2981" s="8">
        <v>43369.755659722221</v>
      </c>
      <c r="B2981" s="11" t="str">
        <f>HYPERLINK("https://twitter.com/iamLeciel","@iamLeciel")</f>
        <v>@iamLeciel</v>
      </c>
      <c r="C2981" s="6" t="s">
        <v>38</v>
      </c>
      <c r="D2981" s="5" t="s">
        <v>67</v>
      </c>
      <c r="E2981" s="9" t="str">
        <f>HYPERLINK("https://twitter.com/iamLeciel/status/1044959313796759552","1044959313796759552")</f>
        <v>1044959313796759552</v>
      </c>
      <c r="F2981" s="4"/>
      <c r="G2981" s="4"/>
      <c r="H2981" s="4"/>
      <c r="I2981" s="10" t="str">
        <f>HYPERLINK("http://twitter.com/download/iphone","Twitter for iPhone")</f>
        <v>Twitter for iPhone</v>
      </c>
      <c r="J2981" s="2">
        <v>26</v>
      </c>
      <c r="K2981" s="2">
        <v>136</v>
      </c>
      <c r="L2981" s="2">
        <v>0</v>
      </c>
      <c r="M2981" s="2"/>
      <c r="N2981" s="8">
        <v>43368.367106481484</v>
      </c>
      <c r="O2981" s="4" t="s">
        <v>36</v>
      </c>
      <c r="P2981" s="3" t="s">
        <v>35</v>
      </c>
      <c r="Q2981" s="4"/>
      <c r="R2981" s="4"/>
      <c r="S2981" s="9" t="str">
        <f>HYPERLINK("https://pbs.twimg.com/profile_images/1044456768053669888/Nv_e5Fb3.jpg","View")</f>
        <v>View</v>
      </c>
    </row>
    <row r="2982" spans="1:19" ht="30">
      <c r="A2982" s="8">
        <v>43369.755196759259</v>
      </c>
      <c r="B2982" s="11" t="str">
        <f>HYPERLINK("https://twitter.com/foottwitte","@foottwitte")</f>
        <v>@foottwitte</v>
      </c>
      <c r="C2982" s="6" t="s">
        <v>66</v>
      </c>
      <c r="D2982" s="5" t="s">
        <v>34</v>
      </c>
      <c r="E2982" s="9" t="str">
        <f>HYPERLINK("https://twitter.com/foottwitte/status/1044959145076641793","1044959145076641793")</f>
        <v>1044959145076641793</v>
      </c>
      <c r="F2982" s="4"/>
      <c r="G2982" s="4"/>
      <c r="H2982" s="4"/>
      <c r="I2982" s="10" t="str">
        <f>HYPERLINK("http://twitter.com/download/android","Twitter for Android")</f>
        <v>Twitter for Android</v>
      </c>
      <c r="J2982" s="2">
        <v>534</v>
      </c>
      <c r="K2982" s="2">
        <v>452</v>
      </c>
      <c r="L2982" s="2">
        <v>4</v>
      </c>
      <c r="M2982" s="2"/>
      <c r="N2982" s="8">
        <v>43250.83594907407</v>
      </c>
      <c r="O2982" s="4" t="s">
        <v>65</v>
      </c>
      <c r="P2982" s="12" t="s">
        <v>64</v>
      </c>
      <c r="Q2982" s="4"/>
      <c r="R2982" s="4"/>
      <c r="S2982" s="9" t="str">
        <f>HYPERLINK("https://pbs.twimg.com/profile_images/1026241000396730368/VXPGgwfk.jpg","View")</f>
        <v>View</v>
      </c>
    </row>
    <row r="2983" spans="1:19" ht="40">
      <c r="A2983" s="8">
        <v>43369.754583333328</v>
      </c>
      <c r="B2983" s="11" t="str">
        <f>HYPERLINK("https://twitter.com/arashdragoo","@arashdragoo")</f>
        <v>@arashdragoo</v>
      </c>
      <c r="C2983" s="6" t="s">
        <v>63</v>
      </c>
      <c r="D2983" s="5" t="s">
        <v>20</v>
      </c>
      <c r="E2983" s="9" t="str">
        <f>HYPERLINK("https://twitter.com/arashdragoo/status/1044958923785203718","1044958923785203718")</f>
        <v>1044958923785203718</v>
      </c>
      <c r="F2983" s="4"/>
      <c r="G2983" s="10" t="s">
        <v>19</v>
      </c>
      <c r="H2983" s="4"/>
      <c r="I2983" s="10" t="str">
        <f>HYPERLINK("http://twitter.com/download/android","Twitter for Android")</f>
        <v>Twitter for Android</v>
      </c>
      <c r="J2983" s="2">
        <v>104</v>
      </c>
      <c r="K2983" s="2">
        <v>164</v>
      </c>
      <c r="L2983" s="2">
        <v>0</v>
      </c>
      <c r="M2983" s="2"/>
      <c r="N2983" s="8">
        <v>42802.493981481486</v>
      </c>
      <c r="O2983" s="4" t="s">
        <v>62</v>
      </c>
      <c r="P2983" s="3" t="s">
        <v>61</v>
      </c>
      <c r="Q2983" s="4"/>
      <c r="R2983" s="4"/>
      <c r="S2983" s="9" t="str">
        <f>HYPERLINK("https://pbs.twimg.com/profile_images/1030082932634013696/rHBBtn9b.jpg","View")</f>
        <v>View</v>
      </c>
    </row>
    <row r="2984" spans="1:19" ht="30">
      <c r="A2984" s="8">
        <v>43369.754398148143</v>
      </c>
      <c r="B2984" s="11" t="str">
        <f>HYPERLINK("https://twitter.com/AmirAmi80593551","@AmirAmi80593551")</f>
        <v>@AmirAmi80593551</v>
      </c>
      <c r="C2984" s="6" t="s">
        <v>60</v>
      </c>
      <c r="D2984" s="5" t="s">
        <v>37</v>
      </c>
      <c r="E2984" s="9" t="str">
        <f>HYPERLINK("https://twitter.com/AmirAmi80593551/status/1044958858056265728","1044958858056265728")</f>
        <v>1044958858056265728</v>
      </c>
      <c r="F2984" s="4"/>
      <c r="G2984" s="4"/>
      <c r="H2984" s="4"/>
      <c r="I2984" s="10" t="str">
        <f>HYPERLINK("http://twitter.com/download/android","Twitter for Android")</f>
        <v>Twitter for Android</v>
      </c>
      <c r="J2984" s="2">
        <v>433</v>
      </c>
      <c r="K2984" s="2">
        <v>224</v>
      </c>
      <c r="L2984" s="2">
        <v>0</v>
      </c>
      <c r="M2984" s="2"/>
      <c r="N2984" s="8">
        <v>43105.079224537039</v>
      </c>
      <c r="O2984" s="4" t="s">
        <v>59</v>
      </c>
      <c r="P2984" s="3" t="s">
        <v>58</v>
      </c>
      <c r="Q2984" s="4"/>
      <c r="R2984" s="4"/>
      <c r="S2984" s="9" t="str">
        <f>HYPERLINK("https://pbs.twimg.com/profile_images/993600761073491968/9ks6QLce.jpg","View")</f>
        <v>View</v>
      </c>
    </row>
    <row r="2985" spans="1:19" ht="30">
      <c r="A2985" s="8">
        <v>43369.753865740742</v>
      </c>
      <c r="B2985" s="11" t="str">
        <f>HYPERLINK("https://twitter.com/elaheahmadi7","@elaheahmadi7")</f>
        <v>@elaheahmadi7</v>
      </c>
      <c r="C2985" s="6" t="s">
        <v>57</v>
      </c>
      <c r="D2985" s="5" t="s">
        <v>56</v>
      </c>
      <c r="E2985" s="9" t="str">
        <f>HYPERLINK("https://twitter.com/elaheahmadi7/status/1044958662547181574","1044958662547181574")</f>
        <v>1044958662547181574</v>
      </c>
      <c r="F2985" s="4"/>
      <c r="G2985" s="4"/>
      <c r="H2985" s="4"/>
      <c r="I2985" s="10" t="str">
        <f>HYPERLINK("http://twitter.com/download/android","Twitter for Android")</f>
        <v>Twitter for Android</v>
      </c>
      <c r="J2985" s="2">
        <v>211</v>
      </c>
      <c r="K2985" s="2">
        <v>145</v>
      </c>
      <c r="L2985" s="2">
        <v>0</v>
      </c>
      <c r="M2985" s="2"/>
      <c r="N2985" s="8">
        <v>42342.702465277776</v>
      </c>
      <c r="O2985" s="4" t="s">
        <v>55</v>
      </c>
      <c r="P2985" s="3" t="s">
        <v>54</v>
      </c>
      <c r="Q2985" s="4"/>
      <c r="R2985" s="4"/>
      <c r="S2985" s="9" t="str">
        <f>HYPERLINK("https://pbs.twimg.com/profile_images/1042729982542458882/DKK7oLqO.jpg","View")</f>
        <v>View</v>
      </c>
    </row>
    <row r="2986" spans="1:19" ht="20">
      <c r="A2986" s="8">
        <v>43369.753460648149</v>
      </c>
      <c r="B2986" s="11" t="str">
        <f>HYPERLINK("https://twitter.com/Beth7876","@Beth7876")</f>
        <v>@Beth7876</v>
      </c>
      <c r="C2986" s="6" t="s">
        <v>53</v>
      </c>
      <c r="D2986" s="5" t="s">
        <v>52</v>
      </c>
      <c r="E2986" s="9" t="str">
        <f>HYPERLINK("https://twitter.com/Beth7876/status/1044958517919023105","1044958517919023105")</f>
        <v>1044958517919023105</v>
      </c>
      <c r="F2986" s="4"/>
      <c r="G2986" s="4"/>
      <c r="H2986" s="4"/>
      <c r="I2986" s="10" t="str">
        <f>HYPERLINK("http://twitter.com/download/android","Twitter for Android")</f>
        <v>Twitter for Android</v>
      </c>
      <c r="J2986" s="2">
        <v>9261</v>
      </c>
      <c r="K2986" s="2">
        <v>1644</v>
      </c>
      <c r="L2986" s="2">
        <v>17</v>
      </c>
      <c r="M2986" s="2"/>
      <c r="N2986" s="8">
        <v>43053.419363425928</v>
      </c>
      <c r="O2986" s="4" t="s">
        <v>10</v>
      </c>
      <c r="P2986" s="3" t="s">
        <v>51</v>
      </c>
      <c r="Q2986" s="4"/>
      <c r="R2986" s="4"/>
      <c r="S2986" s="9" t="str">
        <f>HYPERLINK("https://pbs.twimg.com/profile_images/1043178143933181952/KaP_lpTl.jpg","View")</f>
        <v>View</v>
      </c>
    </row>
    <row r="2987" spans="1:19" ht="40">
      <c r="A2987" s="8">
        <v>43369.753194444449</v>
      </c>
      <c r="B2987" s="11" t="str">
        <f>HYPERLINK("https://twitter.com/AqaErfanKhan","@AqaErfanKhan")</f>
        <v>@AqaErfanKhan</v>
      </c>
      <c r="C2987" s="6" t="s">
        <v>50</v>
      </c>
      <c r="D2987" s="5" t="s">
        <v>49</v>
      </c>
      <c r="E2987" s="9" t="str">
        <f>HYPERLINK("https://twitter.com/AqaErfanKhan/status/1044958421668253697","1044958421668253697")</f>
        <v>1044958421668253697</v>
      </c>
      <c r="F2987" s="4"/>
      <c r="G2987" s="4"/>
      <c r="H2987" s="4"/>
      <c r="I2987" s="10" t="str">
        <f>HYPERLINK("http://twitter.com","Twitter Web Client")</f>
        <v>Twitter Web Client</v>
      </c>
      <c r="J2987" s="2">
        <v>17</v>
      </c>
      <c r="K2987" s="2">
        <v>54</v>
      </c>
      <c r="L2987" s="2">
        <v>0</v>
      </c>
      <c r="M2987" s="2"/>
      <c r="N2987" s="8">
        <v>43366.875092592592</v>
      </c>
      <c r="O2987" s="4" t="s">
        <v>48</v>
      </c>
      <c r="P2987" s="3" t="s">
        <v>47</v>
      </c>
      <c r="Q2987" s="4"/>
      <c r="R2987" s="4"/>
      <c r="S2987" s="9" t="str">
        <f>HYPERLINK("https://pbs.twimg.com/profile_images/1044541044824702977/fuM4Q7UO.jpg","View")</f>
        <v>View</v>
      </c>
    </row>
    <row r="2988" spans="1:19" ht="30">
      <c r="A2988" s="8">
        <v>43369.752928240741</v>
      </c>
      <c r="B2988" s="11" t="str">
        <f>HYPERLINK("https://twitter.com/barandazambot","@barandazambot")</f>
        <v>@barandazambot</v>
      </c>
      <c r="C2988" s="6" t="s">
        <v>46</v>
      </c>
      <c r="D2988" s="5" t="s">
        <v>37</v>
      </c>
      <c r="E2988" s="9" t="str">
        <f>HYPERLINK("https://twitter.com/barandazambot/status/1044958325178167296","1044958325178167296")</f>
        <v>1044958325178167296</v>
      </c>
      <c r="F2988" s="4"/>
      <c r="G2988" s="4"/>
      <c r="H2988" s="4"/>
      <c r="I2988" s="10" t="str">
        <f>HYPERLINK("http://127.0.0.1","barandazambot")</f>
        <v>barandazambot</v>
      </c>
      <c r="J2988" s="2">
        <v>924</v>
      </c>
      <c r="K2988" s="2">
        <v>23</v>
      </c>
      <c r="L2988" s="2">
        <v>2</v>
      </c>
      <c r="M2988" s="2"/>
      <c r="N2988" s="8">
        <v>43293.668993055559</v>
      </c>
      <c r="O2988" s="4" t="s">
        <v>45</v>
      </c>
      <c r="P2988" s="3" t="s">
        <v>44</v>
      </c>
      <c r="Q2988" s="4"/>
      <c r="R2988" s="4"/>
      <c r="S2988" s="9" t="str">
        <f>HYPERLINK("https://pbs.twimg.com/profile_images/1017382724485730305/hGaBNoXG.jpg","View")</f>
        <v>View</v>
      </c>
    </row>
    <row r="2989" spans="1:19" ht="30">
      <c r="A2989" s="8">
        <v>43369.752627314811</v>
      </c>
      <c r="B2989" s="11" t="str">
        <f>HYPERLINK("https://twitter.com/longfeetmother","@longfeetmother")</f>
        <v>@longfeetmother</v>
      </c>
      <c r="C2989" s="6" t="s">
        <v>43</v>
      </c>
      <c r="D2989" s="5" t="s">
        <v>37</v>
      </c>
      <c r="E2989" s="9" t="str">
        <f>HYPERLINK("https://twitter.com/longfeetmother/status/1044958214939443203","1044958214939443203")</f>
        <v>1044958214939443203</v>
      </c>
      <c r="F2989" s="4"/>
      <c r="G2989" s="4"/>
      <c r="H2989" s="4"/>
      <c r="I2989" s="10" t="str">
        <f>HYPERLINK("http://twitter.com","Twitter Web Client")</f>
        <v>Twitter Web Client</v>
      </c>
      <c r="J2989" s="2">
        <v>150</v>
      </c>
      <c r="K2989" s="2">
        <v>449</v>
      </c>
      <c r="L2989" s="2">
        <v>0</v>
      </c>
      <c r="M2989" s="2"/>
      <c r="N2989" s="8">
        <v>42849.110231481478</v>
      </c>
      <c r="O2989" s="4"/>
      <c r="P2989" s="3"/>
      <c r="Q2989" s="4"/>
      <c r="R2989" s="4"/>
      <c r="S2989" s="9" t="str">
        <f>HYPERLINK("https://pbs.twimg.com/profile_images/989658376165474304/cj8HS65C.jpg","View")</f>
        <v>View</v>
      </c>
    </row>
    <row r="2990" spans="1:19" ht="20">
      <c r="A2990" s="8">
        <v>43369.752210648148</v>
      </c>
      <c r="B2990" s="11" t="str">
        <f>HYPERLINK("https://twitter.com/Araam_bAnoo","@Araam_bAnoo")</f>
        <v>@Araam_bAnoo</v>
      </c>
      <c r="C2990" s="6" t="s">
        <v>42</v>
      </c>
      <c r="D2990" s="5" t="s">
        <v>41</v>
      </c>
      <c r="E2990" s="9" t="str">
        <f>HYPERLINK("https://twitter.com/Araam_bAnoo/status/1044958063277604864","1044958063277604864")</f>
        <v>1044958063277604864</v>
      </c>
      <c r="F2990" s="4"/>
      <c r="G2990" s="10" t="s">
        <v>40</v>
      </c>
      <c r="H2990" s="4"/>
      <c r="I2990" s="10" t="str">
        <f>HYPERLINK("http://twitter.com/download/android","Twitter for Android")</f>
        <v>Twitter for Android</v>
      </c>
      <c r="J2990" s="2">
        <v>445</v>
      </c>
      <c r="K2990" s="2">
        <v>63</v>
      </c>
      <c r="L2990" s="2">
        <v>0</v>
      </c>
      <c r="M2990" s="2"/>
      <c r="N2990" s="8">
        <v>43216.882476851853</v>
      </c>
      <c r="O2990" s="4"/>
      <c r="P2990" s="3" t="s">
        <v>39</v>
      </c>
      <c r="Q2990" s="4"/>
      <c r="R2990" s="4"/>
      <c r="S2990" s="9" t="str">
        <f>HYPERLINK("https://pbs.twimg.com/profile_images/1031888794721681408/czy-63Bx.jpg","View")</f>
        <v>View</v>
      </c>
    </row>
    <row r="2991" spans="1:19" ht="30">
      <c r="A2991" s="8">
        <v>43369.751608796301</v>
      </c>
      <c r="B2991" s="11" t="str">
        <f>HYPERLINK("https://twitter.com/iamLeciel","@iamLeciel")</f>
        <v>@iamLeciel</v>
      </c>
      <c r="C2991" s="6" t="s">
        <v>38</v>
      </c>
      <c r="D2991" s="5" t="s">
        <v>37</v>
      </c>
      <c r="E2991" s="9" t="str">
        <f>HYPERLINK("https://twitter.com/iamLeciel/status/1044957845668728832","1044957845668728832")</f>
        <v>1044957845668728832</v>
      </c>
      <c r="F2991" s="4"/>
      <c r="G2991" s="4"/>
      <c r="H2991" s="4"/>
      <c r="I2991" s="10" t="str">
        <f>HYPERLINK("http://twitter.com/download/iphone","Twitter for iPhone")</f>
        <v>Twitter for iPhone</v>
      </c>
      <c r="J2991" s="2">
        <v>26</v>
      </c>
      <c r="K2991" s="2">
        <v>136</v>
      </c>
      <c r="L2991" s="2">
        <v>0</v>
      </c>
      <c r="M2991" s="2"/>
      <c r="N2991" s="8">
        <v>43368.367106481484</v>
      </c>
      <c r="O2991" s="4" t="s">
        <v>36</v>
      </c>
      <c r="P2991" s="3" t="s">
        <v>35</v>
      </c>
      <c r="Q2991" s="4"/>
      <c r="R2991" s="4"/>
      <c r="S2991" s="9" t="str">
        <f>HYPERLINK("https://pbs.twimg.com/profile_images/1044456768053669888/Nv_e5Fb3.jpg","View")</f>
        <v>View</v>
      </c>
    </row>
    <row r="2992" spans="1:19" ht="30">
      <c r="A2992" s="8">
        <v>43369.750046296293</v>
      </c>
      <c r="B2992" s="11" t="str">
        <f>HYPERLINK("https://twitter.com/iliyabehzad77","@iliyabehzad77")</f>
        <v>@iliyabehzad77</v>
      </c>
      <c r="C2992" s="6" t="s">
        <v>21</v>
      </c>
      <c r="D2992" s="5" t="s">
        <v>34</v>
      </c>
      <c r="E2992" s="9" t="str">
        <f>HYPERLINK("https://twitter.com/iliyabehzad77/status/1044957277839593473","1044957277839593473")</f>
        <v>1044957277839593473</v>
      </c>
      <c r="F2992" s="4"/>
      <c r="G2992" s="4"/>
      <c r="H2992" s="4"/>
      <c r="I2992" s="10" t="str">
        <f>HYPERLINK("http://twitter.com/download/android","Twitter for Android")</f>
        <v>Twitter for Android</v>
      </c>
      <c r="J2992" s="2">
        <v>94</v>
      </c>
      <c r="K2992" s="2">
        <v>296</v>
      </c>
      <c r="L2992" s="2">
        <v>0</v>
      </c>
      <c r="M2992" s="2"/>
      <c r="N2992" s="8">
        <v>42955.940532407403</v>
      </c>
      <c r="O2992" s="4"/>
      <c r="P2992" s="3" t="s">
        <v>18</v>
      </c>
      <c r="Q2992" s="4"/>
      <c r="R2992" s="4"/>
      <c r="S2992" s="9" t="str">
        <f>HYPERLINK("https://pbs.twimg.com/profile_images/1027571685363474433/HOYoxdf8.jpg","View")</f>
        <v>View</v>
      </c>
    </row>
    <row r="2993" spans="1:19" ht="40">
      <c r="A2993" s="8">
        <v>43369.749942129631</v>
      </c>
      <c r="B2993" s="11" t="str">
        <f>HYPERLINK("https://twitter.com/Solo73755789","@Solo73755789")</f>
        <v>@Solo73755789</v>
      </c>
      <c r="C2993" s="6" t="s">
        <v>33</v>
      </c>
      <c r="D2993" s="5" t="s">
        <v>32</v>
      </c>
      <c r="E2993" s="9" t="str">
        <f>HYPERLINK("https://twitter.com/Solo73755789/status/1044957240518742016","1044957240518742016")</f>
        <v>1044957240518742016</v>
      </c>
      <c r="F2993" s="4"/>
      <c r="G2993" s="4"/>
      <c r="H2993" s="4"/>
      <c r="I2993" s="10" t="str">
        <f>HYPERLINK("http://twitter.com/download/iphone","Twitter for iPhone")</f>
        <v>Twitter for iPhone</v>
      </c>
      <c r="J2993" s="2">
        <v>19</v>
      </c>
      <c r="K2993" s="2">
        <v>39</v>
      </c>
      <c r="L2993" s="2">
        <v>1</v>
      </c>
      <c r="M2993" s="2"/>
      <c r="N2993" s="8">
        <v>43333.86854166667</v>
      </c>
      <c r="O2993" s="4" t="s">
        <v>31</v>
      </c>
      <c r="P2993" s="3"/>
      <c r="Q2993" s="4"/>
      <c r="R2993" s="4"/>
      <c r="S2993" s="9" t="str">
        <f>HYPERLINK("https://pbs.twimg.com/profile_images/1031939891385573382/vSzqD1Nu.jpg","View")</f>
        <v>View</v>
      </c>
    </row>
    <row r="2994" spans="1:19" ht="40">
      <c r="A2994" s="8">
        <v>43369.749814814815</v>
      </c>
      <c r="B2994" s="11" t="str">
        <f>HYPERLINK("https://twitter.com/Ava8_7","@Ava8_7")</f>
        <v>@Ava8_7</v>
      </c>
      <c r="C2994" s="6" t="s">
        <v>30</v>
      </c>
      <c r="D2994" s="5" t="s">
        <v>29</v>
      </c>
      <c r="E2994" s="9" t="str">
        <f>HYPERLINK("https://twitter.com/Ava8_7/status/1044957197325733889","1044957197325733889")</f>
        <v>1044957197325733889</v>
      </c>
      <c r="F2994" s="4"/>
      <c r="G2994" s="10" t="s">
        <v>28</v>
      </c>
      <c r="H2994" s="4"/>
      <c r="I2994" s="10" t="str">
        <f>HYPERLINK("http://twitter.com/download/iphone","Twitter for iPhone")</f>
        <v>Twitter for iPhone</v>
      </c>
      <c r="J2994" s="2">
        <v>840</v>
      </c>
      <c r="K2994" s="2">
        <v>527</v>
      </c>
      <c r="L2994" s="2">
        <v>5</v>
      </c>
      <c r="M2994" s="2"/>
      <c r="N2994" s="8">
        <v>42988.931747685187</v>
      </c>
      <c r="O2994" s="4" t="s">
        <v>27</v>
      </c>
      <c r="P2994" s="3" t="s">
        <v>26</v>
      </c>
      <c r="Q2994" s="10" t="s">
        <v>25</v>
      </c>
      <c r="R2994" s="4"/>
      <c r="S2994" s="9" t="str">
        <f>HYPERLINK("https://pbs.twimg.com/profile_images/1041577579742945280/rmzyk-a5.jpg","View")</f>
        <v>View</v>
      </c>
    </row>
    <row r="2995" spans="1:19" ht="40">
      <c r="A2995" s="8">
        <v>43369.749236111107</v>
      </c>
      <c r="B2995" s="11" t="str">
        <f>HYPERLINK("https://twitter.com/7eb0f7239f064c5","@7eb0f7239f064c5")</f>
        <v>@7eb0f7239f064c5</v>
      </c>
      <c r="C2995" s="6" t="s">
        <v>24</v>
      </c>
      <c r="D2995" s="5" t="s">
        <v>20</v>
      </c>
      <c r="E2995" s="9" t="str">
        <f>HYPERLINK("https://twitter.com/7eb0f7239f064c5/status/1044956985379237895","1044956985379237895")</f>
        <v>1044956985379237895</v>
      </c>
      <c r="F2995" s="4"/>
      <c r="G2995" s="10" t="s">
        <v>19</v>
      </c>
      <c r="H2995" s="4"/>
      <c r="I2995" s="10" t="str">
        <f>HYPERLINK("http://twitter.com/download/android","Twitter for Android")</f>
        <v>Twitter for Android</v>
      </c>
      <c r="J2995" s="2">
        <v>282</v>
      </c>
      <c r="K2995" s="2">
        <v>638</v>
      </c>
      <c r="L2995" s="2">
        <v>1</v>
      </c>
      <c r="M2995" s="2"/>
      <c r="N2995" s="8">
        <v>42126.486932870372</v>
      </c>
      <c r="O2995" s="4" t="s">
        <v>23</v>
      </c>
      <c r="P2995" s="3" t="s">
        <v>22</v>
      </c>
      <c r="Q2995" s="4"/>
      <c r="R2995" s="4"/>
      <c r="S2995" s="9" t="str">
        <f>HYPERLINK("https://pbs.twimg.com/profile_images/1043162993129746442/xo4jB5Xl.jpg","View")</f>
        <v>View</v>
      </c>
    </row>
    <row r="2996" spans="1:19" ht="40">
      <c r="A2996" s="8">
        <v>43369.749120370368</v>
      </c>
      <c r="B2996" s="11" t="str">
        <f>HYPERLINK("https://twitter.com/iliyabehzad77","@iliyabehzad77")</f>
        <v>@iliyabehzad77</v>
      </c>
      <c r="C2996" s="6" t="s">
        <v>21</v>
      </c>
      <c r="D2996" s="5" t="s">
        <v>20</v>
      </c>
      <c r="E2996" s="9" t="str">
        <f>HYPERLINK("https://twitter.com/iliyabehzad77/status/1044956944648343553","1044956944648343553")</f>
        <v>1044956944648343553</v>
      </c>
      <c r="F2996" s="4"/>
      <c r="G2996" s="10" t="s">
        <v>19</v>
      </c>
      <c r="H2996" s="4"/>
      <c r="I2996" s="10" t="str">
        <f>HYPERLINK("http://twitter.com/download/android","Twitter for Android")</f>
        <v>Twitter for Android</v>
      </c>
      <c r="J2996" s="2">
        <v>94</v>
      </c>
      <c r="K2996" s="2">
        <v>296</v>
      </c>
      <c r="L2996" s="2">
        <v>0</v>
      </c>
      <c r="M2996" s="2"/>
      <c r="N2996" s="8">
        <v>42955.940532407403</v>
      </c>
      <c r="O2996" s="4"/>
      <c r="P2996" s="3" t="s">
        <v>18</v>
      </c>
      <c r="Q2996" s="4"/>
      <c r="R2996" s="4"/>
      <c r="S2996" s="9" t="str">
        <f>HYPERLINK("https://pbs.twimg.com/profile_images/1027571685363474433/HOYoxdf8.jpg","View")</f>
        <v>View</v>
      </c>
    </row>
    <row r="2997" spans="1:19" ht="12.5">
      <c r="A2997" s="8">
        <v>43369.748530092591</v>
      </c>
      <c r="B2997" s="11" t="str">
        <f>HYPERLINK("https://twitter.com/ERFAN_SALAME","@ERFAN_SALAME")</f>
        <v>@ERFAN_SALAME</v>
      </c>
      <c r="C2997" s="6" t="s">
        <v>17</v>
      </c>
      <c r="D2997" s="5" t="s">
        <v>16</v>
      </c>
      <c r="E2997" s="9" t="str">
        <f>HYPERLINK("https://twitter.com/ERFAN_SALAME/status/1044956730789113856","1044956730789113856")</f>
        <v>1044956730789113856</v>
      </c>
      <c r="F2997" s="4"/>
      <c r="G2997" s="10" t="s">
        <v>15</v>
      </c>
      <c r="H2997" s="4"/>
      <c r="I2997" s="10" t="str">
        <f>HYPERLINK("http://twitter.com/download/android","Twitter for Android")</f>
        <v>Twitter for Android</v>
      </c>
      <c r="J2997" s="2">
        <v>9</v>
      </c>
      <c r="K2997" s="2">
        <v>16</v>
      </c>
      <c r="L2997" s="2">
        <v>0</v>
      </c>
      <c r="M2997" s="2"/>
      <c r="N2997" s="8">
        <v>43315.948518518519</v>
      </c>
      <c r="O2997" s="4" t="s">
        <v>14</v>
      </c>
      <c r="P2997" s="3"/>
      <c r="Q2997" s="4"/>
      <c r="R2997" s="4"/>
      <c r="S2997" s="9" t="str">
        <f>HYPERLINK("https://pbs.twimg.com/profile_images/1034183459466629122/i4JYMDK-.jpg","View")</f>
        <v>View</v>
      </c>
    </row>
    <row r="2998" spans="1:19" ht="12.5">
      <c r="A2998" s="8">
        <v>43369.747824074075</v>
      </c>
      <c r="B2998" s="11" t="str">
        <f>HYPERLINK("https://twitter.com/locked_in_Body","@locked_in_Body")</f>
        <v>@locked_in_Body</v>
      </c>
      <c r="C2998" s="6" t="s">
        <v>13</v>
      </c>
      <c r="D2998" s="5" t="s">
        <v>12</v>
      </c>
      <c r="E2998" s="9" t="str">
        <f>HYPERLINK("https://twitter.com/locked_in_Body/status/1044956473397268480","1044956473397268480")</f>
        <v>1044956473397268480</v>
      </c>
      <c r="F2998" s="4"/>
      <c r="G2998" s="10" t="s">
        <v>11</v>
      </c>
      <c r="H2998" s="4"/>
      <c r="I2998" s="10" t="str">
        <f>HYPERLINK("http://twitter.com/download/android","Twitter for Android")</f>
        <v>Twitter for Android</v>
      </c>
      <c r="J2998" s="2">
        <v>172</v>
      </c>
      <c r="K2998" s="2">
        <v>418</v>
      </c>
      <c r="L2998" s="2">
        <v>1</v>
      </c>
      <c r="M2998" s="2"/>
      <c r="N2998" s="8">
        <v>42876.74790509259</v>
      </c>
      <c r="O2998" s="4" t="s">
        <v>10</v>
      </c>
      <c r="P2998" s="3" t="s">
        <v>9</v>
      </c>
      <c r="Q2998" s="4"/>
      <c r="R2998" s="4"/>
      <c r="S2998" s="9" t="str">
        <f>HYPERLINK("https://pbs.twimg.com/profile_images/866288619979505665/rK8lJQwj.jpg","View")</f>
        <v>View</v>
      </c>
    </row>
    <row r="2999" spans="1:19" ht="30">
      <c r="A2999" s="8">
        <v>43369.747766203705</v>
      </c>
      <c r="B2999" s="11" t="str">
        <f>HYPERLINK("https://twitter.com/yakyakishon","@yakyakishon")</f>
        <v>@yakyakishon</v>
      </c>
      <c r="C2999" s="6" t="s">
        <v>8</v>
      </c>
      <c r="D2999" s="5" t="s">
        <v>7</v>
      </c>
      <c r="E2999" s="9" t="str">
        <f>HYPERLINK("https://twitter.com/yakyakishon/status/1044956454879399936","1044956454879399936")</f>
        <v>1044956454879399936</v>
      </c>
      <c r="F2999" s="4"/>
      <c r="G2999" s="4"/>
      <c r="H2999" s="4"/>
      <c r="I2999" s="10" t="str">
        <f>HYPERLINK("http://twitter.com/download/android","Twitter for Android")</f>
        <v>Twitter for Android</v>
      </c>
      <c r="J2999" s="2">
        <v>55</v>
      </c>
      <c r="K2999" s="2">
        <v>62</v>
      </c>
      <c r="L2999" s="2">
        <v>1</v>
      </c>
      <c r="M2999" s="2"/>
      <c r="N2999" s="8">
        <v>42655.064988425926</v>
      </c>
      <c r="O2999" s="4" t="s">
        <v>6</v>
      </c>
      <c r="P2999" s="3" t="s">
        <v>5</v>
      </c>
      <c r="Q2999" s="10" t="s">
        <v>4</v>
      </c>
      <c r="R2999" s="4"/>
      <c r="S2999" s="9" t="str">
        <f>HYPERLINK("https://pbs.twimg.com/profile_images/951191730686177280/mhXOUg1C.jpg","View")</f>
        <v>View</v>
      </c>
    </row>
    <row r="3000" spans="1:19" ht="30">
      <c r="A3000" s="8">
        <v>43369.747592592597</v>
      </c>
      <c r="B3000" s="11" t="str">
        <f>HYPERLINK("https://twitter.com/kkkm69","@kkkm69")</f>
        <v>@kkkm69</v>
      </c>
      <c r="C3000" s="6" t="s">
        <v>3</v>
      </c>
      <c r="D3000" s="5" t="s">
        <v>2</v>
      </c>
      <c r="E3000" s="9" t="str">
        <f>HYPERLINK("https://twitter.com/kkkm69/status/1044956388613607425","1044956388613607425")</f>
        <v>1044956388613607425</v>
      </c>
      <c r="F3000" s="4"/>
      <c r="G3000" s="4"/>
      <c r="H3000" s="4"/>
      <c r="I3000" s="10" t="str">
        <f>HYPERLINK("http://twitter.com/download/android","Twitter for Android")</f>
        <v>Twitter for Android</v>
      </c>
      <c r="J3000" s="2">
        <v>76</v>
      </c>
      <c r="K3000" s="2">
        <v>549</v>
      </c>
      <c r="L3000" s="2">
        <v>0</v>
      </c>
      <c r="M3000" s="2"/>
      <c r="N3000" s="8">
        <v>43321.433749999997</v>
      </c>
      <c r="O3000" s="4" t="s">
        <v>1</v>
      </c>
      <c r="P3000" s="3" t="s">
        <v>0</v>
      </c>
      <c r="Q3000" s="4"/>
      <c r="R3000" s="4"/>
      <c r="S3000" s="9" t="str">
        <f>HYPERLINK("https://pbs.twimg.com/profile_images/1029601075110834176/NRpLqyd5.jpg","View")</f>
        <v>View</v>
      </c>
    </row>
    <row r="3001" spans="1:19" ht="12.5">
      <c r="A3001" s="8"/>
      <c r="B3001" s="6"/>
      <c r="C3001" s="6"/>
      <c r="D3001" s="5"/>
      <c r="E3001" s="2"/>
      <c r="F3001" s="4"/>
      <c r="G3001" s="4"/>
      <c r="H3001" s="4"/>
      <c r="I3001" s="4"/>
      <c r="J3001" s="2"/>
      <c r="K3001" s="2"/>
      <c r="L3001" s="2"/>
      <c r="M3001" s="2"/>
      <c r="N3001" s="8"/>
      <c r="O3001" s="4"/>
      <c r="P3001" s="3"/>
      <c r="Q3001" s="4"/>
      <c r="R3001" s="4"/>
      <c r="S3001" s="2"/>
    </row>
    <row r="3002" spans="1:19" ht="12.5">
      <c r="A3002" s="7"/>
      <c r="B3002" s="6"/>
      <c r="C3002" s="6"/>
      <c r="D3002" s="5"/>
      <c r="E3002" s="2"/>
      <c r="F3002" s="2"/>
      <c r="G3002" s="2"/>
      <c r="H3002" s="2"/>
      <c r="I3002" s="2"/>
      <c r="J3002" s="2"/>
      <c r="K3002" s="2"/>
      <c r="L3002" s="2"/>
      <c r="M3002" s="2"/>
      <c r="N3002" s="2"/>
      <c r="O3002" s="4"/>
      <c r="P3002" s="3"/>
      <c r="Q3002" s="2"/>
      <c r="R3002" s="2"/>
      <c r="S3002" s="2"/>
    </row>
    <row r="3003" spans="1:19" ht="12.5">
      <c r="A3003" s="7"/>
      <c r="B3003" s="6"/>
      <c r="C3003" s="6"/>
      <c r="D3003" s="5"/>
      <c r="E3003" s="2"/>
      <c r="F3003" s="2"/>
      <c r="G3003" s="2"/>
      <c r="H3003" s="2"/>
      <c r="I3003" s="2"/>
      <c r="J3003" s="2"/>
      <c r="K3003" s="2"/>
      <c r="L3003" s="2"/>
      <c r="M3003" s="2"/>
      <c r="N3003" s="2"/>
      <c r="O3003" s="4"/>
      <c r="P3003" s="3"/>
      <c r="Q3003" s="2"/>
      <c r="R3003" s="2"/>
      <c r="S3003" s="2"/>
    </row>
    <row r="3004" spans="1:19" ht="12.5">
      <c r="A3004" s="7"/>
      <c r="B3004" s="6"/>
      <c r="C3004" s="6"/>
      <c r="D3004" s="5"/>
      <c r="E3004" s="2"/>
      <c r="F3004" s="2"/>
      <c r="G3004" s="2"/>
      <c r="H3004" s="2"/>
      <c r="I3004" s="2"/>
      <c r="J3004" s="2"/>
      <c r="K3004" s="2"/>
      <c r="L3004" s="2"/>
      <c r="M3004" s="2"/>
      <c r="N3004" s="2"/>
      <c r="O3004" s="4"/>
      <c r="P3004" s="3"/>
      <c r="Q3004" s="2"/>
      <c r="R3004" s="2"/>
      <c r="S3004" s="2"/>
    </row>
    <row r="3005" spans="1:19" ht="12.5">
      <c r="A3005" s="7"/>
      <c r="B3005" s="6"/>
      <c r="C3005" s="6"/>
      <c r="D3005" s="5"/>
      <c r="E3005" s="2"/>
      <c r="F3005" s="2"/>
      <c r="G3005" s="2"/>
      <c r="H3005" s="2"/>
      <c r="I3005" s="2"/>
      <c r="J3005" s="2"/>
      <c r="K3005" s="2"/>
      <c r="L3005" s="2"/>
      <c r="M3005" s="2"/>
      <c r="N3005" s="2"/>
      <c r="O3005" s="4"/>
      <c r="P3005" s="3"/>
      <c r="Q3005" s="2"/>
      <c r="R3005" s="2"/>
      <c r="S3005" s="2"/>
    </row>
    <row r="3006" spans="1:19" ht="12.5">
      <c r="A3006" s="7"/>
      <c r="B3006" s="6"/>
      <c r="C3006" s="6"/>
      <c r="D3006" s="5"/>
      <c r="E3006" s="2"/>
      <c r="F3006" s="2"/>
      <c r="G3006" s="2"/>
      <c r="H3006" s="2"/>
      <c r="I3006" s="2"/>
      <c r="J3006" s="2"/>
      <c r="K3006" s="2"/>
      <c r="L3006" s="2"/>
      <c r="M3006" s="2"/>
      <c r="N3006" s="2"/>
      <c r="O3006" s="4"/>
      <c r="P3006" s="3"/>
      <c r="Q3006" s="2"/>
      <c r="R3006" s="2"/>
      <c r="S3006" s="2"/>
    </row>
    <row r="3007" spans="1:19" ht="12.5">
      <c r="A3007" s="7"/>
      <c r="B3007" s="6"/>
      <c r="C3007" s="6"/>
      <c r="D3007" s="5"/>
      <c r="E3007" s="2"/>
      <c r="F3007" s="2"/>
      <c r="G3007" s="2"/>
      <c r="H3007" s="2"/>
      <c r="I3007" s="2"/>
      <c r="J3007" s="2"/>
      <c r="K3007" s="2"/>
      <c r="L3007" s="2"/>
      <c r="M3007" s="2"/>
      <c r="N3007" s="2"/>
      <c r="O3007" s="4"/>
      <c r="P3007" s="3"/>
      <c r="Q3007" s="2"/>
      <c r="R3007" s="2"/>
      <c r="S3007" s="2"/>
    </row>
    <row r="3008" spans="1:19" ht="12.5">
      <c r="A3008" s="2"/>
      <c r="B3008" s="6"/>
      <c r="C3008" s="6"/>
      <c r="D3008" s="5"/>
      <c r="E3008" s="2"/>
      <c r="F3008" s="2"/>
      <c r="G3008" s="2"/>
      <c r="H3008" s="2"/>
      <c r="I3008" s="2"/>
      <c r="J3008" s="2"/>
      <c r="K3008" s="2"/>
      <c r="L3008" s="2"/>
      <c r="M3008" s="2"/>
      <c r="N3008" s="2"/>
      <c r="O3008" s="4"/>
      <c r="P3008" s="3"/>
      <c r="Q3008" s="2"/>
      <c r="R3008" s="2"/>
      <c r="S3008" s="2"/>
    </row>
    <row r="3009" spans="1:19" ht="12.5">
      <c r="A3009" s="7"/>
      <c r="B3009" s="6"/>
      <c r="C3009" s="6"/>
      <c r="D3009" s="5"/>
      <c r="E3009" s="2"/>
      <c r="F3009" s="2"/>
      <c r="G3009" s="2"/>
      <c r="H3009" s="2"/>
      <c r="I3009" s="2"/>
      <c r="J3009" s="2"/>
      <c r="K3009" s="2"/>
      <c r="L3009" s="2"/>
      <c r="M3009" s="2"/>
      <c r="N3009" s="2"/>
      <c r="O3009" s="4"/>
      <c r="P3009" s="3"/>
      <c r="Q3009" s="2"/>
      <c r="R3009" s="2"/>
      <c r="S3009" s="2"/>
    </row>
    <row r="3010" spans="1:19" ht="12.5">
      <c r="A3010" s="7"/>
      <c r="B3010" s="6"/>
      <c r="C3010" s="6"/>
      <c r="D3010" s="5"/>
      <c r="E3010" s="2"/>
      <c r="F3010" s="2"/>
      <c r="G3010" s="2"/>
      <c r="H3010" s="2"/>
      <c r="I3010" s="2"/>
      <c r="J3010" s="2"/>
      <c r="K3010" s="2"/>
      <c r="L3010" s="2"/>
      <c r="M3010" s="2"/>
      <c r="N3010" s="2"/>
      <c r="O3010" s="4"/>
      <c r="P3010" s="3"/>
      <c r="Q3010" s="2"/>
      <c r="R3010" s="2"/>
      <c r="S3010" s="2"/>
    </row>
    <row r="3011" spans="1:19" ht="12.5">
      <c r="A3011" s="7"/>
      <c r="B3011" s="6"/>
      <c r="C3011" s="6"/>
      <c r="D3011" s="5"/>
      <c r="E3011" s="2"/>
      <c r="F3011" s="2"/>
      <c r="G3011" s="2"/>
      <c r="H3011" s="2"/>
      <c r="I3011" s="2"/>
      <c r="J3011" s="2"/>
      <c r="K3011" s="2"/>
      <c r="L3011" s="2"/>
      <c r="M3011" s="2"/>
      <c r="N3011" s="2"/>
      <c r="O3011" s="4"/>
      <c r="P3011" s="3"/>
      <c r="Q3011" s="2"/>
      <c r="R3011" s="2"/>
      <c r="S3011" s="2"/>
    </row>
    <row r="3012" spans="1:19" ht="12.5">
      <c r="A3012" s="7"/>
      <c r="B3012" s="6"/>
      <c r="C3012" s="6"/>
      <c r="D3012" s="5"/>
      <c r="E3012" s="2"/>
      <c r="F3012" s="2"/>
      <c r="G3012" s="2"/>
      <c r="H3012" s="2"/>
      <c r="I3012" s="2"/>
      <c r="J3012" s="2"/>
      <c r="K3012" s="2"/>
      <c r="L3012" s="2"/>
      <c r="M3012" s="2"/>
      <c r="N3012" s="2"/>
      <c r="O3012" s="4"/>
      <c r="P3012" s="3"/>
      <c r="Q3012" s="2"/>
      <c r="R3012" s="2"/>
      <c r="S3012" s="2"/>
    </row>
    <row r="3013" spans="1:19" ht="12.5">
      <c r="A3013" s="7"/>
      <c r="B3013" s="6"/>
      <c r="C3013" s="6"/>
      <c r="D3013" s="5"/>
      <c r="E3013" s="2"/>
      <c r="F3013" s="2"/>
      <c r="G3013" s="2"/>
      <c r="H3013" s="2"/>
      <c r="I3013" s="2"/>
      <c r="J3013" s="2"/>
      <c r="K3013" s="2"/>
      <c r="L3013" s="2"/>
      <c r="M3013" s="2"/>
      <c r="N3013" s="2"/>
      <c r="O3013" s="4"/>
      <c r="P3013" s="3"/>
      <c r="Q3013" s="2"/>
      <c r="R3013" s="2"/>
      <c r="S3013" s="2"/>
    </row>
    <row r="3014" spans="1:19" ht="12.5">
      <c r="A3014" s="7"/>
      <c r="B3014" s="6"/>
      <c r="C3014" s="6"/>
      <c r="D3014" s="5"/>
      <c r="E3014" s="2"/>
      <c r="F3014" s="2"/>
      <c r="G3014" s="2"/>
      <c r="H3014" s="2"/>
      <c r="I3014" s="2"/>
      <c r="J3014" s="2"/>
      <c r="K3014" s="2"/>
      <c r="L3014" s="2"/>
      <c r="M3014" s="2"/>
      <c r="N3014" s="2"/>
      <c r="O3014" s="4"/>
      <c r="P3014" s="3"/>
      <c r="Q3014" s="2"/>
      <c r="R3014" s="2"/>
      <c r="S3014" s="2"/>
    </row>
    <row r="3015" spans="1:19" ht="12.5">
      <c r="A3015" s="7"/>
      <c r="B3015" s="6"/>
      <c r="C3015" s="6"/>
      <c r="D3015" s="5"/>
      <c r="E3015" s="2"/>
      <c r="F3015" s="2"/>
      <c r="G3015" s="2"/>
      <c r="H3015" s="2"/>
      <c r="I3015" s="2"/>
      <c r="J3015" s="2"/>
      <c r="K3015" s="2"/>
      <c r="L3015" s="2"/>
      <c r="M3015" s="2"/>
      <c r="N3015" s="2"/>
      <c r="O3015" s="4"/>
      <c r="P3015" s="3"/>
      <c r="Q3015" s="2"/>
      <c r="R3015" s="2"/>
      <c r="S3015" s="2"/>
    </row>
    <row r="3016" spans="1:19" ht="12.5">
      <c r="A3016" s="7"/>
      <c r="B3016" s="6"/>
      <c r="C3016" s="6"/>
      <c r="D3016" s="5"/>
      <c r="E3016" s="2"/>
      <c r="F3016" s="2"/>
      <c r="G3016" s="2"/>
      <c r="H3016" s="2"/>
      <c r="I3016" s="2"/>
      <c r="J3016" s="2"/>
      <c r="K3016" s="2"/>
      <c r="L3016" s="2"/>
      <c r="M3016" s="2"/>
      <c r="N3016" s="2"/>
      <c r="O3016" s="4"/>
      <c r="P3016" s="3"/>
      <c r="Q3016" s="2"/>
      <c r="R3016" s="2"/>
      <c r="S3016" s="2"/>
    </row>
    <row r="3017" spans="1:19" ht="12.5">
      <c r="A3017" s="7"/>
      <c r="B3017" s="6"/>
      <c r="C3017" s="6"/>
      <c r="D3017" s="5"/>
      <c r="E3017" s="2"/>
      <c r="F3017" s="2"/>
      <c r="G3017" s="2"/>
      <c r="H3017" s="2"/>
      <c r="I3017" s="2"/>
      <c r="J3017" s="2"/>
      <c r="K3017" s="2"/>
      <c r="L3017" s="2"/>
      <c r="M3017" s="2"/>
      <c r="N3017" s="2"/>
      <c r="O3017" s="4"/>
      <c r="P3017" s="3"/>
      <c r="Q3017" s="2"/>
      <c r="R3017" s="2"/>
      <c r="S3017" s="2"/>
    </row>
    <row r="3018" spans="1:19" ht="12.5">
      <c r="A3018" s="7"/>
      <c r="B3018" s="6"/>
      <c r="C3018" s="6"/>
      <c r="D3018" s="5"/>
      <c r="E3018" s="2"/>
      <c r="F3018" s="2"/>
      <c r="G3018" s="2"/>
      <c r="H3018" s="2"/>
      <c r="I3018" s="2"/>
      <c r="J3018" s="2"/>
      <c r="K3018" s="2"/>
      <c r="L3018" s="2"/>
      <c r="M3018" s="2"/>
      <c r="N3018" s="2"/>
      <c r="O3018" s="4"/>
      <c r="P3018" s="3"/>
      <c r="Q3018" s="2"/>
      <c r="R3018" s="2"/>
      <c r="S3018" s="2"/>
    </row>
    <row r="3019" spans="1:19" ht="12.5">
      <c r="A3019" s="7"/>
      <c r="B3019" s="6"/>
      <c r="C3019" s="6"/>
      <c r="D3019" s="5"/>
      <c r="E3019" s="2"/>
      <c r="F3019" s="2"/>
      <c r="G3019" s="2"/>
      <c r="H3019" s="2"/>
      <c r="I3019" s="2"/>
      <c r="J3019" s="2"/>
      <c r="K3019" s="2"/>
      <c r="L3019" s="2"/>
      <c r="M3019" s="2"/>
      <c r="N3019" s="2"/>
      <c r="O3019" s="4"/>
      <c r="P3019" s="3"/>
      <c r="Q3019" s="2"/>
      <c r="R3019" s="2"/>
      <c r="S3019" s="2"/>
    </row>
    <row r="3020" spans="1:19" ht="12.5">
      <c r="A3020" s="7"/>
      <c r="B3020" s="6"/>
      <c r="C3020" s="6"/>
      <c r="D3020" s="5"/>
      <c r="E3020" s="2"/>
      <c r="F3020" s="2"/>
      <c r="G3020" s="2"/>
      <c r="H3020" s="2"/>
      <c r="I3020" s="2"/>
      <c r="J3020" s="2"/>
      <c r="K3020" s="2"/>
      <c r="L3020" s="2"/>
      <c r="M3020" s="2"/>
      <c r="N3020" s="2"/>
      <c r="O3020" s="4"/>
      <c r="P3020" s="3"/>
      <c r="Q3020" s="2"/>
      <c r="R3020" s="2"/>
      <c r="S3020" s="2"/>
    </row>
    <row r="3021" spans="1:19" ht="12.5">
      <c r="A3021" s="7"/>
      <c r="B3021" s="6"/>
      <c r="C3021" s="6"/>
      <c r="D3021" s="5"/>
      <c r="E3021" s="2"/>
      <c r="F3021" s="2"/>
      <c r="G3021" s="2"/>
      <c r="H3021" s="2"/>
      <c r="I3021" s="2"/>
      <c r="J3021" s="2"/>
      <c r="K3021" s="2"/>
      <c r="L3021" s="2"/>
      <c r="M3021" s="2"/>
      <c r="N3021" s="2"/>
      <c r="O3021" s="4"/>
      <c r="P3021" s="3"/>
      <c r="Q3021" s="2"/>
      <c r="R3021" s="2"/>
      <c r="S3021" s="2"/>
    </row>
    <row r="3022" spans="1:19" ht="12.5">
      <c r="A3022" s="7"/>
      <c r="B3022" s="6"/>
      <c r="C3022" s="6"/>
      <c r="D3022" s="5"/>
      <c r="E3022" s="2"/>
      <c r="F3022" s="2"/>
      <c r="G3022" s="2"/>
      <c r="H3022" s="2"/>
      <c r="I3022" s="2"/>
      <c r="J3022" s="2"/>
      <c r="K3022" s="2"/>
      <c r="L3022" s="2"/>
      <c r="M3022" s="2"/>
      <c r="N3022" s="2"/>
      <c r="O3022" s="4"/>
      <c r="P3022" s="3"/>
      <c r="Q3022" s="2"/>
      <c r="R3022" s="2"/>
      <c r="S3022" s="2"/>
    </row>
    <row r="3023" spans="1:19" ht="12.5">
      <c r="A3023" s="7"/>
      <c r="B3023" s="6"/>
      <c r="C3023" s="6"/>
      <c r="D3023" s="5"/>
      <c r="E3023" s="2"/>
      <c r="F3023" s="2"/>
      <c r="G3023" s="2"/>
      <c r="H3023" s="2"/>
      <c r="I3023" s="2"/>
      <c r="J3023" s="2"/>
      <c r="K3023" s="2"/>
      <c r="L3023" s="2"/>
      <c r="M3023" s="2"/>
      <c r="N3023" s="2"/>
      <c r="O3023" s="4"/>
      <c r="P3023" s="3"/>
      <c r="Q3023" s="2"/>
      <c r="R3023" s="2"/>
      <c r="S3023" s="2"/>
    </row>
  </sheetData>
  <hyperlinks>
    <hyperlink ref="Q2" r:id="rId1"/>
    <hyperlink ref="G3" r:id="rId2"/>
    <hyperlink ref="F5" r:id="rId3"/>
    <hyperlink ref="O5" r:id="rId4"/>
    <hyperlink ref="P5" r:id="rId5"/>
    <hyperlink ref="Q5" r:id="rId6"/>
    <hyperlink ref="G6" r:id="rId7"/>
    <hyperlink ref="F7" r:id="rId8"/>
    <hyperlink ref="O7" r:id="rId9"/>
    <hyperlink ref="P7" r:id="rId10"/>
    <hyperlink ref="Q7" r:id="rId11"/>
    <hyperlink ref="Q8" r:id="rId12"/>
    <hyperlink ref="F12" r:id="rId13"/>
    <hyperlink ref="G12" r:id="rId14"/>
    <hyperlink ref="Q16" r:id="rId15"/>
    <hyperlink ref="G18" r:id="rId16"/>
    <hyperlink ref="Q18" r:id="rId17"/>
    <hyperlink ref="Q23" r:id="rId18"/>
    <hyperlink ref="Q25" r:id="rId19"/>
    <hyperlink ref="Q26" r:id="rId20"/>
    <hyperlink ref="G30" r:id="rId21"/>
    <hyperlink ref="Q32" r:id="rId22"/>
    <hyperlink ref="F34" r:id="rId23"/>
    <hyperlink ref="Q34" r:id="rId24"/>
    <hyperlink ref="G35" r:id="rId25"/>
    <hyperlink ref="Q38" r:id="rId26"/>
    <hyperlink ref="F39" r:id="rId27"/>
    <hyperlink ref="G39" r:id="rId28"/>
    <hyperlink ref="Q39" r:id="rId29"/>
    <hyperlink ref="G40" r:id="rId30"/>
    <hyperlink ref="Q42" r:id="rId31"/>
    <hyperlink ref="F43" r:id="rId32"/>
    <hyperlink ref="G43" r:id="rId33"/>
    <hyperlink ref="Q43" r:id="rId34"/>
    <hyperlink ref="G45" r:id="rId35"/>
    <hyperlink ref="G46" r:id="rId36"/>
    <hyperlink ref="G49" r:id="rId37"/>
    <hyperlink ref="Q50" r:id="rId38"/>
    <hyperlink ref="G51" r:id="rId39"/>
    <hyperlink ref="Q51" r:id="rId40"/>
    <hyperlink ref="Q52" r:id="rId41"/>
    <hyperlink ref="Q53" r:id="rId42"/>
    <hyperlink ref="F55" r:id="rId43"/>
    <hyperlink ref="G55" r:id="rId44"/>
    <hyperlink ref="Q55" r:id="rId45"/>
    <hyperlink ref="G56" r:id="rId46"/>
    <hyperlink ref="P59" r:id="rId47"/>
    <hyperlink ref="G60" r:id="rId48"/>
    <hyperlink ref="F62" r:id="rId49"/>
    <hyperlink ref="G62" r:id="rId50"/>
    <hyperlink ref="F64" r:id="rId51"/>
    <hyperlink ref="Q64" r:id="rId52"/>
    <hyperlink ref="G65" r:id="rId53"/>
    <hyperlink ref="Q65" r:id="rId54"/>
    <hyperlink ref="G68" r:id="rId55"/>
    <hyperlink ref="G70" r:id="rId56"/>
    <hyperlink ref="Q70" r:id="rId57"/>
    <hyperlink ref="C72" r:id="rId58"/>
    <hyperlink ref="F72" r:id="rId59"/>
    <hyperlink ref="Q72" r:id="rId60"/>
    <hyperlink ref="Q73" r:id="rId61"/>
    <hyperlink ref="F74" r:id="rId62"/>
    <hyperlink ref="Q74" r:id="rId63"/>
    <hyperlink ref="G80" r:id="rId64"/>
    <hyperlink ref="G81" r:id="rId65"/>
    <hyperlink ref="Q83" r:id="rId66"/>
    <hyperlink ref="F86" r:id="rId67"/>
    <hyperlink ref="G86" r:id="rId68"/>
    <hyperlink ref="Q86" r:id="rId69"/>
    <hyperlink ref="Q87" r:id="rId70"/>
    <hyperlink ref="G88" r:id="rId71"/>
    <hyperlink ref="G89" r:id="rId72"/>
    <hyperlink ref="G90" r:id="rId73"/>
    <hyperlink ref="Q90" r:id="rId74"/>
    <hyperlink ref="G91" r:id="rId75"/>
    <hyperlink ref="Q91" r:id="rId76"/>
    <hyperlink ref="C92" r:id="rId77"/>
    <hyperlink ref="Q92" r:id="rId78"/>
    <hyperlink ref="G95" r:id="rId79"/>
    <hyperlink ref="G96" r:id="rId80"/>
    <hyperlink ref="G97" r:id="rId81"/>
    <hyperlink ref="F99" r:id="rId82"/>
    <hyperlink ref="G99" r:id="rId83"/>
    <hyperlink ref="Q99" r:id="rId84"/>
    <hyperlink ref="Q101" r:id="rId85"/>
    <hyperlink ref="G102" r:id="rId86"/>
    <hyperlink ref="C103" r:id="rId87"/>
    <hyperlink ref="F104" r:id="rId88"/>
    <hyperlink ref="G106" r:id="rId89"/>
    <hyperlink ref="Q106" r:id="rId90"/>
    <hyperlink ref="G107" r:id="rId91"/>
    <hyperlink ref="Q107" r:id="rId92"/>
    <hyperlink ref="G108" r:id="rId93"/>
    <hyperlink ref="Q109" r:id="rId94"/>
    <hyperlink ref="G111" r:id="rId95"/>
    <hyperlink ref="Q111" r:id="rId96"/>
    <hyperlink ref="G115" r:id="rId97"/>
    <hyperlink ref="G117" r:id="rId98"/>
    <hyperlink ref="Q117" r:id="rId99"/>
    <hyperlink ref="G121" r:id="rId100"/>
    <hyperlink ref="Q121" r:id="rId101"/>
    <hyperlink ref="G122" r:id="rId102"/>
    <hyperlink ref="Q122" r:id="rId103"/>
    <hyperlink ref="G123" r:id="rId104"/>
    <hyperlink ref="G125" r:id="rId105"/>
    <hyperlink ref="G126" r:id="rId106"/>
    <hyperlink ref="G130" r:id="rId107"/>
    <hyperlink ref="F131" r:id="rId108"/>
    <hyperlink ref="G133" r:id="rId109"/>
    <hyperlink ref="Q133" r:id="rId110"/>
    <hyperlink ref="F134" r:id="rId111"/>
    <hyperlink ref="Q134" r:id="rId112"/>
    <hyperlink ref="F138" r:id="rId113"/>
    <hyperlink ref="G138" r:id="rId114"/>
    <hyperlink ref="G139" r:id="rId115"/>
    <hyperlink ref="Q139" r:id="rId116"/>
    <hyperlink ref="G140" r:id="rId117"/>
    <hyperlink ref="Q140" r:id="rId118"/>
    <hyperlink ref="G142" r:id="rId119"/>
    <hyperlink ref="F143" r:id="rId120"/>
    <hyperlink ref="G143" r:id="rId121"/>
    <hyperlink ref="G145" r:id="rId122"/>
    <hyperlink ref="F147" r:id="rId123"/>
    <hyperlink ref="G147" r:id="rId124"/>
    <hyperlink ref="G148" r:id="rId125"/>
    <hyperlink ref="Q150" r:id="rId126"/>
    <hyperlink ref="F151" r:id="rId127"/>
    <hyperlink ref="Q151" r:id="rId128"/>
    <hyperlink ref="G153" r:id="rId129"/>
    <hyperlink ref="Q153" r:id="rId130"/>
    <hyperlink ref="G156" r:id="rId131"/>
    <hyperlink ref="G157" r:id="rId132"/>
    <hyperlink ref="Q157" r:id="rId133"/>
    <hyperlink ref="Q159" r:id="rId134"/>
    <hyperlink ref="G167" r:id="rId135"/>
    <hyperlink ref="G170" r:id="rId136"/>
    <hyperlink ref="Q172" r:id="rId137"/>
    <hyperlink ref="G176" r:id="rId138"/>
    <hyperlink ref="Q176" r:id="rId139"/>
    <hyperlink ref="Q177" r:id="rId140"/>
    <hyperlink ref="Q182" r:id="rId141"/>
    <hyperlink ref="Q183" r:id="rId142"/>
    <hyperlink ref="G185" r:id="rId143"/>
    <hyperlink ref="Q185" r:id="rId144"/>
    <hyperlink ref="G186" r:id="rId145"/>
    <hyperlink ref="Q186" r:id="rId146"/>
    <hyperlink ref="G188" r:id="rId147"/>
    <hyperlink ref="Q188" r:id="rId148"/>
    <hyperlink ref="P190" r:id="rId149"/>
    <hyperlink ref="Q190" r:id="rId150"/>
    <hyperlink ref="F192" r:id="rId151"/>
    <hyperlink ref="Q192" r:id="rId152"/>
    <hyperlink ref="F193" r:id="rId153"/>
    <hyperlink ref="F196" r:id="rId154"/>
    <hyperlink ref="G196" r:id="rId155"/>
    <hyperlink ref="Q196" r:id="rId156"/>
    <hyperlink ref="G199" r:id="rId157"/>
    <hyperlink ref="Q200" r:id="rId158"/>
    <hyperlink ref="F201" r:id="rId159"/>
    <hyperlink ref="Q201" r:id="rId160"/>
    <hyperlink ref="G202" r:id="rId161"/>
    <hyperlink ref="Q203" r:id="rId162"/>
    <hyperlink ref="Q204" r:id="rId163"/>
    <hyperlink ref="Q205" r:id="rId164"/>
    <hyperlink ref="G206" r:id="rId165"/>
    <hyperlink ref="Q207" r:id="rId166"/>
    <hyperlink ref="Q208" r:id="rId167"/>
    <hyperlink ref="Q210" r:id="rId168"/>
    <hyperlink ref="Q211" r:id="rId169"/>
    <hyperlink ref="Q212" r:id="rId170"/>
    <hyperlink ref="Q213" r:id="rId171"/>
    <hyperlink ref="G214" r:id="rId172"/>
    <hyperlink ref="G215" r:id="rId173"/>
    <hyperlink ref="G217" r:id="rId174"/>
    <hyperlink ref="G219" r:id="rId175"/>
    <hyperlink ref="Q219" r:id="rId176"/>
    <hyperlink ref="G222" r:id="rId177"/>
    <hyperlink ref="G224" r:id="rId178"/>
    <hyperlink ref="Q225" r:id="rId179"/>
    <hyperlink ref="Q229" r:id="rId180"/>
    <hyperlink ref="F230" r:id="rId181"/>
    <hyperlink ref="G238" r:id="rId182"/>
    <hyperlink ref="Q238" r:id="rId183"/>
    <hyperlink ref="G239" r:id="rId184"/>
    <hyperlink ref="G240" r:id="rId185"/>
    <hyperlink ref="Q241" r:id="rId186"/>
    <hyperlink ref="G245" r:id="rId187"/>
    <hyperlink ref="Q249" r:id="rId188"/>
    <hyperlink ref="F252" r:id="rId189"/>
    <hyperlink ref="G252" r:id="rId190"/>
    <hyperlink ref="G255" r:id="rId191"/>
    <hyperlink ref="G256" r:id="rId192"/>
    <hyperlink ref="G257" r:id="rId193"/>
    <hyperlink ref="G258" r:id="rId194"/>
    <hyperlink ref="Q258" r:id="rId195"/>
    <hyperlink ref="G261" r:id="rId196"/>
    <hyperlink ref="Q262" r:id="rId197"/>
    <hyperlink ref="G265" r:id="rId198"/>
    <hyperlink ref="Q265" r:id="rId199"/>
    <hyperlink ref="F266" r:id="rId200"/>
    <hyperlink ref="Q266" r:id="rId201"/>
    <hyperlink ref="G267" r:id="rId202"/>
    <hyperlink ref="G268" r:id="rId203"/>
    <hyperlink ref="Q270" r:id="rId204"/>
    <hyperlink ref="Q271" r:id="rId205"/>
    <hyperlink ref="G272" r:id="rId206"/>
    <hyperlink ref="Q272" r:id="rId207"/>
    <hyperlink ref="Q273" r:id="rId208"/>
    <hyperlink ref="F274" r:id="rId209"/>
    <hyperlink ref="G274" r:id="rId210"/>
    <hyperlink ref="Q274" r:id="rId211"/>
    <hyperlink ref="F277" r:id="rId212"/>
    <hyperlink ref="G279" r:id="rId213"/>
    <hyperlink ref="G280" r:id="rId214"/>
    <hyperlink ref="F281" r:id="rId215"/>
    <hyperlink ref="G282" r:id="rId216"/>
    <hyperlink ref="Q282" r:id="rId217"/>
    <hyperlink ref="G283" r:id="rId218"/>
    <hyperlink ref="G284" r:id="rId219"/>
    <hyperlink ref="G286" r:id="rId220"/>
    <hyperlink ref="Q286" r:id="rId221"/>
    <hyperlink ref="Q287" r:id="rId222"/>
    <hyperlink ref="G289" r:id="rId223"/>
    <hyperlink ref="G290" r:id="rId224"/>
    <hyperlink ref="G291" r:id="rId225"/>
    <hyperlink ref="G292" r:id="rId226"/>
    <hyperlink ref="G293" r:id="rId227"/>
    <hyperlink ref="Q295" r:id="rId228"/>
    <hyperlink ref="Q296" r:id="rId229"/>
    <hyperlink ref="F298" r:id="rId230"/>
    <hyperlink ref="G298" r:id="rId231"/>
    <hyperlink ref="G299" r:id="rId232"/>
    <hyperlink ref="Q299" r:id="rId233"/>
    <hyperlink ref="G301" r:id="rId234"/>
    <hyperlink ref="G302" r:id="rId235"/>
    <hyperlink ref="G303" r:id="rId236"/>
    <hyperlink ref="G305" r:id="rId237"/>
    <hyperlink ref="Q305" r:id="rId238"/>
    <hyperlink ref="Q306" r:id="rId239"/>
    <hyperlink ref="F309" r:id="rId240"/>
    <hyperlink ref="Q309" r:id="rId241"/>
    <hyperlink ref="G312" r:id="rId242"/>
    <hyperlink ref="F314" r:id="rId243"/>
    <hyperlink ref="G314" r:id="rId244"/>
    <hyperlink ref="Q315" r:id="rId245"/>
    <hyperlink ref="Q316" r:id="rId246"/>
    <hyperlink ref="F320" r:id="rId247"/>
    <hyperlink ref="G320" r:id="rId248"/>
    <hyperlink ref="G321" r:id="rId249"/>
    <hyperlink ref="Q324" r:id="rId250"/>
    <hyperlink ref="G326" r:id="rId251"/>
    <hyperlink ref="Q327" r:id="rId252"/>
    <hyperlink ref="Q328" r:id="rId253"/>
    <hyperlink ref="G329" r:id="rId254"/>
    <hyperlink ref="Q329" r:id="rId255"/>
    <hyperlink ref="G330" r:id="rId256"/>
    <hyperlink ref="Q330" r:id="rId257"/>
    <hyperlink ref="G331" r:id="rId258"/>
    <hyperlink ref="Q331" r:id="rId259"/>
    <hyperlink ref="G332" r:id="rId260"/>
    <hyperlink ref="Q332" r:id="rId261"/>
    <hyperlink ref="Q333" r:id="rId262"/>
    <hyperlink ref="Q334" r:id="rId263"/>
    <hyperlink ref="Q335" r:id="rId264"/>
    <hyperlink ref="Q339" r:id="rId265"/>
    <hyperlink ref="G340" r:id="rId266"/>
    <hyperlink ref="G341" r:id="rId267"/>
    <hyperlink ref="Q343" r:id="rId268"/>
    <hyperlink ref="Q344" r:id="rId269"/>
    <hyperlink ref="Q345" r:id="rId270"/>
    <hyperlink ref="Q347" r:id="rId271"/>
    <hyperlink ref="G349" r:id="rId272"/>
    <hyperlink ref="Q352" r:id="rId273"/>
    <hyperlink ref="G353" r:id="rId274"/>
    <hyperlink ref="Q354" r:id="rId275"/>
    <hyperlink ref="F356" r:id="rId276"/>
    <hyperlink ref="Q358" r:id="rId277"/>
    <hyperlink ref="Q361" r:id="rId278"/>
    <hyperlink ref="G362" r:id="rId279"/>
    <hyperlink ref="G366" r:id="rId280"/>
    <hyperlink ref="G367" r:id="rId281"/>
    <hyperlink ref="Q370" r:id="rId282"/>
    <hyperlink ref="G371" r:id="rId283"/>
    <hyperlink ref="G372" r:id="rId284"/>
    <hyperlink ref="Q372" r:id="rId285"/>
    <hyperlink ref="G373" r:id="rId286"/>
    <hyperlink ref="Q376" r:id="rId287"/>
    <hyperlink ref="G377" r:id="rId288"/>
    <hyperlink ref="Q378" r:id="rId289"/>
    <hyperlink ref="Q379" r:id="rId290"/>
    <hyperlink ref="Q380" r:id="rId291"/>
    <hyperlink ref="Q382" r:id="rId292"/>
    <hyperlink ref="Q383" r:id="rId293"/>
    <hyperlink ref="Q384" r:id="rId294"/>
    <hyperlink ref="G385" r:id="rId295"/>
    <hyperlink ref="Q390" r:id="rId296"/>
    <hyperlink ref="Q392" r:id="rId297"/>
    <hyperlink ref="Q393" r:id="rId298"/>
    <hyperlink ref="G394" r:id="rId299"/>
    <hyperlink ref="Q395" r:id="rId300"/>
    <hyperlink ref="Q397" r:id="rId301"/>
    <hyperlink ref="F402" r:id="rId302"/>
    <hyperlink ref="F403" r:id="rId303"/>
    <hyperlink ref="G409" r:id="rId304"/>
    <hyperlink ref="G412" r:id="rId305"/>
    <hyperlink ref="F415" r:id="rId306"/>
    <hyperlink ref="Q415" r:id="rId307"/>
    <hyperlink ref="F416" r:id="rId308"/>
    <hyperlink ref="G416" r:id="rId309"/>
    <hyperlink ref="G417" r:id="rId310"/>
    <hyperlink ref="Q418" r:id="rId311"/>
    <hyperlink ref="G419" r:id="rId312"/>
    <hyperlink ref="Q420" r:id="rId313"/>
    <hyperlink ref="G422" r:id="rId314"/>
    <hyperlink ref="Q422" r:id="rId315"/>
    <hyperlink ref="G424" r:id="rId316"/>
    <hyperlink ref="Q424" r:id="rId317"/>
    <hyperlink ref="F428" r:id="rId318"/>
    <hyperlink ref="G428" r:id="rId319"/>
    <hyperlink ref="Q428" r:id="rId320"/>
    <hyperlink ref="Q429" r:id="rId321"/>
    <hyperlink ref="F431" r:id="rId322"/>
    <hyperlink ref="G431" r:id="rId323"/>
    <hyperlink ref="Q431" r:id="rId324"/>
    <hyperlink ref="G433" r:id="rId325"/>
    <hyperlink ref="G435" r:id="rId326"/>
    <hyperlink ref="G436" r:id="rId327"/>
    <hyperlink ref="Q436" r:id="rId328"/>
    <hyperlink ref="Q442" r:id="rId329"/>
    <hyperlink ref="G443" r:id="rId330"/>
    <hyperlink ref="G445" r:id="rId331"/>
    <hyperlink ref="G450" r:id="rId332"/>
    <hyperlink ref="Q451" r:id="rId333"/>
    <hyperlink ref="G457" r:id="rId334"/>
    <hyperlink ref="Q457" r:id="rId335"/>
    <hyperlink ref="G459" r:id="rId336"/>
    <hyperlink ref="Q462" r:id="rId337"/>
    <hyperlink ref="G463" r:id="rId338"/>
    <hyperlink ref="Q464" r:id="rId339"/>
    <hyperlink ref="G465" r:id="rId340"/>
    <hyperlink ref="G467" r:id="rId341"/>
    <hyperlink ref="G471" r:id="rId342"/>
    <hyperlink ref="Q473" r:id="rId343"/>
    <hyperlink ref="Q477" r:id="rId344"/>
    <hyperlink ref="F478" r:id="rId345"/>
    <hyperlink ref="G478" r:id="rId346"/>
    <hyperlink ref="Q478" r:id="rId347"/>
    <hyperlink ref="G479" r:id="rId348"/>
    <hyperlink ref="F480" r:id="rId349"/>
    <hyperlink ref="G480" r:id="rId350"/>
    <hyperlink ref="Q480" r:id="rId351"/>
    <hyperlink ref="Q482" r:id="rId352"/>
    <hyperlink ref="F484" r:id="rId353"/>
    <hyperlink ref="G484" r:id="rId354"/>
    <hyperlink ref="Q484" r:id="rId355"/>
    <hyperlink ref="Q485" r:id="rId356"/>
    <hyperlink ref="Q486" r:id="rId357"/>
    <hyperlink ref="Q487" r:id="rId358"/>
    <hyperlink ref="Q489" r:id="rId359"/>
    <hyperlink ref="G492" r:id="rId360"/>
    <hyperlink ref="Q493" r:id="rId361"/>
    <hyperlink ref="G494" r:id="rId362"/>
    <hyperlink ref="G495" r:id="rId363"/>
    <hyperlink ref="G497" r:id="rId364"/>
    <hyperlink ref="Q497" r:id="rId365"/>
    <hyperlink ref="G499" r:id="rId366"/>
    <hyperlink ref="G501" r:id="rId367"/>
    <hyperlink ref="G502" r:id="rId368"/>
    <hyperlink ref="G504" r:id="rId369"/>
    <hyperlink ref="G505" r:id="rId370"/>
    <hyperlink ref="Q505" r:id="rId371"/>
    <hyperlink ref="G515" r:id="rId372"/>
    <hyperlink ref="F516" r:id="rId373"/>
    <hyperlink ref="G516" r:id="rId374"/>
    <hyperlink ref="G517" r:id="rId375"/>
    <hyperlink ref="F519" r:id="rId376"/>
    <hyperlink ref="Q528" r:id="rId377"/>
    <hyperlink ref="Q530" r:id="rId378"/>
    <hyperlink ref="Q531" r:id="rId379"/>
    <hyperlink ref="Q532" r:id="rId380"/>
    <hyperlink ref="G538" r:id="rId381"/>
    <hyperlink ref="Q539" r:id="rId382"/>
    <hyperlink ref="F544" r:id="rId383"/>
    <hyperlink ref="G544" r:id="rId384"/>
    <hyperlink ref="Q544" r:id="rId385"/>
    <hyperlink ref="Q550" r:id="rId386"/>
    <hyperlink ref="F555" r:id="rId387"/>
    <hyperlink ref="G556" r:id="rId388"/>
    <hyperlink ref="Q560" r:id="rId389"/>
    <hyperlink ref="G561" r:id="rId390"/>
    <hyperlink ref="Q563" r:id="rId391"/>
    <hyperlink ref="Q567" r:id="rId392"/>
    <hyperlink ref="F568" r:id="rId393"/>
    <hyperlink ref="G568" r:id="rId394"/>
    <hyperlink ref="G569" r:id="rId395"/>
    <hyperlink ref="G571" r:id="rId396"/>
    <hyperlink ref="Q571" r:id="rId397"/>
    <hyperlink ref="G572" r:id="rId398"/>
    <hyperlink ref="Q574" r:id="rId399"/>
    <hyperlink ref="Q577" r:id="rId400"/>
    <hyperlink ref="Q578" r:id="rId401"/>
    <hyperlink ref="F581" r:id="rId402"/>
    <hyperlink ref="G581" r:id="rId403"/>
    <hyperlink ref="F584" r:id="rId404"/>
    <hyperlink ref="G584" r:id="rId405"/>
    <hyperlink ref="G588" r:id="rId406"/>
    <hyperlink ref="G592" r:id="rId407"/>
    <hyperlink ref="F593" r:id="rId408"/>
    <hyperlink ref="G593" r:id="rId409"/>
    <hyperlink ref="F597" r:id="rId410"/>
    <hyperlink ref="Q597" r:id="rId411"/>
    <hyperlink ref="F598" r:id="rId412"/>
    <hyperlink ref="G598" r:id="rId413"/>
    <hyperlink ref="Q598" r:id="rId414"/>
    <hyperlink ref="G599" r:id="rId415"/>
    <hyperlink ref="G601" r:id="rId416"/>
    <hyperlink ref="Q603" r:id="rId417"/>
    <hyperlink ref="Q605" r:id="rId418"/>
    <hyperlink ref="F607" r:id="rId419"/>
    <hyperlink ref="G607" r:id="rId420"/>
    <hyperlink ref="G610" r:id="rId421"/>
    <hyperlink ref="Q611" r:id="rId422"/>
    <hyperlink ref="F613" r:id="rId423"/>
    <hyperlink ref="Q615" r:id="rId424"/>
    <hyperlink ref="Q617" r:id="rId425"/>
    <hyperlink ref="Q618" r:id="rId426"/>
    <hyperlink ref="G621" r:id="rId427"/>
    <hyperlink ref="Q621" r:id="rId428"/>
    <hyperlink ref="G632" r:id="rId429"/>
    <hyperlink ref="Q635" r:id="rId430"/>
    <hyperlink ref="Q638" r:id="rId431"/>
    <hyperlink ref="Q640" r:id="rId432"/>
    <hyperlink ref="G643" r:id="rId433"/>
    <hyperlink ref="Q649" r:id="rId434"/>
    <hyperlink ref="Q652" r:id="rId435"/>
    <hyperlink ref="G656" r:id="rId436"/>
    <hyperlink ref="G657" r:id="rId437"/>
    <hyperlink ref="G659" r:id="rId438"/>
    <hyperlink ref="C661" r:id="rId439"/>
    <hyperlink ref="F661" r:id="rId440"/>
    <hyperlink ref="Q661" r:id="rId441"/>
    <hyperlink ref="F664" r:id="rId442"/>
    <hyperlink ref="G664" r:id="rId443"/>
    <hyperlink ref="G665" r:id="rId444"/>
    <hyperlink ref="G667" r:id="rId445"/>
    <hyperlink ref="Q670" r:id="rId446"/>
    <hyperlink ref="Q675" r:id="rId447"/>
    <hyperlink ref="G676" r:id="rId448"/>
    <hyperlink ref="G682" r:id="rId449"/>
    <hyperlink ref="G684" r:id="rId450"/>
    <hyperlink ref="G686" r:id="rId451"/>
    <hyperlink ref="F689" r:id="rId452"/>
    <hyperlink ref="Q689" r:id="rId453"/>
    <hyperlink ref="G690" r:id="rId454"/>
    <hyperlink ref="G693" r:id="rId455"/>
    <hyperlink ref="F695" r:id="rId456"/>
    <hyperlink ref="G695" r:id="rId457"/>
    <hyperlink ref="Q695" r:id="rId458"/>
    <hyperlink ref="G697" r:id="rId459"/>
    <hyperlink ref="C701" r:id="rId460"/>
    <hyperlink ref="G701" r:id="rId461"/>
    <hyperlink ref="Q701" r:id="rId462"/>
    <hyperlink ref="F702" r:id="rId463"/>
    <hyperlink ref="Q704" r:id="rId464"/>
    <hyperlink ref="G706" r:id="rId465"/>
    <hyperlink ref="Q709" r:id="rId466"/>
    <hyperlink ref="F710" r:id="rId467"/>
    <hyperlink ref="G710" r:id="rId468"/>
    <hyperlink ref="Q710" r:id="rId469"/>
    <hyperlink ref="G711" r:id="rId470"/>
    <hyperlink ref="P718" r:id="rId471"/>
    <hyperlink ref="Q718" r:id="rId472"/>
    <hyperlink ref="Q719" r:id="rId473"/>
    <hyperlink ref="G720" r:id="rId474"/>
    <hyperlink ref="Q721" r:id="rId475"/>
    <hyperlink ref="G725" r:id="rId476"/>
    <hyperlink ref="F726" r:id="rId477"/>
    <hyperlink ref="G726" r:id="rId478"/>
    <hyperlink ref="Q726" r:id="rId479"/>
    <hyperlink ref="G727" r:id="rId480"/>
    <hyperlink ref="Q727" r:id="rId481"/>
    <hyperlink ref="Q729" r:id="rId482"/>
    <hyperlink ref="G734" r:id="rId483"/>
    <hyperlink ref="Q734" r:id="rId484"/>
    <hyperlink ref="Q738" r:id="rId485"/>
    <hyperlink ref="Q742" r:id="rId486"/>
    <hyperlink ref="Q748" r:id="rId487"/>
    <hyperlink ref="Q749" r:id="rId488"/>
    <hyperlink ref="Q750" r:id="rId489"/>
    <hyperlink ref="G751" r:id="rId490"/>
    <hyperlink ref="C754" r:id="rId491"/>
    <hyperlink ref="G755" r:id="rId492"/>
    <hyperlink ref="F756" r:id="rId493"/>
    <hyperlink ref="G756" r:id="rId494"/>
    <hyperlink ref="Q762" r:id="rId495"/>
    <hyperlink ref="G767" r:id="rId496"/>
    <hyperlink ref="Q767" r:id="rId497"/>
    <hyperlink ref="Q773" r:id="rId498"/>
    <hyperlink ref="G774" r:id="rId499"/>
    <hyperlink ref="G775" r:id="rId500"/>
    <hyperlink ref="Q779" r:id="rId501"/>
    <hyperlink ref="Q781" r:id="rId502"/>
    <hyperlink ref="G785" r:id="rId503"/>
    <hyperlink ref="Q785" r:id="rId504"/>
    <hyperlink ref="F786" r:id="rId505"/>
    <hyperlink ref="Q786" r:id="rId506"/>
    <hyperlink ref="F787" r:id="rId507"/>
    <hyperlink ref="Q787" r:id="rId508"/>
    <hyperlink ref="Q788" r:id="rId509"/>
    <hyperlink ref="G789" r:id="rId510"/>
    <hyperlink ref="Q789" r:id="rId511"/>
    <hyperlink ref="G794" r:id="rId512"/>
    <hyperlink ref="F798" r:id="rId513"/>
    <hyperlink ref="G800" r:id="rId514"/>
    <hyperlink ref="Q800" r:id="rId515"/>
    <hyperlink ref="F805" r:id="rId516"/>
    <hyperlink ref="G805" r:id="rId517"/>
    <hyperlink ref="Q805" r:id="rId518"/>
    <hyperlink ref="Q807" r:id="rId519"/>
    <hyperlink ref="Q809" r:id="rId520"/>
    <hyperlink ref="Q810" r:id="rId521"/>
    <hyperlink ref="G819" r:id="rId522"/>
    <hyperlink ref="Q824" r:id="rId523"/>
    <hyperlink ref="G826" r:id="rId524"/>
    <hyperlink ref="G829" r:id="rId525"/>
    <hyperlink ref="Q829" r:id="rId526"/>
    <hyperlink ref="G830" r:id="rId527"/>
    <hyperlink ref="G831" r:id="rId528"/>
    <hyperlink ref="G832" r:id="rId529"/>
    <hyperlink ref="Q833" r:id="rId530"/>
    <hyperlink ref="G834" r:id="rId531"/>
    <hyperlink ref="G839" r:id="rId532"/>
    <hyperlink ref="Q842" r:id="rId533"/>
    <hyperlink ref="Q845" r:id="rId534"/>
    <hyperlink ref="Q850" r:id="rId535"/>
    <hyperlink ref="Q855" r:id="rId536"/>
    <hyperlink ref="G858" r:id="rId537"/>
    <hyperlink ref="Q859" r:id="rId538"/>
    <hyperlink ref="G861" r:id="rId539"/>
    <hyperlink ref="Q863" r:id="rId540"/>
    <hyperlink ref="Q864" r:id="rId541"/>
    <hyperlink ref="F866" r:id="rId542"/>
    <hyperlink ref="Q866" r:id="rId543"/>
    <hyperlink ref="Q881" r:id="rId544"/>
    <hyperlink ref="Q888" r:id="rId545"/>
    <hyperlink ref="Q891" r:id="rId546"/>
    <hyperlink ref="Q892" r:id="rId547"/>
    <hyperlink ref="Q894" r:id="rId548"/>
    <hyperlink ref="Q899" r:id="rId549"/>
    <hyperlink ref="Q906" r:id="rId550"/>
    <hyperlink ref="Q908" r:id="rId551"/>
    <hyperlink ref="G914" r:id="rId552"/>
    <hyperlink ref="Q918" r:id="rId553"/>
    <hyperlink ref="G920" r:id="rId554"/>
    <hyperlink ref="Q920" r:id="rId555"/>
    <hyperlink ref="G921" r:id="rId556"/>
    <hyperlink ref="Q923" r:id="rId557"/>
    <hyperlink ref="Q926" r:id="rId558"/>
    <hyperlink ref="Q928" r:id="rId559"/>
    <hyperlink ref="G930" r:id="rId560"/>
    <hyperlink ref="Q931" r:id="rId561"/>
    <hyperlink ref="Q933" r:id="rId562"/>
    <hyperlink ref="Q934" r:id="rId563"/>
    <hyperlink ref="Q936" r:id="rId564"/>
    <hyperlink ref="Q942" r:id="rId565"/>
    <hyperlink ref="Q945" r:id="rId566"/>
    <hyperlink ref="G948" r:id="rId567"/>
    <hyperlink ref="Q948" r:id="rId568"/>
    <hyperlink ref="Q953" r:id="rId569"/>
    <hyperlink ref="Q956" r:id="rId570"/>
    <hyperlink ref="F961" r:id="rId571"/>
    <hyperlink ref="Q964" r:id="rId572"/>
    <hyperlink ref="Q965" r:id="rId573"/>
    <hyperlink ref="Q966" r:id="rId574"/>
    <hyperlink ref="Q968" r:id="rId575"/>
    <hyperlink ref="Q969" r:id="rId576"/>
    <hyperlink ref="F974" r:id="rId577"/>
    <hyperlink ref="Q975" r:id="rId578"/>
    <hyperlink ref="Q982" r:id="rId579"/>
    <hyperlink ref="Q984" r:id="rId580"/>
    <hyperlink ref="Q990" r:id="rId581"/>
    <hyperlink ref="Q993" r:id="rId582"/>
    <hyperlink ref="Q994" r:id="rId583"/>
    <hyperlink ref="Q996" r:id="rId584"/>
    <hyperlink ref="Q998" r:id="rId585"/>
    <hyperlink ref="Q999" r:id="rId586"/>
    <hyperlink ref="Q1004" r:id="rId587"/>
    <hyperlink ref="Q1005" r:id="rId588"/>
    <hyperlink ref="Q1008" r:id="rId589"/>
    <hyperlink ref="Q1009" r:id="rId590"/>
    <hyperlink ref="G1010" r:id="rId591"/>
    <hyperlink ref="Q1010" r:id="rId592"/>
    <hyperlink ref="Q1012" r:id="rId593"/>
    <hyperlink ref="Q1017" r:id="rId594"/>
    <hyperlink ref="Q1019" r:id="rId595"/>
    <hyperlink ref="Q1030" r:id="rId596"/>
    <hyperlink ref="Q1032" r:id="rId597"/>
    <hyperlink ref="Q1034" r:id="rId598"/>
    <hyperlink ref="G1039" r:id="rId599"/>
    <hyperlink ref="G1042" r:id="rId600"/>
    <hyperlink ref="G1044" r:id="rId601"/>
    <hyperlink ref="Q1045" r:id="rId602"/>
    <hyperlink ref="Q1046" r:id="rId603"/>
    <hyperlink ref="Q1048" r:id="rId604"/>
    <hyperlink ref="F1051" r:id="rId605"/>
    <hyperlink ref="G1051" r:id="rId606"/>
    <hyperlink ref="Q1052" r:id="rId607"/>
    <hyperlink ref="Q1055" r:id="rId608"/>
    <hyperlink ref="G1062" r:id="rId609"/>
    <hyperlink ref="Q1063" r:id="rId610"/>
    <hyperlink ref="G1065" r:id="rId611"/>
    <hyperlink ref="Q1068" r:id="rId612"/>
    <hyperlink ref="G1069" r:id="rId613"/>
    <hyperlink ref="Q1069" r:id="rId614"/>
    <hyperlink ref="G1072" r:id="rId615"/>
    <hyperlink ref="Q1074" r:id="rId616"/>
    <hyperlink ref="G1081" r:id="rId617"/>
    <hyperlink ref="Q1084" r:id="rId618"/>
    <hyperlink ref="G1085" r:id="rId619"/>
    <hyperlink ref="Q1086" r:id="rId620"/>
    <hyperlink ref="G1090" r:id="rId621"/>
    <hyperlink ref="G1091" r:id="rId622"/>
    <hyperlink ref="Q1091" r:id="rId623"/>
    <hyperlink ref="Q1092" r:id="rId624"/>
    <hyperlink ref="G1093" r:id="rId625"/>
    <hyperlink ref="Q1096" r:id="rId626"/>
    <hyperlink ref="F1097" r:id="rId627"/>
    <hyperlink ref="Q1098" r:id="rId628"/>
    <hyperlink ref="Q1099" r:id="rId629"/>
    <hyperlink ref="Q1102" r:id="rId630"/>
    <hyperlink ref="F1106" r:id="rId631"/>
    <hyperlink ref="G1106" r:id="rId632"/>
    <hyperlink ref="G1109" r:id="rId633"/>
    <hyperlink ref="F1110" r:id="rId634"/>
    <hyperlink ref="Q1111" r:id="rId635"/>
    <hyperlink ref="G1112" r:id="rId636"/>
    <hyperlink ref="Q1112" r:id="rId637"/>
    <hyperlink ref="Q1114" r:id="rId638"/>
    <hyperlink ref="G1115" r:id="rId639"/>
    <hyperlink ref="Q1115" r:id="rId640"/>
    <hyperlink ref="G1121" r:id="rId641"/>
    <hyperlink ref="G1122" r:id="rId642"/>
    <hyperlink ref="Q1124" r:id="rId643"/>
    <hyperlink ref="G1125" r:id="rId644"/>
    <hyperlink ref="G1126" r:id="rId645"/>
    <hyperlink ref="Q1126" r:id="rId646"/>
    <hyperlink ref="G1129" r:id="rId647"/>
    <hyperlink ref="G1131" r:id="rId648"/>
    <hyperlink ref="Q1131" r:id="rId649"/>
    <hyperlink ref="G1132" r:id="rId650"/>
    <hyperlink ref="Q1132" r:id="rId651"/>
    <hyperlink ref="Q1135" r:id="rId652"/>
    <hyperlink ref="G1136" r:id="rId653"/>
    <hyperlink ref="Q1139" r:id="rId654"/>
    <hyperlink ref="G1140" r:id="rId655"/>
    <hyperlink ref="Q1140" r:id="rId656"/>
    <hyperlink ref="Q1144" r:id="rId657"/>
    <hyperlink ref="G1147" r:id="rId658"/>
    <hyperlink ref="Q1148" r:id="rId659"/>
    <hyperlink ref="Q1153" r:id="rId660"/>
    <hyperlink ref="G1154" r:id="rId661"/>
    <hyperlink ref="F1155" r:id="rId662"/>
    <hyperlink ref="Q1157" r:id="rId663"/>
    <hyperlink ref="F1159" r:id="rId664"/>
    <hyperlink ref="Q1159" r:id="rId665"/>
    <hyperlink ref="Q1160" r:id="rId666"/>
    <hyperlink ref="Q1161" r:id="rId667"/>
    <hyperlink ref="Q1163" r:id="rId668"/>
    <hyperlink ref="G1169" r:id="rId669"/>
    <hyperlink ref="Q1170" r:id="rId670"/>
    <hyperlink ref="F1171" r:id="rId671"/>
    <hyperlink ref="Q1172" r:id="rId672"/>
    <hyperlink ref="Q1174" r:id="rId673"/>
    <hyperlink ref="G1177" r:id="rId674"/>
    <hyperlink ref="F1182" r:id="rId675"/>
    <hyperlink ref="G1182" r:id="rId676"/>
    <hyperlink ref="G1186" r:id="rId677"/>
    <hyperlink ref="Q1186" r:id="rId678"/>
    <hyperlink ref="G1187" r:id="rId679"/>
    <hyperlink ref="Q1187" r:id="rId680"/>
    <hyperlink ref="G1189" r:id="rId681"/>
    <hyperlink ref="G1192" r:id="rId682"/>
    <hyperlink ref="G1193" r:id="rId683"/>
    <hyperlink ref="G1196" r:id="rId684"/>
    <hyperlink ref="G1200" r:id="rId685"/>
    <hyperlink ref="Q1200" r:id="rId686"/>
    <hyperlink ref="G1202" r:id="rId687"/>
    <hyperlink ref="F1203" r:id="rId688"/>
    <hyperlink ref="Q1207" r:id="rId689"/>
    <hyperlink ref="G1210" r:id="rId690"/>
    <hyperlink ref="G1212" r:id="rId691"/>
    <hyperlink ref="G1214" r:id="rId692"/>
    <hyperlink ref="Q1214" r:id="rId693"/>
    <hyperlink ref="G1216" r:id="rId694"/>
    <hyperlink ref="Q1216" r:id="rId695"/>
    <hyperlink ref="G1224" r:id="rId696"/>
    <hyperlink ref="Q1224" r:id="rId697"/>
    <hyperlink ref="F1225" r:id="rId698"/>
    <hyperlink ref="Q1228" r:id="rId699"/>
    <hyperlink ref="Q1229" r:id="rId700"/>
    <hyperlink ref="G1230" r:id="rId701"/>
    <hyperlink ref="Q1236" r:id="rId702"/>
    <hyperlink ref="G1237" r:id="rId703"/>
    <hyperlink ref="O1237" r:id="rId704"/>
    <hyperlink ref="Q1237" r:id="rId705"/>
    <hyperlink ref="G1238" r:id="rId706"/>
    <hyperlink ref="Q1238" r:id="rId707"/>
    <hyperlink ref="F1239" r:id="rId708"/>
    <hyperlink ref="Q1239" r:id="rId709"/>
    <hyperlink ref="Q1241" r:id="rId710"/>
    <hyperlink ref="Q1244" r:id="rId711"/>
    <hyperlink ref="G1245" r:id="rId712"/>
    <hyperlink ref="Q1245" r:id="rId713"/>
    <hyperlink ref="G1246" r:id="rId714"/>
    <hyperlink ref="Q1246" r:id="rId715"/>
    <hyperlink ref="G1247" r:id="rId716"/>
    <hyperlink ref="Q1249" r:id="rId717"/>
    <hyperlink ref="Q1250" r:id="rId718"/>
    <hyperlink ref="Q1251" r:id="rId719"/>
    <hyperlink ref="Q1254" r:id="rId720"/>
    <hyperlink ref="G1255" r:id="rId721"/>
    <hyperlink ref="Q1255" r:id="rId722"/>
    <hyperlink ref="Q1259" r:id="rId723"/>
    <hyperlink ref="Q1260" r:id="rId724"/>
    <hyperlink ref="Q1261" r:id="rId725"/>
    <hyperlink ref="Q1264" r:id="rId726"/>
    <hyperlink ref="Q1265" r:id="rId727"/>
    <hyperlink ref="Q1268" r:id="rId728"/>
    <hyperlink ref="G1270" r:id="rId729"/>
    <hyperlink ref="Q1270" r:id="rId730"/>
    <hyperlink ref="Q1271" r:id="rId731"/>
    <hyperlink ref="G1278" r:id="rId732"/>
    <hyperlink ref="Q1278" r:id="rId733"/>
    <hyperlink ref="G1279" r:id="rId734"/>
    <hyperlink ref="Q1279" r:id="rId735"/>
    <hyperlink ref="F1280" r:id="rId736"/>
    <hyperlink ref="G1284" r:id="rId737"/>
    <hyperlink ref="G1287" r:id="rId738"/>
    <hyperlink ref="G1291" r:id="rId739"/>
    <hyperlink ref="Q1291" r:id="rId740"/>
    <hyperlink ref="G1295" r:id="rId741"/>
    <hyperlink ref="Q1296" r:id="rId742"/>
    <hyperlink ref="G1297" r:id="rId743"/>
    <hyperlink ref="Q1297" r:id="rId744"/>
    <hyperlink ref="Q1298" r:id="rId745"/>
    <hyperlink ref="G1299" r:id="rId746"/>
    <hyperlink ref="Q1300" r:id="rId747"/>
    <hyperlink ref="Q1305" r:id="rId748"/>
    <hyperlink ref="Q1306" r:id="rId749"/>
    <hyperlink ref="Q1313" r:id="rId750"/>
    <hyperlink ref="Q1316" r:id="rId751"/>
    <hyperlink ref="Q1317" r:id="rId752"/>
    <hyperlink ref="G1318" r:id="rId753"/>
    <hyperlink ref="G1322" r:id="rId754"/>
    <hyperlink ref="G1323" r:id="rId755"/>
    <hyperlink ref="G1324" r:id="rId756"/>
    <hyperlink ref="G1325" r:id="rId757"/>
    <hyperlink ref="Q1326" r:id="rId758"/>
    <hyperlink ref="G1328" r:id="rId759"/>
    <hyperlink ref="G1333" r:id="rId760"/>
    <hyperlink ref="Q1334" r:id="rId761"/>
    <hyperlink ref="Q1335" r:id="rId762"/>
    <hyperlink ref="G1337" r:id="rId763"/>
    <hyperlink ref="Q1337" r:id="rId764"/>
    <hyperlink ref="Q1338" r:id="rId765"/>
    <hyperlink ref="F1339" r:id="rId766"/>
    <hyperlink ref="G1339" r:id="rId767"/>
    <hyperlink ref="G1347" r:id="rId768"/>
    <hyperlink ref="Q1347" r:id="rId769"/>
    <hyperlink ref="Q1356" r:id="rId770"/>
    <hyperlink ref="G1357" r:id="rId771"/>
    <hyperlink ref="Q1359" r:id="rId772"/>
    <hyperlink ref="G1363" r:id="rId773"/>
    <hyperlink ref="Q1363" r:id="rId774"/>
    <hyperlink ref="G1367" r:id="rId775"/>
    <hyperlink ref="Q1368" r:id="rId776"/>
    <hyperlink ref="G1372" r:id="rId777"/>
    <hyperlink ref="G1374" r:id="rId778"/>
    <hyperlink ref="G1377" r:id="rId779"/>
    <hyperlink ref="G1378" r:id="rId780"/>
    <hyperlink ref="Q1378" r:id="rId781"/>
    <hyperlink ref="G1380" r:id="rId782"/>
    <hyperlink ref="G1385" r:id="rId783"/>
    <hyperlink ref="G1387" r:id="rId784"/>
    <hyperlink ref="Q1387" r:id="rId785"/>
    <hyperlink ref="G1389" r:id="rId786"/>
    <hyperlink ref="Q1389" r:id="rId787"/>
    <hyperlink ref="G1393" r:id="rId788"/>
    <hyperlink ref="Q1393" r:id="rId789"/>
    <hyperlink ref="G1399" r:id="rId790"/>
    <hyperlink ref="Q1402" r:id="rId791"/>
    <hyperlink ref="G1406" r:id="rId792"/>
    <hyperlink ref="Q1409" r:id="rId793"/>
    <hyperlink ref="G1410" r:id="rId794"/>
    <hyperlink ref="Q1413" r:id="rId795"/>
    <hyperlink ref="G1415" r:id="rId796"/>
    <hyperlink ref="Q1416" r:id="rId797"/>
    <hyperlink ref="Q1417" r:id="rId798"/>
    <hyperlink ref="G1419" r:id="rId799"/>
    <hyperlink ref="Q1419" r:id="rId800"/>
    <hyperlink ref="G1420" r:id="rId801"/>
    <hyperlink ref="Q1421" r:id="rId802"/>
    <hyperlink ref="Q1427" r:id="rId803"/>
    <hyperlink ref="Q1428" r:id="rId804"/>
    <hyperlink ref="F1430" r:id="rId805"/>
    <hyperlink ref="G1433" r:id="rId806"/>
    <hyperlink ref="G1436" r:id="rId807"/>
    <hyperlink ref="Q1436" r:id="rId808"/>
    <hyperlink ref="Q1438" r:id="rId809"/>
    <hyperlink ref="Q1439" r:id="rId810"/>
    <hyperlink ref="G1441" r:id="rId811"/>
    <hyperlink ref="Q1441" r:id="rId812"/>
    <hyperlink ref="Q1442" r:id="rId813"/>
    <hyperlink ref="G1443" r:id="rId814"/>
    <hyperlink ref="G1444" r:id="rId815"/>
    <hyperlink ref="G1448" r:id="rId816"/>
    <hyperlink ref="Q1449" r:id="rId817"/>
    <hyperlink ref="G1450" r:id="rId818"/>
    <hyperlink ref="G1451" r:id="rId819"/>
    <hyperlink ref="Q1456" r:id="rId820"/>
    <hyperlink ref="G1458" r:id="rId821"/>
    <hyperlink ref="Q1458" r:id="rId822"/>
    <hyperlink ref="Q1459" r:id="rId823"/>
    <hyperlink ref="G1464" r:id="rId824"/>
    <hyperlink ref="Q1464" r:id="rId825"/>
    <hyperlink ref="G1466" r:id="rId826"/>
    <hyperlink ref="F1467" r:id="rId827"/>
    <hyperlink ref="G1467" r:id="rId828"/>
    <hyperlink ref="Q1467" r:id="rId829"/>
    <hyperlink ref="Q1470" r:id="rId830"/>
    <hyperlink ref="Q1474" r:id="rId831"/>
    <hyperlink ref="G1480" r:id="rId832"/>
    <hyperlink ref="G1483" r:id="rId833"/>
    <hyperlink ref="Q1483" r:id="rId834"/>
    <hyperlink ref="G1485" r:id="rId835"/>
    <hyperlink ref="G1487" r:id="rId836"/>
    <hyperlink ref="G1488" r:id="rId837"/>
    <hyperlink ref="Q1491" r:id="rId838"/>
    <hyperlink ref="G1492" r:id="rId839"/>
    <hyperlink ref="Q1492" r:id="rId840"/>
    <hyperlink ref="G1493" r:id="rId841"/>
    <hyperlink ref="G1494" r:id="rId842"/>
    <hyperlink ref="Q1494" r:id="rId843"/>
    <hyperlink ref="G1495" r:id="rId844"/>
    <hyperlink ref="Q1495" r:id="rId845"/>
    <hyperlink ref="G1497" r:id="rId846"/>
    <hyperlink ref="Q1503" r:id="rId847"/>
    <hyperlink ref="F1504" r:id="rId848"/>
    <hyperlink ref="G1504" r:id="rId849"/>
    <hyperlink ref="Q1506" r:id="rId850"/>
    <hyperlink ref="G1508" r:id="rId851"/>
    <hyperlink ref="Q1508" r:id="rId852"/>
    <hyperlink ref="C1510" r:id="rId853"/>
    <hyperlink ref="G1514" r:id="rId854"/>
    <hyperlink ref="Q1514" r:id="rId855"/>
    <hyperlink ref="Q1515" r:id="rId856"/>
    <hyperlink ref="G1516" r:id="rId857"/>
    <hyperlink ref="Q1516" r:id="rId858"/>
    <hyperlink ref="Q1517" r:id="rId859"/>
    <hyperlink ref="Q1521" r:id="rId860"/>
    <hyperlink ref="Q1522" r:id="rId861"/>
    <hyperlink ref="Q1524" r:id="rId862"/>
    <hyperlink ref="G1527" r:id="rId863"/>
    <hyperlink ref="Q1527" r:id="rId864"/>
    <hyperlink ref="G1529" r:id="rId865"/>
    <hyperlink ref="Q1529" r:id="rId866"/>
    <hyperlink ref="G1531" r:id="rId867"/>
    <hyperlink ref="G1533" r:id="rId868"/>
    <hyperlink ref="Q1534" r:id="rId869"/>
    <hyperlink ref="Q1535" r:id="rId870"/>
    <hyperlink ref="G1537" r:id="rId871"/>
    <hyperlink ref="Q1539" r:id="rId872"/>
    <hyperlink ref="G1540" r:id="rId873"/>
    <hyperlink ref="G1542" r:id="rId874"/>
    <hyperlink ref="Q1544" r:id="rId875"/>
    <hyperlink ref="G1547" r:id="rId876"/>
    <hyperlink ref="G1549" r:id="rId877"/>
    <hyperlink ref="Q1549" r:id="rId878"/>
    <hyperlink ref="G1551" r:id="rId879"/>
    <hyperlink ref="Q1551" r:id="rId880"/>
    <hyperlink ref="F1553" r:id="rId881"/>
    <hyperlink ref="G1556" r:id="rId882"/>
    <hyperlink ref="F1558" r:id="rId883"/>
    <hyperlink ref="G1562" r:id="rId884"/>
    <hyperlink ref="G1563" r:id="rId885"/>
    <hyperlink ref="G1565" r:id="rId886"/>
    <hyperlink ref="G1568" r:id="rId887"/>
    <hyperlink ref="G1571" r:id="rId888"/>
    <hyperlink ref="Q1571" r:id="rId889"/>
    <hyperlink ref="G1573" r:id="rId890"/>
    <hyperlink ref="Q1575" r:id="rId891"/>
    <hyperlink ref="G1578" r:id="rId892"/>
    <hyperlink ref="Q1578" r:id="rId893"/>
    <hyperlink ref="G1583" r:id="rId894"/>
    <hyperlink ref="G1584" r:id="rId895"/>
    <hyperlink ref="G1585" r:id="rId896"/>
    <hyperlink ref="Q1585" r:id="rId897"/>
    <hyperlink ref="G1586" r:id="rId898"/>
    <hyperlink ref="F1588" r:id="rId899"/>
    <hyperlink ref="G1588" r:id="rId900"/>
    <hyperlink ref="Q1588" r:id="rId901"/>
    <hyperlink ref="F1590" r:id="rId902"/>
    <hyperlink ref="G1590" r:id="rId903"/>
    <hyperlink ref="G1594" r:id="rId904"/>
    <hyperlink ref="G1597" r:id="rId905"/>
    <hyperlink ref="Q1599" r:id="rId906"/>
    <hyperlink ref="G1602" r:id="rId907"/>
    <hyperlink ref="Q1602" r:id="rId908"/>
    <hyperlink ref="Q1604" r:id="rId909"/>
    <hyperlink ref="C1605" r:id="rId910"/>
    <hyperlink ref="F1608" r:id="rId911"/>
    <hyperlink ref="G1609" r:id="rId912"/>
    <hyperlink ref="Q1615" r:id="rId913"/>
    <hyperlink ref="G1617" r:id="rId914"/>
    <hyperlink ref="G1621" r:id="rId915"/>
    <hyperlink ref="Q1621" r:id="rId916"/>
    <hyperlink ref="G1622" r:id="rId917"/>
    <hyperlink ref="Q1622" r:id="rId918"/>
    <hyperlink ref="G1623" r:id="rId919"/>
    <hyperlink ref="Q1623" r:id="rId920"/>
    <hyperlink ref="Q1624" r:id="rId921"/>
    <hyperlink ref="Q1625" r:id="rId922"/>
    <hyperlink ref="Q1627" r:id="rId923"/>
    <hyperlink ref="G1628" r:id="rId924"/>
    <hyperlink ref="Q1628" r:id="rId925"/>
    <hyperlink ref="F1630" r:id="rId926"/>
    <hyperlink ref="G1630" r:id="rId927"/>
    <hyperlink ref="Q1632" r:id="rId928"/>
    <hyperlink ref="Q1635" r:id="rId929"/>
    <hyperlink ref="G1636" r:id="rId930"/>
    <hyperlink ref="Q1636" r:id="rId931"/>
    <hyperlink ref="F1641" r:id="rId932"/>
    <hyperlink ref="Q1641" r:id="rId933"/>
    <hyperlink ref="G1648" r:id="rId934"/>
    <hyperlink ref="G1649" r:id="rId935"/>
    <hyperlink ref="Q1649" r:id="rId936"/>
    <hyperlink ref="F1651" r:id="rId937"/>
    <hyperlink ref="G1651" r:id="rId938"/>
    <hyperlink ref="Q1651" r:id="rId939"/>
    <hyperlink ref="G1654" r:id="rId940"/>
    <hyperlink ref="G1660" r:id="rId941"/>
    <hyperlink ref="G1666" r:id="rId942"/>
    <hyperlink ref="Q1667" r:id="rId943"/>
    <hyperlink ref="Q1670" r:id="rId944"/>
    <hyperlink ref="Q1672" r:id="rId945"/>
    <hyperlink ref="Q1673" r:id="rId946"/>
    <hyperlink ref="Q1674" r:id="rId947"/>
    <hyperlink ref="G1676" r:id="rId948"/>
    <hyperlink ref="Q1687" r:id="rId949"/>
    <hyperlink ref="G1692" r:id="rId950"/>
    <hyperlink ref="G1694" r:id="rId951"/>
    <hyperlink ref="G1697" r:id="rId952"/>
    <hyperlink ref="Q1698" r:id="rId953"/>
    <hyperlink ref="G1699" r:id="rId954"/>
    <hyperlink ref="Q1701" r:id="rId955"/>
    <hyperlink ref="F1703" r:id="rId956"/>
    <hyperlink ref="G1703" r:id="rId957"/>
    <hyperlink ref="G1704" r:id="rId958"/>
    <hyperlink ref="G1705" r:id="rId959"/>
    <hyperlink ref="G1707" r:id="rId960"/>
    <hyperlink ref="Q1714" r:id="rId961"/>
    <hyperlink ref="G1716" r:id="rId962"/>
    <hyperlink ref="Q1716" r:id="rId963"/>
    <hyperlink ref="Q1720" r:id="rId964"/>
    <hyperlink ref="G1727" r:id="rId965"/>
    <hyperlink ref="G1728" r:id="rId966"/>
    <hyperlink ref="G1729" r:id="rId967"/>
    <hyperlink ref="G1730" r:id="rId968"/>
    <hyperlink ref="F1733" r:id="rId969"/>
    <hyperlink ref="G1734" r:id="rId970"/>
    <hyperlink ref="F1735" r:id="rId971"/>
    <hyperlink ref="G1737" r:id="rId972"/>
    <hyperlink ref="Q1740" r:id="rId973"/>
    <hyperlink ref="G1746" r:id="rId974"/>
    <hyperlink ref="Q1752" r:id="rId975"/>
    <hyperlink ref="G1754" r:id="rId976"/>
    <hyperlink ref="Q1754" r:id="rId977"/>
    <hyperlink ref="G1756" r:id="rId978"/>
    <hyperlink ref="Q1756" r:id="rId979"/>
    <hyperlink ref="G1759" r:id="rId980"/>
    <hyperlink ref="G1761" r:id="rId981"/>
    <hyperlink ref="Q1762" r:id="rId982"/>
    <hyperlink ref="Q1764" r:id="rId983"/>
    <hyperlink ref="F1765" r:id="rId984"/>
    <hyperlink ref="G1766" r:id="rId985"/>
    <hyperlink ref="Q1766" r:id="rId986"/>
    <hyperlink ref="G1767" r:id="rId987"/>
    <hyperlink ref="Q1770" r:id="rId988"/>
    <hyperlink ref="Q1771" r:id="rId989"/>
    <hyperlink ref="G1772" r:id="rId990"/>
    <hyperlink ref="Q1772" r:id="rId991"/>
    <hyperlink ref="G1774" r:id="rId992"/>
    <hyperlink ref="G1777" r:id="rId993"/>
    <hyperlink ref="G1778" r:id="rId994"/>
    <hyperlink ref="Q1780" r:id="rId995"/>
    <hyperlink ref="Q1783" r:id="rId996"/>
    <hyperlink ref="C1785" r:id="rId997"/>
    <hyperlink ref="G1785" r:id="rId998"/>
    <hyperlink ref="Q1786" r:id="rId999"/>
    <hyperlink ref="Q1788" r:id="rId1000"/>
    <hyperlink ref="G1789" r:id="rId1001"/>
    <hyperlink ref="Q1789" r:id="rId1002"/>
    <hyperlink ref="G1790" r:id="rId1003"/>
    <hyperlink ref="Q1792" r:id="rId1004"/>
    <hyperlink ref="Q1793" r:id="rId1005"/>
    <hyperlink ref="F1794" r:id="rId1006"/>
    <hyperlink ref="G1794" r:id="rId1007"/>
    <hyperlink ref="Q1794" r:id="rId1008"/>
    <hyperlink ref="G1797" r:id="rId1009"/>
    <hyperlink ref="Q1799" r:id="rId1010"/>
    <hyperlink ref="G1800" r:id="rId1011"/>
    <hyperlink ref="Q1800" r:id="rId1012"/>
    <hyperlink ref="Q1801" r:id="rId1013"/>
    <hyperlink ref="F1802" r:id="rId1014"/>
    <hyperlink ref="G1802" r:id="rId1015"/>
    <hyperlink ref="Q1810" r:id="rId1016"/>
    <hyperlink ref="Q1811" r:id="rId1017"/>
    <hyperlink ref="Q1812" r:id="rId1018"/>
    <hyperlink ref="G1813" r:id="rId1019"/>
    <hyperlink ref="Q1813" r:id="rId1020"/>
    <hyperlink ref="G1814" r:id="rId1021"/>
    <hyperlink ref="G1815" r:id="rId1022"/>
    <hyperlink ref="Q1817" r:id="rId1023"/>
    <hyperlink ref="G1818" r:id="rId1024"/>
    <hyperlink ref="G1819" r:id="rId1025"/>
    <hyperlink ref="Q1821" r:id="rId1026"/>
    <hyperlink ref="G1827" r:id="rId1027"/>
    <hyperlink ref="Q1827" r:id="rId1028"/>
    <hyperlink ref="G1828" r:id="rId1029"/>
    <hyperlink ref="Q1828" r:id="rId1030"/>
    <hyperlink ref="Q1837" r:id="rId1031"/>
    <hyperlink ref="F1840" r:id="rId1032"/>
    <hyperlink ref="G1840" r:id="rId1033"/>
    <hyperlink ref="Q1840" r:id="rId1034"/>
    <hyperlink ref="F1841" r:id="rId1035"/>
    <hyperlink ref="G1846" r:id="rId1036"/>
    <hyperlink ref="Q1850" r:id="rId1037"/>
    <hyperlink ref="G1853" r:id="rId1038"/>
    <hyperlink ref="Q1855" r:id="rId1039"/>
    <hyperlink ref="G1858" r:id="rId1040"/>
    <hyperlink ref="G1861" r:id="rId1041"/>
    <hyperlink ref="F1863" r:id="rId1042"/>
    <hyperlink ref="Q1863" r:id="rId1043"/>
    <hyperlink ref="G1864" r:id="rId1044"/>
    <hyperlink ref="Q1864" r:id="rId1045"/>
    <hyperlink ref="F1867" r:id="rId1046"/>
    <hyperlink ref="G1867" r:id="rId1047"/>
    <hyperlink ref="Q1867" r:id="rId1048"/>
    <hyperlink ref="G1868" r:id="rId1049"/>
    <hyperlink ref="Q1870" r:id="rId1050"/>
    <hyperlink ref="G1871" r:id="rId1051"/>
    <hyperlink ref="F1874" r:id="rId1052"/>
    <hyperlink ref="G1874" r:id="rId1053"/>
    <hyperlink ref="G1875" r:id="rId1054"/>
    <hyperlink ref="Q1877" r:id="rId1055"/>
    <hyperlink ref="G1878" r:id="rId1056"/>
    <hyperlink ref="G1879" r:id="rId1057"/>
    <hyperlink ref="Q1879" r:id="rId1058"/>
    <hyperlink ref="Q1883" r:id="rId1059"/>
    <hyperlink ref="G1887" r:id="rId1060"/>
    <hyperlink ref="Q1887" r:id="rId1061"/>
    <hyperlink ref="G1889" r:id="rId1062"/>
    <hyperlink ref="Q1889" r:id="rId1063"/>
    <hyperlink ref="G1892" r:id="rId1064"/>
    <hyperlink ref="Q1896" r:id="rId1065"/>
    <hyperlink ref="G1897" r:id="rId1066"/>
    <hyperlink ref="G1898" r:id="rId1067"/>
    <hyperlink ref="G1903" r:id="rId1068"/>
    <hyperlink ref="G1904" r:id="rId1069"/>
    <hyperlink ref="Q1907" r:id="rId1070"/>
    <hyperlink ref="Q1909" r:id="rId1071"/>
    <hyperlink ref="G1910" r:id="rId1072"/>
    <hyperlink ref="Q1910" r:id="rId1073"/>
    <hyperlink ref="Q1915" r:id="rId1074"/>
    <hyperlink ref="G1916" r:id="rId1075"/>
    <hyperlink ref="G1918" r:id="rId1076"/>
    <hyperlink ref="F1919" r:id="rId1077"/>
    <hyperlink ref="G1920" r:id="rId1078"/>
    <hyperlink ref="Q1921" r:id="rId1079"/>
    <hyperlink ref="G1922" r:id="rId1080"/>
    <hyperlink ref="Q1928" r:id="rId1081"/>
    <hyperlink ref="Q1931" r:id="rId1082"/>
    <hyperlink ref="F1932" r:id="rId1083"/>
    <hyperlink ref="G1932" r:id="rId1084"/>
    <hyperlink ref="Q1933" r:id="rId1085"/>
    <hyperlink ref="G1934" r:id="rId1086"/>
    <hyperlink ref="Q1935" r:id="rId1087"/>
    <hyperlink ref="Q1937" r:id="rId1088"/>
    <hyperlink ref="G1939" r:id="rId1089"/>
    <hyperlink ref="Q1939" r:id="rId1090"/>
    <hyperlink ref="G1940" r:id="rId1091"/>
    <hyperlink ref="G1949" r:id="rId1092"/>
    <hyperlink ref="F1950" r:id="rId1093"/>
    <hyperlink ref="G1954" r:id="rId1094"/>
    <hyperlink ref="F1956" r:id="rId1095"/>
    <hyperlink ref="G1956" r:id="rId1096"/>
    <hyperlink ref="Q1956" r:id="rId1097"/>
    <hyperlink ref="G1957" r:id="rId1098"/>
    <hyperlink ref="Q1957" r:id="rId1099"/>
    <hyperlink ref="Q1958" r:id="rId1100"/>
    <hyperlink ref="F1963" r:id="rId1101"/>
    <hyperlink ref="G1967" r:id="rId1102"/>
    <hyperlink ref="Q1967" r:id="rId1103"/>
    <hyperlink ref="G1970" r:id="rId1104"/>
    <hyperlink ref="G1971" r:id="rId1105"/>
    <hyperlink ref="Q1973" r:id="rId1106"/>
    <hyperlink ref="G1977" r:id="rId1107"/>
    <hyperlink ref="G1980" r:id="rId1108"/>
    <hyperlink ref="G1982" r:id="rId1109"/>
    <hyperlink ref="Q1982" r:id="rId1110"/>
    <hyperlink ref="G1983" r:id="rId1111"/>
    <hyperlink ref="G1985" r:id="rId1112"/>
    <hyperlink ref="G1986" r:id="rId1113"/>
    <hyperlink ref="G1989" r:id="rId1114"/>
    <hyperlink ref="Q1990" r:id="rId1115"/>
    <hyperlink ref="G1993" r:id="rId1116"/>
    <hyperlink ref="Q1993" r:id="rId1117"/>
    <hyperlink ref="G1996" r:id="rId1118"/>
    <hyperlink ref="Q1996" r:id="rId1119"/>
    <hyperlink ref="F2001" r:id="rId1120"/>
    <hyperlink ref="G2001" r:id="rId1121"/>
    <hyperlink ref="G2005" r:id="rId1122"/>
    <hyperlink ref="P2005" r:id="rId1123"/>
    <hyperlink ref="Q2005" r:id="rId1124"/>
    <hyperlink ref="Q2008" r:id="rId1125"/>
    <hyperlink ref="G2009" r:id="rId1126"/>
    <hyperlink ref="Q2009" r:id="rId1127"/>
    <hyperlink ref="F2012" r:id="rId1128"/>
    <hyperlink ref="G2013" r:id="rId1129"/>
    <hyperlink ref="F2016" r:id="rId1130"/>
    <hyperlink ref="G2016" r:id="rId1131"/>
    <hyperlink ref="G2017" r:id="rId1132"/>
    <hyperlink ref="G2019" r:id="rId1133"/>
    <hyperlink ref="G2021" r:id="rId1134"/>
    <hyperlink ref="G2023" r:id="rId1135"/>
    <hyperlink ref="Q2024" r:id="rId1136"/>
    <hyperlink ref="Q2025" r:id="rId1137"/>
    <hyperlink ref="Q2029" r:id="rId1138"/>
    <hyperlink ref="F2030" r:id="rId1139"/>
    <hyperlink ref="G2030" r:id="rId1140"/>
    <hyperlink ref="Q2031" r:id="rId1141"/>
    <hyperlink ref="G2035" r:id="rId1142"/>
    <hyperlink ref="Q2037" r:id="rId1143"/>
    <hyperlink ref="G2040" r:id="rId1144"/>
    <hyperlink ref="G2045" r:id="rId1145"/>
    <hyperlink ref="Q2045" r:id="rId1146"/>
    <hyperlink ref="G2046" r:id="rId1147"/>
    <hyperlink ref="G2047" r:id="rId1148"/>
    <hyperlink ref="F2051" r:id="rId1149"/>
    <hyperlink ref="G2053" r:id="rId1150"/>
    <hyperlink ref="G2055" r:id="rId1151"/>
    <hyperlink ref="F2056" r:id="rId1152"/>
    <hyperlink ref="G2058" r:id="rId1153"/>
    <hyperlink ref="G2066" r:id="rId1154"/>
    <hyperlink ref="F2069" r:id="rId1155"/>
    <hyperlink ref="F2070" r:id="rId1156"/>
    <hyperlink ref="G2070" r:id="rId1157"/>
    <hyperlink ref="Q2070" r:id="rId1158"/>
    <hyperlink ref="G2072" r:id="rId1159"/>
    <hyperlink ref="Q2072" r:id="rId1160"/>
    <hyperlink ref="Q2075" r:id="rId1161"/>
    <hyperlink ref="G2080" r:id="rId1162"/>
    <hyperlink ref="Q2080" r:id="rId1163"/>
    <hyperlink ref="F2081" r:id="rId1164"/>
    <hyperlink ref="G2085" r:id="rId1165"/>
    <hyperlink ref="G2088" r:id="rId1166"/>
    <hyperlink ref="Q2088" r:id="rId1167"/>
    <hyperlink ref="G2091" r:id="rId1168"/>
    <hyperlink ref="Q2092" r:id="rId1169"/>
    <hyperlink ref="G2093" r:id="rId1170"/>
    <hyperlink ref="G2096" r:id="rId1171"/>
    <hyperlink ref="Q2096" r:id="rId1172"/>
    <hyperlink ref="Q2099" r:id="rId1173"/>
    <hyperlink ref="G2100" r:id="rId1174"/>
    <hyperlink ref="Q2100" r:id="rId1175"/>
    <hyperlink ref="G2101" r:id="rId1176"/>
    <hyperlink ref="Q2102" r:id="rId1177"/>
    <hyperlink ref="G2103" r:id="rId1178"/>
    <hyperlink ref="Q2103" r:id="rId1179"/>
    <hyperlink ref="G2112" r:id="rId1180"/>
    <hyperlink ref="G2113" r:id="rId1181"/>
    <hyperlink ref="G2118" r:id="rId1182"/>
    <hyperlink ref="G2121" r:id="rId1183"/>
    <hyperlink ref="G2122" r:id="rId1184"/>
    <hyperlink ref="G2123" r:id="rId1185"/>
    <hyperlink ref="Q2123" r:id="rId1186"/>
    <hyperlink ref="G2124" r:id="rId1187"/>
    <hyperlink ref="G2125" r:id="rId1188"/>
    <hyperlink ref="G2126" r:id="rId1189"/>
    <hyperlink ref="G2128" r:id="rId1190"/>
    <hyperlink ref="Q2128" r:id="rId1191"/>
    <hyperlink ref="G2129" r:id="rId1192"/>
    <hyperlink ref="G2130" r:id="rId1193"/>
    <hyperlink ref="Q2130" r:id="rId1194"/>
    <hyperlink ref="G2131" r:id="rId1195"/>
    <hyperlink ref="G2132" r:id="rId1196"/>
    <hyperlink ref="G2134" r:id="rId1197"/>
    <hyperlink ref="G2137" r:id="rId1198"/>
    <hyperlink ref="G2138" r:id="rId1199"/>
    <hyperlink ref="G2140" r:id="rId1200"/>
    <hyperlink ref="G2142" r:id="rId1201"/>
    <hyperlink ref="G2143" r:id="rId1202"/>
    <hyperlink ref="Q2147" r:id="rId1203"/>
    <hyperlink ref="G2153" r:id="rId1204"/>
    <hyperlink ref="Q2154" r:id="rId1205"/>
    <hyperlink ref="G2155" r:id="rId1206"/>
    <hyperlink ref="Q2155" r:id="rId1207"/>
    <hyperlink ref="Q2156" r:id="rId1208"/>
    <hyperlink ref="Q2157" r:id="rId1209"/>
    <hyperlink ref="Q2158" r:id="rId1210"/>
    <hyperlink ref="G2159" r:id="rId1211"/>
    <hyperlink ref="G2162" r:id="rId1212"/>
    <hyperlink ref="Q2162" r:id="rId1213"/>
    <hyperlink ref="F2170" r:id="rId1214"/>
    <hyperlink ref="Q2170" r:id="rId1215"/>
    <hyperlink ref="G2173" r:id="rId1216"/>
    <hyperlink ref="G2176" r:id="rId1217"/>
    <hyperlink ref="Q2176" r:id="rId1218"/>
    <hyperlink ref="G2177" r:id="rId1219"/>
    <hyperlink ref="Q2179" r:id="rId1220"/>
    <hyperlink ref="G2180" r:id="rId1221"/>
    <hyperlink ref="G2181" r:id="rId1222"/>
    <hyperlink ref="Q2182" r:id="rId1223"/>
    <hyperlink ref="G2183" r:id="rId1224"/>
    <hyperlink ref="Q2183" r:id="rId1225"/>
    <hyperlink ref="G2184" r:id="rId1226"/>
    <hyperlink ref="G2188" r:id="rId1227"/>
    <hyperlink ref="C2190" r:id="rId1228"/>
    <hyperlink ref="F2201" r:id="rId1229"/>
    <hyperlink ref="G2201" r:id="rId1230"/>
    <hyperlink ref="G2202" r:id="rId1231"/>
    <hyperlink ref="G2206" r:id="rId1232"/>
    <hyperlink ref="Q2208" r:id="rId1233"/>
    <hyperlink ref="G2210" r:id="rId1234"/>
    <hyperlink ref="Q2212" r:id="rId1235"/>
    <hyperlink ref="Q2213" r:id="rId1236"/>
    <hyperlink ref="G2215" r:id="rId1237"/>
    <hyperlink ref="P2215" r:id="rId1238"/>
    <hyperlink ref="Q2215" r:id="rId1239"/>
    <hyperlink ref="Q2216" r:id="rId1240"/>
    <hyperlink ref="Q2218" r:id="rId1241"/>
    <hyperlink ref="G2220" r:id="rId1242"/>
    <hyperlink ref="Q2223" r:id="rId1243"/>
    <hyperlink ref="G2224" r:id="rId1244"/>
    <hyperlink ref="Q2224" r:id="rId1245"/>
    <hyperlink ref="Q2226" r:id="rId1246"/>
    <hyperlink ref="F2227" r:id="rId1247"/>
    <hyperlink ref="F2228" r:id="rId1248"/>
    <hyperlink ref="G2231" r:id="rId1249"/>
    <hyperlink ref="G2232" r:id="rId1250"/>
    <hyperlink ref="G2233" r:id="rId1251"/>
    <hyperlink ref="Q2233" r:id="rId1252"/>
    <hyperlink ref="G2234" r:id="rId1253"/>
    <hyperlink ref="G2236" r:id="rId1254"/>
    <hyperlink ref="F2240" r:id="rId1255"/>
    <hyperlink ref="Q2242" r:id="rId1256"/>
    <hyperlink ref="F2243" r:id="rId1257"/>
    <hyperlink ref="G2244" r:id="rId1258"/>
    <hyperlink ref="G2246" r:id="rId1259"/>
    <hyperlink ref="F2250" r:id="rId1260"/>
    <hyperlink ref="G2250" r:id="rId1261"/>
    <hyperlink ref="G2254" r:id="rId1262"/>
    <hyperlink ref="G2255" r:id="rId1263"/>
    <hyperlink ref="G2260" r:id="rId1264"/>
    <hyperlink ref="G2262" r:id="rId1265"/>
    <hyperlink ref="G2264" r:id="rId1266"/>
    <hyperlink ref="G2266" r:id="rId1267"/>
    <hyperlink ref="Q2268" r:id="rId1268"/>
    <hyperlink ref="G2273" r:id="rId1269"/>
    <hyperlink ref="G2274" r:id="rId1270"/>
    <hyperlink ref="G2275" r:id="rId1271"/>
    <hyperlink ref="Q2280" r:id="rId1272"/>
    <hyperlink ref="C2281" r:id="rId1273"/>
    <hyperlink ref="G2282" r:id="rId1274"/>
    <hyperlink ref="Q2282" r:id="rId1275"/>
    <hyperlink ref="G2284" r:id="rId1276"/>
    <hyperlink ref="G2285" r:id="rId1277"/>
    <hyperlink ref="G2286" r:id="rId1278"/>
    <hyperlink ref="G2290" r:id="rId1279"/>
    <hyperlink ref="G2291" r:id="rId1280"/>
    <hyperlink ref="Q2292" r:id="rId1281"/>
    <hyperlink ref="Q2293" r:id="rId1282"/>
    <hyperlink ref="G2294" r:id="rId1283"/>
    <hyperlink ref="G2295" r:id="rId1284"/>
    <hyperlink ref="Q2299" r:id="rId1285"/>
    <hyperlink ref="F2301" r:id="rId1286"/>
    <hyperlink ref="G2301" r:id="rId1287"/>
    <hyperlink ref="G2303" r:id="rId1288"/>
    <hyperlink ref="Q2307" r:id="rId1289"/>
    <hyperlink ref="G2311" r:id="rId1290"/>
    <hyperlink ref="G2313" r:id="rId1291"/>
    <hyperlink ref="G2315" r:id="rId1292"/>
    <hyperlink ref="G2319" r:id="rId1293"/>
    <hyperlink ref="G2321" r:id="rId1294"/>
    <hyperlink ref="G2323" r:id="rId1295"/>
    <hyperlink ref="Q2323" r:id="rId1296"/>
    <hyperlink ref="Q2327" r:id="rId1297"/>
    <hyperlink ref="G2330" r:id="rId1298"/>
    <hyperlink ref="G2335" r:id="rId1299"/>
    <hyperlink ref="Q2339" r:id="rId1300"/>
    <hyperlink ref="G2343" r:id="rId1301"/>
    <hyperlink ref="G2346" r:id="rId1302"/>
    <hyperlink ref="G2347" r:id="rId1303"/>
    <hyperlink ref="G2350" r:id="rId1304"/>
    <hyperlink ref="G2352" r:id="rId1305"/>
    <hyperlink ref="G2353" r:id="rId1306"/>
    <hyperlink ref="G2354" r:id="rId1307"/>
    <hyperlink ref="G2356" r:id="rId1308"/>
    <hyperlink ref="Q2357" r:id="rId1309"/>
    <hyperlink ref="Q2358" r:id="rId1310"/>
    <hyperlink ref="G2362" r:id="rId1311"/>
    <hyperlink ref="G2364" r:id="rId1312"/>
    <hyperlink ref="G2367" r:id="rId1313"/>
    <hyperlink ref="Q2368" r:id="rId1314"/>
    <hyperlink ref="G2370" r:id="rId1315"/>
    <hyperlink ref="Q2370" r:id="rId1316"/>
    <hyperlink ref="Q2372" r:id="rId1317"/>
    <hyperlink ref="G2374" r:id="rId1318"/>
    <hyperlink ref="Q2375" r:id="rId1319"/>
    <hyperlink ref="Q2378" r:id="rId1320"/>
    <hyperlink ref="G2380" r:id="rId1321"/>
    <hyperlink ref="G2383" r:id="rId1322"/>
    <hyperlink ref="F2384" r:id="rId1323"/>
    <hyperlink ref="G2385" r:id="rId1324"/>
    <hyperlink ref="G2387" r:id="rId1325"/>
    <hyperlink ref="Q2388" r:id="rId1326"/>
    <hyperlink ref="G2391" r:id="rId1327"/>
    <hyperlink ref="Q2395" r:id="rId1328"/>
    <hyperlink ref="G2396" r:id="rId1329"/>
    <hyperlink ref="G2397" r:id="rId1330"/>
    <hyperlink ref="Q2399" r:id="rId1331"/>
    <hyperlink ref="G2400" r:id="rId1332"/>
    <hyperlink ref="Q2401" r:id="rId1333"/>
    <hyperlink ref="Q2402" r:id="rId1334"/>
    <hyperlink ref="G2404" r:id="rId1335"/>
    <hyperlink ref="Q2405" r:id="rId1336"/>
    <hyperlink ref="G2407" r:id="rId1337"/>
    <hyperlink ref="G2411" r:id="rId1338"/>
    <hyperlink ref="Q2411" r:id="rId1339"/>
    <hyperlink ref="Q2413" r:id="rId1340"/>
    <hyperlink ref="Q2415" r:id="rId1341"/>
    <hyperlink ref="G2416" r:id="rId1342"/>
    <hyperlink ref="G2422" r:id="rId1343"/>
    <hyperlink ref="Q2424" r:id="rId1344"/>
    <hyperlink ref="G2425" r:id="rId1345"/>
    <hyperlink ref="Q2425" r:id="rId1346"/>
    <hyperlink ref="Q2427" r:id="rId1347"/>
    <hyperlink ref="G2431" r:id="rId1348"/>
    <hyperlink ref="G2432" r:id="rId1349"/>
    <hyperlink ref="G2433" r:id="rId1350"/>
    <hyperlink ref="G2434" r:id="rId1351"/>
    <hyperlink ref="G2436" r:id="rId1352"/>
    <hyperlink ref="Q2436" r:id="rId1353"/>
    <hyperlink ref="G2440" r:id="rId1354"/>
    <hyperlink ref="Q2442" r:id="rId1355"/>
    <hyperlink ref="G2443" r:id="rId1356"/>
    <hyperlink ref="G2444" r:id="rId1357"/>
    <hyperlink ref="G2445" r:id="rId1358"/>
    <hyperlink ref="G2446" r:id="rId1359"/>
    <hyperlink ref="G2447" r:id="rId1360"/>
    <hyperlink ref="G2449" r:id="rId1361"/>
    <hyperlink ref="G2455" r:id="rId1362"/>
    <hyperlink ref="G2456" r:id="rId1363"/>
    <hyperlink ref="G2457" r:id="rId1364"/>
    <hyperlink ref="P2458" r:id="rId1365"/>
    <hyperlink ref="Q2458" r:id="rId1366"/>
    <hyperlink ref="F2459" r:id="rId1367"/>
    <hyperlink ref="F2460" r:id="rId1368"/>
    <hyperlink ref="G2460" r:id="rId1369"/>
    <hyperlink ref="Q2460" r:id="rId1370"/>
    <hyperlink ref="Q2463" r:id="rId1371"/>
    <hyperlink ref="Q2464" r:id="rId1372"/>
    <hyperlink ref="G2469" r:id="rId1373"/>
    <hyperlink ref="G2472" r:id="rId1374"/>
    <hyperlink ref="Q2474" r:id="rId1375"/>
    <hyperlink ref="G2477" r:id="rId1376"/>
    <hyperlink ref="G2478" r:id="rId1377"/>
    <hyperlink ref="G2480" r:id="rId1378"/>
    <hyperlink ref="G2482" r:id="rId1379"/>
    <hyperlink ref="G2484" r:id="rId1380"/>
    <hyperlink ref="G2485" r:id="rId1381"/>
    <hyperlink ref="G2486" r:id="rId1382"/>
    <hyperlink ref="Q2486" r:id="rId1383"/>
    <hyperlink ref="G2488" r:id="rId1384"/>
    <hyperlink ref="Q2488" r:id="rId1385"/>
    <hyperlink ref="G2489" r:id="rId1386"/>
    <hyperlink ref="G2493" r:id="rId1387"/>
    <hyperlink ref="Q2493" r:id="rId1388"/>
    <hyperlink ref="G2495" r:id="rId1389"/>
    <hyperlink ref="Q2495" r:id="rId1390"/>
    <hyperlink ref="G2499" r:id="rId1391"/>
    <hyperlink ref="Q2501" r:id="rId1392"/>
    <hyperlink ref="G2502" r:id="rId1393"/>
    <hyperlink ref="G2503" r:id="rId1394"/>
    <hyperlink ref="Q2505" r:id="rId1395"/>
    <hyperlink ref="G2506" r:id="rId1396"/>
    <hyperlink ref="G2507" r:id="rId1397"/>
    <hyperlink ref="G2509" r:id="rId1398"/>
    <hyperlink ref="G2513" r:id="rId1399"/>
    <hyperlink ref="G2514" r:id="rId1400"/>
    <hyperlink ref="G2517" r:id="rId1401"/>
    <hyperlink ref="G2522" r:id="rId1402"/>
    <hyperlink ref="G2525" r:id="rId1403"/>
    <hyperlink ref="Q2525" r:id="rId1404"/>
    <hyperlink ref="Q2527" r:id="rId1405"/>
    <hyperlink ref="G2533" r:id="rId1406"/>
    <hyperlink ref="Q2533" r:id="rId1407"/>
    <hyperlink ref="G2534" r:id="rId1408"/>
    <hyperlink ref="Q2534" r:id="rId1409"/>
    <hyperlink ref="G2535" r:id="rId1410"/>
    <hyperlink ref="G2537" r:id="rId1411"/>
    <hyperlink ref="G2538" r:id="rId1412"/>
    <hyperlink ref="G2539" r:id="rId1413"/>
    <hyperlink ref="G2540" r:id="rId1414"/>
    <hyperlink ref="Q2540" r:id="rId1415"/>
    <hyperlink ref="Q2542" r:id="rId1416"/>
    <hyperlink ref="Q2543" r:id="rId1417"/>
    <hyperlink ref="G2545" r:id="rId1418"/>
    <hyperlink ref="Q2547" r:id="rId1419"/>
    <hyperlink ref="G2549" r:id="rId1420"/>
    <hyperlink ref="G2550" r:id="rId1421"/>
    <hyperlink ref="Q2550" r:id="rId1422"/>
    <hyperlink ref="Q2552" r:id="rId1423"/>
    <hyperlink ref="G2553" r:id="rId1424"/>
    <hyperlink ref="G2555" r:id="rId1425"/>
    <hyperlink ref="G2556" r:id="rId1426"/>
    <hyperlink ref="G2557" r:id="rId1427"/>
    <hyperlink ref="Q2558" r:id="rId1428"/>
    <hyperlink ref="G2560" r:id="rId1429"/>
    <hyperlink ref="G2561" r:id="rId1430"/>
    <hyperlink ref="G2563" r:id="rId1431"/>
    <hyperlink ref="G2564" r:id="rId1432"/>
    <hyperlink ref="Q2565" r:id="rId1433"/>
    <hyperlink ref="G2568" r:id="rId1434"/>
    <hyperlink ref="Q2568" r:id="rId1435"/>
    <hyperlink ref="Q2569" r:id="rId1436"/>
    <hyperlink ref="Q2570" r:id="rId1437"/>
    <hyperlink ref="Q2571" r:id="rId1438"/>
    <hyperlink ref="Q2575" r:id="rId1439"/>
    <hyperlink ref="G2578" r:id="rId1440"/>
    <hyperlink ref="Q2579" r:id="rId1441"/>
    <hyperlink ref="G2580" r:id="rId1442"/>
    <hyperlink ref="G2583" r:id="rId1443"/>
    <hyperlink ref="Q2583" r:id="rId1444"/>
    <hyperlink ref="G2584" r:id="rId1445"/>
    <hyperlink ref="G2586" r:id="rId1446"/>
    <hyperlink ref="Q2587" r:id="rId1447"/>
    <hyperlink ref="G2588" r:id="rId1448"/>
    <hyperlink ref="Q2588" r:id="rId1449"/>
    <hyperlink ref="G2590" r:id="rId1450"/>
    <hyperlink ref="G2592" r:id="rId1451"/>
    <hyperlink ref="Q2592" r:id="rId1452"/>
    <hyperlink ref="F2595" r:id="rId1453"/>
    <hyperlink ref="G2595" r:id="rId1454"/>
    <hyperlink ref="Q2595" r:id="rId1455"/>
    <hyperlink ref="F2598" r:id="rId1456"/>
    <hyperlink ref="Q2598" r:id="rId1457"/>
    <hyperlink ref="G2599" r:id="rId1458"/>
    <hyperlink ref="G2600" r:id="rId1459"/>
    <hyperlink ref="G2601" r:id="rId1460"/>
    <hyperlink ref="G2607" r:id="rId1461"/>
    <hyperlink ref="G2608" r:id="rId1462"/>
    <hyperlink ref="Q2608" r:id="rId1463"/>
    <hyperlink ref="G2611" r:id="rId1464"/>
    <hyperlink ref="G2617" r:id="rId1465"/>
    <hyperlink ref="G2619" r:id="rId1466"/>
    <hyperlink ref="F2622" r:id="rId1467"/>
    <hyperlink ref="Q2623" r:id="rId1468"/>
    <hyperlink ref="G2624" r:id="rId1469"/>
    <hyperlink ref="G2628" r:id="rId1470"/>
    <hyperlink ref="G2629" r:id="rId1471"/>
    <hyperlink ref="G2630" r:id="rId1472"/>
    <hyperlink ref="Q2631" r:id="rId1473"/>
    <hyperlink ref="G2636" r:id="rId1474"/>
    <hyperlink ref="Q2636" r:id="rId1475"/>
    <hyperlink ref="F2638" r:id="rId1476"/>
    <hyperlink ref="G2639" r:id="rId1477"/>
    <hyperlink ref="G2640" r:id="rId1478"/>
    <hyperlink ref="G2641" r:id="rId1479"/>
    <hyperlink ref="Q2641" r:id="rId1480"/>
    <hyperlink ref="G2643" r:id="rId1481"/>
    <hyperlink ref="G2644" r:id="rId1482"/>
    <hyperlink ref="G2646" r:id="rId1483"/>
    <hyperlink ref="Q2646" r:id="rId1484"/>
    <hyperlink ref="G2648" r:id="rId1485"/>
    <hyperlink ref="Q2648" r:id="rId1486"/>
    <hyperlink ref="G2649" r:id="rId1487"/>
    <hyperlink ref="G2650" r:id="rId1488"/>
    <hyperlink ref="G2651" r:id="rId1489"/>
    <hyperlink ref="G2653" r:id="rId1490"/>
    <hyperlink ref="G2655" r:id="rId1491"/>
    <hyperlink ref="Q2655" r:id="rId1492"/>
    <hyperlink ref="Q2656" r:id="rId1493"/>
    <hyperlink ref="G2657" r:id="rId1494"/>
    <hyperlink ref="Q2657" r:id="rId1495"/>
    <hyperlink ref="G2659" r:id="rId1496"/>
    <hyperlink ref="G2661" r:id="rId1497"/>
    <hyperlink ref="G2662" r:id="rId1498"/>
    <hyperlink ref="G2663" r:id="rId1499"/>
    <hyperlink ref="G2665" r:id="rId1500"/>
    <hyperlink ref="G2666" r:id="rId1501"/>
    <hyperlink ref="G2667" r:id="rId1502"/>
    <hyperlink ref="G2670" r:id="rId1503"/>
    <hyperlink ref="G2671" r:id="rId1504"/>
    <hyperlink ref="G2672" r:id="rId1505"/>
    <hyperlink ref="G2673" r:id="rId1506"/>
    <hyperlink ref="G2674" r:id="rId1507"/>
    <hyperlink ref="Q2678" r:id="rId1508"/>
    <hyperlink ref="Q2679" r:id="rId1509"/>
    <hyperlink ref="Q2683" r:id="rId1510"/>
    <hyperlink ref="G2684" r:id="rId1511"/>
    <hyperlink ref="G2686" r:id="rId1512"/>
    <hyperlink ref="G2687" r:id="rId1513"/>
    <hyperlink ref="F2688" r:id="rId1514"/>
    <hyperlink ref="G2689" r:id="rId1515"/>
    <hyperlink ref="G2691" r:id="rId1516"/>
    <hyperlink ref="G2692" r:id="rId1517"/>
    <hyperlink ref="G2693" r:id="rId1518"/>
    <hyperlink ref="F2694" r:id="rId1519"/>
    <hyperlink ref="G2696" r:id="rId1520"/>
    <hyperlink ref="F2697" r:id="rId1521"/>
    <hyperlink ref="Q2697" r:id="rId1522"/>
    <hyperlink ref="Q2699" r:id="rId1523"/>
    <hyperlink ref="G2700" r:id="rId1524"/>
    <hyperlink ref="Q2702" r:id="rId1525"/>
    <hyperlink ref="G2704" r:id="rId1526"/>
    <hyperlink ref="Q2704" r:id="rId1527"/>
    <hyperlink ref="G2706" r:id="rId1528"/>
    <hyperlink ref="Q2706" r:id="rId1529"/>
    <hyperlink ref="G2708" r:id="rId1530"/>
    <hyperlink ref="F2709" r:id="rId1531"/>
    <hyperlink ref="G2711" r:id="rId1532"/>
    <hyperlink ref="F2714" r:id="rId1533"/>
    <hyperlink ref="G2717" r:id="rId1534"/>
    <hyperlink ref="G2723" r:id="rId1535"/>
    <hyperlink ref="G2724" r:id="rId1536"/>
    <hyperlink ref="Q2724" r:id="rId1537"/>
    <hyperlink ref="G2726" r:id="rId1538"/>
    <hyperlink ref="F2728" r:id="rId1539"/>
    <hyperlink ref="Q2729" r:id="rId1540"/>
    <hyperlink ref="G2731" r:id="rId1541"/>
    <hyperlink ref="G2732" r:id="rId1542"/>
    <hyperlink ref="Q2732" r:id="rId1543"/>
    <hyperlink ref="G2734" r:id="rId1544"/>
    <hyperlink ref="G2736" r:id="rId1545"/>
    <hyperlink ref="G2737" r:id="rId1546"/>
    <hyperlink ref="Q2737" r:id="rId1547"/>
    <hyperlink ref="Q2738" r:id="rId1548"/>
    <hyperlink ref="G2739" r:id="rId1549"/>
    <hyperlink ref="G2742" r:id="rId1550"/>
    <hyperlink ref="G2744" r:id="rId1551"/>
    <hyperlink ref="G2747" r:id="rId1552"/>
    <hyperlink ref="Q2747" r:id="rId1553"/>
    <hyperlink ref="G2748" r:id="rId1554"/>
    <hyperlink ref="G2749" r:id="rId1555"/>
    <hyperlink ref="G2750" r:id="rId1556"/>
    <hyperlink ref="Q2750" r:id="rId1557"/>
    <hyperlink ref="G2751" r:id="rId1558"/>
    <hyperlink ref="G2752" r:id="rId1559"/>
    <hyperlink ref="G2753" r:id="rId1560"/>
    <hyperlink ref="G2754" r:id="rId1561"/>
    <hyperlink ref="Q2754" r:id="rId1562"/>
    <hyperlink ref="G2755" r:id="rId1563"/>
    <hyperlink ref="G2756" r:id="rId1564"/>
    <hyperlink ref="G2757" r:id="rId1565"/>
    <hyperlink ref="Q2757" r:id="rId1566"/>
    <hyperlink ref="Q2758" r:id="rId1567"/>
    <hyperlink ref="G2760" r:id="rId1568"/>
    <hyperlink ref="Q2760" r:id="rId1569"/>
    <hyperlink ref="G2762" r:id="rId1570"/>
    <hyperlink ref="G2763" r:id="rId1571"/>
    <hyperlink ref="G2765" r:id="rId1572"/>
    <hyperlink ref="Q2765" r:id="rId1573"/>
    <hyperlink ref="G2766" r:id="rId1574"/>
    <hyperlink ref="G2767" r:id="rId1575"/>
    <hyperlink ref="G2775" r:id="rId1576"/>
    <hyperlink ref="G2777" r:id="rId1577"/>
    <hyperlink ref="G2778" r:id="rId1578"/>
    <hyperlink ref="Q2778" r:id="rId1579"/>
    <hyperlink ref="G2780" r:id="rId1580"/>
    <hyperlink ref="G2786" r:id="rId1581"/>
    <hyperlink ref="G2788" r:id="rId1582"/>
    <hyperlink ref="G2791" r:id="rId1583"/>
    <hyperlink ref="G2799" r:id="rId1584"/>
    <hyperlink ref="Q2799" r:id="rId1585"/>
    <hyperlink ref="F2811" r:id="rId1586"/>
    <hyperlink ref="G2811" r:id="rId1587"/>
    <hyperlink ref="Q2811" r:id="rId1588"/>
    <hyperlink ref="G2814" r:id="rId1589"/>
    <hyperlink ref="Q2814" r:id="rId1590"/>
    <hyperlink ref="G2817" r:id="rId1591"/>
    <hyperlink ref="Q2820" r:id="rId1592"/>
    <hyperlink ref="G2824" r:id="rId1593"/>
    <hyperlink ref="Q2828" r:id="rId1594"/>
    <hyperlink ref="F2830" r:id="rId1595"/>
    <hyperlink ref="Q2831" r:id="rId1596"/>
    <hyperlink ref="G2833" r:id="rId1597"/>
    <hyperlink ref="Q2833" r:id="rId1598"/>
    <hyperlink ref="G2839" r:id="rId1599"/>
    <hyperlink ref="Q2840" r:id="rId1600"/>
    <hyperlink ref="G2841" r:id="rId1601"/>
    <hyperlink ref="G2842" r:id="rId1602"/>
    <hyperlink ref="Q2844" r:id="rId1603"/>
    <hyperlink ref="G2846" r:id="rId1604"/>
    <hyperlink ref="Q2849" r:id="rId1605"/>
    <hyperlink ref="Q2850" r:id="rId1606"/>
    <hyperlink ref="G2851" r:id="rId1607"/>
    <hyperlink ref="Q2851" r:id="rId1608"/>
    <hyperlink ref="Q2852" r:id="rId1609"/>
    <hyperlink ref="F2862" r:id="rId1610"/>
    <hyperlink ref="G2864" r:id="rId1611"/>
    <hyperlink ref="Q2869" r:id="rId1612"/>
    <hyperlink ref="G2871" r:id="rId1613"/>
    <hyperlink ref="Q2872" r:id="rId1614"/>
    <hyperlink ref="G2873" r:id="rId1615"/>
    <hyperlink ref="G2875" r:id="rId1616"/>
    <hyperlink ref="G2876" r:id="rId1617"/>
    <hyperlink ref="G2884" r:id="rId1618"/>
    <hyperlink ref="Q2885" r:id="rId1619"/>
    <hyperlink ref="F2887" r:id="rId1620"/>
    <hyperlink ref="G2887" r:id="rId1621"/>
    <hyperlink ref="Q2887" r:id="rId1622"/>
    <hyperlink ref="G2891" r:id="rId1623"/>
    <hyperlink ref="Q2894" r:id="rId1624"/>
    <hyperlink ref="G2898" r:id="rId1625"/>
    <hyperlink ref="G2899" r:id="rId1626"/>
    <hyperlink ref="G2900" r:id="rId1627"/>
    <hyperlink ref="G2902" r:id="rId1628"/>
    <hyperlink ref="Q2902" r:id="rId1629"/>
    <hyperlink ref="G2905" r:id="rId1630"/>
    <hyperlink ref="G2906" r:id="rId1631"/>
    <hyperlink ref="F2907" r:id="rId1632"/>
    <hyperlink ref="Q2907" r:id="rId1633"/>
    <hyperlink ref="F2909" r:id="rId1634"/>
    <hyperlink ref="G2909" r:id="rId1635"/>
    <hyperlink ref="Q2909" r:id="rId1636"/>
    <hyperlink ref="Q2911" r:id="rId1637"/>
    <hyperlink ref="G2914" r:id="rId1638"/>
    <hyperlink ref="Q2919" r:id="rId1639"/>
    <hyperlink ref="G2933" r:id="rId1640"/>
    <hyperlink ref="G2935" r:id="rId1641"/>
    <hyperlink ref="G2936" r:id="rId1642"/>
    <hyperlink ref="G2938" r:id="rId1643"/>
    <hyperlink ref="Q2939" r:id="rId1644"/>
    <hyperlink ref="G2942" r:id="rId1645"/>
    <hyperlink ref="Q2942" r:id="rId1646"/>
    <hyperlink ref="G2943" r:id="rId1647"/>
    <hyperlink ref="G2944" r:id="rId1648"/>
    <hyperlink ref="Q2945" r:id="rId1649"/>
    <hyperlink ref="G2949" r:id="rId1650"/>
    <hyperlink ref="Q2950" r:id="rId1651"/>
    <hyperlink ref="G2951" r:id="rId1652"/>
    <hyperlink ref="G2955" r:id="rId1653"/>
    <hyperlink ref="F2957" r:id="rId1654"/>
    <hyperlink ref="G2957" r:id="rId1655"/>
    <hyperlink ref="G2959" r:id="rId1656"/>
    <hyperlink ref="Q2959" r:id="rId1657"/>
    <hyperlink ref="G2960" r:id="rId1658"/>
    <hyperlink ref="G2963" r:id="rId1659"/>
    <hyperlink ref="Q2963" r:id="rId1660"/>
    <hyperlink ref="Q2966" r:id="rId1661"/>
    <hyperlink ref="G2967" r:id="rId1662"/>
    <hyperlink ref="Q2967" r:id="rId1663"/>
    <hyperlink ref="F2968" r:id="rId1664"/>
    <hyperlink ref="G2968" r:id="rId1665"/>
    <hyperlink ref="G2969" r:id="rId1666"/>
    <hyperlink ref="Q2969" r:id="rId1667"/>
    <hyperlink ref="G2972" r:id="rId1668"/>
    <hyperlink ref="Q2973" r:id="rId1669"/>
    <hyperlink ref="G2974" r:id="rId1670"/>
    <hyperlink ref="Q2974" r:id="rId1671"/>
    <hyperlink ref="G2975" r:id="rId1672"/>
    <hyperlink ref="P2978" r:id="rId1673"/>
    <hyperlink ref="G2980" r:id="rId1674"/>
    <hyperlink ref="P2982" r:id="rId1675"/>
    <hyperlink ref="G2983" r:id="rId1676"/>
    <hyperlink ref="G2990" r:id="rId1677"/>
    <hyperlink ref="G2994" r:id="rId1678"/>
    <hyperlink ref="Q2994" r:id="rId1679"/>
    <hyperlink ref="G2995" r:id="rId1680"/>
    <hyperlink ref="G2996" r:id="rId1681"/>
    <hyperlink ref="G2997" r:id="rId1682"/>
    <hyperlink ref="G2998" r:id="rId1683"/>
    <hyperlink ref="Q2999" r:id="rId16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دربی</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Moein</dc:creator>
  <cp:lastModifiedBy>Moein</cp:lastModifiedBy>
  <dcterms:created xsi:type="dcterms:W3CDTF">2018-09-29T20:12:59Z</dcterms:created>
  <dcterms:modified xsi:type="dcterms:W3CDTF">2018-09-29T20:14:51Z</dcterms:modified>
</cp:coreProperties>
</file>